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harts/chart1.xml" ContentType="application/vnd.openxmlformats-officedocument.drawingml.chart+xml"/>
  <Override PartName="/xl/charts/chart2.xml" ContentType="application/vnd.openxmlformats-officedocument.drawingml.chart+xml"/>
  <Override PartName="/xl/charts/chart3.xml" ContentType="application/vnd.openxmlformats-officedocument.drawingml.chart+xml"/>
  <Override PartName="/xl/drawings/drawing2.xml" ContentType="application/vnd.openxmlformats-officedocument.drawing+xml"/>
  <Override PartName="/xl/charts/chart4.xml" ContentType="application/vnd.openxmlformats-officedocument.drawingml.chart+xml"/>
  <Override PartName="/xl/charts/chart5.xml" ContentType="application/vnd.openxmlformats-officedocument.drawingml.chart+xml"/>
  <Override PartName="/xl/drawings/drawing3.xml" ContentType="application/vnd.openxmlformats-officedocument.drawing+xml"/>
  <Override PartName="/xl/charts/chart6.xml" ContentType="application/vnd.openxmlformats-officedocument.drawingml.chart+xml"/>
  <Override PartName="/xl/charts/chart7.xml" ContentType="application/vnd.openxmlformats-officedocument.drawingml.chart+xml"/>
  <Override PartName="/xl/drawings/drawing4.xml" ContentType="application/vnd.openxmlformats-officedocument.drawing+xml"/>
  <Override PartName="/xl/charts/chart8.xml" ContentType="application/vnd.openxmlformats-officedocument.drawingml.chart+xml"/>
  <Override PartName="/xl/drawings/drawing5.xml" ContentType="application/vnd.openxmlformats-officedocument.drawing+xml"/>
  <Override PartName="/xl/charts/chart9.xml" ContentType="application/vnd.openxmlformats-officedocument.drawingml.chart+xml"/>
  <Override PartName="/xl/charts/chart10.xml" ContentType="application/vnd.openxmlformats-officedocument.drawingml.chart+xml"/>
  <Override PartName="/xl/drawings/drawing6.xml" ContentType="application/vnd.openxmlformats-officedocument.drawing+xml"/>
  <Override PartName="/xl/charts/chart11.xml" ContentType="application/vnd.openxmlformats-officedocument.drawingml.chart+xml"/>
  <Override PartName="/xl/drawings/drawing7.xml" ContentType="application/vnd.openxmlformats-officedocument.drawing+xml"/>
  <Override PartName="/xl/charts/chart12.xml" ContentType="application/vnd.openxmlformats-officedocument.drawingml.chart+xml"/>
  <Override PartName="/xl/charts/chart13.xml" ContentType="application/vnd.openxmlformats-officedocument.drawingml.chart+xml"/>
  <Override PartName="/xl/drawings/drawing8.xml" ContentType="application/vnd.openxmlformats-officedocument.drawing+xml"/>
  <Override PartName="/xl/charts/chart14.xml" ContentType="application/vnd.openxmlformats-officedocument.drawingml.chart+xml"/>
  <Override PartName="/xl/charts/chart15.xml" ContentType="application/vnd.openxmlformats-officedocument.drawingml.chart+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131"/>
  <workbookPr/>
  <mc:AlternateContent xmlns:mc="http://schemas.openxmlformats.org/markup-compatibility/2006">
    <mc:Choice Requires="x15">
      <x15ac:absPath xmlns:x15ac="http://schemas.microsoft.com/office/spreadsheetml/2010/11/ac" url="https://d.docs.live.net/dfacb227ca341c77/Desktop/project02/dataset^Mexcel work/"/>
    </mc:Choice>
  </mc:AlternateContent>
  <xr:revisionPtr revIDLastSave="3" documentId="11_9C5431D08259FF63A09A6BA5D5A765B784C99702" xr6:coauthVersionLast="47" xr6:coauthVersionMax="47" xr10:uidLastSave="{E06C21CA-99CD-42DA-846C-330423E8688C}"/>
  <bookViews>
    <workbookView xWindow="-108" yWindow="-108" windowWidth="23256" windowHeight="12456" tabRatio="500" firstSheet="1" activeTab="2" xr2:uid="{00000000-000D-0000-FFFF-FFFF00000000}"/>
  </bookViews>
  <sheets>
    <sheet name="ReadMe_Methodology" sheetId="1" r:id="rId1"/>
    <sheet name="Executive_Dashboard" sheetId="2" r:id="rId2"/>
    <sheet name="Company_Explorer" sheetId="3" r:id="rId3"/>
    <sheet name="Platform_Breakdown" sheetId="4" r:id="rId4"/>
    <sheet name="Top_Companies" sheetId="5" r:id="rId5"/>
    <sheet name="Role_Analysis" sheetId="6" r:id="rId6"/>
    <sheet name="City_Analysis" sheetId="7" r:id="rId7"/>
    <sheet name="Experience_Contract" sheetId="8" r:id="rId8"/>
    <sheet name="Salary_Analysis" sheetId="9" r:id="rId9"/>
    <sheet name="Combined_Data" sheetId="10" r:id="rId10"/>
    <sheet name="_Lists" sheetId="11" state="hidden" r:id="rId11"/>
  </sheets>
  <calcPr calcId="191029" iterateDelta="1E-4"/>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xmlns:loext="http://schemas.libreoffice.org/" uri="{7626C862-2A13-11E5-B345-FEFF819CDC9F}">
      <loext:extCalcPr stringRefSyntax="ExcelA1"/>
    </ext>
  </extLst>
</workbook>
</file>

<file path=xl/calcChain.xml><?xml version="1.0" encoding="utf-8"?>
<calcChain xmlns="http://schemas.openxmlformats.org/spreadsheetml/2006/main">
  <c r="AI3001" i="10" l="1"/>
  <c r="AD3001" i="10"/>
  <c r="AC3001" i="10"/>
  <c r="AB3001" i="10"/>
  <c r="AA3001" i="10"/>
  <c r="Z3001" i="10"/>
  <c r="U3001" i="10"/>
  <c r="T3001" i="10"/>
  <c r="N3001" i="10"/>
  <c r="F3001" i="10"/>
  <c r="AI3000" i="10"/>
  <c r="AD3000" i="10"/>
  <c r="AC3000" i="10"/>
  <c r="AB3000" i="10"/>
  <c r="AA3000" i="10"/>
  <c r="Z3000" i="10"/>
  <c r="U3000" i="10"/>
  <c r="T3000" i="10"/>
  <c r="N3000" i="10"/>
  <c r="F3000" i="10"/>
  <c r="AI2999" i="10"/>
  <c r="AD2999" i="10"/>
  <c r="AC2999" i="10"/>
  <c r="AB2999" i="10"/>
  <c r="AA2999" i="10"/>
  <c r="Z2999" i="10"/>
  <c r="U2999" i="10"/>
  <c r="T2999" i="10"/>
  <c r="N2999" i="10"/>
  <c r="F2999" i="10"/>
  <c r="AI2998" i="10"/>
  <c r="AD2998" i="10"/>
  <c r="AC2998" i="10"/>
  <c r="AB2998" i="10"/>
  <c r="AA2998" i="10"/>
  <c r="Z2998" i="10"/>
  <c r="U2998" i="10"/>
  <c r="T2998" i="10"/>
  <c r="N2998" i="10"/>
  <c r="F2998" i="10"/>
  <c r="AI2997" i="10"/>
  <c r="AD2997" i="10"/>
  <c r="AC2997" i="10"/>
  <c r="AB2997" i="10"/>
  <c r="AA2997" i="10"/>
  <c r="Z2997" i="10"/>
  <c r="U2997" i="10"/>
  <c r="T2997" i="10"/>
  <c r="N2997" i="10"/>
  <c r="F2997" i="10"/>
  <c r="AI2996" i="10"/>
  <c r="AD2996" i="10"/>
  <c r="AC2996" i="10"/>
  <c r="AB2996" i="10"/>
  <c r="AA2996" i="10"/>
  <c r="Z2996" i="10"/>
  <c r="U2996" i="10"/>
  <c r="T2996" i="10"/>
  <c r="N2996" i="10"/>
  <c r="F2996" i="10"/>
  <c r="AI2995" i="10"/>
  <c r="AD2995" i="10"/>
  <c r="AC2995" i="10"/>
  <c r="AB2995" i="10"/>
  <c r="AA2995" i="10"/>
  <c r="Z2995" i="10"/>
  <c r="U2995" i="10"/>
  <c r="T2995" i="10"/>
  <c r="N2995" i="10"/>
  <c r="F2995" i="10"/>
  <c r="AI2994" i="10"/>
  <c r="AD2994" i="10"/>
  <c r="AC2994" i="10"/>
  <c r="AB2994" i="10"/>
  <c r="AA2994" i="10"/>
  <c r="Z2994" i="10"/>
  <c r="U2994" i="10"/>
  <c r="T2994" i="10"/>
  <c r="N2994" i="10"/>
  <c r="F2994" i="10"/>
  <c r="AI2993" i="10"/>
  <c r="AD2993" i="10"/>
  <c r="AC2993" i="10"/>
  <c r="AB2993" i="10"/>
  <c r="AA2993" i="10"/>
  <c r="Z2993" i="10"/>
  <c r="U2993" i="10"/>
  <c r="T2993" i="10"/>
  <c r="N2993" i="10"/>
  <c r="F2993" i="10"/>
  <c r="AI2992" i="10"/>
  <c r="AD2992" i="10"/>
  <c r="AC2992" i="10"/>
  <c r="AB2992" i="10"/>
  <c r="AA2992" i="10"/>
  <c r="Z2992" i="10"/>
  <c r="U2992" i="10"/>
  <c r="T2992" i="10"/>
  <c r="N2992" i="10"/>
  <c r="F2992" i="10"/>
  <c r="AI2991" i="10"/>
  <c r="AD2991" i="10"/>
  <c r="AC2991" i="10"/>
  <c r="AB2991" i="10"/>
  <c r="AA2991" i="10"/>
  <c r="Z2991" i="10"/>
  <c r="U2991" i="10"/>
  <c r="T2991" i="10"/>
  <c r="N2991" i="10"/>
  <c r="F2991" i="10"/>
  <c r="AI2990" i="10"/>
  <c r="AD2990" i="10"/>
  <c r="AC2990" i="10"/>
  <c r="AB2990" i="10"/>
  <c r="AA2990" i="10"/>
  <c r="Z2990" i="10"/>
  <c r="U2990" i="10"/>
  <c r="T2990" i="10"/>
  <c r="N2990" i="10"/>
  <c r="F2990" i="10"/>
  <c r="AI2989" i="10"/>
  <c r="AD2989" i="10"/>
  <c r="AC2989" i="10"/>
  <c r="AB2989" i="10"/>
  <c r="AA2989" i="10"/>
  <c r="Z2989" i="10"/>
  <c r="U2989" i="10"/>
  <c r="T2989" i="10"/>
  <c r="N2989" i="10"/>
  <c r="F2989" i="10"/>
  <c r="AI2988" i="10"/>
  <c r="AD2988" i="10"/>
  <c r="AC2988" i="10"/>
  <c r="AB2988" i="10"/>
  <c r="AA2988" i="10"/>
  <c r="Z2988" i="10"/>
  <c r="U2988" i="10"/>
  <c r="T2988" i="10"/>
  <c r="N2988" i="10"/>
  <c r="F2988" i="10"/>
  <c r="AI2987" i="10"/>
  <c r="AD2987" i="10"/>
  <c r="AC2987" i="10"/>
  <c r="AB2987" i="10"/>
  <c r="AA2987" i="10"/>
  <c r="Z2987" i="10"/>
  <c r="U2987" i="10"/>
  <c r="T2987" i="10"/>
  <c r="N2987" i="10"/>
  <c r="F2987" i="10"/>
  <c r="AI2986" i="10"/>
  <c r="AD2986" i="10"/>
  <c r="AC2986" i="10"/>
  <c r="AB2986" i="10"/>
  <c r="AA2986" i="10"/>
  <c r="Z2986" i="10"/>
  <c r="U2986" i="10"/>
  <c r="T2986" i="10"/>
  <c r="N2986" i="10"/>
  <c r="F2986" i="10"/>
  <c r="AI2985" i="10"/>
  <c r="AD2985" i="10"/>
  <c r="AC2985" i="10"/>
  <c r="AB2985" i="10"/>
  <c r="AA2985" i="10"/>
  <c r="Z2985" i="10"/>
  <c r="U2985" i="10"/>
  <c r="T2985" i="10"/>
  <c r="N2985" i="10"/>
  <c r="F2985" i="10"/>
  <c r="AI2984" i="10"/>
  <c r="AD2984" i="10"/>
  <c r="AC2984" i="10"/>
  <c r="AB2984" i="10"/>
  <c r="AA2984" i="10"/>
  <c r="Z2984" i="10"/>
  <c r="U2984" i="10"/>
  <c r="T2984" i="10"/>
  <c r="N2984" i="10"/>
  <c r="F2984" i="10"/>
  <c r="AI2983" i="10"/>
  <c r="AD2983" i="10"/>
  <c r="AC2983" i="10"/>
  <c r="AB2983" i="10"/>
  <c r="AA2983" i="10"/>
  <c r="Z2983" i="10"/>
  <c r="U2983" i="10"/>
  <c r="T2983" i="10"/>
  <c r="N2983" i="10"/>
  <c r="F2983" i="10"/>
  <c r="AI2982" i="10"/>
  <c r="AD2982" i="10"/>
  <c r="AC2982" i="10"/>
  <c r="AB2982" i="10"/>
  <c r="AA2982" i="10"/>
  <c r="Z2982" i="10"/>
  <c r="U2982" i="10"/>
  <c r="T2982" i="10"/>
  <c r="N2982" i="10"/>
  <c r="F2982" i="10"/>
  <c r="AI2981" i="10"/>
  <c r="AD2981" i="10"/>
  <c r="AC2981" i="10"/>
  <c r="AB2981" i="10"/>
  <c r="AA2981" i="10"/>
  <c r="Z2981" i="10"/>
  <c r="U2981" i="10"/>
  <c r="T2981" i="10"/>
  <c r="N2981" i="10"/>
  <c r="F2981" i="10"/>
  <c r="AI2980" i="10"/>
  <c r="AD2980" i="10"/>
  <c r="AC2980" i="10"/>
  <c r="AB2980" i="10"/>
  <c r="AA2980" i="10"/>
  <c r="Z2980" i="10"/>
  <c r="U2980" i="10"/>
  <c r="T2980" i="10"/>
  <c r="N2980" i="10"/>
  <c r="F2980" i="10"/>
  <c r="AI2979" i="10"/>
  <c r="AD2979" i="10"/>
  <c r="AC2979" i="10"/>
  <c r="AB2979" i="10"/>
  <c r="AA2979" i="10"/>
  <c r="Z2979" i="10"/>
  <c r="U2979" i="10"/>
  <c r="T2979" i="10"/>
  <c r="N2979" i="10"/>
  <c r="F2979" i="10"/>
  <c r="AI2978" i="10"/>
  <c r="AD2978" i="10"/>
  <c r="AC2978" i="10"/>
  <c r="AB2978" i="10"/>
  <c r="AA2978" i="10"/>
  <c r="Z2978" i="10"/>
  <c r="U2978" i="10"/>
  <c r="T2978" i="10"/>
  <c r="N2978" i="10"/>
  <c r="F2978" i="10"/>
  <c r="AI2977" i="10"/>
  <c r="AD2977" i="10"/>
  <c r="AC2977" i="10"/>
  <c r="AB2977" i="10"/>
  <c r="AA2977" i="10"/>
  <c r="Z2977" i="10"/>
  <c r="U2977" i="10"/>
  <c r="T2977" i="10"/>
  <c r="N2977" i="10"/>
  <c r="F2977" i="10"/>
  <c r="AI2976" i="10"/>
  <c r="AD2976" i="10"/>
  <c r="AC2976" i="10"/>
  <c r="AB2976" i="10"/>
  <c r="AA2976" i="10"/>
  <c r="Z2976" i="10"/>
  <c r="U2976" i="10"/>
  <c r="T2976" i="10"/>
  <c r="N2976" i="10"/>
  <c r="F2976" i="10"/>
  <c r="AI2975" i="10"/>
  <c r="AD2975" i="10"/>
  <c r="AC2975" i="10"/>
  <c r="AB2975" i="10"/>
  <c r="AA2975" i="10"/>
  <c r="Z2975" i="10"/>
  <c r="U2975" i="10"/>
  <c r="T2975" i="10"/>
  <c r="N2975" i="10"/>
  <c r="F2975" i="10"/>
  <c r="AI2974" i="10"/>
  <c r="AD2974" i="10"/>
  <c r="AC2974" i="10"/>
  <c r="AB2974" i="10"/>
  <c r="AA2974" i="10"/>
  <c r="Z2974" i="10"/>
  <c r="U2974" i="10"/>
  <c r="T2974" i="10"/>
  <c r="N2974" i="10"/>
  <c r="F2974" i="10"/>
  <c r="AI2973" i="10"/>
  <c r="AD2973" i="10"/>
  <c r="AC2973" i="10"/>
  <c r="AB2973" i="10"/>
  <c r="AA2973" i="10"/>
  <c r="Z2973" i="10"/>
  <c r="U2973" i="10"/>
  <c r="T2973" i="10"/>
  <c r="N2973" i="10"/>
  <c r="F2973" i="10"/>
  <c r="AI2972" i="10"/>
  <c r="AD2972" i="10"/>
  <c r="AC2972" i="10"/>
  <c r="AB2972" i="10"/>
  <c r="AA2972" i="10"/>
  <c r="Z2972" i="10"/>
  <c r="U2972" i="10"/>
  <c r="T2972" i="10"/>
  <c r="N2972" i="10"/>
  <c r="F2972" i="10"/>
  <c r="AI2971" i="10"/>
  <c r="AD2971" i="10"/>
  <c r="AC2971" i="10"/>
  <c r="AB2971" i="10"/>
  <c r="AA2971" i="10"/>
  <c r="Z2971" i="10"/>
  <c r="U2971" i="10"/>
  <c r="T2971" i="10"/>
  <c r="N2971" i="10"/>
  <c r="F2971" i="10"/>
  <c r="AI2970" i="10"/>
  <c r="AD2970" i="10"/>
  <c r="AC2970" i="10"/>
  <c r="AB2970" i="10"/>
  <c r="AA2970" i="10"/>
  <c r="Z2970" i="10"/>
  <c r="U2970" i="10"/>
  <c r="T2970" i="10"/>
  <c r="N2970" i="10"/>
  <c r="F2970" i="10"/>
  <c r="AI2969" i="10"/>
  <c r="AD2969" i="10"/>
  <c r="AC2969" i="10"/>
  <c r="AB2969" i="10"/>
  <c r="AA2969" i="10"/>
  <c r="Z2969" i="10"/>
  <c r="U2969" i="10"/>
  <c r="T2969" i="10"/>
  <c r="N2969" i="10"/>
  <c r="F2969" i="10"/>
  <c r="AI2968" i="10"/>
  <c r="AD2968" i="10"/>
  <c r="AC2968" i="10"/>
  <c r="AB2968" i="10"/>
  <c r="AA2968" i="10"/>
  <c r="Z2968" i="10"/>
  <c r="U2968" i="10"/>
  <c r="T2968" i="10"/>
  <c r="N2968" i="10"/>
  <c r="F2968" i="10"/>
  <c r="AI2967" i="10"/>
  <c r="AD2967" i="10"/>
  <c r="AC2967" i="10"/>
  <c r="AB2967" i="10"/>
  <c r="AA2967" i="10"/>
  <c r="Z2967" i="10"/>
  <c r="U2967" i="10"/>
  <c r="T2967" i="10"/>
  <c r="N2967" i="10"/>
  <c r="F2967" i="10"/>
  <c r="AI2966" i="10"/>
  <c r="AD2966" i="10"/>
  <c r="AC2966" i="10"/>
  <c r="AB2966" i="10"/>
  <c r="AA2966" i="10"/>
  <c r="Z2966" i="10"/>
  <c r="U2966" i="10"/>
  <c r="T2966" i="10"/>
  <c r="N2966" i="10"/>
  <c r="F2966" i="10"/>
  <c r="AI2965" i="10"/>
  <c r="AD2965" i="10"/>
  <c r="AC2965" i="10"/>
  <c r="AB2965" i="10"/>
  <c r="AA2965" i="10"/>
  <c r="Z2965" i="10"/>
  <c r="U2965" i="10"/>
  <c r="T2965" i="10"/>
  <c r="N2965" i="10"/>
  <c r="F2965" i="10"/>
  <c r="AI2964" i="10"/>
  <c r="AD2964" i="10"/>
  <c r="AC2964" i="10"/>
  <c r="AB2964" i="10"/>
  <c r="AA2964" i="10"/>
  <c r="Z2964" i="10"/>
  <c r="U2964" i="10"/>
  <c r="T2964" i="10"/>
  <c r="N2964" i="10"/>
  <c r="F2964" i="10"/>
  <c r="AI2963" i="10"/>
  <c r="AD2963" i="10"/>
  <c r="AC2963" i="10"/>
  <c r="AB2963" i="10"/>
  <c r="AA2963" i="10"/>
  <c r="Z2963" i="10"/>
  <c r="U2963" i="10"/>
  <c r="T2963" i="10"/>
  <c r="N2963" i="10"/>
  <c r="F2963" i="10"/>
  <c r="AI2962" i="10"/>
  <c r="AD2962" i="10"/>
  <c r="AC2962" i="10"/>
  <c r="AB2962" i="10"/>
  <c r="AA2962" i="10"/>
  <c r="Z2962" i="10"/>
  <c r="U2962" i="10"/>
  <c r="T2962" i="10"/>
  <c r="N2962" i="10"/>
  <c r="F2962" i="10"/>
  <c r="AI2961" i="10"/>
  <c r="AD2961" i="10"/>
  <c r="AC2961" i="10"/>
  <c r="AB2961" i="10"/>
  <c r="AA2961" i="10"/>
  <c r="Z2961" i="10"/>
  <c r="U2961" i="10"/>
  <c r="T2961" i="10"/>
  <c r="N2961" i="10"/>
  <c r="F2961" i="10"/>
  <c r="AI2960" i="10"/>
  <c r="AD2960" i="10"/>
  <c r="AC2960" i="10"/>
  <c r="AB2960" i="10"/>
  <c r="AA2960" i="10"/>
  <c r="Z2960" i="10"/>
  <c r="U2960" i="10"/>
  <c r="T2960" i="10"/>
  <c r="N2960" i="10"/>
  <c r="F2960" i="10"/>
  <c r="AI2959" i="10"/>
  <c r="AD2959" i="10"/>
  <c r="AC2959" i="10"/>
  <c r="AB2959" i="10"/>
  <c r="AA2959" i="10"/>
  <c r="Z2959" i="10"/>
  <c r="U2959" i="10"/>
  <c r="T2959" i="10"/>
  <c r="N2959" i="10"/>
  <c r="F2959" i="10"/>
  <c r="AI2958" i="10"/>
  <c r="AD2958" i="10"/>
  <c r="AC2958" i="10"/>
  <c r="AB2958" i="10"/>
  <c r="AA2958" i="10"/>
  <c r="Z2958" i="10"/>
  <c r="U2958" i="10"/>
  <c r="T2958" i="10"/>
  <c r="N2958" i="10"/>
  <c r="F2958" i="10"/>
  <c r="AI2957" i="10"/>
  <c r="AD2957" i="10"/>
  <c r="AC2957" i="10"/>
  <c r="AB2957" i="10"/>
  <c r="AA2957" i="10"/>
  <c r="Z2957" i="10"/>
  <c r="U2957" i="10"/>
  <c r="T2957" i="10"/>
  <c r="N2957" i="10"/>
  <c r="F2957" i="10"/>
  <c r="AI2956" i="10"/>
  <c r="AD2956" i="10"/>
  <c r="AC2956" i="10"/>
  <c r="AB2956" i="10"/>
  <c r="AA2956" i="10"/>
  <c r="Z2956" i="10"/>
  <c r="U2956" i="10"/>
  <c r="T2956" i="10"/>
  <c r="N2956" i="10"/>
  <c r="F2956" i="10"/>
  <c r="AI2955" i="10"/>
  <c r="AD2955" i="10"/>
  <c r="AC2955" i="10"/>
  <c r="AB2955" i="10"/>
  <c r="AA2955" i="10"/>
  <c r="Z2955" i="10"/>
  <c r="U2955" i="10"/>
  <c r="T2955" i="10"/>
  <c r="N2955" i="10"/>
  <c r="F2955" i="10"/>
  <c r="AI2954" i="10"/>
  <c r="AD2954" i="10"/>
  <c r="AC2954" i="10"/>
  <c r="AB2954" i="10"/>
  <c r="AA2954" i="10"/>
  <c r="Z2954" i="10"/>
  <c r="U2954" i="10"/>
  <c r="T2954" i="10"/>
  <c r="N2954" i="10"/>
  <c r="F2954" i="10"/>
  <c r="AI2953" i="10"/>
  <c r="AD2953" i="10"/>
  <c r="AC2953" i="10"/>
  <c r="AB2953" i="10"/>
  <c r="AA2953" i="10"/>
  <c r="Z2953" i="10"/>
  <c r="U2953" i="10"/>
  <c r="T2953" i="10"/>
  <c r="N2953" i="10"/>
  <c r="F2953" i="10"/>
  <c r="AI2952" i="10"/>
  <c r="AD2952" i="10"/>
  <c r="AC2952" i="10"/>
  <c r="AB2952" i="10"/>
  <c r="AA2952" i="10"/>
  <c r="Z2952" i="10"/>
  <c r="U2952" i="10"/>
  <c r="T2952" i="10"/>
  <c r="N2952" i="10"/>
  <c r="F2952" i="10"/>
  <c r="AI2951" i="10"/>
  <c r="AD2951" i="10"/>
  <c r="AC2951" i="10"/>
  <c r="AB2951" i="10"/>
  <c r="AA2951" i="10"/>
  <c r="Z2951" i="10"/>
  <c r="U2951" i="10"/>
  <c r="T2951" i="10"/>
  <c r="N2951" i="10"/>
  <c r="F2951" i="10"/>
  <c r="AI2950" i="10"/>
  <c r="AD2950" i="10"/>
  <c r="AC2950" i="10"/>
  <c r="AB2950" i="10"/>
  <c r="AA2950" i="10"/>
  <c r="Z2950" i="10"/>
  <c r="U2950" i="10"/>
  <c r="T2950" i="10"/>
  <c r="N2950" i="10"/>
  <c r="F2950" i="10"/>
  <c r="AI2949" i="10"/>
  <c r="AD2949" i="10"/>
  <c r="AC2949" i="10"/>
  <c r="AB2949" i="10"/>
  <c r="AA2949" i="10"/>
  <c r="Z2949" i="10"/>
  <c r="U2949" i="10"/>
  <c r="T2949" i="10"/>
  <c r="N2949" i="10"/>
  <c r="F2949" i="10"/>
  <c r="AI2948" i="10"/>
  <c r="AD2948" i="10"/>
  <c r="AC2948" i="10"/>
  <c r="AB2948" i="10"/>
  <c r="AA2948" i="10"/>
  <c r="Z2948" i="10"/>
  <c r="U2948" i="10"/>
  <c r="T2948" i="10"/>
  <c r="N2948" i="10"/>
  <c r="F2948" i="10"/>
  <c r="AI2947" i="10"/>
  <c r="AD2947" i="10"/>
  <c r="AC2947" i="10"/>
  <c r="AB2947" i="10"/>
  <c r="AA2947" i="10"/>
  <c r="Z2947" i="10"/>
  <c r="U2947" i="10"/>
  <c r="T2947" i="10"/>
  <c r="N2947" i="10"/>
  <c r="F2947" i="10"/>
  <c r="AI2946" i="10"/>
  <c r="AD2946" i="10"/>
  <c r="AC2946" i="10"/>
  <c r="AB2946" i="10"/>
  <c r="AA2946" i="10"/>
  <c r="Z2946" i="10"/>
  <c r="U2946" i="10"/>
  <c r="T2946" i="10"/>
  <c r="N2946" i="10"/>
  <c r="F2946" i="10"/>
  <c r="AI2945" i="10"/>
  <c r="AD2945" i="10"/>
  <c r="AC2945" i="10"/>
  <c r="AB2945" i="10"/>
  <c r="AA2945" i="10"/>
  <c r="Z2945" i="10"/>
  <c r="U2945" i="10"/>
  <c r="T2945" i="10"/>
  <c r="N2945" i="10"/>
  <c r="F2945" i="10"/>
  <c r="AI2944" i="10"/>
  <c r="AD2944" i="10"/>
  <c r="AC2944" i="10"/>
  <c r="AB2944" i="10"/>
  <c r="AA2944" i="10"/>
  <c r="Z2944" i="10"/>
  <c r="U2944" i="10"/>
  <c r="T2944" i="10"/>
  <c r="N2944" i="10"/>
  <c r="F2944" i="10"/>
  <c r="AI2943" i="10"/>
  <c r="AD2943" i="10"/>
  <c r="AC2943" i="10"/>
  <c r="AB2943" i="10"/>
  <c r="AA2943" i="10"/>
  <c r="Z2943" i="10"/>
  <c r="U2943" i="10"/>
  <c r="T2943" i="10"/>
  <c r="N2943" i="10"/>
  <c r="F2943" i="10"/>
  <c r="AI2942" i="10"/>
  <c r="AD2942" i="10"/>
  <c r="AC2942" i="10"/>
  <c r="AB2942" i="10"/>
  <c r="AA2942" i="10"/>
  <c r="Z2942" i="10"/>
  <c r="U2942" i="10"/>
  <c r="T2942" i="10"/>
  <c r="N2942" i="10"/>
  <c r="F2942" i="10"/>
  <c r="AI2941" i="10"/>
  <c r="AD2941" i="10"/>
  <c r="AC2941" i="10"/>
  <c r="AB2941" i="10"/>
  <c r="AA2941" i="10"/>
  <c r="Z2941" i="10"/>
  <c r="U2941" i="10"/>
  <c r="T2941" i="10"/>
  <c r="N2941" i="10"/>
  <c r="F2941" i="10"/>
  <c r="AI2940" i="10"/>
  <c r="AD2940" i="10"/>
  <c r="AC2940" i="10"/>
  <c r="AB2940" i="10"/>
  <c r="AA2940" i="10"/>
  <c r="Z2940" i="10"/>
  <c r="U2940" i="10"/>
  <c r="T2940" i="10"/>
  <c r="N2940" i="10"/>
  <c r="F2940" i="10"/>
  <c r="AI2939" i="10"/>
  <c r="AD2939" i="10"/>
  <c r="AC2939" i="10"/>
  <c r="AB2939" i="10"/>
  <c r="AA2939" i="10"/>
  <c r="Z2939" i="10"/>
  <c r="U2939" i="10"/>
  <c r="T2939" i="10"/>
  <c r="N2939" i="10"/>
  <c r="F2939" i="10"/>
  <c r="AI2938" i="10"/>
  <c r="AD2938" i="10"/>
  <c r="AC2938" i="10"/>
  <c r="AB2938" i="10"/>
  <c r="AA2938" i="10"/>
  <c r="Z2938" i="10"/>
  <c r="U2938" i="10"/>
  <c r="T2938" i="10"/>
  <c r="N2938" i="10"/>
  <c r="F2938" i="10"/>
  <c r="AI2937" i="10"/>
  <c r="AD2937" i="10"/>
  <c r="AC2937" i="10"/>
  <c r="AB2937" i="10"/>
  <c r="AA2937" i="10"/>
  <c r="Z2937" i="10"/>
  <c r="U2937" i="10"/>
  <c r="T2937" i="10"/>
  <c r="N2937" i="10"/>
  <c r="F2937" i="10"/>
  <c r="AI2936" i="10"/>
  <c r="AD2936" i="10"/>
  <c r="AC2936" i="10"/>
  <c r="AB2936" i="10"/>
  <c r="AA2936" i="10"/>
  <c r="Z2936" i="10"/>
  <c r="U2936" i="10"/>
  <c r="T2936" i="10"/>
  <c r="N2936" i="10"/>
  <c r="F2936" i="10"/>
  <c r="AI2935" i="10"/>
  <c r="AD2935" i="10"/>
  <c r="AC2935" i="10"/>
  <c r="AB2935" i="10"/>
  <c r="AA2935" i="10"/>
  <c r="Z2935" i="10"/>
  <c r="U2935" i="10"/>
  <c r="T2935" i="10"/>
  <c r="N2935" i="10"/>
  <c r="F2935" i="10"/>
  <c r="AI2934" i="10"/>
  <c r="AD2934" i="10"/>
  <c r="AC2934" i="10"/>
  <c r="AB2934" i="10"/>
  <c r="AA2934" i="10"/>
  <c r="Z2934" i="10"/>
  <c r="U2934" i="10"/>
  <c r="T2934" i="10"/>
  <c r="N2934" i="10"/>
  <c r="F2934" i="10"/>
  <c r="AI2933" i="10"/>
  <c r="AD2933" i="10"/>
  <c r="AC2933" i="10"/>
  <c r="AB2933" i="10"/>
  <c r="AA2933" i="10"/>
  <c r="Z2933" i="10"/>
  <c r="U2933" i="10"/>
  <c r="T2933" i="10"/>
  <c r="N2933" i="10"/>
  <c r="F2933" i="10"/>
  <c r="AI2932" i="10"/>
  <c r="AD2932" i="10"/>
  <c r="AC2932" i="10"/>
  <c r="AB2932" i="10"/>
  <c r="AA2932" i="10"/>
  <c r="Z2932" i="10"/>
  <c r="U2932" i="10"/>
  <c r="T2932" i="10"/>
  <c r="N2932" i="10"/>
  <c r="F2932" i="10"/>
  <c r="AI2931" i="10"/>
  <c r="AD2931" i="10"/>
  <c r="AC2931" i="10"/>
  <c r="AB2931" i="10"/>
  <c r="AA2931" i="10"/>
  <c r="Z2931" i="10"/>
  <c r="U2931" i="10"/>
  <c r="T2931" i="10"/>
  <c r="N2931" i="10"/>
  <c r="F2931" i="10"/>
  <c r="AI2930" i="10"/>
  <c r="AD2930" i="10"/>
  <c r="AC2930" i="10"/>
  <c r="AB2930" i="10"/>
  <c r="AA2930" i="10"/>
  <c r="Z2930" i="10"/>
  <c r="U2930" i="10"/>
  <c r="T2930" i="10"/>
  <c r="N2930" i="10"/>
  <c r="F2930" i="10"/>
  <c r="AI2929" i="10"/>
  <c r="AD2929" i="10"/>
  <c r="AC2929" i="10"/>
  <c r="AB2929" i="10"/>
  <c r="AA2929" i="10"/>
  <c r="Z2929" i="10"/>
  <c r="U2929" i="10"/>
  <c r="T2929" i="10"/>
  <c r="N2929" i="10"/>
  <c r="F2929" i="10"/>
  <c r="AI2928" i="10"/>
  <c r="AD2928" i="10"/>
  <c r="AC2928" i="10"/>
  <c r="AB2928" i="10"/>
  <c r="AA2928" i="10"/>
  <c r="Z2928" i="10"/>
  <c r="U2928" i="10"/>
  <c r="T2928" i="10"/>
  <c r="N2928" i="10"/>
  <c r="F2928" i="10"/>
  <c r="AI2927" i="10"/>
  <c r="AD2927" i="10"/>
  <c r="AC2927" i="10"/>
  <c r="AB2927" i="10"/>
  <c r="AA2927" i="10"/>
  <c r="Z2927" i="10"/>
  <c r="U2927" i="10"/>
  <c r="T2927" i="10"/>
  <c r="N2927" i="10"/>
  <c r="F2927" i="10"/>
  <c r="AI2926" i="10"/>
  <c r="AD2926" i="10"/>
  <c r="AC2926" i="10"/>
  <c r="AB2926" i="10"/>
  <c r="AA2926" i="10"/>
  <c r="Z2926" i="10"/>
  <c r="U2926" i="10"/>
  <c r="T2926" i="10"/>
  <c r="N2926" i="10"/>
  <c r="F2926" i="10"/>
  <c r="AI2925" i="10"/>
  <c r="AD2925" i="10"/>
  <c r="AC2925" i="10"/>
  <c r="AB2925" i="10"/>
  <c r="AA2925" i="10"/>
  <c r="Z2925" i="10"/>
  <c r="U2925" i="10"/>
  <c r="T2925" i="10"/>
  <c r="N2925" i="10"/>
  <c r="F2925" i="10"/>
  <c r="AI2924" i="10"/>
  <c r="AD2924" i="10"/>
  <c r="AC2924" i="10"/>
  <c r="AB2924" i="10"/>
  <c r="AA2924" i="10"/>
  <c r="Z2924" i="10"/>
  <c r="U2924" i="10"/>
  <c r="T2924" i="10"/>
  <c r="N2924" i="10"/>
  <c r="F2924" i="10"/>
  <c r="AI2923" i="10"/>
  <c r="AD2923" i="10"/>
  <c r="AC2923" i="10"/>
  <c r="AB2923" i="10"/>
  <c r="AA2923" i="10"/>
  <c r="Z2923" i="10"/>
  <c r="U2923" i="10"/>
  <c r="T2923" i="10"/>
  <c r="N2923" i="10"/>
  <c r="F2923" i="10"/>
  <c r="AI2922" i="10"/>
  <c r="AD2922" i="10"/>
  <c r="AC2922" i="10"/>
  <c r="AB2922" i="10"/>
  <c r="AA2922" i="10"/>
  <c r="Z2922" i="10"/>
  <c r="U2922" i="10"/>
  <c r="T2922" i="10"/>
  <c r="N2922" i="10"/>
  <c r="F2922" i="10"/>
  <c r="AI2921" i="10"/>
  <c r="AD2921" i="10"/>
  <c r="AC2921" i="10"/>
  <c r="AB2921" i="10"/>
  <c r="AA2921" i="10"/>
  <c r="Z2921" i="10"/>
  <c r="U2921" i="10"/>
  <c r="T2921" i="10"/>
  <c r="N2921" i="10"/>
  <c r="F2921" i="10"/>
  <c r="AI2920" i="10"/>
  <c r="AD2920" i="10"/>
  <c r="AC2920" i="10"/>
  <c r="AB2920" i="10"/>
  <c r="AA2920" i="10"/>
  <c r="Z2920" i="10"/>
  <c r="U2920" i="10"/>
  <c r="T2920" i="10"/>
  <c r="N2920" i="10"/>
  <c r="F2920" i="10"/>
  <c r="AI2919" i="10"/>
  <c r="AD2919" i="10"/>
  <c r="AC2919" i="10"/>
  <c r="AB2919" i="10"/>
  <c r="AA2919" i="10"/>
  <c r="Z2919" i="10"/>
  <c r="U2919" i="10"/>
  <c r="T2919" i="10"/>
  <c r="N2919" i="10"/>
  <c r="F2919" i="10"/>
  <c r="AI2918" i="10"/>
  <c r="AD2918" i="10"/>
  <c r="AC2918" i="10"/>
  <c r="AB2918" i="10"/>
  <c r="AA2918" i="10"/>
  <c r="Z2918" i="10"/>
  <c r="U2918" i="10"/>
  <c r="T2918" i="10"/>
  <c r="N2918" i="10"/>
  <c r="F2918" i="10"/>
  <c r="AI2917" i="10"/>
  <c r="AD2917" i="10"/>
  <c r="AC2917" i="10"/>
  <c r="AB2917" i="10"/>
  <c r="AA2917" i="10"/>
  <c r="Z2917" i="10"/>
  <c r="U2917" i="10"/>
  <c r="T2917" i="10"/>
  <c r="N2917" i="10"/>
  <c r="F2917" i="10"/>
  <c r="AI2916" i="10"/>
  <c r="AD2916" i="10"/>
  <c r="AC2916" i="10"/>
  <c r="AB2916" i="10"/>
  <c r="AA2916" i="10"/>
  <c r="Z2916" i="10"/>
  <c r="U2916" i="10"/>
  <c r="T2916" i="10"/>
  <c r="N2916" i="10"/>
  <c r="F2916" i="10"/>
  <c r="AI2915" i="10"/>
  <c r="AD2915" i="10"/>
  <c r="AC2915" i="10"/>
  <c r="AB2915" i="10"/>
  <c r="AA2915" i="10"/>
  <c r="Z2915" i="10"/>
  <c r="U2915" i="10"/>
  <c r="T2915" i="10"/>
  <c r="N2915" i="10"/>
  <c r="F2915" i="10"/>
  <c r="AI2914" i="10"/>
  <c r="AD2914" i="10"/>
  <c r="AC2914" i="10"/>
  <c r="AB2914" i="10"/>
  <c r="AA2914" i="10"/>
  <c r="Z2914" i="10"/>
  <c r="U2914" i="10"/>
  <c r="T2914" i="10"/>
  <c r="N2914" i="10"/>
  <c r="F2914" i="10"/>
  <c r="AI2913" i="10"/>
  <c r="AD2913" i="10"/>
  <c r="AC2913" i="10"/>
  <c r="AB2913" i="10"/>
  <c r="AA2913" i="10"/>
  <c r="Z2913" i="10"/>
  <c r="U2913" i="10"/>
  <c r="T2913" i="10"/>
  <c r="N2913" i="10"/>
  <c r="F2913" i="10"/>
  <c r="AI2912" i="10"/>
  <c r="AD2912" i="10"/>
  <c r="AC2912" i="10"/>
  <c r="AB2912" i="10"/>
  <c r="AA2912" i="10"/>
  <c r="Z2912" i="10"/>
  <c r="U2912" i="10"/>
  <c r="T2912" i="10"/>
  <c r="N2912" i="10"/>
  <c r="F2912" i="10"/>
  <c r="AI2911" i="10"/>
  <c r="AD2911" i="10"/>
  <c r="AC2911" i="10"/>
  <c r="AB2911" i="10"/>
  <c r="AA2911" i="10"/>
  <c r="Z2911" i="10"/>
  <c r="U2911" i="10"/>
  <c r="T2911" i="10"/>
  <c r="N2911" i="10"/>
  <c r="F2911" i="10"/>
  <c r="AI2910" i="10"/>
  <c r="AD2910" i="10"/>
  <c r="AC2910" i="10"/>
  <c r="AB2910" i="10"/>
  <c r="AA2910" i="10"/>
  <c r="Z2910" i="10"/>
  <c r="U2910" i="10"/>
  <c r="T2910" i="10"/>
  <c r="N2910" i="10"/>
  <c r="F2910" i="10"/>
  <c r="AI2909" i="10"/>
  <c r="AD2909" i="10"/>
  <c r="AC2909" i="10"/>
  <c r="AB2909" i="10"/>
  <c r="AA2909" i="10"/>
  <c r="Z2909" i="10"/>
  <c r="U2909" i="10"/>
  <c r="T2909" i="10"/>
  <c r="N2909" i="10"/>
  <c r="F2909" i="10"/>
  <c r="AI2908" i="10"/>
  <c r="AD2908" i="10"/>
  <c r="AC2908" i="10"/>
  <c r="AB2908" i="10"/>
  <c r="AA2908" i="10"/>
  <c r="Z2908" i="10"/>
  <c r="U2908" i="10"/>
  <c r="T2908" i="10"/>
  <c r="N2908" i="10"/>
  <c r="F2908" i="10"/>
  <c r="AI2907" i="10"/>
  <c r="AD2907" i="10"/>
  <c r="AC2907" i="10"/>
  <c r="AB2907" i="10"/>
  <c r="AA2907" i="10"/>
  <c r="Z2907" i="10"/>
  <c r="U2907" i="10"/>
  <c r="T2907" i="10"/>
  <c r="N2907" i="10"/>
  <c r="F2907" i="10"/>
  <c r="AI2906" i="10"/>
  <c r="AD2906" i="10"/>
  <c r="AC2906" i="10"/>
  <c r="AB2906" i="10"/>
  <c r="AA2906" i="10"/>
  <c r="Z2906" i="10"/>
  <c r="U2906" i="10"/>
  <c r="T2906" i="10"/>
  <c r="N2906" i="10"/>
  <c r="F2906" i="10"/>
  <c r="AI2905" i="10"/>
  <c r="AD2905" i="10"/>
  <c r="AC2905" i="10"/>
  <c r="AB2905" i="10"/>
  <c r="AA2905" i="10"/>
  <c r="Z2905" i="10"/>
  <c r="U2905" i="10"/>
  <c r="T2905" i="10"/>
  <c r="N2905" i="10"/>
  <c r="F2905" i="10"/>
  <c r="AI2904" i="10"/>
  <c r="AD2904" i="10"/>
  <c r="AC2904" i="10"/>
  <c r="AB2904" i="10"/>
  <c r="AA2904" i="10"/>
  <c r="Z2904" i="10"/>
  <c r="U2904" i="10"/>
  <c r="T2904" i="10"/>
  <c r="N2904" i="10"/>
  <c r="F2904" i="10"/>
  <c r="AI2903" i="10"/>
  <c r="AD2903" i="10"/>
  <c r="AC2903" i="10"/>
  <c r="AB2903" i="10"/>
  <c r="AA2903" i="10"/>
  <c r="Z2903" i="10"/>
  <c r="U2903" i="10"/>
  <c r="T2903" i="10"/>
  <c r="N2903" i="10"/>
  <c r="F2903" i="10"/>
  <c r="AI2902" i="10"/>
  <c r="AD2902" i="10"/>
  <c r="AC2902" i="10"/>
  <c r="AB2902" i="10"/>
  <c r="AA2902" i="10"/>
  <c r="Z2902" i="10"/>
  <c r="U2902" i="10"/>
  <c r="T2902" i="10"/>
  <c r="N2902" i="10"/>
  <c r="F2902" i="10"/>
  <c r="AI2901" i="10"/>
  <c r="AD2901" i="10"/>
  <c r="AC2901" i="10"/>
  <c r="AB2901" i="10"/>
  <c r="AA2901" i="10"/>
  <c r="Z2901" i="10"/>
  <c r="U2901" i="10"/>
  <c r="T2901" i="10"/>
  <c r="N2901" i="10"/>
  <c r="F2901" i="10"/>
  <c r="AI2900" i="10"/>
  <c r="AD2900" i="10"/>
  <c r="AC2900" i="10"/>
  <c r="AB2900" i="10"/>
  <c r="AA2900" i="10"/>
  <c r="Z2900" i="10"/>
  <c r="U2900" i="10"/>
  <c r="T2900" i="10"/>
  <c r="N2900" i="10"/>
  <c r="F2900" i="10"/>
  <c r="AI2899" i="10"/>
  <c r="AD2899" i="10"/>
  <c r="AC2899" i="10"/>
  <c r="AB2899" i="10"/>
  <c r="AA2899" i="10"/>
  <c r="Z2899" i="10"/>
  <c r="U2899" i="10"/>
  <c r="T2899" i="10"/>
  <c r="N2899" i="10"/>
  <c r="F2899" i="10"/>
  <c r="AI2898" i="10"/>
  <c r="AD2898" i="10"/>
  <c r="AC2898" i="10"/>
  <c r="AB2898" i="10"/>
  <c r="AA2898" i="10"/>
  <c r="Z2898" i="10"/>
  <c r="U2898" i="10"/>
  <c r="T2898" i="10"/>
  <c r="N2898" i="10"/>
  <c r="F2898" i="10"/>
  <c r="AI2897" i="10"/>
  <c r="AD2897" i="10"/>
  <c r="AC2897" i="10"/>
  <c r="AB2897" i="10"/>
  <c r="AA2897" i="10"/>
  <c r="Z2897" i="10"/>
  <c r="U2897" i="10"/>
  <c r="T2897" i="10"/>
  <c r="N2897" i="10"/>
  <c r="F2897" i="10"/>
  <c r="AI2896" i="10"/>
  <c r="AD2896" i="10"/>
  <c r="AC2896" i="10"/>
  <c r="AB2896" i="10"/>
  <c r="AA2896" i="10"/>
  <c r="Z2896" i="10"/>
  <c r="U2896" i="10"/>
  <c r="T2896" i="10"/>
  <c r="N2896" i="10"/>
  <c r="F2896" i="10"/>
  <c r="AI2895" i="10"/>
  <c r="AD2895" i="10"/>
  <c r="AC2895" i="10"/>
  <c r="AB2895" i="10"/>
  <c r="AA2895" i="10"/>
  <c r="Z2895" i="10"/>
  <c r="U2895" i="10"/>
  <c r="T2895" i="10"/>
  <c r="N2895" i="10"/>
  <c r="F2895" i="10"/>
  <c r="AI2894" i="10"/>
  <c r="AD2894" i="10"/>
  <c r="AC2894" i="10"/>
  <c r="AB2894" i="10"/>
  <c r="AA2894" i="10"/>
  <c r="Z2894" i="10"/>
  <c r="U2894" i="10"/>
  <c r="T2894" i="10"/>
  <c r="N2894" i="10"/>
  <c r="F2894" i="10"/>
  <c r="AI2893" i="10"/>
  <c r="AD2893" i="10"/>
  <c r="AC2893" i="10"/>
  <c r="AB2893" i="10"/>
  <c r="AA2893" i="10"/>
  <c r="Z2893" i="10"/>
  <c r="U2893" i="10"/>
  <c r="T2893" i="10"/>
  <c r="N2893" i="10"/>
  <c r="F2893" i="10"/>
  <c r="AI2892" i="10"/>
  <c r="AD2892" i="10"/>
  <c r="AC2892" i="10"/>
  <c r="AB2892" i="10"/>
  <c r="AA2892" i="10"/>
  <c r="Z2892" i="10"/>
  <c r="U2892" i="10"/>
  <c r="T2892" i="10"/>
  <c r="N2892" i="10"/>
  <c r="F2892" i="10"/>
  <c r="AI2891" i="10"/>
  <c r="AD2891" i="10"/>
  <c r="AC2891" i="10"/>
  <c r="AB2891" i="10"/>
  <c r="AA2891" i="10"/>
  <c r="Z2891" i="10"/>
  <c r="U2891" i="10"/>
  <c r="T2891" i="10"/>
  <c r="N2891" i="10"/>
  <c r="F2891" i="10"/>
  <c r="AI2890" i="10"/>
  <c r="AD2890" i="10"/>
  <c r="AC2890" i="10"/>
  <c r="AB2890" i="10"/>
  <c r="AA2890" i="10"/>
  <c r="Z2890" i="10"/>
  <c r="U2890" i="10"/>
  <c r="T2890" i="10"/>
  <c r="N2890" i="10"/>
  <c r="F2890" i="10"/>
  <c r="AI2889" i="10"/>
  <c r="AD2889" i="10"/>
  <c r="AC2889" i="10"/>
  <c r="AB2889" i="10"/>
  <c r="AA2889" i="10"/>
  <c r="Z2889" i="10"/>
  <c r="U2889" i="10"/>
  <c r="T2889" i="10"/>
  <c r="N2889" i="10"/>
  <c r="F2889" i="10"/>
  <c r="AI2888" i="10"/>
  <c r="AD2888" i="10"/>
  <c r="AC2888" i="10"/>
  <c r="AB2888" i="10"/>
  <c r="AA2888" i="10"/>
  <c r="Z2888" i="10"/>
  <c r="U2888" i="10"/>
  <c r="T2888" i="10"/>
  <c r="N2888" i="10"/>
  <c r="F2888" i="10"/>
  <c r="AI2887" i="10"/>
  <c r="AD2887" i="10"/>
  <c r="AC2887" i="10"/>
  <c r="AB2887" i="10"/>
  <c r="AA2887" i="10"/>
  <c r="Z2887" i="10"/>
  <c r="U2887" i="10"/>
  <c r="T2887" i="10"/>
  <c r="N2887" i="10"/>
  <c r="F2887" i="10"/>
  <c r="AI2886" i="10"/>
  <c r="AD2886" i="10"/>
  <c r="AC2886" i="10"/>
  <c r="AB2886" i="10"/>
  <c r="AA2886" i="10"/>
  <c r="Z2886" i="10"/>
  <c r="U2886" i="10"/>
  <c r="T2886" i="10"/>
  <c r="N2886" i="10"/>
  <c r="F2886" i="10"/>
  <c r="AI2885" i="10"/>
  <c r="AD2885" i="10"/>
  <c r="AC2885" i="10"/>
  <c r="AB2885" i="10"/>
  <c r="AA2885" i="10"/>
  <c r="Z2885" i="10"/>
  <c r="U2885" i="10"/>
  <c r="T2885" i="10"/>
  <c r="N2885" i="10"/>
  <c r="F2885" i="10"/>
  <c r="AI2884" i="10"/>
  <c r="AD2884" i="10"/>
  <c r="AC2884" i="10"/>
  <c r="AB2884" i="10"/>
  <c r="AA2884" i="10"/>
  <c r="Z2884" i="10"/>
  <c r="U2884" i="10"/>
  <c r="T2884" i="10"/>
  <c r="N2884" i="10"/>
  <c r="F2884" i="10"/>
  <c r="AI2883" i="10"/>
  <c r="AD2883" i="10"/>
  <c r="AC2883" i="10"/>
  <c r="AB2883" i="10"/>
  <c r="AA2883" i="10"/>
  <c r="Z2883" i="10"/>
  <c r="U2883" i="10"/>
  <c r="T2883" i="10"/>
  <c r="N2883" i="10"/>
  <c r="F2883" i="10"/>
  <c r="AI2882" i="10"/>
  <c r="AD2882" i="10"/>
  <c r="AC2882" i="10"/>
  <c r="AB2882" i="10"/>
  <c r="AA2882" i="10"/>
  <c r="Z2882" i="10"/>
  <c r="U2882" i="10"/>
  <c r="T2882" i="10"/>
  <c r="N2882" i="10"/>
  <c r="F2882" i="10"/>
  <c r="AI2881" i="10"/>
  <c r="AD2881" i="10"/>
  <c r="AC2881" i="10"/>
  <c r="AB2881" i="10"/>
  <c r="AA2881" i="10"/>
  <c r="Z2881" i="10"/>
  <c r="U2881" i="10"/>
  <c r="T2881" i="10"/>
  <c r="N2881" i="10"/>
  <c r="F2881" i="10"/>
  <c r="AI2880" i="10"/>
  <c r="AD2880" i="10"/>
  <c r="AC2880" i="10"/>
  <c r="AB2880" i="10"/>
  <c r="AA2880" i="10"/>
  <c r="Z2880" i="10"/>
  <c r="U2880" i="10"/>
  <c r="T2880" i="10"/>
  <c r="N2880" i="10"/>
  <c r="F2880" i="10"/>
  <c r="AI2879" i="10"/>
  <c r="AD2879" i="10"/>
  <c r="AC2879" i="10"/>
  <c r="AB2879" i="10"/>
  <c r="AA2879" i="10"/>
  <c r="Z2879" i="10"/>
  <c r="U2879" i="10"/>
  <c r="T2879" i="10"/>
  <c r="N2879" i="10"/>
  <c r="F2879" i="10"/>
  <c r="AI2878" i="10"/>
  <c r="AD2878" i="10"/>
  <c r="AC2878" i="10"/>
  <c r="AB2878" i="10"/>
  <c r="AA2878" i="10"/>
  <c r="Z2878" i="10"/>
  <c r="U2878" i="10"/>
  <c r="T2878" i="10"/>
  <c r="N2878" i="10"/>
  <c r="F2878" i="10"/>
  <c r="AI2877" i="10"/>
  <c r="AD2877" i="10"/>
  <c r="AC2877" i="10"/>
  <c r="AB2877" i="10"/>
  <c r="AA2877" i="10"/>
  <c r="Z2877" i="10"/>
  <c r="U2877" i="10"/>
  <c r="T2877" i="10"/>
  <c r="N2877" i="10"/>
  <c r="F2877" i="10"/>
  <c r="AI2876" i="10"/>
  <c r="AD2876" i="10"/>
  <c r="AC2876" i="10"/>
  <c r="AB2876" i="10"/>
  <c r="AA2876" i="10"/>
  <c r="Z2876" i="10"/>
  <c r="U2876" i="10"/>
  <c r="T2876" i="10"/>
  <c r="N2876" i="10"/>
  <c r="F2876" i="10"/>
  <c r="AI2875" i="10"/>
  <c r="AD2875" i="10"/>
  <c r="AC2875" i="10"/>
  <c r="AB2875" i="10"/>
  <c r="AA2875" i="10"/>
  <c r="Z2875" i="10"/>
  <c r="U2875" i="10"/>
  <c r="T2875" i="10"/>
  <c r="N2875" i="10"/>
  <c r="F2875" i="10"/>
  <c r="AI2874" i="10"/>
  <c r="AD2874" i="10"/>
  <c r="AC2874" i="10"/>
  <c r="AB2874" i="10"/>
  <c r="AA2874" i="10"/>
  <c r="Z2874" i="10"/>
  <c r="U2874" i="10"/>
  <c r="T2874" i="10"/>
  <c r="N2874" i="10"/>
  <c r="F2874" i="10"/>
  <c r="AI2873" i="10"/>
  <c r="AD2873" i="10"/>
  <c r="AC2873" i="10"/>
  <c r="AB2873" i="10"/>
  <c r="AA2873" i="10"/>
  <c r="Z2873" i="10"/>
  <c r="U2873" i="10"/>
  <c r="T2873" i="10"/>
  <c r="N2873" i="10"/>
  <c r="F2873" i="10"/>
  <c r="AI2872" i="10"/>
  <c r="AD2872" i="10"/>
  <c r="AC2872" i="10"/>
  <c r="AB2872" i="10"/>
  <c r="AA2872" i="10"/>
  <c r="Z2872" i="10"/>
  <c r="U2872" i="10"/>
  <c r="T2872" i="10"/>
  <c r="N2872" i="10"/>
  <c r="F2872" i="10"/>
  <c r="AI2871" i="10"/>
  <c r="AD2871" i="10"/>
  <c r="AC2871" i="10"/>
  <c r="AB2871" i="10"/>
  <c r="AA2871" i="10"/>
  <c r="Z2871" i="10"/>
  <c r="U2871" i="10"/>
  <c r="T2871" i="10"/>
  <c r="N2871" i="10"/>
  <c r="F2871" i="10"/>
  <c r="AI2870" i="10"/>
  <c r="AD2870" i="10"/>
  <c r="AC2870" i="10"/>
  <c r="AB2870" i="10"/>
  <c r="AA2870" i="10"/>
  <c r="Z2870" i="10"/>
  <c r="U2870" i="10"/>
  <c r="T2870" i="10"/>
  <c r="N2870" i="10"/>
  <c r="F2870" i="10"/>
  <c r="AI2869" i="10"/>
  <c r="AD2869" i="10"/>
  <c r="AC2869" i="10"/>
  <c r="AB2869" i="10"/>
  <c r="AA2869" i="10"/>
  <c r="Z2869" i="10"/>
  <c r="U2869" i="10"/>
  <c r="T2869" i="10"/>
  <c r="N2869" i="10"/>
  <c r="F2869" i="10"/>
  <c r="AI2868" i="10"/>
  <c r="AD2868" i="10"/>
  <c r="AC2868" i="10"/>
  <c r="AB2868" i="10"/>
  <c r="AA2868" i="10"/>
  <c r="Z2868" i="10"/>
  <c r="U2868" i="10"/>
  <c r="T2868" i="10"/>
  <c r="N2868" i="10"/>
  <c r="F2868" i="10"/>
  <c r="AI2867" i="10"/>
  <c r="AD2867" i="10"/>
  <c r="AC2867" i="10"/>
  <c r="AB2867" i="10"/>
  <c r="AA2867" i="10"/>
  <c r="Z2867" i="10"/>
  <c r="U2867" i="10"/>
  <c r="T2867" i="10"/>
  <c r="N2867" i="10"/>
  <c r="F2867" i="10"/>
  <c r="AI2866" i="10"/>
  <c r="AD2866" i="10"/>
  <c r="AC2866" i="10"/>
  <c r="AB2866" i="10"/>
  <c r="AA2866" i="10"/>
  <c r="Z2866" i="10"/>
  <c r="U2866" i="10"/>
  <c r="T2866" i="10"/>
  <c r="N2866" i="10"/>
  <c r="F2866" i="10"/>
  <c r="AI2865" i="10"/>
  <c r="AD2865" i="10"/>
  <c r="AC2865" i="10"/>
  <c r="AB2865" i="10"/>
  <c r="AA2865" i="10"/>
  <c r="Z2865" i="10"/>
  <c r="U2865" i="10"/>
  <c r="T2865" i="10"/>
  <c r="N2865" i="10"/>
  <c r="F2865" i="10"/>
  <c r="AI2864" i="10"/>
  <c r="AD2864" i="10"/>
  <c r="AC2864" i="10"/>
  <c r="AB2864" i="10"/>
  <c r="AA2864" i="10"/>
  <c r="Z2864" i="10"/>
  <c r="U2864" i="10"/>
  <c r="T2864" i="10"/>
  <c r="N2864" i="10"/>
  <c r="F2864" i="10"/>
  <c r="AI2863" i="10"/>
  <c r="AD2863" i="10"/>
  <c r="AC2863" i="10"/>
  <c r="AB2863" i="10"/>
  <c r="AA2863" i="10"/>
  <c r="Z2863" i="10"/>
  <c r="U2863" i="10"/>
  <c r="T2863" i="10"/>
  <c r="N2863" i="10"/>
  <c r="F2863" i="10"/>
  <c r="AI2862" i="10"/>
  <c r="AD2862" i="10"/>
  <c r="AC2862" i="10"/>
  <c r="AB2862" i="10"/>
  <c r="AA2862" i="10"/>
  <c r="Z2862" i="10"/>
  <c r="U2862" i="10"/>
  <c r="T2862" i="10"/>
  <c r="N2862" i="10"/>
  <c r="F2862" i="10"/>
  <c r="AI2861" i="10"/>
  <c r="AD2861" i="10"/>
  <c r="AC2861" i="10"/>
  <c r="AB2861" i="10"/>
  <c r="AA2861" i="10"/>
  <c r="Z2861" i="10"/>
  <c r="U2861" i="10"/>
  <c r="T2861" i="10"/>
  <c r="N2861" i="10"/>
  <c r="F2861" i="10"/>
  <c r="AI2860" i="10"/>
  <c r="AD2860" i="10"/>
  <c r="AC2860" i="10"/>
  <c r="AB2860" i="10"/>
  <c r="AA2860" i="10"/>
  <c r="Z2860" i="10"/>
  <c r="U2860" i="10"/>
  <c r="T2860" i="10"/>
  <c r="N2860" i="10"/>
  <c r="F2860" i="10"/>
  <c r="AI2859" i="10"/>
  <c r="AD2859" i="10"/>
  <c r="AC2859" i="10"/>
  <c r="AB2859" i="10"/>
  <c r="AA2859" i="10"/>
  <c r="Z2859" i="10"/>
  <c r="U2859" i="10"/>
  <c r="T2859" i="10"/>
  <c r="N2859" i="10"/>
  <c r="F2859" i="10"/>
  <c r="AI2858" i="10"/>
  <c r="AD2858" i="10"/>
  <c r="AC2858" i="10"/>
  <c r="AB2858" i="10"/>
  <c r="AA2858" i="10"/>
  <c r="Z2858" i="10"/>
  <c r="U2858" i="10"/>
  <c r="T2858" i="10"/>
  <c r="N2858" i="10"/>
  <c r="F2858" i="10"/>
  <c r="AI2857" i="10"/>
  <c r="AD2857" i="10"/>
  <c r="AC2857" i="10"/>
  <c r="AB2857" i="10"/>
  <c r="AA2857" i="10"/>
  <c r="Z2857" i="10"/>
  <c r="U2857" i="10"/>
  <c r="T2857" i="10"/>
  <c r="N2857" i="10"/>
  <c r="F2857" i="10"/>
  <c r="AI2856" i="10"/>
  <c r="AD2856" i="10"/>
  <c r="AC2856" i="10"/>
  <c r="AB2856" i="10"/>
  <c r="AA2856" i="10"/>
  <c r="Z2856" i="10"/>
  <c r="U2856" i="10"/>
  <c r="T2856" i="10"/>
  <c r="N2856" i="10"/>
  <c r="F2856" i="10"/>
  <c r="AI2855" i="10"/>
  <c r="AD2855" i="10"/>
  <c r="AC2855" i="10"/>
  <c r="AB2855" i="10"/>
  <c r="AA2855" i="10"/>
  <c r="Z2855" i="10"/>
  <c r="U2855" i="10"/>
  <c r="T2855" i="10"/>
  <c r="N2855" i="10"/>
  <c r="F2855" i="10"/>
  <c r="AI2854" i="10"/>
  <c r="AD2854" i="10"/>
  <c r="AC2854" i="10"/>
  <c r="AB2854" i="10"/>
  <c r="AA2854" i="10"/>
  <c r="Z2854" i="10"/>
  <c r="U2854" i="10"/>
  <c r="T2854" i="10"/>
  <c r="N2854" i="10"/>
  <c r="F2854" i="10"/>
  <c r="AI2853" i="10"/>
  <c r="AD2853" i="10"/>
  <c r="AC2853" i="10"/>
  <c r="AB2853" i="10"/>
  <c r="AA2853" i="10"/>
  <c r="Z2853" i="10"/>
  <c r="U2853" i="10"/>
  <c r="T2853" i="10"/>
  <c r="N2853" i="10"/>
  <c r="F2853" i="10"/>
  <c r="AI2852" i="10"/>
  <c r="AD2852" i="10"/>
  <c r="AC2852" i="10"/>
  <c r="AB2852" i="10"/>
  <c r="AA2852" i="10"/>
  <c r="Z2852" i="10"/>
  <c r="U2852" i="10"/>
  <c r="T2852" i="10"/>
  <c r="N2852" i="10"/>
  <c r="F2852" i="10"/>
  <c r="AI2851" i="10"/>
  <c r="AD2851" i="10"/>
  <c r="AC2851" i="10"/>
  <c r="AB2851" i="10"/>
  <c r="AA2851" i="10"/>
  <c r="Z2851" i="10"/>
  <c r="U2851" i="10"/>
  <c r="T2851" i="10"/>
  <c r="N2851" i="10"/>
  <c r="F2851" i="10"/>
  <c r="AI2850" i="10"/>
  <c r="AD2850" i="10"/>
  <c r="AC2850" i="10"/>
  <c r="AB2850" i="10"/>
  <c r="AA2850" i="10"/>
  <c r="Z2850" i="10"/>
  <c r="U2850" i="10"/>
  <c r="T2850" i="10"/>
  <c r="N2850" i="10"/>
  <c r="F2850" i="10"/>
  <c r="AI2849" i="10"/>
  <c r="AD2849" i="10"/>
  <c r="AC2849" i="10"/>
  <c r="AB2849" i="10"/>
  <c r="AA2849" i="10"/>
  <c r="Z2849" i="10"/>
  <c r="U2849" i="10"/>
  <c r="T2849" i="10"/>
  <c r="N2849" i="10"/>
  <c r="F2849" i="10"/>
  <c r="AI2848" i="10"/>
  <c r="AD2848" i="10"/>
  <c r="AC2848" i="10"/>
  <c r="AB2848" i="10"/>
  <c r="AA2848" i="10"/>
  <c r="Z2848" i="10"/>
  <c r="U2848" i="10"/>
  <c r="T2848" i="10"/>
  <c r="N2848" i="10"/>
  <c r="F2848" i="10"/>
  <c r="AI2847" i="10"/>
  <c r="AD2847" i="10"/>
  <c r="AC2847" i="10"/>
  <c r="AB2847" i="10"/>
  <c r="AA2847" i="10"/>
  <c r="Z2847" i="10"/>
  <c r="U2847" i="10"/>
  <c r="T2847" i="10"/>
  <c r="N2847" i="10"/>
  <c r="F2847" i="10"/>
  <c r="AI2846" i="10"/>
  <c r="AD2846" i="10"/>
  <c r="AC2846" i="10"/>
  <c r="AB2846" i="10"/>
  <c r="AA2846" i="10"/>
  <c r="Z2846" i="10"/>
  <c r="U2846" i="10"/>
  <c r="T2846" i="10"/>
  <c r="N2846" i="10"/>
  <c r="F2846" i="10"/>
  <c r="AI2845" i="10"/>
  <c r="AD2845" i="10"/>
  <c r="AC2845" i="10"/>
  <c r="AB2845" i="10"/>
  <c r="AA2845" i="10"/>
  <c r="Z2845" i="10"/>
  <c r="U2845" i="10"/>
  <c r="T2845" i="10"/>
  <c r="N2845" i="10"/>
  <c r="F2845" i="10"/>
  <c r="AI2844" i="10"/>
  <c r="AD2844" i="10"/>
  <c r="AC2844" i="10"/>
  <c r="AB2844" i="10"/>
  <c r="AA2844" i="10"/>
  <c r="Z2844" i="10"/>
  <c r="U2844" i="10"/>
  <c r="T2844" i="10"/>
  <c r="N2844" i="10"/>
  <c r="F2844" i="10"/>
  <c r="AI2843" i="10"/>
  <c r="AD2843" i="10"/>
  <c r="AC2843" i="10"/>
  <c r="AB2843" i="10"/>
  <c r="AA2843" i="10"/>
  <c r="Z2843" i="10"/>
  <c r="U2843" i="10"/>
  <c r="T2843" i="10"/>
  <c r="N2843" i="10"/>
  <c r="F2843" i="10"/>
  <c r="AI2842" i="10"/>
  <c r="AD2842" i="10"/>
  <c r="AC2842" i="10"/>
  <c r="AB2842" i="10"/>
  <c r="AA2842" i="10"/>
  <c r="Z2842" i="10"/>
  <c r="U2842" i="10"/>
  <c r="T2842" i="10"/>
  <c r="N2842" i="10"/>
  <c r="F2842" i="10"/>
  <c r="AI2841" i="10"/>
  <c r="AD2841" i="10"/>
  <c r="AC2841" i="10"/>
  <c r="AB2841" i="10"/>
  <c r="AA2841" i="10"/>
  <c r="Z2841" i="10"/>
  <c r="U2841" i="10"/>
  <c r="T2841" i="10"/>
  <c r="N2841" i="10"/>
  <c r="F2841" i="10"/>
  <c r="AI2840" i="10"/>
  <c r="AD2840" i="10"/>
  <c r="AC2840" i="10"/>
  <c r="AB2840" i="10"/>
  <c r="AA2840" i="10"/>
  <c r="Z2840" i="10"/>
  <c r="U2840" i="10"/>
  <c r="T2840" i="10"/>
  <c r="N2840" i="10"/>
  <c r="F2840" i="10"/>
  <c r="AI2839" i="10"/>
  <c r="AD2839" i="10"/>
  <c r="AC2839" i="10"/>
  <c r="AB2839" i="10"/>
  <c r="AA2839" i="10"/>
  <c r="Z2839" i="10"/>
  <c r="U2839" i="10"/>
  <c r="T2839" i="10"/>
  <c r="N2839" i="10"/>
  <c r="F2839" i="10"/>
  <c r="AI2838" i="10"/>
  <c r="AD2838" i="10"/>
  <c r="AC2838" i="10"/>
  <c r="AB2838" i="10"/>
  <c r="AA2838" i="10"/>
  <c r="Z2838" i="10"/>
  <c r="U2838" i="10"/>
  <c r="T2838" i="10"/>
  <c r="N2838" i="10"/>
  <c r="F2838" i="10"/>
  <c r="AI2837" i="10"/>
  <c r="AD2837" i="10"/>
  <c r="AC2837" i="10"/>
  <c r="AB2837" i="10"/>
  <c r="AA2837" i="10"/>
  <c r="Z2837" i="10"/>
  <c r="U2837" i="10"/>
  <c r="T2837" i="10"/>
  <c r="N2837" i="10"/>
  <c r="F2837" i="10"/>
  <c r="AI2836" i="10"/>
  <c r="AD2836" i="10"/>
  <c r="AC2836" i="10"/>
  <c r="AB2836" i="10"/>
  <c r="AA2836" i="10"/>
  <c r="Z2836" i="10"/>
  <c r="U2836" i="10"/>
  <c r="T2836" i="10"/>
  <c r="N2836" i="10"/>
  <c r="F2836" i="10"/>
  <c r="AI2835" i="10"/>
  <c r="AD2835" i="10"/>
  <c r="AC2835" i="10"/>
  <c r="AB2835" i="10"/>
  <c r="AA2835" i="10"/>
  <c r="Z2835" i="10"/>
  <c r="U2835" i="10"/>
  <c r="T2835" i="10"/>
  <c r="N2835" i="10"/>
  <c r="F2835" i="10"/>
  <c r="AI2834" i="10"/>
  <c r="AD2834" i="10"/>
  <c r="AC2834" i="10"/>
  <c r="AB2834" i="10"/>
  <c r="AA2834" i="10"/>
  <c r="Z2834" i="10"/>
  <c r="U2834" i="10"/>
  <c r="T2834" i="10"/>
  <c r="N2834" i="10"/>
  <c r="F2834" i="10"/>
  <c r="AI2833" i="10"/>
  <c r="AD2833" i="10"/>
  <c r="AC2833" i="10"/>
  <c r="AB2833" i="10"/>
  <c r="AA2833" i="10"/>
  <c r="Z2833" i="10"/>
  <c r="U2833" i="10"/>
  <c r="T2833" i="10"/>
  <c r="N2833" i="10"/>
  <c r="F2833" i="10"/>
  <c r="AI2832" i="10"/>
  <c r="AD2832" i="10"/>
  <c r="AC2832" i="10"/>
  <c r="AB2832" i="10"/>
  <c r="AA2832" i="10"/>
  <c r="Z2832" i="10"/>
  <c r="U2832" i="10"/>
  <c r="T2832" i="10"/>
  <c r="N2832" i="10"/>
  <c r="F2832" i="10"/>
  <c r="AI2831" i="10"/>
  <c r="AD2831" i="10"/>
  <c r="AC2831" i="10"/>
  <c r="AB2831" i="10"/>
  <c r="AA2831" i="10"/>
  <c r="Z2831" i="10"/>
  <c r="U2831" i="10"/>
  <c r="T2831" i="10"/>
  <c r="N2831" i="10"/>
  <c r="F2831" i="10"/>
  <c r="AI2830" i="10"/>
  <c r="AD2830" i="10"/>
  <c r="AC2830" i="10"/>
  <c r="AB2830" i="10"/>
  <c r="AA2830" i="10"/>
  <c r="Z2830" i="10"/>
  <c r="U2830" i="10"/>
  <c r="T2830" i="10"/>
  <c r="N2830" i="10"/>
  <c r="F2830" i="10"/>
  <c r="AI2829" i="10"/>
  <c r="AD2829" i="10"/>
  <c r="AC2829" i="10"/>
  <c r="AB2829" i="10"/>
  <c r="AA2829" i="10"/>
  <c r="Z2829" i="10"/>
  <c r="U2829" i="10"/>
  <c r="T2829" i="10"/>
  <c r="N2829" i="10"/>
  <c r="F2829" i="10"/>
  <c r="AI2828" i="10"/>
  <c r="AD2828" i="10"/>
  <c r="AC2828" i="10"/>
  <c r="AB2828" i="10"/>
  <c r="AA2828" i="10"/>
  <c r="Z2828" i="10"/>
  <c r="U2828" i="10"/>
  <c r="T2828" i="10"/>
  <c r="N2828" i="10"/>
  <c r="F2828" i="10"/>
  <c r="AI2827" i="10"/>
  <c r="AD2827" i="10"/>
  <c r="AC2827" i="10"/>
  <c r="AB2827" i="10"/>
  <c r="AA2827" i="10"/>
  <c r="Z2827" i="10"/>
  <c r="U2827" i="10"/>
  <c r="T2827" i="10"/>
  <c r="N2827" i="10"/>
  <c r="F2827" i="10"/>
  <c r="AI2826" i="10"/>
  <c r="AD2826" i="10"/>
  <c r="AC2826" i="10"/>
  <c r="AB2826" i="10"/>
  <c r="AA2826" i="10"/>
  <c r="Z2826" i="10"/>
  <c r="U2826" i="10"/>
  <c r="T2826" i="10"/>
  <c r="N2826" i="10"/>
  <c r="F2826" i="10"/>
  <c r="AI2825" i="10"/>
  <c r="AD2825" i="10"/>
  <c r="AC2825" i="10"/>
  <c r="AB2825" i="10"/>
  <c r="AA2825" i="10"/>
  <c r="Z2825" i="10"/>
  <c r="U2825" i="10"/>
  <c r="T2825" i="10"/>
  <c r="N2825" i="10"/>
  <c r="F2825" i="10"/>
  <c r="AI2824" i="10"/>
  <c r="AD2824" i="10"/>
  <c r="AC2824" i="10"/>
  <c r="AB2824" i="10"/>
  <c r="AA2824" i="10"/>
  <c r="Z2824" i="10"/>
  <c r="U2824" i="10"/>
  <c r="T2824" i="10"/>
  <c r="N2824" i="10"/>
  <c r="F2824" i="10"/>
  <c r="AI2823" i="10"/>
  <c r="AD2823" i="10"/>
  <c r="AC2823" i="10"/>
  <c r="AB2823" i="10"/>
  <c r="AA2823" i="10"/>
  <c r="Z2823" i="10"/>
  <c r="U2823" i="10"/>
  <c r="T2823" i="10"/>
  <c r="N2823" i="10"/>
  <c r="F2823" i="10"/>
  <c r="AI2822" i="10"/>
  <c r="AD2822" i="10"/>
  <c r="AC2822" i="10"/>
  <c r="AB2822" i="10"/>
  <c r="AA2822" i="10"/>
  <c r="Z2822" i="10"/>
  <c r="U2822" i="10"/>
  <c r="T2822" i="10"/>
  <c r="N2822" i="10"/>
  <c r="F2822" i="10"/>
  <c r="AI2821" i="10"/>
  <c r="AD2821" i="10"/>
  <c r="AC2821" i="10"/>
  <c r="AB2821" i="10"/>
  <c r="AA2821" i="10"/>
  <c r="Z2821" i="10"/>
  <c r="U2821" i="10"/>
  <c r="T2821" i="10"/>
  <c r="N2821" i="10"/>
  <c r="F2821" i="10"/>
  <c r="AI2820" i="10"/>
  <c r="AD2820" i="10"/>
  <c r="AC2820" i="10"/>
  <c r="AB2820" i="10"/>
  <c r="AA2820" i="10"/>
  <c r="Z2820" i="10"/>
  <c r="U2820" i="10"/>
  <c r="T2820" i="10"/>
  <c r="N2820" i="10"/>
  <c r="F2820" i="10"/>
  <c r="AI2819" i="10"/>
  <c r="AD2819" i="10"/>
  <c r="AC2819" i="10"/>
  <c r="AB2819" i="10"/>
  <c r="AA2819" i="10"/>
  <c r="Z2819" i="10"/>
  <c r="U2819" i="10"/>
  <c r="T2819" i="10"/>
  <c r="N2819" i="10"/>
  <c r="F2819" i="10"/>
  <c r="AI2818" i="10"/>
  <c r="AD2818" i="10"/>
  <c r="AC2818" i="10"/>
  <c r="AB2818" i="10"/>
  <c r="AA2818" i="10"/>
  <c r="Z2818" i="10"/>
  <c r="U2818" i="10"/>
  <c r="T2818" i="10"/>
  <c r="N2818" i="10"/>
  <c r="F2818" i="10"/>
  <c r="AI2817" i="10"/>
  <c r="AD2817" i="10"/>
  <c r="AC2817" i="10"/>
  <c r="AB2817" i="10"/>
  <c r="AA2817" i="10"/>
  <c r="Z2817" i="10"/>
  <c r="U2817" i="10"/>
  <c r="T2817" i="10"/>
  <c r="N2817" i="10"/>
  <c r="F2817" i="10"/>
  <c r="AI2816" i="10"/>
  <c r="AD2816" i="10"/>
  <c r="AC2816" i="10"/>
  <c r="AB2816" i="10"/>
  <c r="AA2816" i="10"/>
  <c r="Z2816" i="10"/>
  <c r="U2816" i="10"/>
  <c r="T2816" i="10"/>
  <c r="N2816" i="10"/>
  <c r="F2816" i="10"/>
  <c r="AI2815" i="10"/>
  <c r="AD2815" i="10"/>
  <c r="AC2815" i="10"/>
  <c r="AB2815" i="10"/>
  <c r="AA2815" i="10"/>
  <c r="Z2815" i="10"/>
  <c r="U2815" i="10"/>
  <c r="T2815" i="10"/>
  <c r="N2815" i="10"/>
  <c r="F2815" i="10"/>
  <c r="AI2814" i="10"/>
  <c r="AD2814" i="10"/>
  <c r="AC2814" i="10"/>
  <c r="AB2814" i="10"/>
  <c r="AA2814" i="10"/>
  <c r="Z2814" i="10"/>
  <c r="U2814" i="10"/>
  <c r="T2814" i="10"/>
  <c r="N2814" i="10"/>
  <c r="F2814" i="10"/>
  <c r="AI2813" i="10"/>
  <c r="AD2813" i="10"/>
  <c r="AC2813" i="10"/>
  <c r="AB2813" i="10"/>
  <c r="AA2813" i="10"/>
  <c r="Z2813" i="10"/>
  <c r="U2813" i="10"/>
  <c r="T2813" i="10"/>
  <c r="N2813" i="10"/>
  <c r="F2813" i="10"/>
  <c r="AI2812" i="10"/>
  <c r="AD2812" i="10"/>
  <c r="AC2812" i="10"/>
  <c r="AB2812" i="10"/>
  <c r="AA2812" i="10"/>
  <c r="Z2812" i="10"/>
  <c r="U2812" i="10"/>
  <c r="T2812" i="10"/>
  <c r="N2812" i="10"/>
  <c r="F2812" i="10"/>
  <c r="AI2811" i="10"/>
  <c r="AD2811" i="10"/>
  <c r="AC2811" i="10"/>
  <c r="AB2811" i="10"/>
  <c r="AA2811" i="10"/>
  <c r="Z2811" i="10"/>
  <c r="U2811" i="10"/>
  <c r="T2811" i="10"/>
  <c r="N2811" i="10"/>
  <c r="F2811" i="10"/>
  <c r="AI2810" i="10"/>
  <c r="AD2810" i="10"/>
  <c r="AC2810" i="10"/>
  <c r="AB2810" i="10"/>
  <c r="AA2810" i="10"/>
  <c r="Z2810" i="10"/>
  <c r="U2810" i="10"/>
  <c r="T2810" i="10"/>
  <c r="N2810" i="10"/>
  <c r="F2810" i="10"/>
  <c r="AI2809" i="10"/>
  <c r="AD2809" i="10"/>
  <c r="AC2809" i="10"/>
  <c r="AB2809" i="10"/>
  <c r="AA2809" i="10"/>
  <c r="Z2809" i="10"/>
  <c r="U2809" i="10"/>
  <c r="T2809" i="10"/>
  <c r="N2809" i="10"/>
  <c r="F2809" i="10"/>
  <c r="AI2808" i="10"/>
  <c r="AD2808" i="10"/>
  <c r="AC2808" i="10"/>
  <c r="AB2808" i="10"/>
  <c r="AA2808" i="10"/>
  <c r="Z2808" i="10"/>
  <c r="U2808" i="10"/>
  <c r="T2808" i="10"/>
  <c r="N2808" i="10"/>
  <c r="F2808" i="10"/>
  <c r="AI2807" i="10"/>
  <c r="AD2807" i="10"/>
  <c r="AC2807" i="10"/>
  <c r="AB2807" i="10"/>
  <c r="AA2807" i="10"/>
  <c r="Z2807" i="10"/>
  <c r="U2807" i="10"/>
  <c r="T2807" i="10"/>
  <c r="N2807" i="10"/>
  <c r="F2807" i="10"/>
  <c r="AI2806" i="10"/>
  <c r="AD2806" i="10"/>
  <c r="AC2806" i="10"/>
  <c r="AB2806" i="10"/>
  <c r="AA2806" i="10"/>
  <c r="Z2806" i="10"/>
  <c r="U2806" i="10"/>
  <c r="T2806" i="10"/>
  <c r="N2806" i="10"/>
  <c r="F2806" i="10"/>
  <c r="AI2805" i="10"/>
  <c r="AD2805" i="10"/>
  <c r="AC2805" i="10"/>
  <c r="AB2805" i="10"/>
  <c r="AA2805" i="10"/>
  <c r="Z2805" i="10"/>
  <c r="U2805" i="10"/>
  <c r="T2805" i="10"/>
  <c r="N2805" i="10"/>
  <c r="F2805" i="10"/>
  <c r="AI2804" i="10"/>
  <c r="AD2804" i="10"/>
  <c r="AC2804" i="10"/>
  <c r="AB2804" i="10"/>
  <c r="AA2804" i="10"/>
  <c r="Z2804" i="10"/>
  <c r="U2804" i="10"/>
  <c r="T2804" i="10"/>
  <c r="N2804" i="10"/>
  <c r="F2804" i="10"/>
  <c r="AI2803" i="10"/>
  <c r="AD2803" i="10"/>
  <c r="AC2803" i="10"/>
  <c r="AB2803" i="10"/>
  <c r="AA2803" i="10"/>
  <c r="Z2803" i="10"/>
  <c r="U2803" i="10"/>
  <c r="T2803" i="10"/>
  <c r="N2803" i="10"/>
  <c r="F2803" i="10"/>
  <c r="AI2802" i="10"/>
  <c r="AD2802" i="10"/>
  <c r="AC2802" i="10"/>
  <c r="AB2802" i="10"/>
  <c r="AA2802" i="10"/>
  <c r="Z2802" i="10"/>
  <c r="U2802" i="10"/>
  <c r="T2802" i="10"/>
  <c r="N2802" i="10"/>
  <c r="F2802" i="10"/>
  <c r="AI2801" i="10"/>
  <c r="AD2801" i="10"/>
  <c r="AC2801" i="10"/>
  <c r="AB2801" i="10"/>
  <c r="AA2801" i="10"/>
  <c r="Z2801" i="10"/>
  <c r="U2801" i="10"/>
  <c r="T2801" i="10"/>
  <c r="N2801" i="10"/>
  <c r="F2801" i="10"/>
  <c r="AI2800" i="10"/>
  <c r="AD2800" i="10"/>
  <c r="AC2800" i="10"/>
  <c r="AB2800" i="10"/>
  <c r="AA2800" i="10"/>
  <c r="Z2800" i="10"/>
  <c r="U2800" i="10"/>
  <c r="T2800" i="10"/>
  <c r="N2800" i="10"/>
  <c r="F2800" i="10"/>
  <c r="AI2799" i="10"/>
  <c r="AD2799" i="10"/>
  <c r="AC2799" i="10"/>
  <c r="AB2799" i="10"/>
  <c r="AA2799" i="10"/>
  <c r="Z2799" i="10"/>
  <c r="U2799" i="10"/>
  <c r="T2799" i="10"/>
  <c r="N2799" i="10"/>
  <c r="F2799" i="10"/>
  <c r="AI2798" i="10"/>
  <c r="AD2798" i="10"/>
  <c r="AC2798" i="10"/>
  <c r="AB2798" i="10"/>
  <c r="AA2798" i="10"/>
  <c r="Z2798" i="10"/>
  <c r="U2798" i="10"/>
  <c r="T2798" i="10"/>
  <c r="N2798" i="10"/>
  <c r="F2798" i="10"/>
  <c r="AI2797" i="10"/>
  <c r="AD2797" i="10"/>
  <c r="AC2797" i="10"/>
  <c r="AB2797" i="10"/>
  <c r="AA2797" i="10"/>
  <c r="Z2797" i="10"/>
  <c r="U2797" i="10"/>
  <c r="T2797" i="10"/>
  <c r="N2797" i="10"/>
  <c r="F2797" i="10"/>
  <c r="AI2796" i="10"/>
  <c r="AD2796" i="10"/>
  <c r="AC2796" i="10"/>
  <c r="AB2796" i="10"/>
  <c r="AA2796" i="10"/>
  <c r="Z2796" i="10"/>
  <c r="U2796" i="10"/>
  <c r="T2796" i="10"/>
  <c r="N2796" i="10"/>
  <c r="F2796" i="10"/>
  <c r="AI2795" i="10"/>
  <c r="AD2795" i="10"/>
  <c r="AC2795" i="10"/>
  <c r="AB2795" i="10"/>
  <c r="AA2795" i="10"/>
  <c r="Z2795" i="10"/>
  <c r="U2795" i="10"/>
  <c r="T2795" i="10"/>
  <c r="N2795" i="10"/>
  <c r="F2795" i="10"/>
  <c r="AI2794" i="10"/>
  <c r="AD2794" i="10"/>
  <c r="AC2794" i="10"/>
  <c r="AB2794" i="10"/>
  <c r="AA2794" i="10"/>
  <c r="Z2794" i="10"/>
  <c r="U2794" i="10"/>
  <c r="T2794" i="10"/>
  <c r="N2794" i="10"/>
  <c r="F2794" i="10"/>
  <c r="AI2793" i="10"/>
  <c r="AD2793" i="10"/>
  <c r="AC2793" i="10"/>
  <c r="AB2793" i="10"/>
  <c r="AA2793" i="10"/>
  <c r="Z2793" i="10"/>
  <c r="U2793" i="10"/>
  <c r="T2793" i="10"/>
  <c r="N2793" i="10"/>
  <c r="F2793" i="10"/>
  <c r="AI2792" i="10"/>
  <c r="AD2792" i="10"/>
  <c r="AC2792" i="10"/>
  <c r="AB2792" i="10"/>
  <c r="AA2792" i="10"/>
  <c r="Z2792" i="10"/>
  <c r="U2792" i="10"/>
  <c r="T2792" i="10"/>
  <c r="N2792" i="10"/>
  <c r="F2792" i="10"/>
  <c r="AI2791" i="10"/>
  <c r="AD2791" i="10"/>
  <c r="AC2791" i="10"/>
  <c r="AB2791" i="10"/>
  <c r="AA2791" i="10"/>
  <c r="Z2791" i="10"/>
  <c r="U2791" i="10"/>
  <c r="T2791" i="10"/>
  <c r="N2791" i="10"/>
  <c r="F2791" i="10"/>
  <c r="AI2790" i="10"/>
  <c r="AD2790" i="10"/>
  <c r="AC2790" i="10"/>
  <c r="AB2790" i="10"/>
  <c r="AA2790" i="10"/>
  <c r="Z2790" i="10"/>
  <c r="U2790" i="10"/>
  <c r="T2790" i="10"/>
  <c r="N2790" i="10"/>
  <c r="F2790" i="10"/>
  <c r="AI2789" i="10"/>
  <c r="AD2789" i="10"/>
  <c r="AC2789" i="10"/>
  <c r="AB2789" i="10"/>
  <c r="AA2789" i="10"/>
  <c r="Z2789" i="10"/>
  <c r="U2789" i="10"/>
  <c r="T2789" i="10"/>
  <c r="N2789" i="10"/>
  <c r="F2789" i="10"/>
  <c r="AI2788" i="10"/>
  <c r="AD2788" i="10"/>
  <c r="AC2788" i="10"/>
  <c r="AB2788" i="10"/>
  <c r="AA2788" i="10"/>
  <c r="Z2788" i="10"/>
  <c r="U2788" i="10"/>
  <c r="T2788" i="10"/>
  <c r="N2788" i="10"/>
  <c r="F2788" i="10"/>
  <c r="AI2787" i="10"/>
  <c r="AD2787" i="10"/>
  <c r="AC2787" i="10"/>
  <c r="AB2787" i="10"/>
  <c r="AA2787" i="10"/>
  <c r="Z2787" i="10"/>
  <c r="U2787" i="10"/>
  <c r="T2787" i="10"/>
  <c r="N2787" i="10"/>
  <c r="F2787" i="10"/>
  <c r="AI2786" i="10"/>
  <c r="AD2786" i="10"/>
  <c r="AC2786" i="10"/>
  <c r="AB2786" i="10"/>
  <c r="AA2786" i="10"/>
  <c r="Z2786" i="10"/>
  <c r="U2786" i="10"/>
  <c r="T2786" i="10"/>
  <c r="N2786" i="10"/>
  <c r="F2786" i="10"/>
  <c r="AI2785" i="10"/>
  <c r="AD2785" i="10"/>
  <c r="AC2785" i="10"/>
  <c r="AB2785" i="10"/>
  <c r="AA2785" i="10"/>
  <c r="Z2785" i="10"/>
  <c r="U2785" i="10"/>
  <c r="T2785" i="10"/>
  <c r="N2785" i="10"/>
  <c r="F2785" i="10"/>
  <c r="AI2784" i="10"/>
  <c r="AD2784" i="10"/>
  <c r="AC2784" i="10"/>
  <c r="AB2784" i="10"/>
  <c r="AA2784" i="10"/>
  <c r="Z2784" i="10"/>
  <c r="U2784" i="10"/>
  <c r="T2784" i="10"/>
  <c r="N2784" i="10"/>
  <c r="F2784" i="10"/>
  <c r="AI2783" i="10"/>
  <c r="AD2783" i="10"/>
  <c r="AC2783" i="10"/>
  <c r="AB2783" i="10"/>
  <c r="AA2783" i="10"/>
  <c r="Z2783" i="10"/>
  <c r="U2783" i="10"/>
  <c r="T2783" i="10"/>
  <c r="N2783" i="10"/>
  <c r="F2783" i="10"/>
  <c r="AI2782" i="10"/>
  <c r="AD2782" i="10"/>
  <c r="AC2782" i="10"/>
  <c r="AB2782" i="10"/>
  <c r="AA2782" i="10"/>
  <c r="Z2782" i="10"/>
  <c r="U2782" i="10"/>
  <c r="T2782" i="10"/>
  <c r="N2782" i="10"/>
  <c r="F2782" i="10"/>
  <c r="AI2781" i="10"/>
  <c r="AD2781" i="10"/>
  <c r="AC2781" i="10"/>
  <c r="AB2781" i="10"/>
  <c r="AA2781" i="10"/>
  <c r="Z2781" i="10"/>
  <c r="U2781" i="10"/>
  <c r="T2781" i="10"/>
  <c r="N2781" i="10"/>
  <c r="F2781" i="10"/>
  <c r="AI2780" i="10"/>
  <c r="AD2780" i="10"/>
  <c r="AC2780" i="10"/>
  <c r="AB2780" i="10"/>
  <c r="AA2780" i="10"/>
  <c r="Z2780" i="10"/>
  <c r="U2780" i="10"/>
  <c r="T2780" i="10"/>
  <c r="N2780" i="10"/>
  <c r="F2780" i="10"/>
  <c r="AI2779" i="10"/>
  <c r="AD2779" i="10"/>
  <c r="AC2779" i="10"/>
  <c r="AB2779" i="10"/>
  <c r="AA2779" i="10"/>
  <c r="Z2779" i="10"/>
  <c r="U2779" i="10"/>
  <c r="T2779" i="10"/>
  <c r="N2779" i="10"/>
  <c r="F2779" i="10"/>
  <c r="AI2778" i="10"/>
  <c r="AD2778" i="10"/>
  <c r="AC2778" i="10"/>
  <c r="AB2778" i="10"/>
  <c r="AA2778" i="10"/>
  <c r="Z2778" i="10"/>
  <c r="U2778" i="10"/>
  <c r="T2778" i="10"/>
  <c r="N2778" i="10"/>
  <c r="F2778" i="10"/>
  <c r="AI2777" i="10"/>
  <c r="AD2777" i="10"/>
  <c r="AC2777" i="10"/>
  <c r="AB2777" i="10"/>
  <c r="AA2777" i="10"/>
  <c r="Z2777" i="10"/>
  <c r="U2777" i="10"/>
  <c r="T2777" i="10"/>
  <c r="N2777" i="10"/>
  <c r="F2777" i="10"/>
  <c r="AI2776" i="10"/>
  <c r="AD2776" i="10"/>
  <c r="AC2776" i="10"/>
  <c r="AB2776" i="10"/>
  <c r="AA2776" i="10"/>
  <c r="Z2776" i="10"/>
  <c r="U2776" i="10"/>
  <c r="T2776" i="10"/>
  <c r="N2776" i="10"/>
  <c r="F2776" i="10"/>
  <c r="AI2775" i="10"/>
  <c r="AD2775" i="10"/>
  <c r="AC2775" i="10"/>
  <c r="AB2775" i="10"/>
  <c r="AA2775" i="10"/>
  <c r="Z2775" i="10"/>
  <c r="U2775" i="10"/>
  <c r="T2775" i="10"/>
  <c r="N2775" i="10"/>
  <c r="F2775" i="10"/>
  <c r="AI2774" i="10"/>
  <c r="AD2774" i="10"/>
  <c r="AC2774" i="10"/>
  <c r="AB2774" i="10"/>
  <c r="AA2774" i="10"/>
  <c r="Z2774" i="10"/>
  <c r="U2774" i="10"/>
  <c r="T2774" i="10"/>
  <c r="N2774" i="10"/>
  <c r="F2774" i="10"/>
  <c r="AI2773" i="10"/>
  <c r="AD2773" i="10"/>
  <c r="AC2773" i="10"/>
  <c r="AB2773" i="10"/>
  <c r="AA2773" i="10"/>
  <c r="Z2773" i="10"/>
  <c r="U2773" i="10"/>
  <c r="T2773" i="10"/>
  <c r="N2773" i="10"/>
  <c r="F2773" i="10"/>
  <c r="AI2772" i="10"/>
  <c r="AD2772" i="10"/>
  <c r="AC2772" i="10"/>
  <c r="AB2772" i="10"/>
  <c r="AA2772" i="10"/>
  <c r="Z2772" i="10"/>
  <c r="U2772" i="10"/>
  <c r="T2772" i="10"/>
  <c r="N2772" i="10"/>
  <c r="F2772" i="10"/>
  <c r="AI2771" i="10"/>
  <c r="AD2771" i="10"/>
  <c r="AC2771" i="10"/>
  <c r="AB2771" i="10"/>
  <c r="AA2771" i="10"/>
  <c r="Z2771" i="10"/>
  <c r="U2771" i="10"/>
  <c r="T2771" i="10"/>
  <c r="N2771" i="10"/>
  <c r="F2771" i="10"/>
  <c r="AI2770" i="10"/>
  <c r="AD2770" i="10"/>
  <c r="AC2770" i="10"/>
  <c r="AB2770" i="10"/>
  <c r="AA2770" i="10"/>
  <c r="Z2770" i="10"/>
  <c r="U2770" i="10"/>
  <c r="T2770" i="10"/>
  <c r="N2770" i="10"/>
  <c r="F2770" i="10"/>
  <c r="AI2769" i="10"/>
  <c r="AD2769" i="10"/>
  <c r="AC2769" i="10"/>
  <c r="AB2769" i="10"/>
  <c r="AA2769" i="10"/>
  <c r="Z2769" i="10"/>
  <c r="U2769" i="10"/>
  <c r="T2769" i="10"/>
  <c r="N2769" i="10"/>
  <c r="F2769" i="10"/>
  <c r="AI2768" i="10"/>
  <c r="AD2768" i="10"/>
  <c r="AC2768" i="10"/>
  <c r="AB2768" i="10"/>
  <c r="AA2768" i="10"/>
  <c r="Z2768" i="10"/>
  <c r="U2768" i="10"/>
  <c r="T2768" i="10"/>
  <c r="N2768" i="10"/>
  <c r="F2768" i="10"/>
  <c r="AI2767" i="10"/>
  <c r="AD2767" i="10"/>
  <c r="AC2767" i="10"/>
  <c r="AB2767" i="10"/>
  <c r="AA2767" i="10"/>
  <c r="Z2767" i="10"/>
  <c r="U2767" i="10"/>
  <c r="T2767" i="10"/>
  <c r="N2767" i="10"/>
  <c r="F2767" i="10"/>
  <c r="AI2766" i="10"/>
  <c r="AD2766" i="10"/>
  <c r="AC2766" i="10"/>
  <c r="AB2766" i="10"/>
  <c r="AA2766" i="10"/>
  <c r="Z2766" i="10"/>
  <c r="U2766" i="10"/>
  <c r="T2766" i="10"/>
  <c r="N2766" i="10"/>
  <c r="F2766" i="10"/>
  <c r="AI2765" i="10"/>
  <c r="AD2765" i="10"/>
  <c r="AC2765" i="10"/>
  <c r="AB2765" i="10"/>
  <c r="AA2765" i="10"/>
  <c r="Z2765" i="10"/>
  <c r="U2765" i="10"/>
  <c r="T2765" i="10"/>
  <c r="N2765" i="10"/>
  <c r="F2765" i="10"/>
  <c r="AI2764" i="10"/>
  <c r="AD2764" i="10"/>
  <c r="AC2764" i="10"/>
  <c r="AB2764" i="10"/>
  <c r="AA2764" i="10"/>
  <c r="Z2764" i="10"/>
  <c r="U2764" i="10"/>
  <c r="T2764" i="10"/>
  <c r="N2764" i="10"/>
  <c r="F2764" i="10"/>
  <c r="AI2763" i="10"/>
  <c r="AD2763" i="10"/>
  <c r="AC2763" i="10"/>
  <c r="AB2763" i="10"/>
  <c r="AA2763" i="10"/>
  <c r="Z2763" i="10"/>
  <c r="U2763" i="10"/>
  <c r="T2763" i="10"/>
  <c r="N2763" i="10"/>
  <c r="F2763" i="10"/>
  <c r="AI2762" i="10"/>
  <c r="AD2762" i="10"/>
  <c r="AC2762" i="10"/>
  <c r="AB2762" i="10"/>
  <c r="AA2762" i="10"/>
  <c r="Z2762" i="10"/>
  <c r="U2762" i="10"/>
  <c r="T2762" i="10"/>
  <c r="N2762" i="10"/>
  <c r="F2762" i="10"/>
  <c r="AI2761" i="10"/>
  <c r="AD2761" i="10"/>
  <c r="AC2761" i="10"/>
  <c r="AB2761" i="10"/>
  <c r="AA2761" i="10"/>
  <c r="Z2761" i="10"/>
  <c r="U2761" i="10"/>
  <c r="T2761" i="10"/>
  <c r="N2761" i="10"/>
  <c r="F2761" i="10"/>
  <c r="AI2760" i="10"/>
  <c r="AD2760" i="10"/>
  <c r="AC2760" i="10"/>
  <c r="AB2760" i="10"/>
  <c r="AA2760" i="10"/>
  <c r="Z2760" i="10"/>
  <c r="U2760" i="10"/>
  <c r="T2760" i="10"/>
  <c r="N2760" i="10"/>
  <c r="F2760" i="10"/>
  <c r="AI2759" i="10"/>
  <c r="AD2759" i="10"/>
  <c r="AC2759" i="10"/>
  <c r="AB2759" i="10"/>
  <c r="AA2759" i="10"/>
  <c r="Z2759" i="10"/>
  <c r="U2759" i="10"/>
  <c r="T2759" i="10"/>
  <c r="N2759" i="10"/>
  <c r="F2759" i="10"/>
  <c r="AI2758" i="10"/>
  <c r="AD2758" i="10"/>
  <c r="AC2758" i="10"/>
  <c r="AB2758" i="10"/>
  <c r="AA2758" i="10"/>
  <c r="Z2758" i="10"/>
  <c r="U2758" i="10"/>
  <c r="T2758" i="10"/>
  <c r="N2758" i="10"/>
  <c r="F2758" i="10"/>
  <c r="AI2757" i="10"/>
  <c r="AD2757" i="10"/>
  <c r="AC2757" i="10"/>
  <c r="AB2757" i="10"/>
  <c r="AA2757" i="10"/>
  <c r="Z2757" i="10"/>
  <c r="U2757" i="10"/>
  <c r="T2757" i="10"/>
  <c r="N2757" i="10"/>
  <c r="F2757" i="10"/>
  <c r="AI2756" i="10"/>
  <c r="AD2756" i="10"/>
  <c r="AC2756" i="10"/>
  <c r="AB2756" i="10"/>
  <c r="AA2756" i="10"/>
  <c r="Z2756" i="10"/>
  <c r="U2756" i="10"/>
  <c r="T2756" i="10"/>
  <c r="N2756" i="10"/>
  <c r="F2756" i="10"/>
  <c r="AI2755" i="10"/>
  <c r="AD2755" i="10"/>
  <c r="AC2755" i="10"/>
  <c r="AB2755" i="10"/>
  <c r="AA2755" i="10"/>
  <c r="Z2755" i="10"/>
  <c r="U2755" i="10"/>
  <c r="T2755" i="10"/>
  <c r="N2755" i="10"/>
  <c r="F2755" i="10"/>
  <c r="AI2754" i="10"/>
  <c r="AD2754" i="10"/>
  <c r="AC2754" i="10"/>
  <c r="AB2754" i="10"/>
  <c r="AA2754" i="10"/>
  <c r="Z2754" i="10"/>
  <c r="U2754" i="10"/>
  <c r="T2754" i="10"/>
  <c r="N2754" i="10"/>
  <c r="F2754" i="10"/>
  <c r="AI2753" i="10"/>
  <c r="AD2753" i="10"/>
  <c r="AC2753" i="10"/>
  <c r="AB2753" i="10"/>
  <c r="AA2753" i="10"/>
  <c r="Z2753" i="10"/>
  <c r="U2753" i="10"/>
  <c r="T2753" i="10"/>
  <c r="N2753" i="10"/>
  <c r="F2753" i="10"/>
  <c r="AI2752" i="10"/>
  <c r="AD2752" i="10"/>
  <c r="AC2752" i="10"/>
  <c r="AB2752" i="10"/>
  <c r="AA2752" i="10"/>
  <c r="Z2752" i="10"/>
  <c r="U2752" i="10"/>
  <c r="T2752" i="10"/>
  <c r="N2752" i="10"/>
  <c r="F2752" i="10"/>
  <c r="AI2751" i="10"/>
  <c r="AD2751" i="10"/>
  <c r="AC2751" i="10"/>
  <c r="AB2751" i="10"/>
  <c r="AA2751" i="10"/>
  <c r="Z2751" i="10"/>
  <c r="U2751" i="10"/>
  <c r="T2751" i="10"/>
  <c r="N2751" i="10"/>
  <c r="F2751" i="10"/>
  <c r="AI2750" i="10"/>
  <c r="AD2750" i="10"/>
  <c r="AC2750" i="10"/>
  <c r="AB2750" i="10"/>
  <c r="AA2750" i="10"/>
  <c r="Z2750" i="10"/>
  <c r="U2750" i="10"/>
  <c r="T2750" i="10"/>
  <c r="N2750" i="10"/>
  <c r="F2750" i="10"/>
  <c r="AI2749" i="10"/>
  <c r="AD2749" i="10"/>
  <c r="AC2749" i="10"/>
  <c r="AB2749" i="10"/>
  <c r="AA2749" i="10"/>
  <c r="Z2749" i="10"/>
  <c r="U2749" i="10"/>
  <c r="T2749" i="10"/>
  <c r="N2749" i="10"/>
  <c r="F2749" i="10"/>
  <c r="AI2748" i="10"/>
  <c r="AD2748" i="10"/>
  <c r="AC2748" i="10"/>
  <c r="AB2748" i="10"/>
  <c r="AA2748" i="10"/>
  <c r="Z2748" i="10"/>
  <c r="U2748" i="10"/>
  <c r="T2748" i="10"/>
  <c r="N2748" i="10"/>
  <c r="F2748" i="10"/>
  <c r="AI2747" i="10"/>
  <c r="AD2747" i="10"/>
  <c r="AC2747" i="10"/>
  <c r="AB2747" i="10"/>
  <c r="AA2747" i="10"/>
  <c r="Z2747" i="10"/>
  <c r="U2747" i="10"/>
  <c r="T2747" i="10"/>
  <c r="N2747" i="10"/>
  <c r="F2747" i="10"/>
  <c r="AI2746" i="10"/>
  <c r="AD2746" i="10"/>
  <c r="AC2746" i="10"/>
  <c r="AB2746" i="10"/>
  <c r="AA2746" i="10"/>
  <c r="Z2746" i="10"/>
  <c r="U2746" i="10"/>
  <c r="T2746" i="10"/>
  <c r="N2746" i="10"/>
  <c r="F2746" i="10"/>
  <c r="AI2745" i="10"/>
  <c r="AD2745" i="10"/>
  <c r="AC2745" i="10"/>
  <c r="AB2745" i="10"/>
  <c r="AA2745" i="10"/>
  <c r="Z2745" i="10"/>
  <c r="U2745" i="10"/>
  <c r="T2745" i="10"/>
  <c r="N2745" i="10"/>
  <c r="F2745" i="10"/>
  <c r="AI2744" i="10"/>
  <c r="AD2744" i="10"/>
  <c r="AC2744" i="10"/>
  <c r="AB2744" i="10"/>
  <c r="AA2744" i="10"/>
  <c r="Z2744" i="10"/>
  <c r="U2744" i="10"/>
  <c r="T2744" i="10"/>
  <c r="N2744" i="10"/>
  <c r="F2744" i="10"/>
  <c r="AI2743" i="10"/>
  <c r="AD2743" i="10"/>
  <c r="AC2743" i="10"/>
  <c r="AB2743" i="10"/>
  <c r="AA2743" i="10"/>
  <c r="Z2743" i="10"/>
  <c r="U2743" i="10"/>
  <c r="T2743" i="10"/>
  <c r="N2743" i="10"/>
  <c r="F2743" i="10"/>
  <c r="AI2742" i="10"/>
  <c r="AD2742" i="10"/>
  <c r="AC2742" i="10"/>
  <c r="AB2742" i="10"/>
  <c r="AA2742" i="10"/>
  <c r="Z2742" i="10"/>
  <c r="U2742" i="10"/>
  <c r="T2742" i="10"/>
  <c r="N2742" i="10"/>
  <c r="F2742" i="10"/>
  <c r="AI2741" i="10"/>
  <c r="AD2741" i="10"/>
  <c r="AC2741" i="10"/>
  <c r="AB2741" i="10"/>
  <c r="AA2741" i="10"/>
  <c r="Z2741" i="10"/>
  <c r="U2741" i="10"/>
  <c r="T2741" i="10"/>
  <c r="N2741" i="10"/>
  <c r="F2741" i="10"/>
  <c r="AI2740" i="10"/>
  <c r="AD2740" i="10"/>
  <c r="AC2740" i="10"/>
  <c r="AB2740" i="10"/>
  <c r="AA2740" i="10"/>
  <c r="Z2740" i="10"/>
  <c r="U2740" i="10"/>
  <c r="T2740" i="10"/>
  <c r="N2740" i="10"/>
  <c r="F2740" i="10"/>
  <c r="AI2739" i="10"/>
  <c r="AD2739" i="10"/>
  <c r="AC2739" i="10"/>
  <c r="AB2739" i="10"/>
  <c r="AA2739" i="10"/>
  <c r="Z2739" i="10"/>
  <c r="U2739" i="10"/>
  <c r="T2739" i="10"/>
  <c r="N2739" i="10"/>
  <c r="F2739" i="10"/>
  <c r="AI2738" i="10"/>
  <c r="AD2738" i="10"/>
  <c r="AC2738" i="10"/>
  <c r="AB2738" i="10"/>
  <c r="AA2738" i="10"/>
  <c r="Z2738" i="10"/>
  <c r="U2738" i="10"/>
  <c r="T2738" i="10"/>
  <c r="N2738" i="10"/>
  <c r="F2738" i="10"/>
  <c r="AI2737" i="10"/>
  <c r="AD2737" i="10"/>
  <c r="AC2737" i="10"/>
  <c r="AB2737" i="10"/>
  <c r="AA2737" i="10"/>
  <c r="Z2737" i="10"/>
  <c r="U2737" i="10"/>
  <c r="T2737" i="10"/>
  <c r="N2737" i="10"/>
  <c r="F2737" i="10"/>
  <c r="AI2736" i="10"/>
  <c r="AD2736" i="10"/>
  <c r="AC2736" i="10"/>
  <c r="AB2736" i="10"/>
  <c r="AA2736" i="10"/>
  <c r="Z2736" i="10"/>
  <c r="U2736" i="10"/>
  <c r="T2736" i="10"/>
  <c r="N2736" i="10"/>
  <c r="F2736" i="10"/>
  <c r="AI2735" i="10"/>
  <c r="AD2735" i="10"/>
  <c r="AC2735" i="10"/>
  <c r="AB2735" i="10"/>
  <c r="AA2735" i="10"/>
  <c r="Z2735" i="10"/>
  <c r="U2735" i="10"/>
  <c r="T2735" i="10"/>
  <c r="N2735" i="10"/>
  <c r="F2735" i="10"/>
  <c r="AI2734" i="10"/>
  <c r="AD2734" i="10"/>
  <c r="AC2734" i="10"/>
  <c r="AB2734" i="10"/>
  <c r="AA2734" i="10"/>
  <c r="Z2734" i="10"/>
  <c r="U2734" i="10"/>
  <c r="T2734" i="10"/>
  <c r="N2734" i="10"/>
  <c r="F2734" i="10"/>
  <c r="AI2733" i="10"/>
  <c r="AD2733" i="10"/>
  <c r="AC2733" i="10"/>
  <c r="AB2733" i="10"/>
  <c r="AA2733" i="10"/>
  <c r="Z2733" i="10"/>
  <c r="U2733" i="10"/>
  <c r="T2733" i="10"/>
  <c r="N2733" i="10"/>
  <c r="F2733" i="10"/>
  <c r="AI2732" i="10"/>
  <c r="AD2732" i="10"/>
  <c r="AC2732" i="10"/>
  <c r="AB2732" i="10"/>
  <c r="AA2732" i="10"/>
  <c r="Z2732" i="10"/>
  <c r="U2732" i="10"/>
  <c r="T2732" i="10"/>
  <c r="N2732" i="10"/>
  <c r="F2732" i="10"/>
  <c r="AI2731" i="10"/>
  <c r="AD2731" i="10"/>
  <c r="AC2731" i="10"/>
  <c r="AB2731" i="10"/>
  <c r="AA2731" i="10"/>
  <c r="Z2731" i="10"/>
  <c r="U2731" i="10"/>
  <c r="T2731" i="10"/>
  <c r="N2731" i="10"/>
  <c r="F2731" i="10"/>
  <c r="AI2730" i="10"/>
  <c r="AD2730" i="10"/>
  <c r="AC2730" i="10"/>
  <c r="AB2730" i="10"/>
  <c r="AA2730" i="10"/>
  <c r="Z2730" i="10"/>
  <c r="U2730" i="10"/>
  <c r="T2730" i="10"/>
  <c r="N2730" i="10"/>
  <c r="F2730" i="10"/>
  <c r="AI2729" i="10"/>
  <c r="AD2729" i="10"/>
  <c r="AC2729" i="10"/>
  <c r="AB2729" i="10"/>
  <c r="AA2729" i="10"/>
  <c r="Z2729" i="10"/>
  <c r="U2729" i="10"/>
  <c r="T2729" i="10"/>
  <c r="N2729" i="10"/>
  <c r="F2729" i="10"/>
  <c r="AI2728" i="10"/>
  <c r="AD2728" i="10"/>
  <c r="AC2728" i="10"/>
  <c r="AB2728" i="10"/>
  <c r="AA2728" i="10"/>
  <c r="Z2728" i="10"/>
  <c r="U2728" i="10"/>
  <c r="T2728" i="10"/>
  <c r="N2728" i="10"/>
  <c r="F2728" i="10"/>
  <c r="AI2727" i="10"/>
  <c r="AD2727" i="10"/>
  <c r="AC2727" i="10"/>
  <c r="AB2727" i="10"/>
  <c r="AA2727" i="10"/>
  <c r="Z2727" i="10"/>
  <c r="U2727" i="10"/>
  <c r="T2727" i="10"/>
  <c r="N2727" i="10"/>
  <c r="F2727" i="10"/>
  <c r="AI2726" i="10"/>
  <c r="AD2726" i="10"/>
  <c r="AC2726" i="10"/>
  <c r="AB2726" i="10"/>
  <c r="AA2726" i="10"/>
  <c r="Z2726" i="10"/>
  <c r="U2726" i="10"/>
  <c r="T2726" i="10"/>
  <c r="N2726" i="10"/>
  <c r="F2726" i="10"/>
  <c r="AI2725" i="10"/>
  <c r="AD2725" i="10"/>
  <c r="AC2725" i="10"/>
  <c r="AB2725" i="10"/>
  <c r="AA2725" i="10"/>
  <c r="Z2725" i="10"/>
  <c r="U2725" i="10"/>
  <c r="T2725" i="10"/>
  <c r="N2725" i="10"/>
  <c r="F2725" i="10"/>
  <c r="AI2724" i="10"/>
  <c r="AD2724" i="10"/>
  <c r="AC2724" i="10"/>
  <c r="AB2724" i="10"/>
  <c r="AA2724" i="10"/>
  <c r="Z2724" i="10"/>
  <c r="U2724" i="10"/>
  <c r="T2724" i="10"/>
  <c r="N2724" i="10"/>
  <c r="F2724" i="10"/>
  <c r="AI2723" i="10"/>
  <c r="AD2723" i="10"/>
  <c r="AC2723" i="10"/>
  <c r="AB2723" i="10"/>
  <c r="AA2723" i="10"/>
  <c r="Z2723" i="10"/>
  <c r="U2723" i="10"/>
  <c r="T2723" i="10"/>
  <c r="N2723" i="10"/>
  <c r="F2723" i="10"/>
  <c r="AI2722" i="10"/>
  <c r="AD2722" i="10"/>
  <c r="AC2722" i="10"/>
  <c r="AB2722" i="10"/>
  <c r="AA2722" i="10"/>
  <c r="Z2722" i="10"/>
  <c r="U2722" i="10"/>
  <c r="T2722" i="10"/>
  <c r="N2722" i="10"/>
  <c r="F2722" i="10"/>
  <c r="AI2721" i="10"/>
  <c r="AD2721" i="10"/>
  <c r="AC2721" i="10"/>
  <c r="AB2721" i="10"/>
  <c r="AA2721" i="10"/>
  <c r="Z2721" i="10"/>
  <c r="U2721" i="10"/>
  <c r="T2721" i="10"/>
  <c r="N2721" i="10"/>
  <c r="F2721" i="10"/>
  <c r="AI2720" i="10"/>
  <c r="AD2720" i="10"/>
  <c r="AC2720" i="10"/>
  <c r="AB2720" i="10"/>
  <c r="AA2720" i="10"/>
  <c r="Z2720" i="10"/>
  <c r="U2720" i="10"/>
  <c r="T2720" i="10"/>
  <c r="N2720" i="10"/>
  <c r="F2720" i="10"/>
  <c r="AI2719" i="10"/>
  <c r="AD2719" i="10"/>
  <c r="AC2719" i="10"/>
  <c r="AB2719" i="10"/>
  <c r="AA2719" i="10"/>
  <c r="Z2719" i="10"/>
  <c r="U2719" i="10"/>
  <c r="T2719" i="10"/>
  <c r="N2719" i="10"/>
  <c r="F2719" i="10"/>
  <c r="AI2718" i="10"/>
  <c r="AD2718" i="10"/>
  <c r="AC2718" i="10"/>
  <c r="AB2718" i="10"/>
  <c r="AA2718" i="10"/>
  <c r="Z2718" i="10"/>
  <c r="U2718" i="10"/>
  <c r="T2718" i="10"/>
  <c r="N2718" i="10"/>
  <c r="F2718" i="10"/>
  <c r="AI2717" i="10"/>
  <c r="AD2717" i="10"/>
  <c r="AC2717" i="10"/>
  <c r="AB2717" i="10"/>
  <c r="AA2717" i="10"/>
  <c r="Z2717" i="10"/>
  <c r="U2717" i="10"/>
  <c r="T2717" i="10"/>
  <c r="N2717" i="10"/>
  <c r="F2717" i="10"/>
  <c r="AI2716" i="10"/>
  <c r="AD2716" i="10"/>
  <c r="AC2716" i="10"/>
  <c r="AB2716" i="10"/>
  <c r="AA2716" i="10"/>
  <c r="Z2716" i="10"/>
  <c r="U2716" i="10"/>
  <c r="T2716" i="10"/>
  <c r="N2716" i="10"/>
  <c r="F2716" i="10"/>
  <c r="AI2715" i="10"/>
  <c r="AD2715" i="10"/>
  <c r="AC2715" i="10"/>
  <c r="AB2715" i="10"/>
  <c r="AA2715" i="10"/>
  <c r="Z2715" i="10"/>
  <c r="U2715" i="10"/>
  <c r="T2715" i="10"/>
  <c r="N2715" i="10"/>
  <c r="F2715" i="10"/>
  <c r="AI2714" i="10"/>
  <c r="AD2714" i="10"/>
  <c r="AC2714" i="10"/>
  <c r="AB2714" i="10"/>
  <c r="AA2714" i="10"/>
  <c r="Z2714" i="10"/>
  <c r="U2714" i="10"/>
  <c r="T2714" i="10"/>
  <c r="N2714" i="10"/>
  <c r="F2714" i="10"/>
  <c r="AI2713" i="10"/>
  <c r="AD2713" i="10"/>
  <c r="AC2713" i="10"/>
  <c r="AB2713" i="10"/>
  <c r="AA2713" i="10"/>
  <c r="Z2713" i="10"/>
  <c r="U2713" i="10"/>
  <c r="T2713" i="10"/>
  <c r="N2713" i="10"/>
  <c r="F2713" i="10"/>
  <c r="AI2712" i="10"/>
  <c r="AD2712" i="10"/>
  <c r="AC2712" i="10"/>
  <c r="AB2712" i="10"/>
  <c r="AA2712" i="10"/>
  <c r="Z2712" i="10"/>
  <c r="U2712" i="10"/>
  <c r="T2712" i="10"/>
  <c r="N2712" i="10"/>
  <c r="F2712" i="10"/>
  <c r="AI2711" i="10"/>
  <c r="AD2711" i="10"/>
  <c r="AC2711" i="10"/>
  <c r="AB2711" i="10"/>
  <c r="AA2711" i="10"/>
  <c r="Z2711" i="10"/>
  <c r="U2711" i="10"/>
  <c r="T2711" i="10"/>
  <c r="N2711" i="10"/>
  <c r="F2711" i="10"/>
  <c r="AI2710" i="10"/>
  <c r="AD2710" i="10"/>
  <c r="AC2710" i="10"/>
  <c r="AB2710" i="10"/>
  <c r="AA2710" i="10"/>
  <c r="Z2710" i="10"/>
  <c r="U2710" i="10"/>
  <c r="T2710" i="10"/>
  <c r="N2710" i="10"/>
  <c r="F2710" i="10"/>
  <c r="AI2709" i="10"/>
  <c r="AD2709" i="10"/>
  <c r="AC2709" i="10"/>
  <c r="AB2709" i="10"/>
  <c r="AA2709" i="10"/>
  <c r="Z2709" i="10"/>
  <c r="U2709" i="10"/>
  <c r="T2709" i="10"/>
  <c r="N2709" i="10"/>
  <c r="F2709" i="10"/>
  <c r="AI2708" i="10"/>
  <c r="AD2708" i="10"/>
  <c r="AC2708" i="10"/>
  <c r="AB2708" i="10"/>
  <c r="AA2708" i="10"/>
  <c r="Z2708" i="10"/>
  <c r="U2708" i="10"/>
  <c r="T2708" i="10"/>
  <c r="N2708" i="10"/>
  <c r="F2708" i="10"/>
  <c r="AI2707" i="10"/>
  <c r="AD2707" i="10"/>
  <c r="AC2707" i="10"/>
  <c r="AB2707" i="10"/>
  <c r="AA2707" i="10"/>
  <c r="Z2707" i="10"/>
  <c r="U2707" i="10"/>
  <c r="T2707" i="10"/>
  <c r="N2707" i="10"/>
  <c r="F2707" i="10"/>
  <c r="AI2706" i="10"/>
  <c r="AD2706" i="10"/>
  <c r="AC2706" i="10"/>
  <c r="AB2706" i="10"/>
  <c r="AA2706" i="10"/>
  <c r="Z2706" i="10"/>
  <c r="U2706" i="10"/>
  <c r="T2706" i="10"/>
  <c r="N2706" i="10"/>
  <c r="F2706" i="10"/>
  <c r="AI2705" i="10"/>
  <c r="AD2705" i="10"/>
  <c r="AC2705" i="10"/>
  <c r="AB2705" i="10"/>
  <c r="AA2705" i="10"/>
  <c r="Z2705" i="10"/>
  <c r="U2705" i="10"/>
  <c r="T2705" i="10"/>
  <c r="N2705" i="10"/>
  <c r="F2705" i="10"/>
  <c r="AI2704" i="10"/>
  <c r="AD2704" i="10"/>
  <c r="AC2704" i="10"/>
  <c r="AB2704" i="10"/>
  <c r="AA2704" i="10"/>
  <c r="Z2704" i="10"/>
  <c r="U2704" i="10"/>
  <c r="T2704" i="10"/>
  <c r="N2704" i="10"/>
  <c r="F2704" i="10"/>
  <c r="AI2703" i="10"/>
  <c r="AD2703" i="10"/>
  <c r="AC2703" i="10"/>
  <c r="AB2703" i="10"/>
  <c r="AA2703" i="10"/>
  <c r="Z2703" i="10"/>
  <c r="U2703" i="10"/>
  <c r="T2703" i="10"/>
  <c r="N2703" i="10"/>
  <c r="F2703" i="10"/>
  <c r="AI2702" i="10"/>
  <c r="AD2702" i="10"/>
  <c r="AC2702" i="10"/>
  <c r="AB2702" i="10"/>
  <c r="AA2702" i="10"/>
  <c r="Z2702" i="10"/>
  <c r="U2702" i="10"/>
  <c r="T2702" i="10"/>
  <c r="N2702" i="10"/>
  <c r="F2702" i="10"/>
  <c r="AI2701" i="10"/>
  <c r="AD2701" i="10"/>
  <c r="AC2701" i="10"/>
  <c r="AB2701" i="10"/>
  <c r="AA2701" i="10"/>
  <c r="Z2701" i="10"/>
  <c r="U2701" i="10"/>
  <c r="T2701" i="10"/>
  <c r="N2701" i="10"/>
  <c r="F2701" i="10"/>
  <c r="AI2700" i="10"/>
  <c r="AD2700" i="10"/>
  <c r="AC2700" i="10"/>
  <c r="AB2700" i="10"/>
  <c r="AA2700" i="10"/>
  <c r="Z2700" i="10"/>
  <c r="U2700" i="10"/>
  <c r="T2700" i="10"/>
  <c r="N2700" i="10"/>
  <c r="F2700" i="10"/>
  <c r="AI2699" i="10"/>
  <c r="AD2699" i="10"/>
  <c r="AC2699" i="10"/>
  <c r="AB2699" i="10"/>
  <c r="AA2699" i="10"/>
  <c r="Z2699" i="10"/>
  <c r="U2699" i="10"/>
  <c r="T2699" i="10"/>
  <c r="N2699" i="10"/>
  <c r="F2699" i="10"/>
  <c r="AI2698" i="10"/>
  <c r="AD2698" i="10"/>
  <c r="AC2698" i="10"/>
  <c r="AB2698" i="10"/>
  <c r="AA2698" i="10"/>
  <c r="Z2698" i="10"/>
  <c r="U2698" i="10"/>
  <c r="T2698" i="10"/>
  <c r="N2698" i="10"/>
  <c r="F2698" i="10"/>
  <c r="AI2697" i="10"/>
  <c r="AD2697" i="10"/>
  <c r="AC2697" i="10"/>
  <c r="AB2697" i="10"/>
  <c r="AA2697" i="10"/>
  <c r="Z2697" i="10"/>
  <c r="U2697" i="10"/>
  <c r="T2697" i="10"/>
  <c r="N2697" i="10"/>
  <c r="F2697" i="10"/>
  <c r="AI2696" i="10"/>
  <c r="AD2696" i="10"/>
  <c r="AC2696" i="10"/>
  <c r="AB2696" i="10"/>
  <c r="AA2696" i="10"/>
  <c r="Z2696" i="10"/>
  <c r="U2696" i="10"/>
  <c r="T2696" i="10"/>
  <c r="N2696" i="10"/>
  <c r="F2696" i="10"/>
  <c r="AI2695" i="10"/>
  <c r="AD2695" i="10"/>
  <c r="AC2695" i="10"/>
  <c r="AB2695" i="10"/>
  <c r="AA2695" i="10"/>
  <c r="Z2695" i="10"/>
  <c r="U2695" i="10"/>
  <c r="T2695" i="10"/>
  <c r="N2695" i="10"/>
  <c r="F2695" i="10"/>
  <c r="AI2694" i="10"/>
  <c r="AD2694" i="10"/>
  <c r="AC2694" i="10"/>
  <c r="AB2694" i="10"/>
  <c r="AA2694" i="10"/>
  <c r="Z2694" i="10"/>
  <c r="U2694" i="10"/>
  <c r="T2694" i="10"/>
  <c r="N2694" i="10"/>
  <c r="F2694" i="10"/>
  <c r="AI2693" i="10"/>
  <c r="AD2693" i="10"/>
  <c r="AC2693" i="10"/>
  <c r="AB2693" i="10"/>
  <c r="AA2693" i="10"/>
  <c r="Z2693" i="10"/>
  <c r="U2693" i="10"/>
  <c r="T2693" i="10"/>
  <c r="N2693" i="10"/>
  <c r="F2693" i="10"/>
  <c r="AI2692" i="10"/>
  <c r="AD2692" i="10"/>
  <c r="AC2692" i="10"/>
  <c r="AB2692" i="10"/>
  <c r="AA2692" i="10"/>
  <c r="Z2692" i="10"/>
  <c r="U2692" i="10"/>
  <c r="T2692" i="10"/>
  <c r="N2692" i="10"/>
  <c r="F2692" i="10"/>
  <c r="AI2691" i="10"/>
  <c r="AD2691" i="10"/>
  <c r="AC2691" i="10"/>
  <c r="AB2691" i="10"/>
  <c r="AA2691" i="10"/>
  <c r="Z2691" i="10"/>
  <c r="U2691" i="10"/>
  <c r="T2691" i="10"/>
  <c r="N2691" i="10"/>
  <c r="F2691" i="10"/>
  <c r="AI2690" i="10"/>
  <c r="AD2690" i="10"/>
  <c r="AC2690" i="10"/>
  <c r="AB2690" i="10"/>
  <c r="AA2690" i="10"/>
  <c r="Z2690" i="10"/>
  <c r="U2690" i="10"/>
  <c r="T2690" i="10"/>
  <c r="N2690" i="10"/>
  <c r="F2690" i="10"/>
  <c r="AI2689" i="10"/>
  <c r="AD2689" i="10"/>
  <c r="AC2689" i="10"/>
  <c r="AB2689" i="10"/>
  <c r="AA2689" i="10"/>
  <c r="Z2689" i="10"/>
  <c r="U2689" i="10"/>
  <c r="T2689" i="10"/>
  <c r="N2689" i="10"/>
  <c r="F2689" i="10"/>
  <c r="AI2688" i="10"/>
  <c r="AD2688" i="10"/>
  <c r="AC2688" i="10"/>
  <c r="AB2688" i="10"/>
  <c r="AA2688" i="10"/>
  <c r="Z2688" i="10"/>
  <c r="U2688" i="10"/>
  <c r="T2688" i="10"/>
  <c r="N2688" i="10"/>
  <c r="F2688" i="10"/>
  <c r="AI2687" i="10"/>
  <c r="AD2687" i="10"/>
  <c r="AC2687" i="10"/>
  <c r="AB2687" i="10"/>
  <c r="AA2687" i="10"/>
  <c r="Z2687" i="10"/>
  <c r="U2687" i="10"/>
  <c r="T2687" i="10"/>
  <c r="N2687" i="10"/>
  <c r="F2687" i="10"/>
  <c r="AI2686" i="10"/>
  <c r="AD2686" i="10"/>
  <c r="AC2686" i="10"/>
  <c r="AB2686" i="10"/>
  <c r="AA2686" i="10"/>
  <c r="Z2686" i="10"/>
  <c r="U2686" i="10"/>
  <c r="T2686" i="10"/>
  <c r="N2686" i="10"/>
  <c r="F2686" i="10"/>
  <c r="AI2685" i="10"/>
  <c r="AD2685" i="10"/>
  <c r="AC2685" i="10"/>
  <c r="AB2685" i="10"/>
  <c r="AA2685" i="10"/>
  <c r="Z2685" i="10"/>
  <c r="U2685" i="10"/>
  <c r="T2685" i="10"/>
  <c r="N2685" i="10"/>
  <c r="F2685" i="10"/>
  <c r="AI2684" i="10"/>
  <c r="AD2684" i="10"/>
  <c r="AC2684" i="10"/>
  <c r="AB2684" i="10"/>
  <c r="AA2684" i="10"/>
  <c r="Z2684" i="10"/>
  <c r="U2684" i="10"/>
  <c r="T2684" i="10"/>
  <c r="N2684" i="10"/>
  <c r="F2684" i="10"/>
  <c r="AI2683" i="10"/>
  <c r="AD2683" i="10"/>
  <c r="AC2683" i="10"/>
  <c r="AB2683" i="10"/>
  <c r="AA2683" i="10"/>
  <c r="Z2683" i="10"/>
  <c r="U2683" i="10"/>
  <c r="T2683" i="10"/>
  <c r="N2683" i="10"/>
  <c r="F2683" i="10"/>
  <c r="AI2682" i="10"/>
  <c r="AD2682" i="10"/>
  <c r="AC2682" i="10"/>
  <c r="AB2682" i="10"/>
  <c r="AA2682" i="10"/>
  <c r="Z2682" i="10"/>
  <c r="U2682" i="10"/>
  <c r="T2682" i="10"/>
  <c r="N2682" i="10"/>
  <c r="F2682" i="10"/>
  <c r="AI2681" i="10"/>
  <c r="AD2681" i="10"/>
  <c r="AC2681" i="10"/>
  <c r="AB2681" i="10"/>
  <c r="AA2681" i="10"/>
  <c r="Z2681" i="10"/>
  <c r="U2681" i="10"/>
  <c r="T2681" i="10"/>
  <c r="N2681" i="10"/>
  <c r="F2681" i="10"/>
  <c r="AI2680" i="10"/>
  <c r="AD2680" i="10"/>
  <c r="AC2680" i="10"/>
  <c r="AB2680" i="10"/>
  <c r="AA2680" i="10"/>
  <c r="Z2680" i="10"/>
  <c r="U2680" i="10"/>
  <c r="T2680" i="10"/>
  <c r="N2680" i="10"/>
  <c r="F2680" i="10"/>
  <c r="AI2679" i="10"/>
  <c r="AD2679" i="10"/>
  <c r="AC2679" i="10"/>
  <c r="AB2679" i="10"/>
  <c r="AA2679" i="10"/>
  <c r="Z2679" i="10"/>
  <c r="U2679" i="10"/>
  <c r="T2679" i="10"/>
  <c r="N2679" i="10"/>
  <c r="F2679" i="10"/>
  <c r="AI2678" i="10"/>
  <c r="AD2678" i="10"/>
  <c r="AC2678" i="10"/>
  <c r="AB2678" i="10"/>
  <c r="AA2678" i="10"/>
  <c r="Z2678" i="10"/>
  <c r="U2678" i="10"/>
  <c r="T2678" i="10"/>
  <c r="N2678" i="10"/>
  <c r="F2678" i="10"/>
  <c r="AI2677" i="10"/>
  <c r="AD2677" i="10"/>
  <c r="AC2677" i="10"/>
  <c r="AB2677" i="10"/>
  <c r="AA2677" i="10"/>
  <c r="Z2677" i="10"/>
  <c r="U2677" i="10"/>
  <c r="T2677" i="10"/>
  <c r="N2677" i="10"/>
  <c r="F2677" i="10"/>
  <c r="AI2676" i="10"/>
  <c r="AD2676" i="10"/>
  <c r="AC2676" i="10"/>
  <c r="AB2676" i="10"/>
  <c r="AA2676" i="10"/>
  <c r="Z2676" i="10"/>
  <c r="U2676" i="10"/>
  <c r="T2676" i="10"/>
  <c r="N2676" i="10"/>
  <c r="F2676" i="10"/>
  <c r="AI2675" i="10"/>
  <c r="AD2675" i="10"/>
  <c r="AC2675" i="10"/>
  <c r="AB2675" i="10"/>
  <c r="AA2675" i="10"/>
  <c r="Z2675" i="10"/>
  <c r="U2675" i="10"/>
  <c r="T2675" i="10"/>
  <c r="N2675" i="10"/>
  <c r="F2675" i="10"/>
  <c r="AI2674" i="10"/>
  <c r="AD2674" i="10"/>
  <c r="AC2674" i="10"/>
  <c r="AB2674" i="10"/>
  <c r="AA2674" i="10"/>
  <c r="Z2674" i="10"/>
  <c r="U2674" i="10"/>
  <c r="T2674" i="10"/>
  <c r="N2674" i="10"/>
  <c r="F2674" i="10"/>
  <c r="AI2673" i="10"/>
  <c r="AD2673" i="10"/>
  <c r="AC2673" i="10"/>
  <c r="AB2673" i="10"/>
  <c r="AA2673" i="10"/>
  <c r="Z2673" i="10"/>
  <c r="U2673" i="10"/>
  <c r="T2673" i="10"/>
  <c r="N2673" i="10"/>
  <c r="F2673" i="10"/>
  <c r="AI2672" i="10"/>
  <c r="AD2672" i="10"/>
  <c r="AC2672" i="10"/>
  <c r="AB2672" i="10"/>
  <c r="AA2672" i="10"/>
  <c r="Z2672" i="10"/>
  <c r="U2672" i="10"/>
  <c r="T2672" i="10"/>
  <c r="N2672" i="10"/>
  <c r="F2672" i="10"/>
  <c r="AI2671" i="10"/>
  <c r="AD2671" i="10"/>
  <c r="AC2671" i="10"/>
  <c r="AB2671" i="10"/>
  <c r="AA2671" i="10"/>
  <c r="Z2671" i="10"/>
  <c r="U2671" i="10"/>
  <c r="T2671" i="10"/>
  <c r="N2671" i="10"/>
  <c r="F2671" i="10"/>
  <c r="AI2670" i="10"/>
  <c r="AD2670" i="10"/>
  <c r="AC2670" i="10"/>
  <c r="AB2670" i="10"/>
  <c r="AA2670" i="10"/>
  <c r="Z2670" i="10"/>
  <c r="U2670" i="10"/>
  <c r="T2670" i="10"/>
  <c r="N2670" i="10"/>
  <c r="F2670" i="10"/>
  <c r="AI2669" i="10"/>
  <c r="AD2669" i="10"/>
  <c r="AC2669" i="10"/>
  <c r="AB2669" i="10"/>
  <c r="AA2669" i="10"/>
  <c r="Z2669" i="10"/>
  <c r="U2669" i="10"/>
  <c r="T2669" i="10"/>
  <c r="N2669" i="10"/>
  <c r="F2669" i="10"/>
  <c r="AI2668" i="10"/>
  <c r="AD2668" i="10"/>
  <c r="AC2668" i="10"/>
  <c r="AB2668" i="10"/>
  <c r="AA2668" i="10"/>
  <c r="Z2668" i="10"/>
  <c r="U2668" i="10"/>
  <c r="T2668" i="10"/>
  <c r="N2668" i="10"/>
  <c r="F2668" i="10"/>
  <c r="AI2667" i="10"/>
  <c r="AD2667" i="10"/>
  <c r="AC2667" i="10"/>
  <c r="AB2667" i="10"/>
  <c r="AA2667" i="10"/>
  <c r="Z2667" i="10"/>
  <c r="U2667" i="10"/>
  <c r="T2667" i="10"/>
  <c r="N2667" i="10"/>
  <c r="F2667" i="10"/>
  <c r="AI2666" i="10"/>
  <c r="AD2666" i="10"/>
  <c r="AC2666" i="10"/>
  <c r="AB2666" i="10"/>
  <c r="AA2666" i="10"/>
  <c r="Z2666" i="10"/>
  <c r="U2666" i="10"/>
  <c r="T2666" i="10"/>
  <c r="N2666" i="10"/>
  <c r="F2666" i="10"/>
  <c r="AI2665" i="10"/>
  <c r="AD2665" i="10"/>
  <c r="AC2665" i="10"/>
  <c r="AB2665" i="10"/>
  <c r="AA2665" i="10"/>
  <c r="Z2665" i="10"/>
  <c r="U2665" i="10"/>
  <c r="T2665" i="10"/>
  <c r="N2665" i="10"/>
  <c r="F2665" i="10"/>
  <c r="AI2664" i="10"/>
  <c r="AD2664" i="10"/>
  <c r="AC2664" i="10"/>
  <c r="AB2664" i="10"/>
  <c r="AA2664" i="10"/>
  <c r="Z2664" i="10"/>
  <c r="U2664" i="10"/>
  <c r="T2664" i="10"/>
  <c r="N2664" i="10"/>
  <c r="F2664" i="10"/>
  <c r="AI2663" i="10"/>
  <c r="AD2663" i="10"/>
  <c r="AC2663" i="10"/>
  <c r="AB2663" i="10"/>
  <c r="AA2663" i="10"/>
  <c r="Z2663" i="10"/>
  <c r="U2663" i="10"/>
  <c r="T2663" i="10"/>
  <c r="N2663" i="10"/>
  <c r="F2663" i="10"/>
  <c r="AI2662" i="10"/>
  <c r="AD2662" i="10"/>
  <c r="AC2662" i="10"/>
  <c r="AB2662" i="10"/>
  <c r="AA2662" i="10"/>
  <c r="Z2662" i="10"/>
  <c r="U2662" i="10"/>
  <c r="T2662" i="10"/>
  <c r="N2662" i="10"/>
  <c r="F2662" i="10"/>
  <c r="AI2661" i="10"/>
  <c r="AD2661" i="10"/>
  <c r="AC2661" i="10"/>
  <c r="AB2661" i="10"/>
  <c r="AA2661" i="10"/>
  <c r="Z2661" i="10"/>
  <c r="U2661" i="10"/>
  <c r="T2661" i="10"/>
  <c r="N2661" i="10"/>
  <c r="F2661" i="10"/>
  <c r="AI2660" i="10"/>
  <c r="AD2660" i="10"/>
  <c r="AC2660" i="10"/>
  <c r="AB2660" i="10"/>
  <c r="AA2660" i="10"/>
  <c r="Z2660" i="10"/>
  <c r="U2660" i="10"/>
  <c r="T2660" i="10"/>
  <c r="N2660" i="10"/>
  <c r="F2660" i="10"/>
  <c r="AI2659" i="10"/>
  <c r="AD2659" i="10"/>
  <c r="AC2659" i="10"/>
  <c r="AB2659" i="10"/>
  <c r="AA2659" i="10"/>
  <c r="Z2659" i="10"/>
  <c r="U2659" i="10"/>
  <c r="T2659" i="10"/>
  <c r="N2659" i="10"/>
  <c r="F2659" i="10"/>
  <c r="AI2658" i="10"/>
  <c r="AD2658" i="10"/>
  <c r="AC2658" i="10"/>
  <c r="AB2658" i="10"/>
  <c r="AA2658" i="10"/>
  <c r="Z2658" i="10"/>
  <c r="U2658" i="10"/>
  <c r="T2658" i="10"/>
  <c r="N2658" i="10"/>
  <c r="F2658" i="10"/>
  <c r="AI2657" i="10"/>
  <c r="AD2657" i="10"/>
  <c r="AC2657" i="10"/>
  <c r="AB2657" i="10"/>
  <c r="AA2657" i="10"/>
  <c r="Z2657" i="10"/>
  <c r="U2657" i="10"/>
  <c r="T2657" i="10"/>
  <c r="N2657" i="10"/>
  <c r="F2657" i="10"/>
  <c r="AI2656" i="10"/>
  <c r="AD2656" i="10"/>
  <c r="AC2656" i="10"/>
  <c r="AB2656" i="10"/>
  <c r="AA2656" i="10"/>
  <c r="Z2656" i="10"/>
  <c r="U2656" i="10"/>
  <c r="T2656" i="10"/>
  <c r="N2656" i="10"/>
  <c r="F2656" i="10"/>
  <c r="AI2655" i="10"/>
  <c r="AD2655" i="10"/>
  <c r="AC2655" i="10"/>
  <c r="AB2655" i="10"/>
  <c r="AA2655" i="10"/>
  <c r="Z2655" i="10"/>
  <c r="U2655" i="10"/>
  <c r="T2655" i="10"/>
  <c r="N2655" i="10"/>
  <c r="F2655" i="10"/>
  <c r="AI2654" i="10"/>
  <c r="AD2654" i="10"/>
  <c r="AC2654" i="10"/>
  <c r="AB2654" i="10"/>
  <c r="AA2654" i="10"/>
  <c r="Z2654" i="10"/>
  <c r="U2654" i="10"/>
  <c r="T2654" i="10"/>
  <c r="N2654" i="10"/>
  <c r="F2654" i="10"/>
  <c r="AI2653" i="10"/>
  <c r="AD2653" i="10"/>
  <c r="AC2653" i="10"/>
  <c r="AB2653" i="10"/>
  <c r="AA2653" i="10"/>
  <c r="Z2653" i="10"/>
  <c r="U2653" i="10"/>
  <c r="T2653" i="10"/>
  <c r="N2653" i="10"/>
  <c r="F2653" i="10"/>
  <c r="AI2652" i="10"/>
  <c r="AD2652" i="10"/>
  <c r="AC2652" i="10"/>
  <c r="AB2652" i="10"/>
  <c r="AA2652" i="10"/>
  <c r="Z2652" i="10"/>
  <c r="U2652" i="10"/>
  <c r="T2652" i="10"/>
  <c r="N2652" i="10"/>
  <c r="F2652" i="10"/>
  <c r="AI2651" i="10"/>
  <c r="AD2651" i="10"/>
  <c r="AC2651" i="10"/>
  <c r="AB2651" i="10"/>
  <c r="AA2651" i="10"/>
  <c r="Z2651" i="10"/>
  <c r="U2651" i="10"/>
  <c r="T2651" i="10"/>
  <c r="N2651" i="10"/>
  <c r="F2651" i="10"/>
  <c r="AI2650" i="10"/>
  <c r="AD2650" i="10"/>
  <c r="AC2650" i="10"/>
  <c r="AB2650" i="10"/>
  <c r="AA2650" i="10"/>
  <c r="Z2650" i="10"/>
  <c r="U2650" i="10"/>
  <c r="T2650" i="10"/>
  <c r="N2650" i="10"/>
  <c r="F2650" i="10"/>
  <c r="AI2649" i="10"/>
  <c r="AD2649" i="10"/>
  <c r="AC2649" i="10"/>
  <c r="AB2649" i="10"/>
  <c r="AA2649" i="10"/>
  <c r="Z2649" i="10"/>
  <c r="U2649" i="10"/>
  <c r="T2649" i="10"/>
  <c r="N2649" i="10"/>
  <c r="F2649" i="10"/>
  <c r="AI2648" i="10"/>
  <c r="AD2648" i="10"/>
  <c r="AC2648" i="10"/>
  <c r="AB2648" i="10"/>
  <c r="AA2648" i="10"/>
  <c r="Z2648" i="10"/>
  <c r="U2648" i="10"/>
  <c r="T2648" i="10"/>
  <c r="N2648" i="10"/>
  <c r="F2648" i="10"/>
  <c r="AI2647" i="10"/>
  <c r="AD2647" i="10"/>
  <c r="AC2647" i="10"/>
  <c r="AB2647" i="10"/>
  <c r="AA2647" i="10"/>
  <c r="Z2647" i="10"/>
  <c r="U2647" i="10"/>
  <c r="T2647" i="10"/>
  <c r="N2647" i="10"/>
  <c r="F2647" i="10"/>
  <c r="AI2646" i="10"/>
  <c r="AD2646" i="10"/>
  <c r="AC2646" i="10"/>
  <c r="AB2646" i="10"/>
  <c r="AA2646" i="10"/>
  <c r="Z2646" i="10"/>
  <c r="U2646" i="10"/>
  <c r="T2646" i="10"/>
  <c r="N2646" i="10"/>
  <c r="F2646" i="10"/>
  <c r="AI2645" i="10"/>
  <c r="AD2645" i="10"/>
  <c r="AC2645" i="10"/>
  <c r="AB2645" i="10"/>
  <c r="AA2645" i="10"/>
  <c r="Z2645" i="10"/>
  <c r="U2645" i="10"/>
  <c r="T2645" i="10"/>
  <c r="N2645" i="10"/>
  <c r="F2645" i="10"/>
  <c r="AI2644" i="10"/>
  <c r="AD2644" i="10"/>
  <c r="AC2644" i="10"/>
  <c r="AB2644" i="10"/>
  <c r="AA2644" i="10"/>
  <c r="Z2644" i="10"/>
  <c r="U2644" i="10"/>
  <c r="T2644" i="10"/>
  <c r="N2644" i="10"/>
  <c r="F2644" i="10"/>
  <c r="AI2643" i="10"/>
  <c r="AD2643" i="10"/>
  <c r="AC2643" i="10"/>
  <c r="AB2643" i="10"/>
  <c r="AA2643" i="10"/>
  <c r="Z2643" i="10"/>
  <c r="U2643" i="10"/>
  <c r="T2643" i="10"/>
  <c r="N2643" i="10"/>
  <c r="F2643" i="10"/>
  <c r="AI2642" i="10"/>
  <c r="AD2642" i="10"/>
  <c r="AC2642" i="10"/>
  <c r="AB2642" i="10"/>
  <c r="AA2642" i="10"/>
  <c r="Z2642" i="10"/>
  <c r="U2642" i="10"/>
  <c r="T2642" i="10"/>
  <c r="N2642" i="10"/>
  <c r="F2642" i="10"/>
  <c r="AI2641" i="10"/>
  <c r="AD2641" i="10"/>
  <c r="AC2641" i="10"/>
  <c r="AB2641" i="10"/>
  <c r="AA2641" i="10"/>
  <c r="Z2641" i="10"/>
  <c r="U2641" i="10"/>
  <c r="T2641" i="10"/>
  <c r="N2641" i="10"/>
  <c r="F2641" i="10"/>
  <c r="AI2640" i="10"/>
  <c r="AD2640" i="10"/>
  <c r="AC2640" i="10"/>
  <c r="AB2640" i="10"/>
  <c r="AA2640" i="10"/>
  <c r="Z2640" i="10"/>
  <c r="U2640" i="10"/>
  <c r="T2640" i="10"/>
  <c r="N2640" i="10"/>
  <c r="F2640" i="10"/>
  <c r="AI2639" i="10"/>
  <c r="AD2639" i="10"/>
  <c r="AC2639" i="10"/>
  <c r="AB2639" i="10"/>
  <c r="AA2639" i="10"/>
  <c r="Z2639" i="10"/>
  <c r="U2639" i="10"/>
  <c r="T2639" i="10"/>
  <c r="N2639" i="10"/>
  <c r="F2639" i="10"/>
  <c r="AI2638" i="10"/>
  <c r="AD2638" i="10"/>
  <c r="AC2638" i="10"/>
  <c r="AB2638" i="10"/>
  <c r="AA2638" i="10"/>
  <c r="Z2638" i="10"/>
  <c r="U2638" i="10"/>
  <c r="T2638" i="10"/>
  <c r="N2638" i="10"/>
  <c r="F2638" i="10"/>
  <c r="AI2637" i="10"/>
  <c r="AD2637" i="10"/>
  <c r="AC2637" i="10"/>
  <c r="AB2637" i="10"/>
  <c r="AA2637" i="10"/>
  <c r="Z2637" i="10"/>
  <c r="U2637" i="10"/>
  <c r="T2637" i="10"/>
  <c r="N2637" i="10"/>
  <c r="F2637" i="10"/>
  <c r="AI2636" i="10"/>
  <c r="AD2636" i="10"/>
  <c r="AC2636" i="10"/>
  <c r="AB2636" i="10"/>
  <c r="AA2636" i="10"/>
  <c r="Z2636" i="10"/>
  <c r="U2636" i="10"/>
  <c r="T2636" i="10"/>
  <c r="N2636" i="10"/>
  <c r="F2636" i="10"/>
  <c r="AI2635" i="10"/>
  <c r="AD2635" i="10"/>
  <c r="AC2635" i="10"/>
  <c r="AB2635" i="10"/>
  <c r="AA2635" i="10"/>
  <c r="Z2635" i="10"/>
  <c r="U2635" i="10"/>
  <c r="T2635" i="10"/>
  <c r="N2635" i="10"/>
  <c r="F2635" i="10"/>
  <c r="AI2634" i="10"/>
  <c r="AD2634" i="10"/>
  <c r="AC2634" i="10"/>
  <c r="AB2634" i="10"/>
  <c r="AA2634" i="10"/>
  <c r="Z2634" i="10"/>
  <c r="U2634" i="10"/>
  <c r="T2634" i="10"/>
  <c r="N2634" i="10"/>
  <c r="F2634" i="10"/>
  <c r="AI2633" i="10"/>
  <c r="AD2633" i="10"/>
  <c r="AC2633" i="10"/>
  <c r="AB2633" i="10"/>
  <c r="AA2633" i="10"/>
  <c r="Z2633" i="10"/>
  <c r="U2633" i="10"/>
  <c r="T2633" i="10"/>
  <c r="N2633" i="10"/>
  <c r="F2633" i="10"/>
  <c r="AI2632" i="10"/>
  <c r="AD2632" i="10"/>
  <c r="AC2632" i="10"/>
  <c r="AB2632" i="10"/>
  <c r="AA2632" i="10"/>
  <c r="Z2632" i="10"/>
  <c r="U2632" i="10"/>
  <c r="T2632" i="10"/>
  <c r="N2632" i="10"/>
  <c r="F2632" i="10"/>
  <c r="AI2631" i="10"/>
  <c r="AD2631" i="10"/>
  <c r="AC2631" i="10"/>
  <c r="AB2631" i="10"/>
  <c r="AA2631" i="10"/>
  <c r="Z2631" i="10"/>
  <c r="U2631" i="10"/>
  <c r="T2631" i="10"/>
  <c r="N2631" i="10"/>
  <c r="F2631" i="10"/>
  <c r="AI2630" i="10"/>
  <c r="AD2630" i="10"/>
  <c r="AC2630" i="10"/>
  <c r="AB2630" i="10"/>
  <c r="AA2630" i="10"/>
  <c r="Z2630" i="10"/>
  <c r="U2630" i="10"/>
  <c r="T2630" i="10"/>
  <c r="N2630" i="10"/>
  <c r="F2630" i="10"/>
  <c r="AI2629" i="10"/>
  <c r="AD2629" i="10"/>
  <c r="AC2629" i="10"/>
  <c r="AB2629" i="10"/>
  <c r="AA2629" i="10"/>
  <c r="Z2629" i="10"/>
  <c r="U2629" i="10"/>
  <c r="T2629" i="10"/>
  <c r="N2629" i="10"/>
  <c r="F2629" i="10"/>
  <c r="AI2628" i="10"/>
  <c r="AD2628" i="10"/>
  <c r="AC2628" i="10"/>
  <c r="AB2628" i="10"/>
  <c r="AA2628" i="10"/>
  <c r="Z2628" i="10"/>
  <c r="U2628" i="10"/>
  <c r="T2628" i="10"/>
  <c r="N2628" i="10"/>
  <c r="F2628" i="10"/>
  <c r="AI2627" i="10"/>
  <c r="AD2627" i="10"/>
  <c r="AC2627" i="10"/>
  <c r="AB2627" i="10"/>
  <c r="AA2627" i="10"/>
  <c r="Z2627" i="10"/>
  <c r="U2627" i="10"/>
  <c r="T2627" i="10"/>
  <c r="N2627" i="10"/>
  <c r="F2627" i="10"/>
  <c r="AI2626" i="10"/>
  <c r="AD2626" i="10"/>
  <c r="AC2626" i="10"/>
  <c r="AB2626" i="10"/>
  <c r="AA2626" i="10"/>
  <c r="Z2626" i="10"/>
  <c r="U2626" i="10"/>
  <c r="T2626" i="10"/>
  <c r="N2626" i="10"/>
  <c r="F2626" i="10"/>
  <c r="AI2625" i="10"/>
  <c r="AD2625" i="10"/>
  <c r="AC2625" i="10"/>
  <c r="AB2625" i="10"/>
  <c r="AA2625" i="10"/>
  <c r="Z2625" i="10"/>
  <c r="U2625" i="10"/>
  <c r="T2625" i="10"/>
  <c r="N2625" i="10"/>
  <c r="F2625" i="10"/>
  <c r="AI2624" i="10"/>
  <c r="AD2624" i="10"/>
  <c r="AC2624" i="10"/>
  <c r="AB2624" i="10"/>
  <c r="AA2624" i="10"/>
  <c r="Z2624" i="10"/>
  <c r="U2624" i="10"/>
  <c r="T2624" i="10"/>
  <c r="N2624" i="10"/>
  <c r="F2624" i="10"/>
  <c r="AI2623" i="10"/>
  <c r="AD2623" i="10"/>
  <c r="AC2623" i="10"/>
  <c r="AB2623" i="10"/>
  <c r="AA2623" i="10"/>
  <c r="Z2623" i="10"/>
  <c r="U2623" i="10"/>
  <c r="T2623" i="10"/>
  <c r="N2623" i="10"/>
  <c r="F2623" i="10"/>
  <c r="AI2622" i="10"/>
  <c r="AD2622" i="10"/>
  <c r="AC2622" i="10"/>
  <c r="AB2622" i="10"/>
  <c r="AA2622" i="10"/>
  <c r="Z2622" i="10"/>
  <c r="U2622" i="10"/>
  <c r="T2622" i="10"/>
  <c r="N2622" i="10"/>
  <c r="F2622" i="10"/>
  <c r="AI2621" i="10"/>
  <c r="AD2621" i="10"/>
  <c r="AC2621" i="10"/>
  <c r="AB2621" i="10"/>
  <c r="AA2621" i="10"/>
  <c r="Z2621" i="10"/>
  <c r="U2621" i="10"/>
  <c r="T2621" i="10"/>
  <c r="N2621" i="10"/>
  <c r="F2621" i="10"/>
  <c r="AI2620" i="10"/>
  <c r="AD2620" i="10"/>
  <c r="AC2620" i="10"/>
  <c r="AB2620" i="10"/>
  <c r="AA2620" i="10"/>
  <c r="Z2620" i="10"/>
  <c r="U2620" i="10"/>
  <c r="T2620" i="10"/>
  <c r="N2620" i="10"/>
  <c r="F2620" i="10"/>
  <c r="AI2619" i="10"/>
  <c r="AD2619" i="10"/>
  <c r="AC2619" i="10"/>
  <c r="AB2619" i="10"/>
  <c r="AA2619" i="10"/>
  <c r="Z2619" i="10"/>
  <c r="U2619" i="10"/>
  <c r="T2619" i="10"/>
  <c r="N2619" i="10"/>
  <c r="F2619" i="10"/>
  <c r="AI2618" i="10"/>
  <c r="AD2618" i="10"/>
  <c r="AC2618" i="10"/>
  <c r="AB2618" i="10"/>
  <c r="AA2618" i="10"/>
  <c r="Z2618" i="10"/>
  <c r="U2618" i="10"/>
  <c r="T2618" i="10"/>
  <c r="N2618" i="10"/>
  <c r="F2618" i="10"/>
  <c r="AI2617" i="10"/>
  <c r="AD2617" i="10"/>
  <c r="AC2617" i="10"/>
  <c r="AB2617" i="10"/>
  <c r="AA2617" i="10"/>
  <c r="Z2617" i="10"/>
  <c r="U2617" i="10"/>
  <c r="T2617" i="10"/>
  <c r="N2617" i="10"/>
  <c r="F2617" i="10"/>
  <c r="AI2616" i="10"/>
  <c r="AD2616" i="10"/>
  <c r="AC2616" i="10"/>
  <c r="AB2616" i="10"/>
  <c r="AA2616" i="10"/>
  <c r="Z2616" i="10"/>
  <c r="U2616" i="10"/>
  <c r="T2616" i="10"/>
  <c r="N2616" i="10"/>
  <c r="F2616" i="10"/>
  <c r="AI2615" i="10"/>
  <c r="AD2615" i="10"/>
  <c r="AC2615" i="10"/>
  <c r="AB2615" i="10"/>
  <c r="AA2615" i="10"/>
  <c r="Z2615" i="10"/>
  <c r="U2615" i="10"/>
  <c r="T2615" i="10"/>
  <c r="N2615" i="10"/>
  <c r="F2615" i="10"/>
  <c r="AI2614" i="10"/>
  <c r="AD2614" i="10"/>
  <c r="AC2614" i="10"/>
  <c r="AB2614" i="10"/>
  <c r="AA2614" i="10"/>
  <c r="Z2614" i="10"/>
  <c r="U2614" i="10"/>
  <c r="T2614" i="10"/>
  <c r="N2614" i="10"/>
  <c r="F2614" i="10"/>
  <c r="AI2613" i="10"/>
  <c r="AD2613" i="10"/>
  <c r="AC2613" i="10"/>
  <c r="AB2613" i="10"/>
  <c r="AA2613" i="10"/>
  <c r="Z2613" i="10"/>
  <c r="U2613" i="10"/>
  <c r="T2613" i="10"/>
  <c r="N2613" i="10"/>
  <c r="F2613" i="10"/>
  <c r="AI2612" i="10"/>
  <c r="AD2612" i="10"/>
  <c r="AC2612" i="10"/>
  <c r="AB2612" i="10"/>
  <c r="AA2612" i="10"/>
  <c r="Z2612" i="10"/>
  <c r="U2612" i="10"/>
  <c r="T2612" i="10"/>
  <c r="N2612" i="10"/>
  <c r="F2612" i="10"/>
  <c r="AI2611" i="10"/>
  <c r="AD2611" i="10"/>
  <c r="AC2611" i="10"/>
  <c r="AB2611" i="10"/>
  <c r="AA2611" i="10"/>
  <c r="Z2611" i="10"/>
  <c r="U2611" i="10"/>
  <c r="T2611" i="10"/>
  <c r="N2611" i="10"/>
  <c r="F2611" i="10"/>
  <c r="AI2610" i="10"/>
  <c r="AD2610" i="10"/>
  <c r="AC2610" i="10"/>
  <c r="AB2610" i="10"/>
  <c r="AA2610" i="10"/>
  <c r="Z2610" i="10"/>
  <c r="U2610" i="10"/>
  <c r="T2610" i="10"/>
  <c r="N2610" i="10"/>
  <c r="F2610" i="10"/>
  <c r="AI2609" i="10"/>
  <c r="AD2609" i="10"/>
  <c r="AC2609" i="10"/>
  <c r="AB2609" i="10"/>
  <c r="AA2609" i="10"/>
  <c r="Z2609" i="10"/>
  <c r="U2609" i="10"/>
  <c r="T2609" i="10"/>
  <c r="N2609" i="10"/>
  <c r="F2609" i="10"/>
  <c r="AI2608" i="10"/>
  <c r="AD2608" i="10"/>
  <c r="AC2608" i="10"/>
  <c r="AB2608" i="10"/>
  <c r="AA2608" i="10"/>
  <c r="Z2608" i="10"/>
  <c r="U2608" i="10"/>
  <c r="T2608" i="10"/>
  <c r="N2608" i="10"/>
  <c r="F2608" i="10"/>
  <c r="AI2607" i="10"/>
  <c r="AD2607" i="10"/>
  <c r="AC2607" i="10"/>
  <c r="AB2607" i="10"/>
  <c r="AA2607" i="10"/>
  <c r="Z2607" i="10"/>
  <c r="U2607" i="10"/>
  <c r="T2607" i="10"/>
  <c r="N2607" i="10"/>
  <c r="F2607" i="10"/>
  <c r="AI2606" i="10"/>
  <c r="AD2606" i="10"/>
  <c r="AC2606" i="10"/>
  <c r="AB2606" i="10"/>
  <c r="AA2606" i="10"/>
  <c r="Z2606" i="10"/>
  <c r="U2606" i="10"/>
  <c r="T2606" i="10"/>
  <c r="N2606" i="10"/>
  <c r="F2606" i="10"/>
  <c r="AI2605" i="10"/>
  <c r="AD2605" i="10"/>
  <c r="AC2605" i="10"/>
  <c r="AB2605" i="10"/>
  <c r="AA2605" i="10"/>
  <c r="Z2605" i="10"/>
  <c r="U2605" i="10"/>
  <c r="T2605" i="10"/>
  <c r="N2605" i="10"/>
  <c r="F2605" i="10"/>
  <c r="AI2604" i="10"/>
  <c r="AD2604" i="10"/>
  <c r="AC2604" i="10"/>
  <c r="AB2604" i="10"/>
  <c r="AA2604" i="10"/>
  <c r="Z2604" i="10"/>
  <c r="U2604" i="10"/>
  <c r="T2604" i="10"/>
  <c r="N2604" i="10"/>
  <c r="F2604" i="10"/>
  <c r="AI2603" i="10"/>
  <c r="AD2603" i="10"/>
  <c r="AC2603" i="10"/>
  <c r="AB2603" i="10"/>
  <c r="AA2603" i="10"/>
  <c r="Z2603" i="10"/>
  <c r="U2603" i="10"/>
  <c r="T2603" i="10"/>
  <c r="N2603" i="10"/>
  <c r="F2603" i="10"/>
  <c r="AI2602" i="10"/>
  <c r="AD2602" i="10"/>
  <c r="AC2602" i="10"/>
  <c r="AB2602" i="10"/>
  <c r="AA2602" i="10"/>
  <c r="Z2602" i="10"/>
  <c r="U2602" i="10"/>
  <c r="T2602" i="10"/>
  <c r="N2602" i="10"/>
  <c r="F2602" i="10"/>
  <c r="AI2601" i="10"/>
  <c r="AD2601" i="10"/>
  <c r="AC2601" i="10"/>
  <c r="AB2601" i="10"/>
  <c r="AA2601" i="10"/>
  <c r="Z2601" i="10"/>
  <c r="U2601" i="10"/>
  <c r="T2601" i="10"/>
  <c r="N2601" i="10"/>
  <c r="F2601" i="10"/>
  <c r="AI2600" i="10"/>
  <c r="AD2600" i="10"/>
  <c r="AC2600" i="10"/>
  <c r="AB2600" i="10"/>
  <c r="AA2600" i="10"/>
  <c r="Z2600" i="10"/>
  <c r="U2600" i="10"/>
  <c r="T2600" i="10"/>
  <c r="N2600" i="10"/>
  <c r="F2600" i="10"/>
  <c r="AI2599" i="10"/>
  <c r="AD2599" i="10"/>
  <c r="AC2599" i="10"/>
  <c r="AB2599" i="10"/>
  <c r="AA2599" i="10"/>
  <c r="Z2599" i="10"/>
  <c r="U2599" i="10"/>
  <c r="T2599" i="10"/>
  <c r="N2599" i="10"/>
  <c r="F2599" i="10"/>
  <c r="AI2598" i="10"/>
  <c r="AD2598" i="10"/>
  <c r="AC2598" i="10"/>
  <c r="AB2598" i="10"/>
  <c r="AA2598" i="10"/>
  <c r="Z2598" i="10"/>
  <c r="U2598" i="10"/>
  <c r="T2598" i="10"/>
  <c r="N2598" i="10"/>
  <c r="F2598" i="10"/>
  <c r="AI2597" i="10"/>
  <c r="AD2597" i="10"/>
  <c r="AC2597" i="10"/>
  <c r="AB2597" i="10"/>
  <c r="AA2597" i="10"/>
  <c r="Z2597" i="10"/>
  <c r="U2597" i="10"/>
  <c r="T2597" i="10"/>
  <c r="N2597" i="10"/>
  <c r="F2597" i="10"/>
  <c r="AI2596" i="10"/>
  <c r="AD2596" i="10"/>
  <c r="AC2596" i="10"/>
  <c r="AB2596" i="10"/>
  <c r="AA2596" i="10"/>
  <c r="Z2596" i="10"/>
  <c r="U2596" i="10"/>
  <c r="T2596" i="10"/>
  <c r="N2596" i="10"/>
  <c r="F2596" i="10"/>
  <c r="AI2595" i="10"/>
  <c r="AD2595" i="10"/>
  <c r="AC2595" i="10"/>
  <c r="AB2595" i="10"/>
  <c r="AA2595" i="10"/>
  <c r="Z2595" i="10"/>
  <c r="U2595" i="10"/>
  <c r="T2595" i="10"/>
  <c r="N2595" i="10"/>
  <c r="F2595" i="10"/>
  <c r="AI2594" i="10"/>
  <c r="AD2594" i="10"/>
  <c r="AC2594" i="10"/>
  <c r="AB2594" i="10"/>
  <c r="AA2594" i="10"/>
  <c r="Z2594" i="10"/>
  <c r="U2594" i="10"/>
  <c r="T2594" i="10"/>
  <c r="N2594" i="10"/>
  <c r="F2594" i="10"/>
  <c r="AI2593" i="10"/>
  <c r="AD2593" i="10"/>
  <c r="AC2593" i="10"/>
  <c r="AB2593" i="10"/>
  <c r="AA2593" i="10"/>
  <c r="Z2593" i="10"/>
  <c r="U2593" i="10"/>
  <c r="T2593" i="10"/>
  <c r="N2593" i="10"/>
  <c r="F2593" i="10"/>
  <c r="AI2592" i="10"/>
  <c r="AD2592" i="10"/>
  <c r="AC2592" i="10"/>
  <c r="AB2592" i="10"/>
  <c r="AA2592" i="10"/>
  <c r="Z2592" i="10"/>
  <c r="U2592" i="10"/>
  <c r="T2592" i="10"/>
  <c r="N2592" i="10"/>
  <c r="F2592" i="10"/>
  <c r="AI2591" i="10"/>
  <c r="AD2591" i="10"/>
  <c r="AC2591" i="10"/>
  <c r="AB2591" i="10"/>
  <c r="AA2591" i="10"/>
  <c r="Z2591" i="10"/>
  <c r="U2591" i="10"/>
  <c r="T2591" i="10"/>
  <c r="N2591" i="10"/>
  <c r="F2591" i="10"/>
  <c r="AI2590" i="10"/>
  <c r="AD2590" i="10"/>
  <c r="AC2590" i="10"/>
  <c r="AB2590" i="10"/>
  <c r="AA2590" i="10"/>
  <c r="Z2590" i="10"/>
  <c r="U2590" i="10"/>
  <c r="T2590" i="10"/>
  <c r="N2590" i="10"/>
  <c r="F2590" i="10"/>
  <c r="AI2589" i="10"/>
  <c r="AD2589" i="10"/>
  <c r="AC2589" i="10"/>
  <c r="AB2589" i="10"/>
  <c r="AA2589" i="10"/>
  <c r="Z2589" i="10"/>
  <c r="U2589" i="10"/>
  <c r="T2589" i="10"/>
  <c r="N2589" i="10"/>
  <c r="F2589" i="10"/>
  <c r="AI2588" i="10"/>
  <c r="AD2588" i="10"/>
  <c r="AC2588" i="10"/>
  <c r="AB2588" i="10"/>
  <c r="AA2588" i="10"/>
  <c r="Z2588" i="10"/>
  <c r="U2588" i="10"/>
  <c r="T2588" i="10"/>
  <c r="N2588" i="10"/>
  <c r="F2588" i="10"/>
  <c r="AI2587" i="10"/>
  <c r="AD2587" i="10"/>
  <c r="AC2587" i="10"/>
  <c r="AB2587" i="10"/>
  <c r="AA2587" i="10"/>
  <c r="Z2587" i="10"/>
  <c r="U2587" i="10"/>
  <c r="T2587" i="10"/>
  <c r="N2587" i="10"/>
  <c r="F2587" i="10"/>
  <c r="AI2586" i="10"/>
  <c r="AD2586" i="10"/>
  <c r="AC2586" i="10"/>
  <c r="AB2586" i="10"/>
  <c r="AA2586" i="10"/>
  <c r="Z2586" i="10"/>
  <c r="U2586" i="10"/>
  <c r="T2586" i="10"/>
  <c r="N2586" i="10"/>
  <c r="F2586" i="10"/>
  <c r="AI2585" i="10"/>
  <c r="AD2585" i="10"/>
  <c r="AC2585" i="10"/>
  <c r="AB2585" i="10"/>
  <c r="AA2585" i="10"/>
  <c r="Z2585" i="10"/>
  <c r="U2585" i="10"/>
  <c r="T2585" i="10"/>
  <c r="N2585" i="10"/>
  <c r="F2585" i="10"/>
  <c r="AI2584" i="10"/>
  <c r="AD2584" i="10"/>
  <c r="AC2584" i="10"/>
  <c r="AB2584" i="10"/>
  <c r="AA2584" i="10"/>
  <c r="Z2584" i="10"/>
  <c r="U2584" i="10"/>
  <c r="T2584" i="10"/>
  <c r="N2584" i="10"/>
  <c r="F2584" i="10"/>
  <c r="AI2583" i="10"/>
  <c r="AD2583" i="10"/>
  <c r="AC2583" i="10"/>
  <c r="AB2583" i="10"/>
  <c r="AA2583" i="10"/>
  <c r="Z2583" i="10"/>
  <c r="U2583" i="10"/>
  <c r="T2583" i="10"/>
  <c r="N2583" i="10"/>
  <c r="F2583" i="10"/>
  <c r="AI2582" i="10"/>
  <c r="AD2582" i="10"/>
  <c r="AC2582" i="10"/>
  <c r="AB2582" i="10"/>
  <c r="AA2582" i="10"/>
  <c r="Z2582" i="10"/>
  <c r="U2582" i="10"/>
  <c r="T2582" i="10"/>
  <c r="N2582" i="10"/>
  <c r="F2582" i="10"/>
  <c r="AI2581" i="10"/>
  <c r="AD2581" i="10"/>
  <c r="AC2581" i="10"/>
  <c r="AB2581" i="10"/>
  <c r="AA2581" i="10"/>
  <c r="Z2581" i="10"/>
  <c r="U2581" i="10"/>
  <c r="T2581" i="10"/>
  <c r="N2581" i="10"/>
  <c r="F2581" i="10"/>
  <c r="AI2580" i="10"/>
  <c r="AD2580" i="10"/>
  <c r="AC2580" i="10"/>
  <c r="AB2580" i="10"/>
  <c r="AA2580" i="10"/>
  <c r="Z2580" i="10"/>
  <c r="U2580" i="10"/>
  <c r="T2580" i="10"/>
  <c r="N2580" i="10"/>
  <c r="F2580" i="10"/>
  <c r="AI2579" i="10"/>
  <c r="AD2579" i="10"/>
  <c r="AC2579" i="10"/>
  <c r="AB2579" i="10"/>
  <c r="AA2579" i="10"/>
  <c r="Z2579" i="10"/>
  <c r="U2579" i="10"/>
  <c r="T2579" i="10"/>
  <c r="N2579" i="10"/>
  <c r="F2579" i="10"/>
  <c r="AI2578" i="10"/>
  <c r="AD2578" i="10"/>
  <c r="AC2578" i="10"/>
  <c r="AB2578" i="10"/>
  <c r="AA2578" i="10"/>
  <c r="Z2578" i="10"/>
  <c r="U2578" i="10"/>
  <c r="T2578" i="10"/>
  <c r="N2578" i="10"/>
  <c r="F2578" i="10"/>
  <c r="AI2577" i="10"/>
  <c r="AD2577" i="10"/>
  <c r="AC2577" i="10"/>
  <c r="AB2577" i="10"/>
  <c r="AA2577" i="10"/>
  <c r="Z2577" i="10"/>
  <c r="U2577" i="10"/>
  <c r="T2577" i="10"/>
  <c r="N2577" i="10"/>
  <c r="F2577" i="10"/>
  <c r="AI2576" i="10"/>
  <c r="AD2576" i="10"/>
  <c r="AC2576" i="10"/>
  <c r="AB2576" i="10"/>
  <c r="AA2576" i="10"/>
  <c r="Z2576" i="10"/>
  <c r="U2576" i="10"/>
  <c r="T2576" i="10"/>
  <c r="N2576" i="10"/>
  <c r="F2576" i="10"/>
  <c r="AI2575" i="10"/>
  <c r="AD2575" i="10"/>
  <c r="AC2575" i="10"/>
  <c r="AB2575" i="10"/>
  <c r="AA2575" i="10"/>
  <c r="Z2575" i="10"/>
  <c r="U2575" i="10"/>
  <c r="T2575" i="10"/>
  <c r="N2575" i="10"/>
  <c r="F2575" i="10"/>
  <c r="AI2574" i="10"/>
  <c r="AD2574" i="10"/>
  <c r="AC2574" i="10"/>
  <c r="AB2574" i="10"/>
  <c r="AA2574" i="10"/>
  <c r="Z2574" i="10"/>
  <c r="U2574" i="10"/>
  <c r="T2574" i="10"/>
  <c r="N2574" i="10"/>
  <c r="F2574" i="10"/>
  <c r="AI2573" i="10"/>
  <c r="AD2573" i="10"/>
  <c r="AC2573" i="10"/>
  <c r="AB2573" i="10"/>
  <c r="AA2573" i="10"/>
  <c r="Z2573" i="10"/>
  <c r="U2573" i="10"/>
  <c r="T2573" i="10"/>
  <c r="N2573" i="10"/>
  <c r="F2573" i="10"/>
  <c r="AI2572" i="10"/>
  <c r="AD2572" i="10"/>
  <c r="AC2572" i="10"/>
  <c r="AB2572" i="10"/>
  <c r="AA2572" i="10"/>
  <c r="Z2572" i="10"/>
  <c r="U2572" i="10"/>
  <c r="T2572" i="10"/>
  <c r="N2572" i="10"/>
  <c r="F2572" i="10"/>
  <c r="AI2571" i="10"/>
  <c r="AD2571" i="10"/>
  <c r="AC2571" i="10"/>
  <c r="AB2571" i="10"/>
  <c r="AA2571" i="10"/>
  <c r="Z2571" i="10"/>
  <c r="U2571" i="10"/>
  <c r="T2571" i="10"/>
  <c r="N2571" i="10"/>
  <c r="F2571" i="10"/>
  <c r="AI2570" i="10"/>
  <c r="AD2570" i="10"/>
  <c r="AC2570" i="10"/>
  <c r="AB2570" i="10"/>
  <c r="AA2570" i="10"/>
  <c r="Z2570" i="10"/>
  <c r="U2570" i="10"/>
  <c r="T2570" i="10"/>
  <c r="N2570" i="10"/>
  <c r="F2570" i="10"/>
  <c r="AI2569" i="10"/>
  <c r="AD2569" i="10"/>
  <c r="AC2569" i="10"/>
  <c r="AB2569" i="10"/>
  <c r="AA2569" i="10"/>
  <c r="Z2569" i="10"/>
  <c r="U2569" i="10"/>
  <c r="T2569" i="10"/>
  <c r="N2569" i="10"/>
  <c r="F2569" i="10"/>
  <c r="AI2568" i="10"/>
  <c r="AD2568" i="10"/>
  <c r="AC2568" i="10"/>
  <c r="AB2568" i="10"/>
  <c r="AA2568" i="10"/>
  <c r="Z2568" i="10"/>
  <c r="U2568" i="10"/>
  <c r="T2568" i="10"/>
  <c r="N2568" i="10"/>
  <c r="F2568" i="10"/>
  <c r="AI2567" i="10"/>
  <c r="AD2567" i="10"/>
  <c r="AC2567" i="10"/>
  <c r="AB2567" i="10"/>
  <c r="AA2567" i="10"/>
  <c r="Z2567" i="10"/>
  <c r="U2567" i="10"/>
  <c r="T2567" i="10"/>
  <c r="N2567" i="10"/>
  <c r="F2567" i="10"/>
  <c r="AI2566" i="10"/>
  <c r="AD2566" i="10"/>
  <c r="AC2566" i="10"/>
  <c r="AB2566" i="10"/>
  <c r="AA2566" i="10"/>
  <c r="Z2566" i="10"/>
  <c r="U2566" i="10"/>
  <c r="T2566" i="10"/>
  <c r="N2566" i="10"/>
  <c r="F2566" i="10"/>
  <c r="AI2565" i="10"/>
  <c r="AD2565" i="10"/>
  <c r="AC2565" i="10"/>
  <c r="AB2565" i="10"/>
  <c r="AA2565" i="10"/>
  <c r="Z2565" i="10"/>
  <c r="U2565" i="10"/>
  <c r="T2565" i="10"/>
  <c r="N2565" i="10"/>
  <c r="F2565" i="10"/>
  <c r="AI2564" i="10"/>
  <c r="AD2564" i="10"/>
  <c r="AC2564" i="10"/>
  <c r="AB2564" i="10"/>
  <c r="AA2564" i="10"/>
  <c r="Z2564" i="10"/>
  <c r="U2564" i="10"/>
  <c r="T2564" i="10"/>
  <c r="N2564" i="10"/>
  <c r="F2564" i="10"/>
  <c r="AI2563" i="10"/>
  <c r="AD2563" i="10"/>
  <c r="AC2563" i="10"/>
  <c r="AB2563" i="10"/>
  <c r="AA2563" i="10"/>
  <c r="Z2563" i="10"/>
  <c r="U2563" i="10"/>
  <c r="T2563" i="10"/>
  <c r="N2563" i="10"/>
  <c r="F2563" i="10"/>
  <c r="AI2562" i="10"/>
  <c r="AD2562" i="10"/>
  <c r="AC2562" i="10"/>
  <c r="AB2562" i="10"/>
  <c r="AA2562" i="10"/>
  <c r="Z2562" i="10"/>
  <c r="U2562" i="10"/>
  <c r="T2562" i="10"/>
  <c r="N2562" i="10"/>
  <c r="F2562" i="10"/>
  <c r="AI2561" i="10"/>
  <c r="AD2561" i="10"/>
  <c r="AC2561" i="10"/>
  <c r="AB2561" i="10"/>
  <c r="AA2561" i="10"/>
  <c r="Z2561" i="10"/>
  <c r="U2561" i="10"/>
  <c r="T2561" i="10"/>
  <c r="N2561" i="10"/>
  <c r="F2561" i="10"/>
  <c r="AI2560" i="10"/>
  <c r="AD2560" i="10"/>
  <c r="AC2560" i="10"/>
  <c r="AB2560" i="10"/>
  <c r="AA2560" i="10"/>
  <c r="Z2560" i="10"/>
  <c r="U2560" i="10"/>
  <c r="T2560" i="10"/>
  <c r="N2560" i="10"/>
  <c r="F2560" i="10"/>
  <c r="AI2559" i="10"/>
  <c r="AD2559" i="10"/>
  <c r="AC2559" i="10"/>
  <c r="AB2559" i="10"/>
  <c r="AA2559" i="10"/>
  <c r="Z2559" i="10"/>
  <c r="U2559" i="10"/>
  <c r="T2559" i="10"/>
  <c r="N2559" i="10"/>
  <c r="F2559" i="10"/>
  <c r="AI2558" i="10"/>
  <c r="AD2558" i="10"/>
  <c r="AC2558" i="10"/>
  <c r="AB2558" i="10"/>
  <c r="AA2558" i="10"/>
  <c r="Z2558" i="10"/>
  <c r="U2558" i="10"/>
  <c r="T2558" i="10"/>
  <c r="N2558" i="10"/>
  <c r="F2558" i="10"/>
  <c r="AI2557" i="10"/>
  <c r="AD2557" i="10"/>
  <c r="AC2557" i="10"/>
  <c r="AB2557" i="10"/>
  <c r="AA2557" i="10"/>
  <c r="Z2557" i="10"/>
  <c r="U2557" i="10"/>
  <c r="T2557" i="10"/>
  <c r="N2557" i="10"/>
  <c r="F2557" i="10"/>
  <c r="AI2556" i="10"/>
  <c r="AD2556" i="10"/>
  <c r="AC2556" i="10"/>
  <c r="AB2556" i="10"/>
  <c r="AA2556" i="10"/>
  <c r="Z2556" i="10"/>
  <c r="U2556" i="10"/>
  <c r="T2556" i="10"/>
  <c r="N2556" i="10"/>
  <c r="F2556" i="10"/>
  <c r="AI2555" i="10"/>
  <c r="AD2555" i="10"/>
  <c r="AC2555" i="10"/>
  <c r="AB2555" i="10"/>
  <c r="AA2555" i="10"/>
  <c r="Z2555" i="10"/>
  <c r="U2555" i="10"/>
  <c r="T2555" i="10"/>
  <c r="N2555" i="10"/>
  <c r="F2555" i="10"/>
  <c r="AI2554" i="10"/>
  <c r="AD2554" i="10"/>
  <c r="AC2554" i="10"/>
  <c r="AB2554" i="10"/>
  <c r="AA2554" i="10"/>
  <c r="Z2554" i="10"/>
  <c r="U2554" i="10"/>
  <c r="T2554" i="10"/>
  <c r="N2554" i="10"/>
  <c r="F2554" i="10"/>
  <c r="AI2553" i="10"/>
  <c r="AD2553" i="10"/>
  <c r="AC2553" i="10"/>
  <c r="AB2553" i="10"/>
  <c r="AA2553" i="10"/>
  <c r="Z2553" i="10"/>
  <c r="U2553" i="10"/>
  <c r="T2553" i="10"/>
  <c r="N2553" i="10"/>
  <c r="F2553" i="10"/>
  <c r="AI2552" i="10"/>
  <c r="AD2552" i="10"/>
  <c r="AC2552" i="10"/>
  <c r="AB2552" i="10"/>
  <c r="AA2552" i="10"/>
  <c r="Z2552" i="10"/>
  <c r="U2552" i="10"/>
  <c r="T2552" i="10"/>
  <c r="N2552" i="10"/>
  <c r="F2552" i="10"/>
  <c r="AI2551" i="10"/>
  <c r="AD2551" i="10"/>
  <c r="AC2551" i="10"/>
  <c r="AB2551" i="10"/>
  <c r="AA2551" i="10"/>
  <c r="Z2551" i="10"/>
  <c r="U2551" i="10"/>
  <c r="T2551" i="10"/>
  <c r="N2551" i="10"/>
  <c r="F2551" i="10"/>
  <c r="AI2550" i="10"/>
  <c r="AD2550" i="10"/>
  <c r="AC2550" i="10"/>
  <c r="AB2550" i="10"/>
  <c r="AA2550" i="10"/>
  <c r="Z2550" i="10"/>
  <c r="U2550" i="10"/>
  <c r="T2550" i="10"/>
  <c r="N2550" i="10"/>
  <c r="F2550" i="10"/>
  <c r="AI2549" i="10"/>
  <c r="AD2549" i="10"/>
  <c r="AC2549" i="10"/>
  <c r="AB2549" i="10"/>
  <c r="AA2549" i="10"/>
  <c r="Z2549" i="10"/>
  <c r="U2549" i="10"/>
  <c r="T2549" i="10"/>
  <c r="N2549" i="10"/>
  <c r="F2549" i="10"/>
  <c r="AI2548" i="10"/>
  <c r="AD2548" i="10"/>
  <c r="AC2548" i="10"/>
  <c r="AB2548" i="10"/>
  <c r="AA2548" i="10"/>
  <c r="Z2548" i="10"/>
  <c r="U2548" i="10"/>
  <c r="T2548" i="10"/>
  <c r="N2548" i="10"/>
  <c r="F2548" i="10"/>
  <c r="AI2547" i="10"/>
  <c r="AD2547" i="10"/>
  <c r="AC2547" i="10"/>
  <c r="AB2547" i="10"/>
  <c r="AA2547" i="10"/>
  <c r="Z2547" i="10"/>
  <c r="U2547" i="10"/>
  <c r="T2547" i="10"/>
  <c r="N2547" i="10"/>
  <c r="F2547" i="10"/>
  <c r="AI2546" i="10"/>
  <c r="AD2546" i="10"/>
  <c r="AC2546" i="10"/>
  <c r="AB2546" i="10"/>
  <c r="AA2546" i="10"/>
  <c r="Z2546" i="10"/>
  <c r="U2546" i="10"/>
  <c r="T2546" i="10"/>
  <c r="N2546" i="10"/>
  <c r="F2546" i="10"/>
  <c r="AI2545" i="10"/>
  <c r="AD2545" i="10"/>
  <c r="AC2545" i="10"/>
  <c r="AB2545" i="10"/>
  <c r="AA2545" i="10"/>
  <c r="Z2545" i="10"/>
  <c r="U2545" i="10"/>
  <c r="T2545" i="10"/>
  <c r="N2545" i="10"/>
  <c r="F2545" i="10"/>
  <c r="AI2544" i="10"/>
  <c r="AD2544" i="10"/>
  <c r="AC2544" i="10"/>
  <c r="AB2544" i="10"/>
  <c r="AA2544" i="10"/>
  <c r="Z2544" i="10"/>
  <c r="U2544" i="10"/>
  <c r="T2544" i="10"/>
  <c r="N2544" i="10"/>
  <c r="F2544" i="10"/>
  <c r="AI2543" i="10"/>
  <c r="AD2543" i="10"/>
  <c r="AC2543" i="10"/>
  <c r="AB2543" i="10"/>
  <c r="AA2543" i="10"/>
  <c r="Z2543" i="10"/>
  <c r="U2543" i="10"/>
  <c r="T2543" i="10"/>
  <c r="N2543" i="10"/>
  <c r="F2543" i="10"/>
  <c r="AI2542" i="10"/>
  <c r="AD2542" i="10"/>
  <c r="AC2542" i="10"/>
  <c r="AB2542" i="10"/>
  <c r="AA2542" i="10"/>
  <c r="Z2542" i="10"/>
  <c r="U2542" i="10"/>
  <c r="T2542" i="10"/>
  <c r="N2542" i="10"/>
  <c r="F2542" i="10"/>
  <c r="AI2541" i="10"/>
  <c r="AD2541" i="10"/>
  <c r="AC2541" i="10"/>
  <c r="AB2541" i="10"/>
  <c r="AA2541" i="10"/>
  <c r="Z2541" i="10"/>
  <c r="U2541" i="10"/>
  <c r="T2541" i="10"/>
  <c r="N2541" i="10"/>
  <c r="F2541" i="10"/>
  <c r="AI2540" i="10"/>
  <c r="AD2540" i="10"/>
  <c r="AC2540" i="10"/>
  <c r="AB2540" i="10"/>
  <c r="AA2540" i="10"/>
  <c r="Z2540" i="10"/>
  <c r="U2540" i="10"/>
  <c r="T2540" i="10"/>
  <c r="N2540" i="10"/>
  <c r="F2540" i="10"/>
  <c r="AI2539" i="10"/>
  <c r="AD2539" i="10"/>
  <c r="AC2539" i="10"/>
  <c r="AB2539" i="10"/>
  <c r="AA2539" i="10"/>
  <c r="Z2539" i="10"/>
  <c r="U2539" i="10"/>
  <c r="T2539" i="10"/>
  <c r="N2539" i="10"/>
  <c r="F2539" i="10"/>
  <c r="AI2538" i="10"/>
  <c r="AD2538" i="10"/>
  <c r="AC2538" i="10"/>
  <c r="AB2538" i="10"/>
  <c r="AA2538" i="10"/>
  <c r="Z2538" i="10"/>
  <c r="U2538" i="10"/>
  <c r="T2538" i="10"/>
  <c r="N2538" i="10"/>
  <c r="F2538" i="10"/>
  <c r="AI2537" i="10"/>
  <c r="AD2537" i="10"/>
  <c r="AC2537" i="10"/>
  <c r="AB2537" i="10"/>
  <c r="AA2537" i="10"/>
  <c r="Z2537" i="10"/>
  <c r="U2537" i="10"/>
  <c r="T2537" i="10"/>
  <c r="N2537" i="10"/>
  <c r="F2537" i="10"/>
  <c r="AI2536" i="10"/>
  <c r="AD2536" i="10"/>
  <c r="AC2536" i="10"/>
  <c r="AB2536" i="10"/>
  <c r="AA2536" i="10"/>
  <c r="Z2536" i="10"/>
  <c r="U2536" i="10"/>
  <c r="T2536" i="10"/>
  <c r="N2536" i="10"/>
  <c r="F2536" i="10"/>
  <c r="AI2535" i="10"/>
  <c r="AD2535" i="10"/>
  <c r="AC2535" i="10"/>
  <c r="AB2535" i="10"/>
  <c r="AA2535" i="10"/>
  <c r="Z2535" i="10"/>
  <c r="U2535" i="10"/>
  <c r="T2535" i="10"/>
  <c r="N2535" i="10"/>
  <c r="F2535" i="10"/>
  <c r="AI2534" i="10"/>
  <c r="AD2534" i="10"/>
  <c r="AC2534" i="10"/>
  <c r="AB2534" i="10"/>
  <c r="AA2534" i="10"/>
  <c r="Z2534" i="10"/>
  <c r="U2534" i="10"/>
  <c r="T2534" i="10"/>
  <c r="N2534" i="10"/>
  <c r="F2534" i="10"/>
  <c r="AI2533" i="10"/>
  <c r="AD2533" i="10"/>
  <c r="AC2533" i="10"/>
  <c r="AB2533" i="10"/>
  <c r="AA2533" i="10"/>
  <c r="Z2533" i="10"/>
  <c r="U2533" i="10"/>
  <c r="T2533" i="10"/>
  <c r="N2533" i="10"/>
  <c r="F2533" i="10"/>
  <c r="AI2532" i="10"/>
  <c r="AD2532" i="10"/>
  <c r="AC2532" i="10"/>
  <c r="AB2532" i="10"/>
  <c r="AA2532" i="10"/>
  <c r="Z2532" i="10"/>
  <c r="U2532" i="10"/>
  <c r="T2532" i="10"/>
  <c r="N2532" i="10"/>
  <c r="F2532" i="10"/>
  <c r="AI2531" i="10"/>
  <c r="AD2531" i="10"/>
  <c r="AC2531" i="10"/>
  <c r="AB2531" i="10"/>
  <c r="AA2531" i="10"/>
  <c r="Z2531" i="10"/>
  <c r="U2531" i="10"/>
  <c r="T2531" i="10"/>
  <c r="N2531" i="10"/>
  <c r="F2531" i="10"/>
  <c r="AI2530" i="10"/>
  <c r="AD2530" i="10"/>
  <c r="AC2530" i="10"/>
  <c r="AB2530" i="10"/>
  <c r="AA2530" i="10"/>
  <c r="Z2530" i="10"/>
  <c r="U2530" i="10"/>
  <c r="T2530" i="10"/>
  <c r="N2530" i="10"/>
  <c r="F2530" i="10"/>
  <c r="AI2529" i="10"/>
  <c r="AD2529" i="10"/>
  <c r="AC2529" i="10"/>
  <c r="AB2529" i="10"/>
  <c r="AA2529" i="10"/>
  <c r="Z2529" i="10"/>
  <c r="U2529" i="10"/>
  <c r="T2529" i="10"/>
  <c r="N2529" i="10"/>
  <c r="F2529" i="10"/>
  <c r="AI2528" i="10"/>
  <c r="AD2528" i="10"/>
  <c r="AC2528" i="10"/>
  <c r="AB2528" i="10"/>
  <c r="AA2528" i="10"/>
  <c r="Z2528" i="10"/>
  <c r="U2528" i="10"/>
  <c r="T2528" i="10"/>
  <c r="N2528" i="10"/>
  <c r="F2528" i="10"/>
  <c r="AI2527" i="10"/>
  <c r="AD2527" i="10"/>
  <c r="AC2527" i="10"/>
  <c r="AB2527" i="10"/>
  <c r="AA2527" i="10"/>
  <c r="Z2527" i="10"/>
  <c r="U2527" i="10"/>
  <c r="T2527" i="10"/>
  <c r="N2527" i="10"/>
  <c r="F2527" i="10"/>
  <c r="AI2526" i="10"/>
  <c r="AD2526" i="10"/>
  <c r="AC2526" i="10"/>
  <c r="AB2526" i="10"/>
  <c r="AA2526" i="10"/>
  <c r="Z2526" i="10"/>
  <c r="U2526" i="10"/>
  <c r="T2526" i="10"/>
  <c r="N2526" i="10"/>
  <c r="F2526" i="10"/>
  <c r="AI2525" i="10"/>
  <c r="AD2525" i="10"/>
  <c r="AC2525" i="10"/>
  <c r="AB2525" i="10"/>
  <c r="AA2525" i="10"/>
  <c r="Z2525" i="10"/>
  <c r="U2525" i="10"/>
  <c r="T2525" i="10"/>
  <c r="N2525" i="10"/>
  <c r="F2525" i="10"/>
  <c r="AI2524" i="10"/>
  <c r="AD2524" i="10"/>
  <c r="AC2524" i="10"/>
  <c r="AB2524" i="10"/>
  <c r="AA2524" i="10"/>
  <c r="Z2524" i="10"/>
  <c r="U2524" i="10"/>
  <c r="T2524" i="10"/>
  <c r="N2524" i="10"/>
  <c r="F2524" i="10"/>
  <c r="AI2523" i="10"/>
  <c r="AD2523" i="10"/>
  <c r="AC2523" i="10"/>
  <c r="AB2523" i="10"/>
  <c r="AA2523" i="10"/>
  <c r="Z2523" i="10"/>
  <c r="U2523" i="10"/>
  <c r="T2523" i="10"/>
  <c r="N2523" i="10"/>
  <c r="F2523" i="10"/>
  <c r="AI2522" i="10"/>
  <c r="AD2522" i="10"/>
  <c r="AC2522" i="10"/>
  <c r="AB2522" i="10"/>
  <c r="AA2522" i="10"/>
  <c r="Z2522" i="10"/>
  <c r="U2522" i="10"/>
  <c r="T2522" i="10"/>
  <c r="N2522" i="10"/>
  <c r="F2522" i="10"/>
  <c r="AI2521" i="10"/>
  <c r="AD2521" i="10"/>
  <c r="AC2521" i="10"/>
  <c r="AB2521" i="10"/>
  <c r="AA2521" i="10"/>
  <c r="Z2521" i="10"/>
  <c r="U2521" i="10"/>
  <c r="T2521" i="10"/>
  <c r="N2521" i="10"/>
  <c r="F2521" i="10"/>
  <c r="AI2520" i="10"/>
  <c r="AD2520" i="10"/>
  <c r="AC2520" i="10"/>
  <c r="AB2520" i="10"/>
  <c r="AA2520" i="10"/>
  <c r="Z2520" i="10"/>
  <c r="U2520" i="10"/>
  <c r="T2520" i="10"/>
  <c r="N2520" i="10"/>
  <c r="F2520" i="10"/>
  <c r="AI2519" i="10"/>
  <c r="AD2519" i="10"/>
  <c r="AC2519" i="10"/>
  <c r="AB2519" i="10"/>
  <c r="AA2519" i="10"/>
  <c r="Z2519" i="10"/>
  <c r="U2519" i="10"/>
  <c r="T2519" i="10"/>
  <c r="N2519" i="10"/>
  <c r="F2519" i="10"/>
  <c r="AI2518" i="10"/>
  <c r="AD2518" i="10"/>
  <c r="AC2518" i="10"/>
  <c r="AB2518" i="10"/>
  <c r="AA2518" i="10"/>
  <c r="Z2518" i="10"/>
  <c r="U2518" i="10"/>
  <c r="T2518" i="10"/>
  <c r="N2518" i="10"/>
  <c r="F2518" i="10"/>
  <c r="AI2517" i="10"/>
  <c r="AD2517" i="10"/>
  <c r="AC2517" i="10"/>
  <c r="AB2517" i="10"/>
  <c r="AA2517" i="10"/>
  <c r="Z2517" i="10"/>
  <c r="U2517" i="10"/>
  <c r="T2517" i="10"/>
  <c r="N2517" i="10"/>
  <c r="F2517" i="10"/>
  <c r="AI2516" i="10"/>
  <c r="AD2516" i="10"/>
  <c r="AC2516" i="10"/>
  <c r="AB2516" i="10"/>
  <c r="AA2516" i="10"/>
  <c r="Z2516" i="10"/>
  <c r="U2516" i="10"/>
  <c r="T2516" i="10"/>
  <c r="N2516" i="10"/>
  <c r="F2516" i="10"/>
  <c r="AI2515" i="10"/>
  <c r="AD2515" i="10"/>
  <c r="AC2515" i="10"/>
  <c r="AB2515" i="10"/>
  <c r="AA2515" i="10"/>
  <c r="Z2515" i="10"/>
  <c r="U2515" i="10"/>
  <c r="T2515" i="10"/>
  <c r="N2515" i="10"/>
  <c r="F2515" i="10"/>
  <c r="AI2514" i="10"/>
  <c r="AD2514" i="10"/>
  <c r="AC2514" i="10"/>
  <c r="AB2514" i="10"/>
  <c r="AA2514" i="10"/>
  <c r="Z2514" i="10"/>
  <c r="U2514" i="10"/>
  <c r="T2514" i="10"/>
  <c r="N2514" i="10"/>
  <c r="F2514" i="10"/>
  <c r="AI2513" i="10"/>
  <c r="AD2513" i="10"/>
  <c r="AC2513" i="10"/>
  <c r="AB2513" i="10"/>
  <c r="AA2513" i="10"/>
  <c r="Z2513" i="10"/>
  <c r="U2513" i="10"/>
  <c r="T2513" i="10"/>
  <c r="N2513" i="10"/>
  <c r="F2513" i="10"/>
  <c r="AI2512" i="10"/>
  <c r="AD2512" i="10"/>
  <c r="AC2512" i="10"/>
  <c r="AB2512" i="10"/>
  <c r="AA2512" i="10"/>
  <c r="Z2512" i="10"/>
  <c r="U2512" i="10"/>
  <c r="T2512" i="10"/>
  <c r="N2512" i="10"/>
  <c r="F2512" i="10"/>
  <c r="AI2511" i="10"/>
  <c r="AD2511" i="10"/>
  <c r="AC2511" i="10"/>
  <c r="AB2511" i="10"/>
  <c r="AA2511" i="10"/>
  <c r="Z2511" i="10"/>
  <c r="U2511" i="10"/>
  <c r="T2511" i="10"/>
  <c r="N2511" i="10"/>
  <c r="F2511" i="10"/>
  <c r="AI2510" i="10"/>
  <c r="AD2510" i="10"/>
  <c r="AC2510" i="10"/>
  <c r="AB2510" i="10"/>
  <c r="AA2510" i="10"/>
  <c r="Z2510" i="10"/>
  <c r="U2510" i="10"/>
  <c r="T2510" i="10"/>
  <c r="N2510" i="10"/>
  <c r="F2510" i="10"/>
  <c r="AI2509" i="10"/>
  <c r="AD2509" i="10"/>
  <c r="AC2509" i="10"/>
  <c r="AB2509" i="10"/>
  <c r="AA2509" i="10"/>
  <c r="Z2509" i="10"/>
  <c r="U2509" i="10"/>
  <c r="T2509" i="10"/>
  <c r="N2509" i="10"/>
  <c r="F2509" i="10"/>
  <c r="AI2508" i="10"/>
  <c r="AD2508" i="10"/>
  <c r="AC2508" i="10"/>
  <c r="AB2508" i="10"/>
  <c r="AA2508" i="10"/>
  <c r="Z2508" i="10"/>
  <c r="U2508" i="10"/>
  <c r="T2508" i="10"/>
  <c r="N2508" i="10"/>
  <c r="F2508" i="10"/>
  <c r="AI2507" i="10"/>
  <c r="AD2507" i="10"/>
  <c r="AC2507" i="10"/>
  <c r="AB2507" i="10"/>
  <c r="AA2507" i="10"/>
  <c r="Z2507" i="10"/>
  <c r="U2507" i="10"/>
  <c r="T2507" i="10"/>
  <c r="N2507" i="10"/>
  <c r="F2507" i="10"/>
  <c r="AI2506" i="10"/>
  <c r="AD2506" i="10"/>
  <c r="AC2506" i="10"/>
  <c r="AB2506" i="10"/>
  <c r="AA2506" i="10"/>
  <c r="Z2506" i="10"/>
  <c r="U2506" i="10"/>
  <c r="T2506" i="10"/>
  <c r="N2506" i="10"/>
  <c r="F2506" i="10"/>
  <c r="AI2505" i="10"/>
  <c r="AD2505" i="10"/>
  <c r="AC2505" i="10"/>
  <c r="AB2505" i="10"/>
  <c r="AA2505" i="10"/>
  <c r="Z2505" i="10"/>
  <c r="U2505" i="10"/>
  <c r="T2505" i="10"/>
  <c r="N2505" i="10"/>
  <c r="F2505" i="10"/>
  <c r="AI2504" i="10"/>
  <c r="AD2504" i="10"/>
  <c r="AC2504" i="10"/>
  <c r="AB2504" i="10"/>
  <c r="AA2504" i="10"/>
  <c r="Z2504" i="10"/>
  <c r="U2504" i="10"/>
  <c r="T2504" i="10"/>
  <c r="N2504" i="10"/>
  <c r="F2504" i="10"/>
  <c r="AI2503" i="10"/>
  <c r="AD2503" i="10"/>
  <c r="AC2503" i="10"/>
  <c r="AB2503" i="10"/>
  <c r="AA2503" i="10"/>
  <c r="Z2503" i="10"/>
  <c r="U2503" i="10"/>
  <c r="T2503" i="10"/>
  <c r="N2503" i="10"/>
  <c r="F2503" i="10"/>
  <c r="AI2502" i="10"/>
  <c r="AD2502" i="10"/>
  <c r="AC2502" i="10"/>
  <c r="AB2502" i="10"/>
  <c r="AA2502" i="10"/>
  <c r="Z2502" i="10"/>
  <c r="U2502" i="10"/>
  <c r="T2502" i="10"/>
  <c r="N2502" i="10"/>
  <c r="F2502" i="10"/>
  <c r="AI2501" i="10"/>
  <c r="AD2501" i="10"/>
  <c r="AC2501" i="10"/>
  <c r="AB2501" i="10"/>
  <c r="AA2501" i="10"/>
  <c r="Z2501" i="10"/>
  <c r="U2501" i="10"/>
  <c r="T2501" i="10"/>
  <c r="N2501" i="10"/>
  <c r="F2501" i="10"/>
  <c r="AI2500" i="10"/>
  <c r="AD2500" i="10"/>
  <c r="AC2500" i="10"/>
  <c r="AB2500" i="10"/>
  <c r="AA2500" i="10"/>
  <c r="Z2500" i="10"/>
  <c r="U2500" i="10"/>
  <c r="T2500" i="10"/>
  <c r="N2500" i="10"/>
  <c r="F2500" i="10"/>
  <c r="AI2499" i="10"/>
  <c r="AD2499" i="10"/>
  <c r="AC2499" i="10"/>
  <c r="AB2499" i="10"/>
  <c r="AA2499" i="10"/>
  <c r="Z2499" i="10"/>
  <c r="U2499" i="10"/>
  <c r="T2499" i="10"/>
  <c r="N2499" i="10"/>
  <c r="F2499" i="10"/>
  <c r="AI2498" i="10"/>
  <c r="AD2498" i="10"/>
  <c r="AC2498" i="10"/>
  <c r="AB2498" i="10"/>
  <c r="AA2498" i="10"/>
  <c r="Z2498" i="10"/>
  <c r="U2498" i="10"/>
  <c r="T2498" i="10"/>
  <c r="N2498" i="10"/>
  <c r="F2498" i="10"/>
  <c r="AI2497" i="10"/>
  <c r="AD2497" i="10"/>
  <c r="AC2497" i="10"/>
  <c r="AB2497" i="10"/>
  <c r="AA2497" i="10"/>
  <c r="Z2497" i="10"/>
  <c r="U2497" i="10"/>
  <c r="T2497" i="10"/>
  <c r="N2497" i="10"/>
  <c r="F2497" i="10"/>
  <c r="AI2496" i="10"/>
  <c r="AD2496" i="10"/>
  <c r="AC2496" i="10"/>
  <c r="AB2496" i="10"/>
  <c r="AA2496" i="10"/>
  <c r="Z2496" i="10"/>
  <c r="U2496" i="10"/>
  <c r="T2496" i="10"/>
  <c r="N2496" i="10"/>
  <c r="F2496" i="10"/>
  <c r="AI2495" i="10"/>
  <c r="AD2495" i="10"/>
  <c r="AC2495" i="10"/>
  <c r="AB2495" i="10"/>
  <c r="AA2495" i="10"/>
  <c r="Z2495" i="10"/>
  <c r="U2495" i="10"/>
  <c r="T2495" i="10"/>
  <c r="N2495" i="10"/>
  <c r="F2495" i="10"/>
  <c r="AI2494" i="10"/>
  <c r="AD2494" i="10"/>
  <c r="AC2494" i="10"/>
  <c r="AB2494" i="10"/>
  <c r="AA2494" i="10"/>
  <c r="Z2494" i="10"/>
  <c r="U2494" i="10"/>
  <c r="T2494" i="10"/>
  <c r="N2494" i="10"/>
  <c r="F2494" i="10"/>
  <c r="AI2493" i="10"/>
  <c r="AD2493" i="10"/>
  <c r="AC2493" i="10"/>
  <c r="AB2493" i="10"/>
  <c r="AA2493" i="10"/>
  <c r="Z2493" i="10"/>
  <c r="U2493" i="10"/>
  <c r="T2493" i="10"/>
  <c r="N2493" i="10"/>
  <c r="F2493" i="10"/>
  <c r="AI2492" i="10"/>
  <c r="AD2492" i="10"/>
  <c r="AC2492" i="10"/>
  <c r="AB2492" i="10"/>
  <c r="AA2492" i="10"/>
  <c r="Z2492" i="10"/>
  <c r="U2492" i="10"/>
  <c r="T2492" i="10"/>
  <c r="N2492" i="10"/>
  <c r="F2492" i="10"/>
  <c r="AI2491" i="10"/>
  <c r="AD2491" i="10"/>
  <c r="AC2491" i="10"/>
  <c r="AB2491" i="10"/>
  <c r="AA2491" i="10"/>
  <c r="Z2491" i="10"/>
  <c r="U2491" i="10"/>
  <c r="T2491" i="10"/>
  <c r="N2491" i="10"/>
  <c r="F2491" i="10"/>
  <c r="AI2490" i="10"/>
  <c r="AD2490" i="10"/>
  <c r="AC2490" i="10"/>
  <c r="AB2490" i="10"/>
  <c r="AA2490" i="10"/>
  <c r="Z2490" i="10"/>
  <c r="U2490" i="10"/>
  <c r="T2490" i="10"/>
  <c r="N2490" i="10"/>
  <c r="F2490" i="10"/>
  <c r="AI2489" i="10"/>
  <c r="AD2489" i="10"/>
  <c r="AC2489" i="10"/>
  <c r="AB2489" i="10"/>
  <c r="AA2489" i="10"/>
  <c r="Z2489" i="10"/>
  <c r="U2489" i="10"/>
  <c r="T2489" i="10"/>
  <c r="N2489" i="10"/>
  <c r="F2489" i="10"/>
  <c r="AI2488" i="10"/>
  <c r="AD2488" i="10"/>
  <c r="AC2488" i="10"/>
  <c r="AB2488" i="10"/>
  <c r="AA2488" i="10"/>
  <c r="Z2488" i="10"/>
  <c r="U2488" i="10"/>
  <c r="T2488" i="10"/>
  <c r="N2488" i="10"/>
  <c r="F2488" i="10"/>
  <c r="AI2487" i="10"/>
  <c r="AD2487" i="10"/>
  <c r="AC2487" i="10"/>
  <c r="AB2487" i="10"/>
  <c r="AA2487" i="10"/>
  <c r="Z2487" i="10"/>
  <c r="U2487" i="10"/>
  <c r="T2487" i="10"/>
  <c r="N2487" i="10"/>
  <c r="F2487" i="10"/>
  <c r="AI2486" i="10"/>
  <c r="AD2486" i="10"/>
  <c r="AC2486" i="10"/>
  <c r="AB2486" i="10"/>
  <c r="AA2486" i="10"/>
  <c r="Z2486" i="10"/>
  <c r="U2486" i="10"/>
  <c r="T2486" i="10"/>
  <c r="N2486" i="10"/>
  <c r="F2486" i="10"/>
  <c r="AI2485" i="10"/>
  <c r="AD2485" i="10"/>
  <c r="AC2485" i="10"/>
  <c r="AB2485" i="10"/>
  <c r="AA2485" i="10"/>
  <c r="Z2485" i="10"/>
  <c r="U2485" i="10"/>
  <c r="T2485" i="10"/>
  <c r="N2485" i="10"/>
  <c r="F2485" i="10"/>
  <c r="AI2484" i="10"/>
  <c r="AD2484" i="10"/>
  <c r="AC2484" i="10"/>
  <c r="AB2484" i="10"/>
  <c r="AA2484" i="10"/>
  <c r="Z2484" i="10"/>
  <c r="U2484" i="10"/>
  <c r="T2484" i="10"/>
  <c r="N2484" i="10"/>
  <c r="F2484" i="10"/>
  <c r="AI2483" i="10"/>
  <c r="AD2483" i="10"/>
  <c r="AC2483" i="10"/>
  <c r="AB2483" i="10"/>
  <c r="AA2483" i="10"/>
  <c r="Z2483" i="10"/>
  <c r="U2483" i="10"/>
  <c r="T2483" i="10"/>
  <c r="N2483" i="10"/>
  <c r="F2483" i="10"/>
  <c r="AI2482" i="10"/>
  <c r="AD2482" i="10"/>
  <c r="AC2482" i="10"/>
  <c r="AB2482" i="10"/>
  <c r="AA2482" i="10"/>
  <c r="Z2482" i="10"/>
  <c r="U2482" i="10"/>
  <c r="T2482" i="10"/>
  <c r="N2482" i="10"/>
  <c r="F2482" i="10"/>
  <c r="AI2481" i="10"/>
  <c r="AD2481" i="10"/>
  <c r="AC2481" i="10"/>
  <c r="AB2481" i="10"/>
  <c r="AA2481" i="10"/>
  <c r="Z2481" i="10"/>
  <c r="U2481" i="10"/>
  <c r="T2481" i="10"/>
  <c r="N2481" i="10"/>
  <c r="F2481" i="10"/>
  <c r="AI2480" i="10"/>
  <c r="AD2480" i="10"/>
  <c r="AC2480" i="10"/>
  <c r="AB2480" i="10"/>
  <c r="AA2480" i="10"/>
  <c r="Z2480" i="10"/>
  <c r="U2480" i="10"/>
  <c r="T2480" i="10"/>
  <c r="N2480" i="10"/>
  <c r="F2480" i="10"/>
  <c r="AI2479" i="10"/>
  <c r="AD2479" i="10"/>
  <c r="AC2479" i="10"/>
  <c r="AB2479" i="10"/>
  <c r="AA2479" i="10"/>
  <c r="Z2479" i="10"/>
  <c r="U2479" i="10"/>
  <c r="T2479" i="10"/>
  <c r="N2479" i="10"/>
  <c r="F2479" i="10"/>
  <c r="AI2478" i="10"/>
  <c r="AD2478" i="10"/>
  <c r="AC2478" i="10"/>
  <c r="AB2478" i="10"/>
  <c r="AA2478" i="10"/>
  <c r="Z2478" i="10"/>
  <c r="U2478" i="10"/>
  <c r="T2478" i="10"/>
  <c r="N2478" i="10"/>
  <c r="F2478" i="10"/>
  <c r="AI2477" i="10"/>
  <c r="AD2477" i="10"/>
  <c r="AC2477" i="10"/>
  <c r="AB2477" i="10"/>
  <c r="AA2477" i="10"/>
  <c r="Z2477" i="10"/>
  <c r="U2477" i="10"/>
  <c r="T2477" i="10"/>
  <c r="N2477" i="10"/>
  <c r="F2477" i="10"/>
  <c r="AI2476" i="10"/>
  <c r="AD2476" i="10"/>
  <c r="AC2476" i="10"/>
  <c r="AB2476" i="10"/>
  <c r="AA2476" i="10"/>
  <c r="Z2476" i="10"/>
  <c r="U2476" i="10"/>
  <c r="T2476" i="10"/>
  <c r="N2476" i="10"/>
  <c r="F2476" i="10"/>
  <c r="AI2475" i="10"/>
  <c r="AD2475" i="10"/>
  <c r="AC2475" i="10"/>
  <c r="AB2475" i="10"/>
  <c r="AA2475" i="10"/>
  <c r="Z2475" i="10"/>
  <c r="U2475" i="10"/>
  <c r="T2475" i="10"/>
  <c r="N2475" i="10"/>
  <c r="F2475" i="10"/>
  <c r="AI2474" i="10"/>
  <c r="AD2474" i="10"/>
  <c r="AC2474" i="10"/>
  <c r="AB2474" i="10"/>
  <c r="AA2474" i="10"/>
  <c r="Z2474" i="10"/>
  <c r="U2474" i="10"/>
  <c r="T2474" i="10"/>
  <c r="N2474" i="10"/>
  <c r="F2474" i="10"/>
  <c r="AI2473" i="10"/>
  <c r="AD2473" i="10"/>
  <c r="AC2473" i="10"/>
  <c r="AB2473" i="10"/>
  <c r="AA2473" i="10"/>
  <c r="Z2473" i="10"/>
  <c r="U2473" i="10"/>
  <c r="T2473" i="10"/>
  <c r="N2473" i="10"/>
  <c r="F2473" i="10"/>
  <c r="AI2472" i="10"/>
  <c r="AD2472" i="10"/>
  <c r="AC2472" i="10"/>
  <c r="AB2472" i="10"/>
  <c r="AA2472" i="10"/>
  <c r="Z2472" i="10"/>
  <c r="U2472" i="10"/>
  <c r="T2472" i="10"/>
  <c r="N2472" i="10"/>
  <c r="F2472" i="10"/>
  <c r="AI2471" i="10"/>
  <c r="AD2471" i="10"/>
  <c r="AC2471" i="10"/>
  <c r="AB2471" i="10"/>
  <c r="AA2471" i="10"/>
  <c r="Z2471" i="10"/>
  <c r="U2471" i="10"/>
  <c r="T2471" i="10"/>
  <c r="N2471" i="10"/>
  <c r="F2471" i="10"/>
  <c r="AI2470" i="10"/>
  <c r="AD2470" i="10"/>
  <c r="AC2470" i="10"/>
  <c r="AB2470" i="10"/>
  <c r="AA2470" i="10"/>
  <c r="Z2470" i="10"/>
  <c r="U2470" i="10"/>
  <c r="T2470" i="10"/>
  <c r="N2470" i="10"/>
  <c r="F2470" i="10"/>
  <c r="AI2469" i="10"/>
  <c r="AD2469" i="10"/>
  <c r="AC2469" i="10"/>
  <c r="AB2469" i="10"/>
  <c r="AA2469" i="10"/>
  <c r="Z2469" i="10"/>
  <c r="U2469" i="10"/>
  <c r="T2469" i="10"/>
  <c r="N2469" i="10"/>
  <c r="F2469" i="10"/>
  <c r="AI2468" i="10"/>
  <c r="AD2468" i="10"/>
  <c r="AC2468" i="10"/>
  <c r="AB2468" i="10"/>
  <c r="AA2468" i="10"/>
  <c r="Z2468" i="10"/>
  <c r="U2468" i="10"/>
  <c r="T2468" i="10"/>
  <c r="N2468" i="10"/>
  <c r="F2468" i="10"/>
  <c r="AI2467" i="10"/>
  <c r="AD2467" i="10"/>
  <c r="AC2467" i="10"/>
  <c r="AB2467" i="10"/>
  <c r="AA2467" i="10"/>
  <c r="Z2467" i="10"/>
  <c r="U2467" i="10"/>
  <c r="T2467" i="10"/>
  <c r="N2467" i="10"/>
  <c r="F2467" i="10"/>
  <c r="AI2466" i="10"/>
  <c r="AD2466" i="10"/>
  <c r="AC2466" i="10"/>
  <c r="AB2466" i="10"/>
  <c r="AA2466" i="10"/>
  <c r="Z2466" i="10"/>
  <c r="U2466" i="10"/>
  <c r="T2466" i="10"/>
  <c r="N2466" i="10"/>
  <c r="F2466" i="10"/>
  <c r="AI2465" i="10"/>
  <c r="AD2465" i="10"/>
  <c r="AC2465" i="10"/>
  <c r="AB2465" i="10"/>
  <c r="AA2465" i="10"/>
  <c r="Z2465" i="10"/>
  <c r="U2465" i="10"/>
  <c r="T2465" i="10"/>
  <c r="N2465" i="10"/>
  <c r="F2465" i="10"/>
  <c r="AI2464" i="10"/>
  <c r="AD2464" i="10"/>
  <c r="AC2464" i="10"/>
  <c r="AB2464" i="10"/>
  <c r="AA2464" i="10"/>
  <c r="Z2464" i="10"/>
  <c r="U2464" i="10"/>
  <c r="T2464" i="10"/>
  <c r="N2464" i="10"/>
  <c r="F2464" i="10"/>
  <c r="AI2463" i="10"/>
  <c r="AD2463" i="10"/>
  <c r="AC2463" i="10"/>
  <c r="AB2463" i="10"/>
  <c r="AA2463" i="10"/>
  <c r="Z2463" i="10"/>
  <c r="U2463" i="10"/>
  <c r="T2463" i="10"/>
  <c r="N2463" i="10"/>
  <c r="F2463" i="10"/>
  <c r="AI2462" i="10"/>
  <c r="AD2462" i="10"/>
  <c r="AC2462" i="10"/>
  <c r="AB2462" i="10"/>
  <c r="AA2462" i="10"/>
  <c r="Z2462" i="10"/>
  <c r="U2462" i="10"/>
  <c r="T2462" i="10"/>
  <c r="N2462" i="10"/>
  <c r="F2462" i="10"/>
  <c r="AI2461" i="10"/>
  <c r="AD2461" i="10"/>
  <c r="AC2461" i="10"/>
  <c r="AB2461" i="10"/>
  <c r="AA2461" i="10"/>
  <c r="Z2461" i="10"/>
  <c r="U2461" i="10"/>
  <c r="T2461" i="10"/>
  <c r="N2461" i="10"/>
  <c r="F2461" i="10"/>
  <c r="AI2460" i="10"/>
  <c r="AD2460" i="10"/>
  <c r="AC2460" i="10"/>
  <c r="AB2460" i="10"/>
  <c r="AA2460" i="10"/>
  <c r="Z2460" i="10"/>
  <c r="U2460" i="10"/>
  <c r="T2460" i="10"/>
  <c r="N2460" i="10"/>
  <c r="F2460" i="10"/>
  <c r="AI2459" i="10"/>
  <c r="AD2459" i="10"/>
  <c r="AC2459" i="10"/>
  <c r="AB2459" i="10"/>
  <c r="AA2459" i="10"/>
  <c r="Z2459" i="10"/>
  <c r="U2459" i="10"/>
  <c r="T2459" i="10"/>
  <c r="N2459" i="10"/>
  <c r="F2459" i="10"/>
  <c r="AI2458" i="10"/>
  <c r="AD2458" i="10"/>
  <c r="AC2458" i="10"/>
  <c r="AB2458" i="10"/>
  <c r="AA2458" i="10"/>
  <c r="Z2458" i="10"/>
  <c r="U2458" i="10"/>
  <c r="T2458" i="10"/>
  <c r="N2458" i="10"/>
  <c r="F2458" i="10"/>
  <c r="AI2457" i="10"/>
  <c r="AD2457" i="10"/>
  <c r="AC2457" i="10"/>
  <c r="AB2457" i="10"/>
  <c r="AA2457" i="10"/>
  <c r="Z2457" i="10"/>
  <c r="U2457" i="10"/>
  <c r="T2457" i="10"/>
  <c r="N2457" i="10"/>
  <c r="F2457" i="10"/>
  <c r="AI2456" i="10"/>
  <c r="AD2456" i="10"/>
  <c r="AC2456" i="10"/>
  <c r="AB2456" i="10"/>
  <c r="AA2456" i="10"/>
  <c r="Z2456" i="10"/>
  <c r="U2456" i="10"/>
  <c r="T2456" i="10"/>
  <c r="N2456" i="10"/>
  <c r="F2456" i="10"/>
  <c r="AI2455" i="10"/>
  <c r="AD2455" i="10"/>
  <c r="AC2455" i="10"/>
  <c r="AB2455" i="10"/>
  <c r="AA2455" i="10"/>
  <c r="Z2455" i="10"/>
  <c r="U2455" i="10"/>
  <c r="T2455" i="10"/>
  <c r="N2455" i="10"/>
  <c r="F2455" i="10"/>
  <c r="AI2454" i="10"/>
  <c r="AD2454" i="10"/>
  <c r="AC2454" i="10"/>
  <c r="AB2454" i="10"/>
  <c r="AA2454" i="10"/>
  <c r="Z2454" i="10"/>
  <c r="U2454" i="10"/>
  <c r="T2454" i="10"/>
  <c r="N2454" i="10"/>
  <c r="F2454" i="10"/>
  <c r="AI2453" i="10"/>
  <c r="AD2453" i="10"/>
  <c r="AC2453" i="10"/>
  <c r="AB2453" i="10"/>
  <c r="AA2453" i="10"/>
  <c r="Z2453" i="10"/>
  <c r="U2453" i="10"/>
  <c r="T2453" i="10"/>
  <c r="N2453" i="10"/>
  <c r="F2453" i="10"/>
  <c r="AI2452" i="10"/>
  <c r="AD2452" i="10"/>
  <c r="AC2452" i="10"/>
  <c r="AB2452" i="10"/>
  <c r="AA2452" i="10"/>
  <c r="Z2452" i="10"/>
  <c r="U2452" i="10"/>
  <c r="T2452" i="10"/>
  <c r="N2452" i="10"/>
  <c r="F2452" i="10"/>
  <c r="AI2451" i="10"/>
  <c r="AD2451" i="10"/>
  <c r="AC2451" i="10"/>
  <c r="AB2451" i="10"/>
  <c r="AA2451" i="10"/>
  <c r="Z2451" i="10"/>
  <c r="U2451" i="10"/>
  <c r="T2451" i="10"/>
  <c r="N2451" i="10"/>
  <c r="F2451" i="10"/>
  <c r="AI2450" i="10"/>
  <c r="AD2450" i="10"/>
  <c r="AC2450" i="10"/>
  <c r="AB2450" i="10"/>
  <c r="AA2450" i="10"/>
  <c r="Z2450" i="10"/>
  <c r="U2450" i="10"/>
  <c r="T2450" i="10"/>
  <c r="N2450" i="10"/>
  <c r="F2450" i="10"/>
  <c r="AI2449" i="10"/>
  <c r="AD2449" i="10"/>
  <c r="AC2449" i="10"/>
  <c r="AB2449" i="10"/>
  <c r="AA2449" i="10"/>
  <c r="Z2449" i="10"/>
  <c r="U2449" i="10"/>
  <c r="T2449" i="10"/>
  <c r="N2449" i="10"/>
  <c r="F2449" i="10"/>
  <c r="AI2448" i="10"/>
  <c r="AD2448" i="10"/>
  <c r="AC2448" i="10"/>
  <c r="AB2448" i="10"/>
  <c r="AA2448" i="10"/>
  <c r="Z2448" i="10"/>
  <c r="U2448" i="10"/>
  <c r="T2448" i="10"/>
  <c r="N2448" i="10"/>
  <c r="F2448" i="10"/>
  <c r="AI2447" i="10"/>
  <c r="AD2447" i="10"/>
  <c r="AC2447" i="10"/>
  <c r="AB2447" i="10"/>
  <c r="AA2447" i="10"/>
  <c r="Z2447" i="10"/>
  <c r="U2447" i="10"/>
  <c r="T2447" i="10"/>
  <c r="N2447" i="10"/>
  <c r="F2447" i="10"/>
  <c r="AI2446" i="10"/>
  <c r="AD2446" i="10"/>
  <c r="AC2446" i="10"/>
  <c r="AB2446" i="10"/>
  <c r="AA2446" i="10"/>
  <c r="Z2446" i="10"/>
  <c r="U2446" i="10"/>
  <c r="T2446" i="10"/>
  <c r="N2446" i="10"/>
  <c r="F2446" i="10"/>
  <c r="AI2445" i="10"/>
  <c r="AD2445" i="10"/>
  <c r="AC2445" i="10"/>
  <c r="AB2445" i="10"/>
  <c r="AA2445" i="10"/>
  <c r="Z2445" i="10"/>
  <c r="U2445" i="10"/>
  <c r="T2445" i="10"/>
  <c r="N2445" i="10"/>
  <c r="F2445" i="10"/>
  <c r="AI2444" i="10"/>
  <c r="AD2444" i="10"/>
  <c r="AC2444" i="10"/>
  <c r="AB2444" i="10"/>
  <c r="AA2444" i="10"/>
  <c r="Z2444" i="10"/>
  <c r="U2444" i="10"/>
  <c r="T2444" i="10"/>
  <c r="N2444" i="10"/>
  <c r="F2444" i="10"/>
  <c r="AI2443" i="10"/>
  <c r="AD2443" i="10"/>
  <c r="AC2443" i="10"/>
  <c r="AB2443" i="10"/>
  <c r="AA2443" i="10"/>
  <c r="Z2443" i="10"/>
  <c r="U2443" i="10"/>
  <c r="T2443" i="10"/>
  <c r="N2443" i="10"/>
  <c r="F2443" i="10"/>
  <c r="AI2442" i="10"/>
  <c r="AD2442" i="10"/>
  <c r="AC2442" i="10"/>
  <c r="AB2442" i="10"/>
  <c r="AA2442" i="10"/>
  <c r="Z2442" i="10"/>
  <c r="U2442" i="10"/>
  <c r="T2442" i="10"/>
  <c r="N2442" i="10"/>
  <c r="F2442" i="10"/>
  <c r="AI2441" i="10"/>
  <c r="AD2441" i="10"/>
  <c r="AC2441" i="10"/>
  <c r="AB2441" i="10"/>
  <c r="AA2441" i="10"/>
  <c r="Z2441" i="10"/>
  <c r="U2441" i="10"/>
  <c r="T2441" i="10"/>
  <c r="N2441" i="10"/>
  <c r="F2441" i="10"/>
  <c r="AI2440" i="10"/>
  <c r="AD2440" i="10"/>
  <c r="AC2440" i="10"/>
  <c r="AB2440" i="10"/>
  <c r="AA2440" i="10"/>
  <c r="Z2440" i="10"/>
  <c r="U2440" i="10"/>
  <c r="T2440" i="10"/>
  <c r="N2440" i="10"/>
  <c r="F2440" i="10"/>
  <c r="AI2439" i="10"/>
  <c r="AD2439" i="10"/>
  <c r="AC2439" i="10"/>
  <c r="AB2439" i="10"/>
  <c r="AA2439" i="10"/>
  <c r="Z2439" i="10"/>
  <c r="U2439" i="10"/>
  <c r="T2439" i="10"/>
  <c r="N2439" i="10"/>
  <c r="F2439" i="10"/>
  <c r="AI2438" i="10"/>
  <c r="AD2438" i="10"/>
  <c r="AC2438" i="10"/>
  <c r="AB2438" i="10"/>
  <c r="AA2438" i="10"/>
  <c r="Z2438" i="10"/>
  <c r="U2438" i="10"/>
  <c r="T2438" i="10"/>
  <c r="N2438" i="10"/>
  <c r="F2438" i="10"/>
  <c r="AI2437" i="10"/>
  <c r="AD2437" i="10"/>
  <c r="AC2437" i="10"/>
  <c r="AB2437" i="10"/>
  <c r="AA2437" i="10"/>
  <c r="Z2437" i="10"/>
  <c r="U2437" i="10"/>
  <c r="T2437" i="10"/>
  <c r="N2437" i="10"/>
  <c r="F2437" i="10"/>
  <c r="AI2436" i="10"/>
  <c r="AD2436" i="10"/>
  <c r="AC2436" i="10"/>
  <c r="AB2436" i="10"/>
  <c r="AA2436" i="10"/>
  <c r="Z2436" i="10"/>
  <c r="U2436" i="10"/>
  <c r="T2436" i="10"/>
  <c r="N2436" i="10"/>
  <c r="F2436" i="10"/>
  <c r="AI2435" i="10"/>
  <c r="AD2435" i="10"/>
  <c r="AC2435" i="10"/>
  <c r="AB2435" i="10"/>
  <c r="AA2435" i="10"/>
  <c r="Z2435" i="10"/>
  <c r="U2435" i="10"/>
  <c r="T2435" i="10"/>
  <c r="N2435" i="10"/>
  <c r="F2435" i="10"/>
  <c r="AI2434" i="10"/>
  <c r="AD2434" i="10"/>
  <c r="AC2434" i="10"/>
  <c r="AB2434" i="10"/>
  <c r="AA2434" i="10"/>
  <c r="Z2434" i="10"/>
  <c r="U2434" i="10"/>
  <c r="T2434" i="10"/>
  <c r="N2434" i="10"/>
  <c r="F2434" i="10"/>
  <c r="AI2433" i="10"/>
  <c r="AD2433" i="10"/>
  <c r="AC2433" i="10"/>
  <c r="AB2433" i="10"/>
  <c r="AA2433" i="10"/>
  <c r="Z2433" i="10"/>
  <c r="U2433" i="10"/>
  <c r="T2433" i="10"/>
  <c r="N2433" i="10"/>
  <c r="F2433" i="10"/>
  <c r="AI2432" i="10"/>
  <c r="AD2432" i="10"/>
  <c r="AC2432" i="10"/>
  <c r="AB2432" i="10"/>
  <c r="AA2432" i="10"/>
  <c r="Z2432" i="10"/>
  <c r="U2432" i="10"/>
  <c r="T2432" i="10"/>
  <c r="N2432" i="10"/>
  <c r="F2432" i="10"/>
  <c r="AI2431" i="10"/>
  <c r="AD2431" i="10"/>
  <c r="AC2431" i="10"/>
  <c r="AB2431" i="10"/>
  <c r="AA2431" i="10"/>
  <c r="Z2431" i="10"/>
  <c r="U2431" i="10"/>
  <c r="T2431" i="10"/>
  <c r="N2431" i="10"/>
  <c r="F2431" i="10"/>
  <c r="AI2430" i="10"/>
  <c r="AD2430" i="10"/>
  <c r="AC2430" i="10"/>
  <c r="AB2430" i="10"/>
  <c r="AA2430" i="10"/>
  <c r="Z2430" i="10"/>
  <c r="U2430" i="10"/>
  <c r="T2430" i="10"/>
  <c r="N2430" i="10"/>
  <c r="F2430" i="10"/>
  <c r="AI2429" i="10"/>
  <c r="AD2429" i="10"/>
  <c r="AC2429" i="10"/>
  <c r="AB2429" i="10"/>
  <c r="AA2429" i="10"/>
  <c r="Z2429" i="10"/>
  <c r="U2429" i="10"/>
  <c r="T2429" i="10"/>
  <c r="N2429" i="10"/>
  <c r="F2429" i="10"/>
  <c r="AI2428" i="10"/>
  <c r="AD2428" i="10"/>
  <c r="AC2428" i="10"/>
  <c r="AB2428" i="10"/>
  <c r="AA2428" i="10"/>
  <c r="Z2428" i="10"/>
  <c r="U2428" i="10"/>
  <c r="T2428" i="10"/>
  <c r="N2428" i="10"/>
  <c r="F2428" i="10"/>
  <c r="AI2427" i="10"/>
  <c r="AD2427" i="10"/>
  <c r="AC2427" i="10"/>
  <c r="AB2427" i="10"/>
  <c r="AA2427" i="10"/>
  <c r="Z2427" i="10"/>
  <c r="U2427" i="10"/>
  <c r="T2427" i="10"/>
  <c r="N2427" i="10"/>
  <c r="F2427" i="10"/>
  <c r="AI2426" i="10"/>
  <c r="AD2426" i="10"/>
  <c r="AC2426" i="10"/>
  <c r="AB2426" i="10"/>
  <c r="AA2426" i="10"/>
  <c r="Z2426" i="10"/>
  <c r="U2426" i="10"/>
  <c r="T2426" i="10"/>
  <c r="N2426" i="10"/>
  <c r="F2426" i="10"/>
  <c r="AI2425" i="10"/>
  <c r="AD2425" i="10"/>
  <c r="AC2425" i="10"/>
  <c r="AB2425" i="10"/>
  <c r="AA2425" i="10"/>
  <c r="Z2425" i="10"/>
  <c r="U2425" i="10"/>
  <c r="T2425" i="10"/>
  <c r="N2425" i="10"/>
  <c r="F2425" i="10"/>
  <c r="AI2424" i="10"/>
  <c r="AD2424" i="10"/>
  <c r="AC2424" i="10"/>
  <c r="AB2424" i="10"/>
  <c r="AA2424" i="10"/>
  <c r="Z2424" i="10"/>
  <c r="U2424" i="10"/>
  <c r="T2424" i="10"/>
  <c r="N2424" i="10"/>
  <c r="F2424" i="10"/>
  <c r="AI2423" i="10"/>
  <c r="AD2423" i="10"/>
  <c r="AC2423" i="10"/>
  <c r="AB2423" i="10"/>
  <c r="AA2423" i="10"/>
  <c r="Z2423" i="10"/>
  <c r="U2423" i="10"/>
  <c r="T2423" i="10"/>
  <c r="N2423" i="10"/>
  <c r="F2423" i="10"/>
  <c r="AI2422" i="10"/>
  <c r="AD2422" i="10"/>
  <c r="AC2422" i="10"/>
  <c r="AB2422" i="10"/>
  <c r="AA2422" i="10"/>
  <c r="Z2422" i="10"/>
  <c r="U2422" i="10"/>
  <c r="T2422" i="10"/>
  <c r="N2422" i="10"/>
  <c r="F2422" i="10"/>
  <c r="AI2421" i="10"/>
  <c r="AD2421" i="10"/>
  <c r="AC2421" i="10"/>
  <c r="AB2421" i="10"/>
  <c r="AA2421" i="10"/>
  <c r="Z2421" i="10"/>
  <c r="U2421" i="10"/>
  <c r="T2421" i="10"/>
  <c r="N2421" i="10"/>
  <c r="F2421" i="10"/>
  <c r="AI2420" i="10"/>
  <c r="AD2420" i="10"/>
  <c r="AC2420" i="10"/>
  <c r="AB2420" i="10"/>
  <c r="AA2420" i="10"/>
  <c r="Z2420" i="10"/>
  <c r="U2420" i="10"/>
  <c r="T2420" i="10"/>
  <c r="N2420" i="10"/>
  <c r="F2420" i="10"/>
  <c r="AI2419" i="10"/>
  <c r="AD2419" i="10"/>
  <c r="AC2419" i="10"/>
  <c r="AB2419" i="10"/>
  <c r="AA2419" i="10"/>
  <c r="Z2419" i="10"/>
  <c r="U2419" i="10"/>
  <c r="T2419" i="10"/>
  <c r="N2419" i="10"/>
  <c r="F2419" i="10"/>
  <c r="AI2418" i="10"/>
  <c r="AD2418" i="10"/>
  <c r="AC2418" i="10"/>
  <c r="AB2418" i="10"/>
  <c r="AA2418" i="10"/>
  <c r="Z2418" i="10"/>
  <c r="U2418" i="10"/>
  <c r="T2418" i="10"/>
  <c r="N2418" i="10"/>
  <c r="F2418" i="10"/>
  <c r="AI2417" i="10"/>
  <c r="AD2417" i="10"/>
  <c r="AC2417" i="10"/>
  <c r="AB2417" i="10"/>
  <c r="AA2417" i="10"/>
  <c r="Z2417" i="10"/>
  <c r="U2417" i="10"/>
  <c r="T2417" i="10"/>
  <c r="N2417" i="10"/>
  <c r="F2417" i="10"/>
  <c r="AI2416" i="10"/>
  <c r="AD2416" i="10"/>
  <c r="AC2416" i="10"/>
  <c r="AB2416" i="10"/>
  <c r="AA2416" i="10"/>
  <c r="Z2416" i="10"/>
  <c r="U2416" i="10"/>
  <c r="T2416" i="10"/>
  <c r="N2416" i="10"/>
  <c r="F2416" i="10"/>
  <c r="AI2415" i="10"/>
  <c r="AD2415" i="10"/>
  <c r="AC2415" i="10"/>
  <c r="AB2415" i="10"/>
  <c r="AA2415" i="10"/>
  <c r="Z2415" i="10"/>
  <c r="U2415" i="10"/>
  <c r="T2415" i="10"/>
  <c r="N2415" i="10"/>
  <c r="F2415" i="10"/>
  <c r="AI2414" i="10"/>
  <c r="AD2414" i="10"/>
  <c r="AC2414" i="10"/>
  <c r="AB2414" i="10"/>
  <c r="AA2414" i="10"/>
  <c r="Z2414" i="10"/>
  <c r="U2414" i="10"/>
  <c r="T2414" i="10"/>
  <c r="N2414" i="10"/>
  <c r="F2414" i="10"/>
  <c r="AI2413" i="10"/>
  <c r="AD2413" i="10"/>
  <c r="AC2413" i="10"/>
  <c r="AB2413" i="10"/>
  <c r="AA2413" i="10"/>
  <c r="Z2413" i="10"/>
  <c r="U2413" i="10"/>
  <c r="T2413" i="10"/>
  <c r="N2413" i="10"/>
  <c r="F2413" i="10"/>
  <c r="AI2412" i="10"/>
  <c r="AD2412" i="10"/>
  <c r="AC2412" i="10"/>
  <c r="AB2412" i="10"/>
  <c r="AA2412" i="10"/>
  <c r="Z2412" i="10"/>
  <c r="U2412" i="10"/>
  <c r="T2412" i="10"/>
  <c r="N2412" i="10"/>
  <c r="F2412" i="10"/>
  <c r="AI2411" i="10"/>
  <c r="AD2411" i="10"/>
  <c r="AC2411" i="10"/>
  <c r="AB2411" i="10"/>
  <c r="AA2411" i="10"/>
  <c r="Z2411" i="10"/>
  <c r="U2411" i="10"/>
  <c r="T2411" i="10"/>
  <c r="N2411" i="10"/>
  <c r="F2411" i="10"/>
  <c r="AI2410" i="10"/>
  <c r="AD2410" i="10"/>
  <c r="AC2410" i="10"/>
  <c r="AB2410" i="10"/>
  <c r="AA2410" i="10"/>
  <c r="Z2410" i="10"/>
  <c r="U2410" i="10"/>
  <c r="T2410" i="10"/>
  <c r="N2410" i="10"/>
  <c r="F2410" i="10"/>
  <c r="AI2409" i="10"/>
  <c r="AD2409" i="10"/>
  <c r="AC2409" i="10"/>
  <c r="AB2409" i="10"/>
  <c r="AA2409" i="10"/>
  <c r="Z2409" i="10"/>
  <c r="U2409" i="10"/>
  <c r="T2409" i="10"/>
  <c r="N2409" i="10"/>
  <c r="F2409" i="10"/>
  <c r="AI2408" i="10"/>
  <c r="AD2408" i="10"/>
  <c r="AC2408" i="10"/>
  <c r="AB2408" i="10"/>
  <c r="AA2408" i="10"/>
  <c r="Z2408" i="10"/>
  <c r="U2408" i="10"/>
  <c r="T2408" i="10"/>
  <c r="N2408" i="10"/>
  <c r="F2408" i="10"/>
  <c r="AI2407" i="10"/>
  <c r="AD2407" i="10"/>
  <c r="AC2407" i="10"/>
  <c r="AB2407" i="10"/>
  <c r="AA2407" i="10"/>
  <c r="Z2407" i="10"/>
  <c r="U2407" i="10"/>
  <c r="T2407" i="10"/>
  <c r="N2407" i="10"/>
  <c r="F2407" i="10"/>
  <c r="AI2406" i="10"/>
  <c r="AD2406" i="10"/>
  <c r="AC2406" i="10"/>
  <c r="AB2406" i="10"/>
  <c r="AA2406" i="10"/>
  <c r="Z2406" i="10"/>
  <c r="U2406" i="10"/>
  <c r="T2406" i="10"/>
  <c r="N2406" i="10"/>
  <c r="F2406" i="10"/>
  <c r="AI2405" i="10"/>
  <c r="AD2405" i="10"/>
  <c r="AC2405" i="10"/>
  <c r="AB2405" i="10"/>
  <c r="AA2405" i="10"/>
  <c r="Z2405" i="10"/>
  <c r="U2405" i="10"/>
  <c r="T2405" i="10"/>
  <c r="N2405" i="10"/>
  <c r="F2405" i="10"/>
  <c r="AI2404" i="10"/>
  <c r="AD2404" i="10"/>
  <c r="AC2404" i="10"/>
  <c r="AB2404" i="10"/>
  <c r="AA2404" i="10"/>
  <c r="Z2404" i="10"/>
  <c r="U2404" i="10"/>
  <c r="T2404" i="10"/>
  <c r="N2404" i="10"/>
  <c r="F2404" i="10"/>
  <c r="AI2403" i="10"/>
  <c r="AD2403" i="10"/>
  <c r="AC2403" i="10"/>
  <c r="AB2403" i="10"/>
  <c r="AA2403" i="10"/>
  <c r="Z2403" i="10"/>
  <c r="U2403" i="10"/>
  <c r="T2403" i="10"/>
  <c r="N2403" i="10"/>
  <c r="F2403" i="10"/>
  <c r="AI2402" i="10"/>
  <c r="AD2402" i="10"/>
  <c r="AC2402" i="10"/>
  <c r="AB2402" i="10"/>
  <c r="AA2402" i="10"/>
  <c r="Z2402" i="10"/>
  <c r="U2402" i="10"/>
  <c r="T2402" i="10"/>
  <c r="N2402" i="10"/>
  <c r="F2402" i="10"/>
  <c r="AI2401" i="10"/>
  <c r="AD2401" i="10"/>
  <c r="AC2401" i="10"/>
  <c r="AB2401" i="10"/>
  <c r="AA2401" i="10"/>
  <c r="Z2401" i="10"/>
  <c r="U2401" i="10"/>
  <c r="T2401" i="10"/>
  <c r="N2401" i="10"/>
  <c r="F2401" i="10"/>
  <c r="AI2400" i="10"/>
  <c r="AD2400" i="10"/>
  <c r="AC2400" i="10"/>
  <c r="AB2400" i="10"/>
  <c r="AA2400" i="10"/>
  <c r="Z2400" i="10"/>
  <c r="U2400" i="10"/>
  <c r="T2400" i="10"/>
  <c r="N2400" i="10"/>
  <c r="F2400" i="10"/>
  <c r="AI2399" i="10"/>
  <c r="AD2399" i="10"/>
  <c r="AC2399" i="10"/>
  <c r="AB2399" i="10"/>
  <c r="AA2399" i="10"/>
  <c r="Z2399" i="10"/>
  <c r="U2399" i="10"/>
  <c r="T2399" i="10"/>
  <c r="N2399" i="10"/>
  <c r="F2399" i="10"/>
  <c r="AI2398" i="10"/>
  <c r="AD2398" i="10"/>
  <c r="AC2398" i="10"/>
  <c r="AB2398" i="10"/>
  <c r="AA2398" i="10"/>
  <c r="Z2398" i="10"/>
  <c r="U2398" i="10"/>
  <c r="T2398" i="10"/>
  <c r="N2398" i="10"/>
  <c r="F2398" i="10"/>
  <c r="AI2397" i="10"/>
  <c r="AD2397" i="10"/>
  <c r="AC2397" i="10"/>
  <c r="AB2397" i="10"/>
  <c r="AA2397" i="10"/>
  <c r="Z2397" i="10"/>
  <c r="U2397" i="10"/>
  <c r="T2397" i="10"/>
  <c r="N2397" i="10"/>
  <c r="F2397" i="10"/>
  <c r="AI2396" i="10"/>
  <c r="AD2396" i="10"/>
  <c r="AC2396" i="10"/>
  <c r="AB2396" i="10"/>
  <c r="AA2396" i="10"/>
  <c r="Z2396" i="10"/>
  <c r="U2396" i="10"/>
  <c r="T2396" i="10"/>
  <c r="N2396" i="10"/>
  <c r="F2396" i="10"/>
  <c r="AI2395" i="10"/>
  <c r="AD2395" i="10"/>
  <c r="AC2395" i="10"/>
  <c r="AB2395" i="10"/>
  <c r="AA2395" i="10"/>
  <c r="Z2395" i="10"/>
  <c r="U2395" i="10"/>
  <c r="T2395" i="10"/>
  <c r="N2395" i="10"/>
  <c r="F2395" i="10"/>
  <c r="AI2394" i="10"/>
  <c r="AD2394" i="10"/>
  <c r="AC2394" i="10"/>
  <c r="AB2394" i="10"/>
  <c r="AA2394" i="10"/>
  <c r="Z2394" i="10"/>
  <c r="U2394" i="10"/>
  <c r="T2394" i="10"/>
  <c r="N2394" i="10"/>
  <c r="F2394" i="10"/>
  <c r="AI2393" i="10"/>
  <c r="AD2393" i="10"/>
  <c r="AC2393" i="10"/>
  <c r="AB2393" i="10"/>
  <c r="AA2393" i="10"/>
  <c r="Z2393" i="10"/>
  <c r="U2393" i="10"/>
  <c r="T2393" i="10"/>
  <c r="N2393" i="10"/>
  <c r="F2393" i="10"/>
  <c r="AI2392" i="10"/>
  <c r="AD2392" i="10"/>
  <c r="AC2392" i="10"/>
  <c r="AB2392" i="10"/>
  <c r="AA2392" i="10"/>
  <c r="Z2392" i="10"/>
  <c r="U2392" i="10"/>
  <c r="T2392" i="10"/>
  <c r="N2392" i="10"/>
  <c r="F2392" i="10"/>
  <c r="AI2391" i="10"/>
  <c r="AD2391" i="10"/>
  <c r="AC2391" i="10"/>
  <c r="AB2391" i="10"/>
  <c r="AA2391" i="10"/>
  <c r="Z2391" i="10"/>
  <c r="U2391" i="10"/>
  <c r="T2391" i="10"/>
  <c r="N2391" i="10"/>
  <c r="F2391" i="10"/>
  <c r="AI2390" i="10"/>
  <c r="AD2390" i="10"/>
  <c r="AC2390" i="10"/>
  <c r="AB2390" i="10"/>
  <c r="AA2390" i="10"/>
  <c r="Z2390" i="10"/>
  <c r="U2390" i="10"/>
  <c r="T2390" i="10"/>
  <c r="N2390" i="10"/>
  <c r="F2390" i="10"/>
  <c r="AI2389" i="10"/>
  <c r="AD2389" i="10"/>
  <c r="AC2389" i="10"/>
  <c r="AB2389" i="10"/>
  <c r="AA2389" i="10"/>
  <c r="Z2389" i="10"/>
  <c r="U2389" i="10"/>
  <c r="T2389" i="10"/>
  <c r="N2389" i="10"/>
  <c r="F2389" i="10"/>
  <c r="AI2388" i="10"/>
  <c r="AD2388" i="10"/>
  <c r="AC2388" i="10"/>
  <c r="AB2388" i="10"/>
  <c r="AA2388" i="10"/>
  <c r="Z2388" i="10"/>
  <c r="U2388" i="10"/>
  <c r="T2388" i="10"/>
  <c r="N2388" i="10"/>
  <c r="F2388" i="10"/>
  <c r="AI2387" i="10"/>
  <c r="AD2387" i="10"/>
  <c r="AC2387" i="10"/>
  <c r="AB2387" i="10"/>
  <c r="AA2387" i="10"/>
  <c r="Z2387" i="10"/>
  <c r="U2387" i="10"/>
  <c r="T2387" i="10"/>
  <c r="N2387" i="10"/>
  <c r="F2387" i="10"/>
  <c r="AI2386" i="10"/>
  <c r="AD2386" i="10"/>
  <c r="AC2386" i="10"/>
  <c r="AB2386" i="10"/>
  <c r="AA2386" i="10"/>
  <c r="Z2386" i="10"/>
  <c r="U2386" i="10"/>
  <c r="T2386" i="10"/>
  <c r="N2386" i="10"/>
  <c r="F2386" i="10"/>
  <c r="AI2385" i="10"/>
  <c r="AD2385" i="10"/>
  <c r="AC2385" i="10"/>
  <c r="AB2385" i="10"/>
  <c r="AA2385" i="10"/>
  <c r="Z2385" i="10"/>
  <c r="U2385" i="10"/>
  <c r="T2385" i="10"/>
  <c r="N2385" i="10"/>
  <c r="F2385" i="10"/>
  <c r="AI2384" i="10"/>
  <c r="AD2384" i="10"/>
  <c r="AC2384" i="10"/>
  <c r="AB2384" i="10"/>
  <c r="AA2384" i="10"/>
  <c r="Z2384" i="10"/>
  <c r="U2384" i="10"/>
  <c r="T2384" i="10"/>
  <c r="N2384" i="10"/>
  <c r="F2384" i="10"/>
  <c r="AI2383" i="10"/>
  <c r="AD2383" i="10"/>
  <c r="AC2383" i="10"/>
  <c r="AB2383" i="10"/>
  <c r="AA2383" i="10"/>
  <c r="Z2383" i="10"/>
  <c r="U2383" i="10"/>
  <c r="T2383" i="10"/>
  <c r="N2383" i="10"/>
  <c r="F2383" i="10"/>
  <c r="AI2382" i="10"/>
  <c r="AD2382" i="10"/>
  <c r="AC2382" i="10"/>
  <c r="AB2382" i="10"/>
  <c r="AA2382" i="10"/>
  <c r="Z2382" i="10"/>
  <c r="U2382" i="10"/>
  <c r="T2382" i="10"/>
  <c r="N2382" i="10"/>
  <c r="F2382" i="10"/>
  <c r="AI2381" i="10"/>
  <c r="AD2381" i="10"/>
  <c r="AC2381" i="10"/>
  <c r="AB2381" i="10"/>
  <c r="AA2381" i="10"/>
  <c r="Z2381" i="10"/>
  <c r="U2381" i="10"/>
  <c r="T2381" i="10"/>
  <c r="N2381" i="10"/>
  <c r="F2381" i="10"/>
  <c r="AI2380" i="10"/>
  <c r="AD2380" i="10"/>
  <c r="AC2380" i="10"/>
  <c r="AB2380" i="10"/>
  <c r="AA2380" i="10"/>
  <c r="Z2380" i="10"/>
  <c r="U2380" i="10"/>
  <c r="T2380" i="10"/>
  <c r="N2380" i="10"/>
  <c r="F2380" i="10"/>
  <c r="AI2379" i="10"/>
  <c r="AD2379" i="10"/>
  <c r="AC2379" i="10"/>
  <c r="AB2379" i="10"/>
  <c r="AA2379" i="10"/>
  <c r="Z2379" i="10"/>
  <c r="U2379" i="10"/>
  <c r="T2379" i="10"/>
  <c r="N2379" i="10"/>
  <c r="F2379" i="10"/>
  <c r="AI2378" i="10"/>
  <c r="AD2378" i="10"/>
  <c r="AC2378" i="10"/>
  <c r="AB2378" i="10"/>
  <c r="AA2378" i="10"/>
  <c r="Z2378" i="10"/>
  <c r="U2378" i="10"/>
  <c r="T2378" i="10"/>
  <c r="N2378" i="10"/>
  <c r="F2378" i="10"/>
  <c r="AI2377" i="10"/>
  <c r="AD2377" i="10"/>
  <c r="AC2377" i="10"/>
  <c r="AB2377" i="10"/>
  <c r="AA2377" i="10"/>
  <c r="Z2377" i="10"/>
  <c r="U2377" i="10"/>
  <c r="T2377" i="10"/>
  <c r="N2377" i="10"/>
  <c r="F2377" i="10"/>
  <c r="AI2376" i="10"/>
  <c r="AD2376" i="10"/>
  <c r="AC2376" i="10"/>
  <c r="AB2376" i="10"/>
  <c r="AA2376" i="10"/>
  <c r="Z2376" i="10"/>
  <c r="U2376" i="10"/>
  <c r="T2376" i="10"/>
  <c r="N2376" i="10"/>
  <c r="F2376" i="10"/>
  <c r="AI2375" i="10"/>
  <c r="AD2375" i="10"/>
  <c r="AC2375" i="10"/>
  <c r="AB2375" i="10"/>
  <c r="AA2375" i="10"/>
  <c r="Z2375" i="10"/>
  <c r="U2375" i="10"/>
  <c r="T2375" i="10"/>
  <c r="N2375" i="10"/>
  <c r="F2375" i="10"/>
  <c r="AI2374" i="10"/>
  <c r="AD2374" i="10"/>
  <c r="AC2374" i="10"/>
  <c r="AB2374" i="10"/>
  <c r="AA2374" i="10"/>
  <c r="Z2374" i="10"/>
  <c r="U2374" i="10"/>
  <c r="T2374" i="10"/>
  <c r="N2374" i="10"/>
  <c r="F2374" i="10"/>
  <c r="AI2373" i="10"/>
  <c r="AD2373" i="10"/>
  <c r="AC2373" i="10"/>
  <c r="AB2373" i="10"/>
  <c r="AA2373" i="10"/>
  <c r="Z2373" i="10"/>
  <c r="U2373" i="10"/>
  <c r="T2373" i="10"/>
  <c r="N2373" i="10"/>
  <c r="F2373" i="10"/>
  <c r="AI2372" i="10"/>
  <c r="AD2372" i="10"/>
  <c r="AC2372" i="10"/>
  <c r="AB2372" i="10"/>
  <c r="AA2372" i="10"/>
  <c r="Z2372" i="10"/>
  <c r="U2372" i="10"/>
  <c r="T2372" i="10"/>
  <c r="N2372" i="10"/>
  <c r="F2372" i="10"/>
  <c r="AI2371" i="10"/>
  <c r="AD2371" i="10"/>
  <c r="AC2371" i="10"/>
  <c r="AB2371" i="10"/>
  <c r="AA2371" i="10"/>
  <c r="Z2371" i="10"/>
  <c r="U2371" i="10"/>
  <c r="T2371" i="10"/>
  <c r="N2371" i="10"/>
  <c r="F2371" i="10"/>
  <c r="AI2370" i="10"/>
  <c r="AD2370" i="10"/>
  <c r="AC2370" i="10"/>
  <c r="AB2370" i="10"/>
  <c r="AA2370" i="10"/>
  <c r="Z2370" i="10"/>
  <c r="U2370" i="10"/>
  <c r="T2370" i="10"/>
  <c r="N2370" i="10"/>
  <c r="F2370" i="10"/>
  <c r="AI2369" i="10"/>
  <c r="AD2369" i="10"/>
  <c r="AC2369" i="10"/>
  <c r="AB2369" i="10"/>
  <c r="AA2369" i="10"/>
  <c r="Z2369" i="10"/>
  <c r="U2369" i="10"/>
  <c r="T2369" i="10"/>
  <c r="N2369" i="10"/>
  <c r="F2369" i="10"/>
  <c r="AI2368" i="10"/>
  <c r="AD2368" i="10"/>
  <c r="AC2368" i="10"/>
  <c r="AB2368" i="10"/>
  <c r="AA2368" i="10"/>
  <c r="Z2368" i="10"/>
  <c r="U2368" i="10"/>
  <c r="T2368" i="10"/>
  <c r="N2368" i="10"/>
  <c r="F2368" i="10"/>
  <c r="AI2367" i="10"/>
  <c r="AD2367" i="10"/>
  <c r="AC2367" i="10"/>
  <c r="AB2367" i="10"/>
  <c r="AA2367" i="10"/>
  <c r="Z2367" i="10"/>
  <c r="U2367" i="10"/>
  <c r="T2367" i="10"/>
  <c r="N2367" i="10"/>
  <c r="F2367" i="10"/>
  <c r="AI2366" i="10"/>
  <c r="AD2366" i="10"/>
  <c r="AC2366" i="10"/>
  <c r="AB2366" i="10"/>
  <c r="AA2366" i="10"/>
  <c r="Z2366" i="10"/>
  <c r="U2366" i="10"/>
  <c r="T2366" i="10"/>
  <c r="N2366" i="10"/>
  <c r="F2366" i="10"/>
  <c r="AI2365" i="10"/>
  <c r="AD2365" i="10"/>
  <c r="AC2365" i="10"/>
  <c r="AB2365" i="10"/>
  <c r="AA2365" i="10"/>
  <c r="Z2365" i="10"/>
  <c r="U2365" i="10"/>
  <c r="T2365" i="10"/>
  <c r="N2365" i="10"/>
  <c r="F2365" i="10"/>
  <c r="AI2364" i="10"/>
  <c r="AD2364" i="10"/>
  <c r="AC2364" i="10"/>
  <c r="AB2364" i="10"/>
  <c r="AA2364" i="10"/>
  <c r="Z2364" i="10"/>
  <c r="U2364" i="10"/>
  <c r="T2364" i="10"/>
  <c r="N2364" i="10"/>
  <c r="F2364" i="10"/>
  <c r="AI2363" i="10"/>
  <c r="AD2363" i="10"/>
  <c r="AC2363" i="10"/>
  <c r="AB2363" i="10"/>
  <c r="AA2363" i="10"/>
  <c r="Z2363" i="10"/>
  <c r="U2363" i="10"/>
  <c r="T2363" i="10"/>
  <c r="N2363" i="10"/>
  <c r="F2363" i="10"/>
  <c r="AI2362" i="10"/>
  <c r="AD2362" i="10"/>
  <c r="AC2362" i="10"/>
  <c r="AB2362" i="10"/>
  <c r="AA2362" i="10"/>
  <c r="Z2362" i="10"/>
  <c r="U2362" i="10"/>
  <c r="T2362" i="10"/>
  <c r="N2362" i="10"/>
  <c r="F2362" i="10"/>
  <c r="AI2361" i="10"/>
  <c r="AD2361" i="10"/>
  <c r="AC2361" i="10"/>
  <c r="AB2361" i="10"/>
  <c r="AA2361" i="10"/>
  <c r="Z2361" i="10"/>
  <c r="U2361" i="10"/>
  <c r="T2361" i="10"/>
  <c r="N2361" i="10"/>
  <c r="F2361" i="10"/>
  <c r="AI2360" i="10"/>
  <c r="AD2360" i="10"/>
  <c r="AC2360" i="10"/>
  <c r="AB2360" i="10"/>
  <c r="AA2360" i="10"/>
  <c r="Z2360" i="10"/>
  <c r="U2360" i="10"/>
  <c r="T2360" i="10"/>
  <c r="N2360" i="10"/>
  <c r="F2360" i="10"/>
  <c r="AI2359" i="10"/>
  <c r="AD2359" i="10"/>
  <c r="AC2359" i="10"/>
  <c r="AB2359" i="10"/>
  <c r="AA2359" i="10"/>
  <c r="Z2359" i="10"/>
  <c r="U2359" i="10"/>
  <c r="T2359" i="10"/>
  <c r="N2359" i="10"/>
  <c r="F2359" i="10"/>
  <c r="AI2358" i="10"/>
  <c r="AD2358" i="10"/>
  <c r="AC2358" i="10"/>
  <c r="AB2358" i="10"/>
  <c r="AA2358" i="10"/>
  <c r="Z2358" i="10"/>
  <c r="U2358" i="10"/>
  <c r="T2358" i="10"/>
  <c r="N2358" i="10"/>
  <c r="F2358" i="10"/>
  <c r="AI2357" i="10"/>
  <c r="AD2357" i="10"/>
  <c r="AC2357" i="10"/>
  <c r="AB2357" i="10"/>
  <c r="AA2357" i="10"/>
  <c r="Z2357" i="10"/>
  <c r="U2357" i="10"/>
  <c r="T2357" i="10"/>
  <c r="N2357" i="10"/>
  <c r="F2357" i="10"/>
  <c r="AI2356" i="10"/>
  <c r="AD2356" i="10"/>
  <c r="AC2356" i="10"/>
  <c r="AB2356" i="10"/>
  <c r="AA2356" i="10"/>
  <c r="Z2356" i="10"/>
  <c r="U2356" i="10"/>
  <c r="T2356" i="10"/>
  <c r="N2356" i="10"/>
  <c r="F2356" i="10"/>
  <c r="AI2355" i="10"/>
  <c r="AD2355" i="10"/>
  <c r="AC2355" i="10"/>
  <c r="AB2355" i="10"/>
  <c r="AA2355" i="10"/>
  <c r="Z2355" i="10"/>
  <c r="U2355" i="10"/>
  <c r="T2355" i="10"/>
  <c r="N2355" i="10"/>
  <c r="F2355" i="10"/>
  <c r="AI2354" i="10"/>
  <c r="AD2354" i="10"/>
  <c r="AC2354" i="10"/>
  <c r="AB2354" i="10"/>
  <c r="AA2354" i="10"/>
  <c r="Z2354" i="10"/>
  <c r="U2354" i="10"/>
  <c r="T2354" i="10"/>
  <c r="N2354" i="10"/>
  <c r="F2354" i="10"/>
  <c r="AI2353" i="10"/>
  <c r="AD2353" i="10"/>
  <c r="AC2353" i="10"/>
  <c r="AB2353" i="10"/>
  <c r="AA2353" i="10"/>
  <c r="Z2353" i="10"/>
  <c r="U2353" i="10"/>
  <c r="T2353" i="10"/>
  <c r="N2353" i="10"/>
  <c r="F2353" i="10"/>
  <c r="AI2352" i="10"/>
  <c r="AD2352" i="10"/>
  <c r="AC2352" i="10"/>
  <c r="AB2352" i="10"/>
  <c r="AA2352" i="10"/>
  <c r="Z2352" i="10"/>
  <c r="U2352" i="10"/>
  <c r="T2352" i="10"/>
  <c r="N2352" i="10"/>
  <c r="F2352" i="10"/>
  <c r="AI2351" i="10"/>
  <c r="AD2351" i="10"/>
  <c r="AC2351" i="10"/>
  <c r="AB2351" i="10"/>
  <c r="AA2351" i="10"/>
  <c r="Z2351" i="10"/>
  <c r="U2351" i="10"/>
  <c r="T2351" i="10"/>
  <c r="N2351" i="10"/>
  <c r="F2351" i="10"/>
  <c r="AI2350" i="10"/>
  <c r="AD2350" i="10"/>
  <c r="AC2350" i="10"/>
  <c r="AB2350" i="10"/>
  <c r="AA2350" i="10"/>
  <c r="Z2350" i="10"/>
  <c r="U2350" i="10"/>
  <c r="T2350" i="10"/>
  <c r="N2350" i="10"/>
  <c r="F2350" i="10"/>
  <c r="AI2349" i="10"/>
  <c r="AD2349" i="10"/>
  <c r="AC2349" i="10"/>
  <c r="AB2349" i="10"/>
  <c r="AA2349" i="10"/>
  <c r="Z2349" i="10"/>
  <c r="U2349" i="10"/>
  <c r="T2349" i="10"/>
  <c r="N2349" i="10"/>
  <c r="F2349" i="10"/>
  <c r="AI2348" i="10"/>
  <c r="AD2348" i="10"/>
  <c r="AC2348" i="10"/>
  <c r="AB2348" i="10"/>
  <c r="AA2348" i="10"/>
  <c r="Z2348" i="10"/>
  <c r="U2348" i="10"/>
  <c r="T2348" i="10"/>
  <c r="N2348" i="10"/>
  <c r="F2348" i="10"/>
  <c r="AI2347" i="10"/>
  <c r="AD2347" i="10"/>
  <c r="AC2347" i="10"/>
  <c r="AB2347" i="10"/>
  <c r="AA2347" i="10"/>
  <c r="Z2347" i="10"/>
  <c r="U2347" i="10"/>
  <c r="T2347" i="10"/>
  <c r="N2347" i="10"/>
  <c r="F2347" i="10"/>
  <c r="AI2346" i="10"/>
  <c r="AD2346" i="10"/>
  <c r="AC2346" i="10"/>
  <c r="AB2346" i="10"/>
  <c r="AA2346" i="10"/>
  <c r="Z2346" i="10"/>
  <c r="U2346" i="10"/>
  <c r="T2346" i="10"/>
  <c r="N2346" i="10"/>
  <c r="F2346" i="10"/>
  <c r="AI2345" i="10"/>
  <c r="AD2345" i="10"/>
  <c r="AC2345" i="10"/>
  <c r="AB2345" i="10"/>
  <c r="AA2345" i="10"/>
  <c r="Z2345" i="10"/>
  <c r="U2345" i="10"/>
  <c r="T2345" i="10"/>
  <c r="N2345" i="10"/>
  <c r="F2345" i="10"/>
  <c r="AI2344" i="10"/>
  <c r="AD2344" i="10"/>
  <c r="AC2344" i="10"/>
  <c r="AB2344" i="10"/>
  <c r="AA2344" i="10"/>
  <c r="Z2344" i="10"/>
  <c r="U2344" i="10"/>
  <c r="T2344" i="10"/>
  <c r="N2344" i="10"/>
  <c r="F2344" i="10"/>
  <c r="AI2343" i="10"/>
  <c r="AD2343" i="10"/>
  <c r="AC2343" i="10"/>
  <c r="AB2343" i="10"/>
  <c r="AA2343" i="10"/>
  <c r="Z2343" i="10"/>
  <c r="U2343" i="10"/>
  <c r="T2343" i="10"/>
  <c r="N2343" i="10"/>
  <c r="F2343" i="10"/>
  <c r="AI2342" i="10"/>
  <c r="AD2342" i="10"/>
  <c r="AC2342" i="10"/>
  <c r="AB2342" i="10"/>
  <c r="AA2342" i="10"/>
  <c r="Z2342" i="10"/>
  <c r="U2342" i="10"/>
  <c r="T2342" i="10"/>
  <c r="N2342" i="10"/>
  <c r="F2342" i="10"/>
  <c r="AI2341" i="10"/>
  <c r="AD2341" i="10"/>
  <c r="AC2341" i="10"/>
  <c r="AB2341" i="10"/>
  <c r="AA2341" i="10"/>
  <c r="Z2341" i="10"/>
  <c r="U2341" i="10"/>
  <c r="T2341" i="10"/>
  <c r="N2341" i="10"/>
  <c r="F2341" i="10"/>
  <c r="AI2340" i="10"/>
  <c r="AD2340" i="10"/>
  <c r="AC2340" i="10"/>
  <c r="AB2340" i="10"/>
  <c r="AA2340" i="10"/>
  <c r="Z2340" i="10"/>
  <c r="U2340" i="10"/>
  <c r="T2340" i="10"/>
  <c r="N2340" i="10"/>
  <c r="F2340" i="10"/>
  <c r="AI2339" i="10"/>
  <c r="AD2339" i="10"/>
  <c r="AC2339" i="10"/>
  <c r="AB2339" i="10"/>
  <c r="AA2339" i="10"/>
  <c r="Z2339" i="10"/>
  <c r="U2339" i="10"/>
  <c r="T2339" i="10"/>
  <c r="N2339" i="10"/>
  <c r="F2339" i="10"/>
  <c r="AI2338" i="10"/>
  <c r="AD2338" i="10"/>
  <c r="AC2338" i="10"/>
  <c r="AB2338" i="10"/>
  <c r="AA2338" i="10"/>
  <c r="Z2338" i="10"/>
  <c r="U2338" i="10"/>
  <c r="T2338" i="10"/>
  <c r="N2338" i="10"/>
  <c r="F2338" i="10"/>
  <c r="AI2337" i="10"/>
  <c r="AD2337" i="10"/>
  <c r="AC2337" i="10"/>
  <c r="AB2337" i="10"/>
  <c r="AA2337" i="10"/>
  <c r="Z2337" i="10"/>
  <c r="U2337" i="10"/>
  <c r="T2337" i="10"/>
  <c r="N2337" i="10"/>
  <c r="F2337" i="10"/>
  <c r="AI2336" i="10"/>
  <c r="AD2336" i="10"/>
  <c r="AC2336" i="10"/>
  <c r="AB2336" i="10"/>
  <c r="AA2336" i="10"/>
  <c r="Z2336" i="10"/>
  <c r="U2336" i="10"/>
  <c r="T2336" i="10"/>
  <c r="N2336" i="10"/>
  <c r="F2336" i="10"/>
  <c r="AI2335" i="10"/>
  <c r="AD2335" i="10"/>
  <c r="AC2335" i="10"/>
  <c r="AB2335" i="10"/>
  <c r="AA2335" i="10"/>
  <c r="Z2335" i="10"/>
  <c r="U2335" i="10"/>
  <c r="T2335" i="10"/>
  <c r="N2335" i="10"/>
  <c r="F2335" i="10"/>
  <c r="AI2334" i="10"/>
  <c r="AD2334" i="10"/>
  <c r="AC2334" i="10"/>
  <c r="AB2334" i="10"/>
  <c r="AA2334" i="10"/>
  <c r="Z2334" i="10"/>
  <c r="U2334" i="10"/>
  <c r="T2334" i="10"/>
  <c r="N2334" i="10"/>
  <c r="F2334" i="10"/>
  <c r="AI2333" i="10"/>
  <c r="AD2333" i="10"/>
  <c r="AC2333" i="10"/>
  <c r="AB2333" i="10"/>
  <c r="AA2333" i="10"/>
  <c r="Z2333" i="10"/>
  <c r="U2333" i="10"/>
  <c r="T2333" i="10"/>
  <c r="N2333" i="10"/>
  <c r="F2333" i="10"/>
  <c r="AI2332" i="10"/>
  <c r="AD2332" i="10"/>
  <c r="AC2332" i="10"/>
  <c r="AB2332" i="10"/>
  <c r="AA2332" i="10"/>
  <c r="Z2332" i="10"/>
  <c r="U2332" i="10"/>
  <c r="T2332" i="10"/>
  <c r="N2332" i="10"/>
  <c r="F2332" i="10"/>
  <c r="AI2331" i="10"/>
  <c r="AD2331" i="10"/>
  <c r="AC2331" i="10"/>
  <c r="AB2331" i="10"/>
  <c r="AA2331" i="10"/>
  <c r="Z2331" i="10"/>
  <c r="U2331" i="10"/>
  <c r="T2331" i="10"/>
  <c r="N2331" i="10"/>
  <c r="F2331" i="10"/>
  <c r="AI2330" i="10"/>
  <c r="AD2330" i="10"/>
  <c r="AC2330" i="10"/>
  <c r="AB2330" i="10"/>
  <c r="AA2330" i="10"/>
  <c r="Z2330" i="10"/>
  <c r="U2330" i="10"/>
  <c r="T2330" i="10"/>
  <c r="N2330" i="10"/>
  <c r="F2330" i="10"/>
  <c r="AI2329" i="10"/>
  <c r="AD2329" i="10"/>
  <c r="AC2329" i="10"/>
  <c r="AB2329" i="10"/>
  <c r="AA2329" i="10"/>
  <c r="Z2329" i="10"/>
  <c r="U2329" i="10"/>
  <c r="T2329" i="10"/>
  <c r="N2329" i="10"/>
  <c r="F2329" i="10"/>
  <c r="AI2328" i="10"/>
  <c r="AD2328" i="10"/>
  <c r="AC2328" i="10"/>
  <c r="AB2328" i="10"/>
  <c r="AA2328" i="10"/>
  <c r="Z2328" i="10"/>
  <c r="U2328" i="10"/>
  <c r="T2328" i="10"/>
  <c r="N2328" i="10"/>
  <c r="F2328" i="10"/>
  <c r="AI2327" i="10"/>
  <c r="AD2327" i="10"/>
  <c r="AC2327" i="10"/>
  <c r="AB2327" i="10"/>
  <c r="AA2327" i="10"/>
  <c r="Z2327" i="10"/>
  <c r="U2327" i="10"/>
  <c r="T2327" i="10"/>
  <c r="N2327" i="10"/>
  <c r="F2327" i="10"/>
  <c r="AI2326" i="10"/>
  <c r="AD2326" i="10"/>
  <c r="AC2326" i="10"/>
  <c r="AB2326" i="10"/>
  <c r="AA2326" i="10"/>
  <c r="Z2326" i="10"/>
  <c r="U2326" i="10"/>
  <c r="T2326" i="10"/>
  <c r="N2326" i="10"/>
  <c r="F2326" i="10"/>
  <c r="AI2325" i="10"/>
  <c r="AD2325" i="10"/>
  <c r="AC2325" i="10"/>
  <c r="AB2325" i="10"/>
  <c r="AA2325" i="10"/>
  <c r="Z2325" i="10"/>
  <c r="U2325" i="10"/>
  <c r="T2325" i="10"/>
  <c r="N2325" i="10"/>
  <c r="F2325" i="10"/>
  <c r="AI2324" i="10"/>
  <c r="AD2324" i="10"/>
  <c r="AC2324" i="10"/>
  <c r="AB2324" i="10"/>
  <c r="AA2324" i="10"/>
  <c r="Z2324" i="10"/>
  <c r="U2324" i="10"/>
  <c r="T2324" i="10"/>
  <c r="N2324" i="10"/>
  <c r="F2324" i="10"/>
  <c r="AI2323" i="10"/>
  <c r="AD2323" i="10"/>
  <c r="AC2323" i="10"/>
  <c r="AB2323" i="10"/>
  <c r="AA2323" i="10"/>
  <c r="Z2323" i="10"/>
  <c r="U2323" i="10"/>
  <c r="T2323" i="10"/>
  <c r="N2323" i="10"/>
  <c r="F2323" i="10"/>
  <c r="AI2322" i="10"/>
  <c r="AD2322" i="10"/>
  <c r="AC2322" i="10"/>
  <c r="AB2322" i="10"/>
  <c r="AA2322" i="10"/>
  <c r="Z2322" i="10"/>
  <c r="U2322" i="10"/>
  <c r="T2322" i="10"/>
  <c r="N2322" i="10"/>
  <c r="F2322" i="10"/>
  <c r="AI2321" i="10"/>
  <c r="AD2321" i="10"/>
  <c r="AC2321" i="10"/>
  <c r="AB2321" i="10"/>
  <c r="AA2321" i="10"/>
  <c r="Z2321" i="10"/>
  <c r="U2321" i="10"/>
  <c r="T2321" i="10"/>
  <c r="N2321" i="10"/>
  <c r="F2321" i="10"/>
  <c r="AI2320" i="10"/>
  <c r="AD2320" i="10"/>
  <c r="AC2320" i="10"/>
  <c r="AB2320" i="10"/>
  <c r="AA2320" i="10"/>
  <c r="Z2320" i="10"/>
  <c r="U2320" i="10"/>
  <c r="T2320" i="10"/>
  <c r="N2320" i="10"/>
  <c r="F2320" i="10"/>
  <c r="AI2319" i="10"/>
  <c r="AD2319" i="10"/>
  <c r="AC2319" i="10"/>
  <c r="AB2319" i="10"/>
  <c r="AA2319" i="10"/>
  <c r="Z2319" i="10"/>
  <c r="U2319" i="10"/>
  <c r="T2319" i="10"/>
  <c r="N2319" i="10"/>
  <c r="F2319" i="10"/>
  <c r="AI2318" i="10"/>
  <c r="AD2318" i="10"/>
  <c r="AC2318" i="10"/>
  <c r="AB2318" i="10"/>
  <c r="AA2318" i="10"/>
  <c r="Z2318" i="10"/>
  <c r="U2318" i="10"/>
  <c r="T2318" i="10"/>
  <c r="N2318" i="10"/>
  <c r="F2318" i="10"/>
  <c r="AI2317" i="10"/>
  <c r="AD2317" i="10"/>
  <c r="AC2317" i="10"/>
  <c r="AB2317" i="10"/>
  <c r="AA2317" i="10"/>
  <c r="Z2317" i="10"/>
  <c r="U2317" i="10"/>
  <c r="T2317" i="10"/>
  <c r="N2317" i="10"/>
  <c r="F2317" i="10"/>
  <c r="AI2316" i="10"/>
  <c r="AD2316" i="10"/>
  <c r="AC2316" i="10"/>
  <c r="AB2316" i="10"/>
  <c r="AA2316" i="10"/>
  <c r="Z2316" i="10"/>
  <c r="U2316" i="10"/>
  <c r="T2316" i="10"/>
  <c r="N2316" i="10"/>
  <c r="F2316" i="10"/>
  <c r="AI2315" i="10"/>
  <c r="AD2315" i="10"/>
  <c r="AC2315" i="10"/>
  <c r="AB2315" i="10"/>
  <c r="AA2315" i="10"/>
  <c r="Z2315" i="10"/>
  <c r="U2315" i="10"/>
  <c r="T2315" i="10"/>
  <c r="N2315" i="10"/>
  <c r="F2315" i="10"/>
  <c r="AI2314" i="10"/>
  <c r="AD2314" i="10"/>
  <c r="AC2314" i="10"/>
  <c r="AB2314" i="10"/>
  <c r="AA2314" i="10"/>
  <c r="Z2314" i="10"/>
  <c r="U2314" i="10"/>
  <c r="T2314" i="10"/>
  <c r="N2314" i="10"/>
  <c r="F2314" i="10"/>
  <c r="AI2313" i="10"/>
  <c r="AD2313" i="10"/>
  <c r="AC2313" i="10"/>
  <c r="AB2313" i="10"/>
  <c r="AA2313" i="10"/>
  <c r="Z2313" i="10"/>
  <c r="U2313" i="10"/>
  <c r="T2313" i="10"/>
  <c r="N2313" i="10"/>
  <c r="F2313" i="10"/>
  <c r="AI2312" i="10"/>
  <c r="AD2312" i="10"/>
  <c r="AC2312" i="10"/>
  <c r="AB2312" i="10"/>
  <c r="AA2312" i="10"/>
  <c r="Z2312" i="10"/>
  <c r="U2312" i="10"/>
  <c r="T2312" i="10"/>
  <c r="N2312" i="10"/>
  <c r="F2312" i="10"/>
  <c r="AI2311" i="10"/>
  <c r="AD2311" i="10"/>
  <c r="AC2311" i="10"/>
  <c r="AB2311" i="10"/>
  <c r="AA2311" i="10"/>
  <c r="Z2311" i="10"/>
  <c r="U2311" i="10"/>
  <c r="T2311" i="10"/>
  <c r="N2311" i="10"/>
  <c r="F2311" i="10"/>
  <c r="AI2310" i="10"/>
  <c r="AD2310" i="10"/>
  <c r="AC2310" i="10"/>
  <c r="AB2310" i="10"/>
  <c r="AA2310" i="10"/>
  <c r="Z2310" i="10"/>
  <c r="U2310" i="10"/>
  <c r="T2310" i="10"/>
  <c r="N2310" i="10"/>
  <c r="F2310" i="10"/>
  <c r="AI2309" i="10"/>
  <c r="AD2309" i="10"/>
  <c r="AC2309" i="10"/>
  <c r="AB2309" i="10"/>
  <c r="AA2309" i="10"/>
  <c r="Z2309" i="10"/>
  <c r="U2309" i="10"/>
  <c r="T2309" i="10"/>
  <c r="N2309" i="10"/>
  <c r="F2309" i="10"/>
  <c r="AI2308" i="10"/>
  <c r="AD2308" i="10"/>
  <c r="AC2308" i="10"/>
  <c r="AB2308" i="10"/>
  <c r="AA2308" i="10"/>
  <c r="Z2308" i="10"/>
  <c r="U2308" i="10"/>
  <c r="T2308" i="10"/>
  <c r="N2308" i="10"/>
  <c r="F2308" i="10"/>
  <c r="AI2307" i="10"/>
  <c r="AD2307" i="10"/>
  <c r="AC2307" i="10"/>
  <c r="AB2307" i="10"/>
  <c r="AA2307" i="10"/>
  <c r="Z2307" i="10"/>
  <c r="U2307" i="10"/>
  <c r="T2307" i="10"/>
  <c r="N2307" i="10"/>
  <c r="F2307" i="10"/>
  <c r="AI2306" i="10"/>
  <c r="AD2306" i="10"/>
  <c r="AC2306" i="10"/>
  <c r="AB2306" i="10"/>
  <c r="AA2306" i="10"/>
  <c r="Z2306" i="10"/>
  <c r="U2306" i="10"/>
  <c r="T2306" i="10"/>
  <c r="N2306" i="10"/>
  <c r="F2306" i="10"/>
  <c r="AI2305" i="10"/>
  <c r="AD2305" i="10"/>
  <c r="AC2305" i="10"/>
  <c r="AB2305" i="10"/>
  <c r="AA2305" i="10"/>
  <c r="Z2305" i="10"/>
  <c r="U2305" i="10"/>
  <c r="T2305" i="10"/>
  <c r="N2305" i="10"/>
  <c r="F2305" i="10"/>
  <c r="AI2304" i="10"/>
  <c r="AD2304" i="10"/>
  <c r="AC2304" i="10"/>
  <c r="AB2304" i="10"/>
  <c r="AA2304" i="10"/>
  <c r="Z2304" i="10"/>
  <c r="U2304" i="10"/>
  <c r="T2304" i="10"/>
  <c r="N2304" i="10"/>
  <c r="F2304" i="10"/>
  <c r="AI2303" i="10"/>
  <c r="AD2303" i="10"/>
  <c r="AC2303" i="10"/>
  <c r="AB2303" i="10"/>
  <c r="AA2303" i="10"/>
  <c r="Z2303" i="10"/>
  <c r="U2303" i="10"/>
  <c r="T2303" i="10"/>
  <c r="N2303" i="10"/>
  <c r="F2303" i="10"/>
  <c r="AI2302" i="10"/>
  <c r="AD2302" i="10"/>
  <c r="AC2302" i="10"/>
  <c r="AB2302" i="10"/>
  <c r="AA2302" i="10"/>
  <c r="Z2302" i="10"/>
  <c r="U2302" i="10"/>
  <c r="T2302" i="10"/>
  <c r="N2302" i="10"/>
  <c r="F2302" i="10"/>
  <c r="AI2301" i="10"/>
  <c r="AD2301" i="10"/>
  <c r="AC2301" i="10"/>
  <c r="AB2301" i="10"/>
  <c r="AA2301" i="10"/>
  <c r="Z2301" i="10"/>
  <c r="U2301" i="10"/>
  <c r="T2301" i="10"/>
  <c r="N2301" i="10"/>
  <c r="F2301" i="10"/>
  <c r="AI2300" i="10"/>
  <c r="AD2300" i="10"/>
  <c r="AC2300" i="10"/>
  <c r="AB2300" i="10"/>
  <c r="AA2300" i="10"/>
  <c r="Z2300" i="10"/>
  <c r="U2300" i="10"/>
  <c r="T2300" i="10"/>
  <c r="N2300" i="10"/>
  <c r="F2300" i="10"/>
  <c r="AI2299" i="10"/>
  <c r="AD2299" i="10"/>
  <c r="AC2299" i="10"/>
  <c r="AB2299" i="10"/>
  <c r="AA2299" i="10"/>
  <c r="Z2299" i="10"/>
  <c r="U2299" i="10"/>
  <c r="T2299" i="10"/>
  <c r="N2299" i="10"/>
  <c r="F2299" i="10"/>
  <c r="AI2298" i="10"/>
  <c r="AD2298" i="10"/>
  <c r="AC2298" i="10"/>
  <c r="AB2298" i="10"/>
  <c r="AA2298" i="10"/>
  <c r="Z2298" i="10"/>
  <c r="U2298" i="10"/>
  <c r="T2298" i="10"/>
  <c r="N2298" i="10"/>
  <c r="F2298" i="10"/>
  <c r="AI2297" i="10"/>
  <c r="AD2297" i="10"/>
  <c r="AC2297" i="10"/>
  <c r="AB2297" i="10"/>
  <c r="AA2297" i="10"/>
  <c r="Z2297" i="10"/>
  <c r="U2297" i="10"/>
  <c r="T2297" i="10"/>
  <c r="N2297" i="10"/>
  <c r="F2297" i="10"/>
  <c r="AI2296" i="10"/>
  <c r="AD2296" i="10"/>
  <c r="AC2296" i="10"/>
  <c r="AB2296" i="10"/>
  <c r="AA2296" i="10"/>
  <c r="Z2296" i="10"/>
  <c r="U2296" i="10"/>
  <c r="T2296" i="10"/>
  <c r="N2296" i="10"/>
  <c r="F2296" i="10"/>
  <c r="AI2295" i="10"/>
  <c r="AD2295" i="10"/>
  <c r="AC2295" i="10"/>
  <c r="AB2295" i="10"/>
  <c r="AA2295" i="10"/>
  <c r="Z2295" i="10"/>
  <c r="U2295" i="10"/>
  <c r="T2295" i="10"/>
  <c r="N2295" i="10"/>
  <c r="F2295" i="10"/>
  <c r="AI2294" i="10"/>
  <c r="AD2294" i="10"/>
  <c r="AC2294" i="10"/>
  <c r="AB2294" i="10"/>
  <c r="AA2294" i="10"/>
  <c r="Z2294" i="10"/>
  <c r="U2294" i="10"/>
  <c r="T2294" i="10"/>
  <c r="N2294" i="10"/>
  <c r="F2294" i="10"/>
  <c r="AI2293" i="10"/>
  <c r="AD2293" i="10"/>
  <c r="AC2293" i="10"/>
  <c r="AB2293" i="10"/>
  <c r="AA2293" i="10"/>
  <c r="Z2293" i="10"/>
  <c r="U2293" i="10"/>
  <c r="T2293" i="10"/>
  <c r="N2293" i="10"/>
  <c r="F2293" i="10"/>
  <c r="AI2292" i="10"/>
  <c r="AD2292" i="10"/>
  <c r="AC2292" i="10"/>
  <c r="AB2292" i="10"/>
  <c r="AA2292" i="10"/>
  <c r="Z2292" i="10"/>
  <c r="U2292" i="10"/>
  <c r="T2292" i="10"/>
  <c r="N2292" i="10"/>
  <c r="F2292" i="10"/>
  <c r="AI2291" i="10"/>
  <c r="AD2291" i="10"/>
  <c r="AC2291" i="10"/>
  <c r="AB2291" i="10"/>
  <c r="AA2291" i="10"/>
  <c r="Z2291" i="10"/>
  <c r="U2291" i="10"/>
  <c r="T2291" i="10"/>
  <c r="N2291" i="10"/>
  <c r="F2291" i="10"/>
  <c r="AI2290" i="10"/>
  <c r="AD2290" i="10"/>
  <c r="AC2290" i="10"/>
  <c r="AB2290" i="10"/>
  <c r="AA2290" i="10"/>
  <c r="Z2290" i="10"/>
  <c r="U2290" i="10"/>
  <c r="T2290" i="10"/>
  <c r="N2290" i="10"/>
  <c r="F2290" i="10"/>
  <c r="AI2289" i="10"/>
  <c r="AD2289" i="10"/>
  <c r="AC2289" i="10"/>
  <c r="AB2289" i="10"/>
  <c r="AA2289" i="10"/>
  <c r="Z2289" i="10"/>
  <c r="U2289" i="10"/>
  <c r="T2289" i="10"/>
  <c r="N2289" i="10"/>
  <c r="F2289" i="10"/>
  <c r="AI2288" i="10"/>
  <c r="AD2288" i="10"/>
  <c r="AC2288" i="10"/>
  <c r="AB2288" i="10"/>
  <c r="AA2288" i="10"/>
  <c r="Z2288" i="10"/>
  <c r="U2288" i="10"/>
  <c r="T2288" i="10"/>
  <c r="N2288" i="10"/>
  <c r="F2288" i="10"/>
  <c r="AI2287" i="10"/>
  <c r="AD2287" i="10"/>
  <c r="AC2287" i="10"/>
  <c r="AB2287" i="10"/>
  <c r="AA2287" i="10"/>
  <c r="Z2287" i="10"/>
  <c r="U2287" i="10"/>
  <c r="T2287" i="10"/>
  <c r="N2287" i="10"/>
  <c r="F2287" i="10"/>
  <c r="AI2286" i="10"/>
  <c r="AD2286" i="10"/>
  <c r="AC2286" i="10"/>
  <c r="AB2286" i="10"/>
  <c r="AA2286" i="10"/>
  <c r="Z2286" i="10"/>
  <c r="U2286" i="10"/>
  <c r="T2286" i="10"/>
  <c r="N2286" i="10"/>
  <c r="F2286" i="10"/>
  <c r="AI2285" i="10"/>
  <c r="AD2285" i="10"/>
  <c r="AC2285" i="10"/>
  <c r="AB2285" i="10"/>
  <c r="AA2285" i="10"/>
  <c r="Z2285" i="10"/>
  <c r="U2285" i="10"/>
  <c r="T2285" i="10"/>
  <c r="N2285" i="10"/>
  <c r="F2285" i="10"/>
  <c r="AI2284" i="10"/>
  <c r="AD2284" i="10"/>
  <c r="AC2284" i="10"/>
  <c r="AB2284" i="10"/>
  <c r="AA2284" i="10"/>
  <c r="Z2284" i="10"/>
  <c r="U2284" i="10"/>
  <c r="T2284" i="10"/>
  <c r="N2284" i="10"/>
  <c r="F2284" i="10"/>
  <c r="AI2283" i="10"/>
  <c r="AD2283" i="10"/>
  <c r="AC2283" i="10"/>
  <c r="AB2283" i="10"/>
  <c r="AA2283" i="10"/>
  <c r="Z2283" i="10"/>
  <c r="U2283" i="10"/>
  <c r="T2283" i="10"/>
  <c r="N2283" i="10"/>
  <c r="F2283" i="10"/>
  <c r="AI2282" i="10"/>
  <c r="AD2282" i="10"/>
  <c r="AC2282" i="10"/>
  <c r="AB2282" i="10"/>
  <c r="AA2282" i="10"/>
  <c r="Z2282" i="10"/>
  <c r="U2282" i="10"/>
  <c r="T2282" i="10"/>
  <c r="N2282" i="10"/>
  <c r="F2282" i="10"/>
  <c r="AI2281" i="10"/>
  <c r="AD2281" i="10"/>
  <c r="AC2281" i="10"/>
  <c r="AB2281" i="10"/>
  <c r="AA2281" i="10"/>
  <c r="Z2281" i="10"/>
  <c r="U2281" i="10"/>
  <c r="T2281" i="10"/>
  <c r="N2281" i="10"/>
  <c r="F2281" i="10"/>
  <c r="AI2280" i="10"/>
  <c r="AD2280" i="10"/>
  <c r="AC2280" i="10"/>
  <c r="AB2280" i="10"/>
  <c r="AA2280" i="10"/>
  <c r="Z2280" i="10"/>
  <c r="U2280" i="10"/>
  <c r="T2280" i="10"/>
  <c r="N2280" i="10"/>
  <c r="F2280" i="10"/>
  <c r="AI2279" i="10"/>
  <c r="AD2279" i="10"/>
  <c r="AC2279" i="10"/>
  <c r="AB2279" i="10"/>
  <c r="AA2279" i="10"/>
  <c r="Z2279" i="10"/>
  <c r="U2279" i="10"/>
  <c r="T2279" i="10"/>
  <c r="N2279" i="10"/>
  <c r="F2279" i="10"/>
  <c r="AI2278" i="10"/>
  <c r="AD2278" i="10"/>
  <c r="AC2278" i="10"/>
  <c r="AB2278" i="10"/>
  <c r="AA2278" i="10"/>
  <c r="Z2278" i="10"/>
  <c r="U2278" i="10"/>
  <c r="T2278" i="10"/>
  <c r="N2278" i="10"/>
  <c r="F2278" i="10"/>
  <c r="AI2277" i="10"/>
  <c r="AD2277" i="10"/>
  <c r="AC2277" i="10"/>
  <c r="AB2277" i="10"/>
  <c r="AA2277" i="10"/>
  <c r="Z2277" i="10"/>
  <c r="U2277" i="10"/>
  <c r="T2277" i="10"/>
  <c r="N2277" i="10"/>
  <c r="F2277" i="10"/>
  <c r="AI2276" i="10"/>
  <c r="AD2276" i="10"/>
  <c r="AC2276" i="10"/>
  <c r="AB2276" i="10"/>
  <c r="AA2276" i="10"/>
  <c r="Z2276" i="10"/>
  <c r="U2276" i="10"/>
  <c r="T2276" i="10"/>
  <c r="N2276" i="10"/>
  <c r="F2276" i="10"/>
  <c r="AI2275" i="10"/>
  <c r="AD2275" i="10"/>
  <c r="AC2275" i="10"/>
  <c r="AB2275" i="10"/>
  <c r="AA2275" i="10"/>
  <c r="Z2275" i="10"/>
  <c r="U2275" i="10"/>
  <c r="T2275" i="10"/>
  <c r="N2275" i="10"/>
  <c r="F2275" i="10"/>
  <c r="AI2274" i="10"/>
  <c r="AD2274" i="10"/>
  <c r="AC2274" i="10"/>
  <c r="AB2274" i="10"/>
  <c r="AA2274" i="10"/>
  <c r="Z2274" i="10"/>
  <c r="U2274" i="10"/>
  <c r="T2274" i="10"/>
  <c r="N2274" i="10"/>
  <c r="F2274" i="10"/>
  <c r="AI2273" i="10"/>
  <c r="AD2273" i="10"/>
  <c r="AC2273" i="10"/>
  <c r="AB2273" i="10"/>
  <c r="AA2273" i="10"/>
  <c r="Z2273" i="10"/>
  <c r="U2273" i="10"/>
  <c r="T2273" i="10"/>
  <c r="N2273" i="10"/>
  <c r="F2273" i="10"/>
  <c r="AI2272" i="10"/>
  <c r="AD2272" i="10"/>
  <c r="AC2272" i="10"/>
  <c r="AB2272" i="10"/>
  <c r="AA2272" i="10"/>
  <c r="Z2272" i="10"/>
  <c r="U2272" i="10"/>
  <c r="T2272" i="10"/>
  <c r="N2272" i="10"/>
  <c r="F2272" i="10"/>
  <c r="AI2271" i="10"/>
  <c r="AD2271" i="10"/>
  <c r="AC2271" i="10"/>
  <c r="AB2271" i="10"/>
  <c r="AA2271" i="10"/>
  <c r="Z2271" i="10"/>
  <c r="U2271" i="10"/>
  <c r="T2271" i="10"/>
  <c r="N2271" i="10"/>
  <c r="F2271" i="10"/>
  <c r="AI2270" i="10"/>
  <c r="AD2270" i="10"/>
  <c r="AC2270" i="10"/>
  <c r="AB2270" i="10"/>
  <c r="AA2270" i="10"/>
  <c r="Z2270" i="10"/>
  <c r="U2270" i="10"/>
  <c r="T2270" i="10"/>
  <c r="N2270" i="10"/>
  <c r="F2270" i="10"/>
  <c r="AI2269" i="10"/>
  <c r="AD2269" i="10"/>
  <c r="AC2269" i="10"/>
  <c r="AB2269" i="10"/>
  <c r="AA2269" i="10"/>
  <c r="Z2269" i="10"/>
  <c r="U2269" i="10"/>
  <c r="T2269" i="10"/>
  <c r="N2269" i="10"/>
  <c r="F2269" i="10"/>
  <c r="AI2268" i="10"/>
  <c r="AD2268" i="10"/>
  <c r="AC2268" i="10"/>
  <c r="AB2268" i="10"/>
  <c r="AA2268" i="10"/>
  <c r="Z2268" i="10"/>
  <c r="U2268" i="10"/>
  <c r="T2268" i="10"/>
  <c r="N2268" i="10"/>
  <c r="F2268" i="10"/>
  <c r="AI2267" i="10"/>
  <c r="AD2267" i="10"/>
  <c r="AC2267" i="10"/>
  <c r="AB2267" i="10"/>
  <c r="AA2267" i="10"/>
  <c r="Z2267" i="10"/>
  <c r="U2267" i="10"/>
  <c r="T2267" i="10"/>
  <c r="N2267" i="10"/>
  <c r="F2267" i="10"/>
  <c r="AI2266" i="10"/>
  <c r="AD2266" i="10"/>
  <c r="AC2266" i="10"/>
  <c r="AB2266" i="10"/>
  <c r="AA2266" i="10"/>
  <c r="Z2266" i="10"/>
  <c r="U2266" i="10"/>
  <c r="T2266" i="10"/>
  <c r="N2266" i="10"/>
  <c r="F2266" i="10"/>
  <c r="AI2265" i="10"/>
  <c r="AD2265" i="10"/>
  <c r="AC2265" i="10"/>
  <c r="AB2265" i="10"/>
  <c r="AA2265" i="10"/>
  <c r="Z2265" i="10"/>
  <c r="U2265" i="10"/>
  <c r="T2265" i="10"/>
  <c r="N2265" i="10"/>
  <c r="F2265" i="10"/>
  <c r="AI2264" i="10"/>
  <c r="AD2264" i="10"/>
  <c r="AC2264" i="10"/>
  <c r="AB2264" i="10"/>
  <c r="AA2264" i="10"/>
  <c r="Z2264" i="10"/>
  <c r="U2264" i="10"/>
  <c r="T2264" i="10"/>
  <c r="N2264" i="10"/>
  <c r="F2264" i="10"/>
  <c r="AI2263" i="10"/>
  <c r="AD2263" i="10"/>
  <c r="AC2263" i="10"/>
  <c r="AB2263" i="10"/>
  <c r="AA2263" i="10"/>
  <c r="Z2263" i="10"/>
  <c r="U2263" i="10"/>
  <c r="T2263" i="10"/>
  <c r="N2263" i="10"/>
  <c r="F2263" i="10"/>
  <c r="AI2262" i="10"/>
  <c r="AD2262" i="10"/>
  <c r="AC2262" i="10"/>
  <c r="AB2262" i="10"/>
  <c r="AA2262" i="10"/>
  <c r="Z2262" i="10"/>
  <c r="U2262" i="10"/>
  <c r="T2262" i="10"/>
  <c r="N2262" i="10"/>
  <c r="F2262" i="10"/>
  <c r="AI2261" i="10"/>
  <c r="AD2261" i="10"/>
  <c r="AC2261" i="10"/>
  <c r="AB2261" i="10"/>
  <c r="AA2261" i="10"/>
  <c r="Z2261" i="10"/>
  <c r="U2261" i="10"/>
  <c r="T2261" i="10"/>
  <c r="N2261" i="10"/>
  <c r="F2261" i="10"/>
  <c r="AI2260" i="10"/>
  <c r="AD2260" i="10"/>
  <c r="AC2260" i="10"/>
  <c r="AB2260" i="10"/>
  <c r="AA2260" i="10"/>
  <c r="Z2260" i="10"/>
  <c r="U2260" i="10"/>
  <c r="T2260" i="10"/>
  <c r="N2260" i="10"/>
  <c r="F2260" i="10"/>
  <c r="AI2259" i="10"/>
  <c r="AD2259" i="10"/>
  <c r="AC2259" i="10"/>
  <c r="AB2259" i="10"/>
  <c r="AA2259" i="10"/>
  <c r="Z2259" i="10"/>
  <c r="U2259" i="10"/>
  <c r="T2259" i="10"/>
  <c r="N2259" i="10"/>
  <c r="F2259" i="10"/>
  <c r="AI2258" i="10"/>
  <c r="AD2258" i="10"/>
  <c r="AC2258" i="10"/>
  <c r="AB2258" i="10"/>
  <c r="AA2258" i="10"/>
  <c r="Z2258" i="10"/>
  <c r="U2258" i="10"/>
  <c r="T2258" i="10"/>
  <c r="N2258" i="10"/>
  <c r="F2258" i="10"/>
  <c r="AI2257" i="10"/>
  <c r="AD2257" i="10"/>
  <c r="AC2257" i="10"/>
  <c r="AB2257" i="10"/>
  <c r="AA2257" i="10"/>
  <c r="Z2257" i="10"/>
  <c r="U2257" i="10"/>
  <c r="T2257" i="10"/>
  <c r="N2257" i="10"/>
  <c r="F2257" i="10"/>
  <c r="AI2256" i="10"/>
  <c r="AD2256" i="10"/>
  <c r="AC2256" i="10"/>
  <c r="AB2256" i="10"/>
  <c r="AA2256" i="10"/>
  <c r="Z2256" i="10"/>
  <c r="U2256" i="10"/>
  <c r="T2256" i="10"/>
  <c r="N2256" i="10"/>
  <c r="F2256" i="10"/>
  <c r="AI2255" i="10"/>
  <c r="AD2255" i="10"/>
  <c r="AC2255" i="10"/>
  <c r="AB2255" i="10"/>
  <c r="AA2255" i="10"/>
  <c r="Z2255" i="10"/>
  <c r="U2255" i="10"/>
  <c r="T2255" i="10"/>
  <c r="N2255" i="10"/>
  <c r="F2255" i="10"/>
  <c r="AI2254" i="10"/>
  <c r="AD2254" i="10"/>
  <c r="AC2254" i="10"/>
  <c r="AB2254" i="10"/>
  <c r="AA2254" i="10"/>
  <c r="Z2254" i="10"/>
  <c r="U2254" i="10"/>
  <c r="T2254" i="10"/>
  <c r="N2254" i="10"/>
  <c r="F2254" i="10"/>
  <c r="AI2253" i="10"/>
  <c r="AD2253" i="10"/>
  <c r="AC2253" i="10"/>
  <c r="AB2253" i="10"/>
  <c r="AA2253" i="10"/>
  <c r="Z2253" i="10"/>
  <c r="U2253" i="10"/>
  <c r="T2253" i="10"/>
  <c r="N2253" i="10"/>
  <c r="F2253" i="10"/>
  <c r="AI2252" i="10"/>
  <c r="AD2252" i="10"/>
  <c r="AC2252" i="10"/>
  <c r="AB2252" i="10"/>
  <c r="AA2252" i="10"/>
  <c r="Z2252" i="10"/>
  <c r="U2252" i="10"/>
  <c r="T2252" i="10"/>
  <c r="N2252" i="10"/>
  <c r="F2252" i="10"/>
  <c r="AI2251" i="10"/>
  <c r="AD2251" i="10"/>
  <c r="AC2251" i="10"/>
  <c r="AB2251" i="10"/>
  <c r="AA2251" i="10"/>
  <c r="Z2251" i="10"/>
  <c r="U2251" i="10"/>
  <c r="T2251" i="10"/>
  <c r="N2251" i="10"/>
  <c r="F2251" i="10"/>
  <c r="AI2250" i="10"/>
  <c r="AD2250" i="10"/>
  <c r="AC2250" i="10"/>
  <c r="AB2250" i="10"/>
  <c r="AA2250" i="10"/>
  <c r="Z2250" i="10"/>
  <c r="U2250" i="10"/>
  <c r="T2250" i="10"/>
  <c r="N2250" i="10"/>
  <c r="F2250" i="10"/>
  <c r="AI2249" i="10"/>
  <c r="AD2249" i="10"/>
  <c r="AC2249" i="10"/>
  <c r="AB2249" i="10"/>
  <c r="AA2249" i="10"/>
  <c r="Z2249" i="10"/>
  <c r="U2249" i="10"/>
  <c r="T2249" i="10"/>
  <c r="N2249" i="10"/>
  <c r="F2249" i="10"/>
  <c r="AI2248" i="10"/>
  <c r="AD2248" i="10"/>
  <c r="AC2248" i="10"/>
  <c r="AB2248" i="10"/>
  <c r="AA2248" i="10"/>
  <c r="Z2248" i="10"/>
  <c r="U2248" i="10"/>
  <c r="T2248" i="10"/>
  <c r="N2248" i="10"/>
  <c r="F2248" i="10"/>
  <c r="AI2247" i="10"/>
  <c r="AD2247" i="10"/>
  <c r="AC2247" i="10"/>
  <c r="AB2247" i="10"/>
  <c r="AA2247" i="10"/>
  <c r="Z2247" i="10"/>
  <c r="U2247" i="10"/>
  <c r="T2247" i="10"/>
  <c r="N2247" i="10"/>
  <c r="F2247" i="10"/>
  <c r="AI2246" i="10"/>
  <c r="AD2246" i="10"/>
  <c r="AC2246" i="10"/>
  <c r="AB2246" i="10"/>
  <c r="AA2246" i="10"/>
  <c r="Z2246" i="10"/>
  <c r="U2246" i="10"/>
  <c r="T2246" i="10"/>
  <c r="N2246" i="10"/>
  <c r="F2246" i="10"/>
  <c r="AI2245" i="10"/>
  <c r="AD2245" i="10"/>
  <c r="AC2245" i="10"/>
  <c r="AB2245" i="10"/>
  <c r="AA2245" i="10"/>
  <c r="Z2245" i="10"/>
  <c r="U2245" i="10"/>
  <c r="T2245" i="10"/>
  <c r="N2245" i="10"/>
  <c r="F2245" i="10"/>
  <c r="AI2244" i="10"/>
  <c r="AD2244" i="10"/>
  <c r="AC2244" i="10"/>
  <c r="AB2244" i="10"/>
  <c r="AA2244" i="10"/>
  <c r="Z2244" i="10"/>
  <c r="U2244" i="10"/>
  <c r="T2244" i="10"/>
  <c r="N2244" i="10"/>
  <c r="F2244" i="10"/>
  <c r="AI2243" i="10"/>
  <c r="AD2243" i="10"/>
  <c r="AC2243" i="10"/>
  <c r="AB2243" i="10"/>
  <c r="AA2243" i="10"/>
  <c r="Z2243" i="10"/>
  <c r="U2243" i="10"/>
  <c r="T2243" i="10"/>
  <c r="N2243" i="10"/>
  <c r="F2243" i="10"/>
  <c r="AI2242" i="10"/>
  <c r="AD2242" i="10"/>
  <c r="AC2242" i="10"/>
  <c r="AB2242" i="10"/>
  <c r="AA2242" i="10"/>
  <c r="Z2242" i="10"/>
  <c r="U2242" i="10"/>
  <c r="T2242" i="10"/>
  <c r="N2242" i="10"/>
  <c r="F2242" i="10"/>
  <c r="AI2241" i="10"/>
  <c r="AD2241" i="10"/>
  <c r="AC2241" i="10"/>
  <c r="AB2241" i="10"/>
  <c r="AA2241" i="10"/>
  <c r="Z2241" i="10"/>
  <c r="U2241" i="10"/>
  <c r="T2241" i="10"/>
  <c r="N2241" i="10"/>
  <c r="F2241" i="10"/>
  <c r="AI2240" i="10"/>
  <c r="AD2240" i="10"/>
  <c r="AC2240" i="10"/>
  <c r="AB2240" i="10"/>
  <c r="AA2240" i="10"/>
  <c r="Z2240" i="10"/>
  <c r="U2240" i="10"/>
  <c r="T2240" i="10"/>
  <c r="N2240" i="10"/>
  <c r="F2240" i="10"/>
  <c r="AI2239" i="10"/>
  <c r="AD2239" i="10"/>
  <c r="AC2239" i="10"/>
  <c r="AB2239" i="10"/>
  <c r="AA2239" i="10"/>
  <c r="Z2239" i="10"/>
  <c r="U2239" i="10"/>
  <c r="T2239" i="10"/>
  <c r="N2239" i="10"/>
  <c r="F2239" i="10"/>
  <c r="AI2238" i="10"/>
  <c r="AD2238" i="10"/>
  <c r="AC2238" i="10"/>
  <c r="AB2238" i="10"/>
  <c r="AA2238" i="10"/>
  <c r="Z2238" i="10"/>
  <c r="U2238" i="10"/>
  <c r="T2238" i="10"/>
  <c r="N2238" i="10"/>
  <c r="F2238" i="10"/>
  <c r="AI2237" i="10"/>
  <c r="AD2237" i="10"/>
  <c r="AC2237" i="10"/>
  <c r="AB2237" i="10"/>
  <c r="AA2237" i="10"/>
  <c r="Z2237" i="10"/>
  <c r="U2237" i="10"/>
  <c r="T2237" i="10"/>
  <c r="N2237" i="10"/>
  <c r="F2237" i="10"/>
  <c r="AI2236" i="10"/>
  <c r="AD2236" i="10"/>
  <c r="AC2236" i="10"/>
  <c r="AB2236" i="10"/>
  <c r="AA2236" i="10"/>
  <c r="Z2236" i="10"/>
  <c r="U2236" i="10"/>
  <c r="T2236" i="10"/>
  <c r="N2236" i="10"/>
  <c r="F2236" i="10"/>
  <c r="AI2235" i="10"/>
  <c r="AD2235" i="10"/>
  <c r="AC2235" i="10"/>
  <c r="AB2235" i="10"/>
  <c r="AA2235" i="10"/>
  <c r="Z2235" i="10"/>
  <c r="U2235" i="10"/>
  <c r="T2235" i="10"/>
  <c r="N2235" i="10"/>
  <c r="F2235" i="10"/>
  <c r="AI2234" i="10"/>
  <c r="AD2234" i="10"/>
  <c r="AC2234" i="10"/>
  <c r="AB2234" i="10"/>
  <c r="AA2234" i="10"/>
  <c r="Z2234" i="10"/>
  <c r="U2234" i="10"/>
  <c r="T2234" i="10"/>
  <c r="N2234" i="10"/>
  <c r="F2234" i="10"/>
  <c r="AI2233" i="10"/>
  <c r="AD2233" i="10"/>
  <c r="AC2233" i="10"/>
  <c r="AB2233" i="10"/>
  <c r="AA2233" i="10"/>
  <c r="Z2233" i="10"/>
  <c r="U2233" i="10"/>
  <c r="T2233" i="10"/>
  <c r="N2233" i="10"/>
  <c r="F2233" i="10"/>
  <c r="AI2232" i="10"/>
  <c r="AD2232" i="10"/>
  <c r="AC2232" i="10"/>
  <c r="AB2232" i="10"/>
  <c r="AA2232" i="10"/>
  <c r="Z2232" i="10"/>
  <c r="U2232" i="10"/>
  <c r="T2232" i="10"/>
  <c r="N2232" i="10"/>
  <c r="F2232" i="10"/>
  <c r="AI2231" i="10"/>
  <c r="AD2231" i="10"/>
  <c r="AC2231" i="10"/>
  <c r="AB2231" i="10"/>
  <c r="AA2231" i="10"/>
  <c r="Z2231" i="10"/>
  <c r="U2231" i="10"/>
  <c r="T2231" i="10"/>
  <c r="N2231" i="10"/>
  <c r="F2231" i="10"/>
  <c r="AI2230" i="10"/>
  <c r="AD2230" i="10"/>
  <c r="AC2230" i="10"/>
  <c r="AB2230" i="10"/>
  <c r="AA2230" i="10"/>
  <c r="Z2230" i="10"/>
  <c r="U2230" i="10"/>
  <c r="T2230" i="10"/>
  <c r="N2230" i="10"/>
  <c r="F2230" i="10"/>
  <c r="AI2229" i="10"/>
  <c r="AD2229" i="10"/>
  <c r="AC2229" i="10"/>
  <c r="AB2229" i="10"/>
  <c r="AA2229" i="10"/>
  <c r="Z2229" i="10"/>
  <c r="U2229" i="10"/>
  <c r="T2229" i="10"/>
  <c r="N2229" i="10"/>
  <c r="F2229" i="10"/>
  <c r="AI2228" i="10"/>
  <c r="AD2228" i="10"/>
  <c r="AC2228" i="10"/>
  <c r="AB2228" i="10"/>
  <c r="AA2228" i="10"/>
  <c r="Z2228" i="10"/>
  <c r="U2228" i="10"/>
  <c r="T2228" i="10"/>
  <c r="N2228" i="10"/>
  <c r="F2228" i="10"/>
  <c r="AI2227" i="10"/>
  <c r="AD2227" i="10"/>
  <c r="AC2227" i="10"/>
  <c r="AB2227" i="10"/>
  <c r="AA2227" i="10"/>
  <c r="Z2227" i="10"/>
  <c r="U2227" i="10"/>
  <c r="T2227" i="10"/>
  <c r="N2227" i="10"/>
  <c r="F2227" i="10"/>
  <c r="AI2226" i="10"/>
  <c r="AD2226" i="10"/>
  <c r="AC2226" i="10"/>
  <c r="AB2226" i="10"/>
  <c r="AA2226" i="10"/>
  <c r="Z2226" i="10"/>
  <c r="U2226" i="10"/>
  <c r="T2226" i="10"/>
  <c r="N2226" i="10"/>
  <c r="F2226" i="10"/>
  <c r="AI2225" i="10"/>
  <c r="AD2225" i="10"/>
  <c r="AC2225" i="10"/>
  <c r="AB2225" i="10"/>
  <c r="AA2225" i="10"/>
  <c r="Z2225" i="10"/>
  <c r="U2225" i="10"/>
  <c r="T2225" i="10"/>
  <c r="N2225" i="10"/>
  <c r="F2225" i="10"/>
  <c r="AI2224" i="10"/>
  <c r="AD2224" i="10"/>
  <c r="AC2224" i="10"/>
  <c r="AB2224" i="10"/>
  <c r="AA2224" i="10"/>
  <c r="Z2224" i="10"/>
  <c r="U2224" i="10"/>
  <c r="T2224" i="10"/>
  <c r="N2224" i="10"/>
  <c r="F2224" i="10"/>
  <c r="AI2223" i="10"/>
  <c r="AD2223" i="10"/>
  <c r="AC2223" i="10"/>
  <c r="AB2223" i="10"/>
  <c r="AA2223" i="10"/>
  <c r="Z2223" i="10"/>
  <c r="U2223" i="10"/>
  <c r="T2223" i="10"/>
  <c r="N2223" i="10"/>
  <c r="F2223" i="10"/>
  <c r="AI2222" i="10"/>
  <c r="AD2222" i="10"/>
  <c r="AC2222" i="10"/>
  <c r="AB2222" i="10"/>
  <c r="AA2222" i="10"/>
  <c r="Z2222" i="10"/>
  <c r="U2222" i="10"/>
  <c r="T2222" i="10"/>
  <c r="N2222" i="10"/>
  <c r="F2222" i="10"/>
  <c r="AI2221" i="10"/>
  <c r="AD2221" i="10"/>
  <c r="AC2221" i="10"/>
  <c r="AB2221" i="10"/>
  <c r="AA2221" i="10"/>
  <c r="Z2221" i="10"/>
  <c r="U2221" i="10"/>
  <c r="T2221" i="10"/>
  <c r="N2221" i="10"/>
  <c r="F2221" i="10"/>
  <c r="AI2220" i="10"/>
  <c r="AD2220" i="10"/>
  <c r="AC2220" i="10"/>
  <c r="AB2220" i="10"/>
  <c r="AA2220" i="10"/>
  <c r="Z2220" i="10"/>
  <c r="U2220" i="10"/>
  <c r="T2220" i="10"/>
  <c r="N2220" i="10"/>
  <c r="F2220" i="10"/>
  <c r="AI2219" i="10"/>
  <c r="AD2219" i="10"/>
  <c r="AC2219" i="10"/>
  <c r="AB2219" i="10"/>
  <c r="AA2219" i="10"/>
  <c r="Z2219" i="10"/>
  <c r="U2219" i="10"/>
  <c r="T2219" i="10"/>
  <c r="N2219" i="10"/>
  <c r="F2219" i="10"/>
  <c r="AI2218" i="10"/>
  <c r="AD2218" i="10"/>
  <c r="AC2218" i="10"/>
  <c r="AB2218" i="10"/>
  <c r="AA2218" i="10"/>
  <c r="Z2218" i="10"/>
  <c r="U2218" i="10"/>
  <c r="T2218" i="10"/>
  <c r="N2218" i="10"/>
  <c r="F2218" i="10"/>
  <c r="AI2217" i="10"/>
  <c r="AD2217" i="10"/>
  <c r="AC2217" i="10"/>
  <c r="AB2217" i="10"/>
  <c r="AA2217" i="10"/>
  <c r="Z2217" i="10"/>
  <c r="U2217" i="10"/>
  <c r="T2217" i="10"/>
  <c r="N2217" i="10"/>
  <c r="F2217" i="10"/>
  <c r="AI2216" i="10"/>
  <c r="AD2216" i="10"/>
  <c r="AC2216" i="10"/>
  <c r="AB2216" i="10"/>
  <c r="AA2216" i="10"/>
  <c r="Z2216" i="10"/>
  <c r="U2216" i="10"/>
  <c r="T2216" i="10"/>
  <c r="N2216" i="10"/>
  <c r="F2216" i="10"/>
  <c r="AI2215" i="10"/>
  <c r="AD2215" i="10"/>
  <c r="AC2215" i="10"/>
  <c r="AB2215" i="10"/>
  <c r="AA2215" i="10"/>
  <c r="Z2215" i="10"/>
  <c r="U2215" i="10"/>
  <c r="T2215" i="10"/>
  <c r="N2215" i="10"/>
  <c r="F2215" i="10"/>
  <c r="AI2214" i="10"/>
  <c r="AD2214" i="10"/>
  <c r="AC2214" i="10"/>
  <c r="AB2214" i="10"/>
  <c r="AA2214" i="10"/>
  <c r="Z2214" i="10"/>
  <c r="U2214" i="10"/>
  <c r="T2214" i="10"/>
  <c r="N2214" i="10"/>
  <c r="F2214" i="10"/>
  <c r="AI2213" i="10"/>
  <c r="AD2213" i="10"/>
  <c r="AC2213" i="10"/>
  <c r="AB2213" i="10"/>
  <c r="AA2213" i="10"/>
  <c r="Z2213" i="10"/>
  <c r="U2213" i="10"/>
  <c r="T2213" i="10"/>
  <c r="N2213" i="10"/>
  <c r="F2213" i="10"/>
  <c r="AI2212" i="10"/>
  <c r="AD2212" i="10"/>
  <c r="AC2212" i="10"/>
  <c r="AB2212" i="10"/>
  <c r="AA2212" i="10"/>
  <c r="Z2212" i="10"/>
  <c r="U2212" i="10"/>
  <c r="T2212" i="10"/>
  <c r="N2212" i="10"/>
  <c r="F2212" i="10"/>
  <c r="AI2211" i="10"/>
  <c r="AD2211" i="10"/>
  <c r="AC2211" i="10"/>
  <c r="AB2211" i="10"/>
  <c r="AA2211" i="10"/>
  <c r="Z2211" i="10"/>
  <c r="U2211" i="10"/>
  <c r="T2211" i="10"/>
  <c r="N2211" i="10"/>
  <c r="F2211" i="10"/>
  <c r="AI2210" i="10"/>
  <c r="AD2210" i="10"/>
  <c r="AC2210" i="10"/>
  <c r="AB2210" i="10"/>
  <c r="AA2210" i="10"/>
  <c r="Z2210" i="10"/>
  <c r="U2210" i="10"/>
  <c r="T2210" i="10"/>
  <c r="N2210" i="10"/>
  <c r="F2210" i="10"/>
  <c r="AI2209" i="10"/>
  <c r="AD2209" i="10"/>
  <c r="AC2209" i="10"/>
  <c r="AB2209" i="10"/>
  <c r="AA2209" i="10"/>
  <c r="Z2209" i="10"/>
  <c r="U2209" i="10"/>
  <c r="T2209" i="10"/>
  <c r="N2209" i="10"/>
  <c r="F2209" i="10"/>
  <c r="AI2208" i="10"/>
  <c r="AD2208" i="10"/>
  <c r="AC2208" i="10"/>
  <c r="AB2208" i="10"/>
  <c r="AA2208" i="10"/>
  <c r="Z2208" i="10"/>
  <c r="U2208" i="10"/>
  <c r="T2208" i="10"/>
  <c r="N2208" i="10"/>
  <c r="F2208" i="10"/>
  <c r="AI2207" i="10"/>
  <c r="AD2207" i="10"/>
  <c r="AC2207" i="10"/>
  <c r="AB2207" i="10"/>
  <c r="AA2207" i="10"/>
  <c r="Z2207" i="10"/>
  <c r="U2207" i="10"/>
  <c r="T2207" i="10"/>
  <c r="N2207" i="10"/>
  <c r="F2207" i="10"/>
  <c r="AI2206" i="10"/>
  <c r="AD2206" i="10"/>
  <c r="AC2206" i="10"/>
  <c r="AB2206" i="10"/>
  <c r="AA2206" i="10"/>
  <c r="Z2206" i="10"/>
  <c r="U2206" i="10"/>
  <c r="T2206" i="10"/>
  <c r="N2206" i="10"/>
  <c r="F2206" i="10"/>
  <c r="AI2205" i="10"/>
  <c r="AD2205" i="10"/>
  <c r="AC2205" i="10"/>
  <c r="AB2205" i="10"/>
  <c r="AA2205" i="10"/>
  <c r="Z2205" i="10"/>
  <c r="U2205" i="10"/>
  <c r="T2205" i="10"/>
  <c r="N2205" i="10"/>
  <c r="F2205" i="10"/>
  <c r="AI2204" i="10"/>
  <c r="AD2204" i="10"/>
  <c r="AC2204" i="10"/>
  <c r="AB2204" i="10"/>
  <c r="AA2204" i="10"/>
  <c r="Z2204" i="10"/>
  <c r="U2204" i="10"/>
  <c r="T2204" i="10"/>
  <c r="N2204" i="10"/>
  <c r="F2204" i="10"/>
  <c r="AI2203" i="10"/>
  <c r="AD2203" i="10"/>
  <c r="AC2203" i="10"/>
  <c r="AB2203" i="10"/>
  <c r="AA2203" i="10"/>
  <c r="Z2203" i="10"/>
  <c r="U2203" i="10"/>
  <c r="T2203" i="10"/>
  <c r="N2203" i="10"/>
  <c r="F2203" i="10"/>
  <c r="AI2202" i="10"/>
  <c r="AD2202" i="10"/>
  <c r="AC2202" i="10"/>
  <c r="AB2202" i="10"/>
  <c r="AA2202" i="10"/>
  <c r="Z2202" i="10"/>
  <c r="U2202" i="10"/>
  <c r="T2202" i="10"/>
  <c r="N2202" i="10"/>
  <c r="F2202" i="10"/>
  <c r="AI2201" i="10"/>
  <c r="AD2201" i="10"/>
  <c r="AC2201" i="10"/>
  <c r="AB2201" i="10"/>
  <c r="AA2201" i="10"/>
  <c r="Z2201" i="10"/>
  <c r="U2201" i="10"/>
  <c r="T2201" i="10"/>
  <c r="N2201" i="10"/>
  <c r="F2201" i="10"/>
  <c r="AI2200" i="10"/>
  <c r="AD2200" i="10"/>
  <c r="AC2200" i="10"/>
  <c r="AB2200" i="10"/>
  <c r="AA2200" i="10"/>
  <c r="Z2200" i="10"/>
  <c r="U2200" i="10"/>
  <c r="T2200" i="10"/>
  <c r="N2200" i="10"/>
  <c r="F2200" i="10"/>
  <c r="AI2199" i="10"/>
  <c r="AD2199" i="10"/>
  <c r="AC2199" i="10"/>
  <c r="AB2199" i="10"/>
  <c r="AA2199" i="10"/>
  <c r="Z2199" i="10"/>
  <c r="U2199" i="10"/>
  <c r="T2199" i="10"/>
  <c r="N2199" i="10"/>
  <c r="F2199" i="10"/>
  <c r="AI2198" i="10"/>
  <c r="AD2198" i="10"/>
  <c r="AC2198" i="10"/>
  <c r="AB2198" i="10"/>
  <c r="AA2198" i="10"/>
  <c r="Z2198" i="10"/>
  <c r="U2198" i="10"/>
  <c r="T2198" i="10"/>
  <c r="N2198" i="10"/>
  <c r="F2198" i="10"/>
  <c r="AI2197" i="10"/>
  <c r="AD2197" i="10"/>
  <c r="AC2197" i="10"/>
  <c r="AB2197" i="10"/>
  <c r="AA2197" i="10"/>
  <c r="Z2197" i="10"/>
  <c r="U2197" i="10"/>
  <c r="T2197" i="10"/>
  <c r="N2197" i="10"/>
  <c r="F2197" i="10"/>
  <c r="AI2196" i="10"/>
  <c r="AD2196" i="10"/>
  <c r="AC2196" i="10"/>
  <c r="AB2196" i="10"/>
  <c r="AA2196" i="10"/>
  <c r="Z2196" i="10"/>
  <c r="U2196" i="10"/>
  <c r="T2196" i="10"/>
  <c r="N2196" i="10"/>
  <c r="F2196" i="10"/>
  <c r="AI2195" i="10"/>
  <c r="AD2195" i="10"/>
  <c r="AC2195" i="10"/>
  <c r="AB2195" i="10"/>
  <c r="AA2195" i="10"/>
  <c r="Z2195" i="10"/>
  <c r="U2195" i="10"/>
  <c r="T2195" i="10"/>
  <c r="N2195" i="10"/>
  <c r="F2195" i="10"/>
  <c r="AI2194" i="10"/>
  <c r="AD2194" i="10"/>
  <c r="AC2194" i="10"/>
  <c r="AB2194" i="10"/>
  <c r="AA2194" i="10"/>
  <c r="Z2194" i="10"/>
  <c r="U2194" i="10"/>
  <c r="T2194" i="10"/>
  <c r="N2194" i="10"/>
  <c r="F2194" i="10"/>
  <c r="AI2193" i="10"/>
  <c r="AD2193" i="10"/>
  <c r="AC2193" i="10"/>
  <c r="AB2193" i="10"/>
  <c r="AA2193" i="10"/>
  <c r="Z2193" i="10"/>
  <c r="U2193" i="10"/>
  <c r="T2193" i="10"/>
  <c r="N2193" i="10"/>
  <c r="F2193" i="10"/>
  <c r="AI2192" i="10"/>
  <c r="AD2192" i="10"/>
  <c r="AC2192" i="10"/>
  <c r="AB2192" i="10"/>
  <c r="AA2192" i="10"/>
  <c r="Z2192" i="10"/>
  <c r="U2192" i="10"/>
  <c r="T2192" i="10"/>
  <c r="N2192" i="10"/>
  <c r="F2192" i="10"/>
  <c r="AI2191" i="10"/>
  <c r="AD2191" i="10"/>
  <c r="AC2191" i="10"/>
  <c r="AB2191" i="10"/>
  <c r="AA2191" i="10"/>
  <c r="Z2191" i="10"/>
  <c r="U2191" i="10"/>
  <c r="T2191" i="10"/>
  <c r="N2191" i="10"/>
  <c r="F2191" i="10"/>
  <c r="AI2190" i="10"/>
  <c r="AD2190" i="10"/>
  <c r="AC2190" i="10"/>
  <c r="AB2190" i="10"/>
  <c r="AA2190" i="10"/>
  <c r="Z2190" i="10"/>
  <c r="U2190" i="10"/>
  <c r="T2190" i="10"/>
  <c r="N2190" i="10"/>
  <c r="F2190" i="10"/>
  <c r="AI2189" i="10"/>
  <c r="AD2189" i="10"/>
  <c r="AC2189" i="10"/>
  <c r="AB2189" i="10"/>
  <c r="AA2189" i="10"/>
  <c r="Z2189" i="10"/>
  <c r="U2189" i="10"/>
  <c r="T2189" i="10"/>
  <c r="N2189" i="10"/>
  <c r="F2189" i="10"/>
  <c r="AI2188" i="10"/>
  <c r="AD2188" i="10"/>
  <c r="AC2188" i="10"/>
  <c r="AB2188" i="10"/>
  <c r="AA2188" i="10"/>
  <c r="Z2188" i="10"/>
  <c r="U2188" i="10"/>
  <c r="T2188" i="10"/>
  <c r="N2188" i="10"/>
  <c r="F2188" i="10"/>
  <c r="AI2187" i="10"/>
  <c r="AD2187" i="10"/>
  <c r="AC2187" i="10"/>
  <c r="AB2187" i="10"/>
  <c r="AA2187" i="10"/>
  <c r="Z2187" i="10"/>
  <c r="U2187" i="10"/>
  <c r="T2187" i="10"/>
  <c r="N2187" i="10"/>
  <c r="F2187" i="10"/>
  <c r="AI2186" i="10"/>
  <c r="AD2186" i="10"/>
  <c r="AC2186" i="10"/>
  <c r="AB2186" i="10"/>
  <c r="AA2186" i="10"/>
  <c r="Z2186" i="10"/>
  <c r="U2186" i="10"/>
  <c r="T2186" i="10"/>
  <c r="N2186" i="10"/>
  <c r="F2186" i="10"/>
  <c r="AI2185" i="10"/>
  <c r="AD2185" i="10"/>
  <c r="AC2185" i="10"/>
  <c r="AB2185" i="10"/>
  <c r="AA2185" i="10"/>
  <c r="Z2185" i="10"/>
  <c r="U2185" i="10"/>
  <c r="T2185" i="10"/>
  <c r="N2185" i="10"/>
  <c r="F2185" i="10"/>
  <c r="AI2184" i="10"/>
  <c r="AD2184" i="10"/>
  <c r="AC2184" i="10"/>
  <c r="AB2184" i="10"/>
  <c r="AA2184" i="10"/>
  <c r="Z2184" i="10"/>
  <c r="U2184" i="10"/>
  <c r="T2184" i="10"/>
  <c r="N2184" i="10"/>
  <c r="F2184" i="10"/>
  <c r="AI2183" i="10"/>
  <c r="AD2183" i="10"/>
  <c r="AC2183" i="10"/>
  <c r="AB2183" i="10"/>
  <c r="AA2183" i="10"/>
  <c r="Z2183" i="10"/>
  <c r="U2183" i="10"/>
  <c r="T2183" i="10"/>
  <c r="N2183" i="10"/>
  <c r="F2183" i="10"/>
  <c r="AI2182" i="10"/>
  <c r="AD2182" i="10"/>
  <c r="AC2182" i="10"/>
  <c r="AB2182" i="10"/>
  <c r="AA2182" i="10"/>
  <c r="Z2182" i="10"/>
  <c r="U2182" i="10"/>
  <c r="T2182" i="10"/>
  <c r="N2182" i="10"/>
  <c r="F2182" i="10"/>
  <c r="AI2181" i="10"/>
  <c r="AD2181" i="10"/>
  <c r="AC2181" i="10"/>
  <c r="AB2181" i="10"/>
  <c r="AA2181" i="10"/>
  <c r="Z2181" i="10"/>
  <c r="U2181" i="10"/>
  <c r="T2181" i="10"/>
  <c r="N2181" i="10"/>
  <c r="F2181" i="10"/>
  <c r="AI2180" i="10"/>
  <c r="AD2180" i="10"/>
  <c r="AC2180" i="10"/>
  <c r="AB2180" i="10"/>
  <c r="AA2180" i="10"/>
  <c r="Z2180" i="10"/>
  <c r="U2180" i="10"/>
  <c r="T2180" i="10"/>
  <c r="N2180" i="10"/>
  <c r="F2180" i="10"/>
  <c r="AI2179" i="10"/>
  <c r="AD2179" i="10"/>
  <c r="AC2179" i="10"/>
  <c r="AB2179" i="10"/>
  <c r="AA2179" i="10"/>
  <c r="Z2179" i="10"/>
  <c r="U2179" i="10"/>
  <c r="T2179" i="10"/>
  <c r="N2179" i="10"/>
  <c r="F2179" i="10"/>
  <c r="AI2178" i="10"/>
  <c r="AD2178" i="10"/>
  <c r="AC2178" i="10"/>
  <c r="AB2178" i="10"/>
  <c r="AA2178" i="10"/>
  <c r="Z2178" i="10"/>
  <c r="U2178" i="10"/>
  <c r="T2178" i="10"/>
  <c r="N2178" i="10"/>
  <c r="F2178" i="10"/>
  <c r="AI2177" i="10"/>
  <c r="AD2177" i="10"/>
  <c r="AC2177" i="10"/>
  <c r="AB2177" i="10"/>
  <c r="AA2177" i="10"/>
  <c r="Z2177" i="10"/>
  <c r="U2177" i="10"/>
  <c r="T2177" i="10"/>
  <c r="N2177" i="10"/>
  <c r="F2177" i="10"/>
  <c r="AI2176" i="10"/>
  <c r="AD2176" i="10"/>
  <c r="AC2176" i="10"/>
  <c r="AB2176" i="10"/>
  <c r="AA2176" i="10"/>
  <c r="Z2176" i="10"/>
  <c r="U2176" i="10"/>
  <c r="T2176" i="10"/>
  <c r="N2176" i="10"/>
  <c r="F2176" i="10"/>
  <c r="AI2175" i="10"/>
  <c r="AD2175" i="10"/>
  <c r="AC2175" i="10"/>
  <c r="AB2175" i="10"/>
  <c r="AA2175" i="10"/>
  <c r="Z2175" i="10"/>
  <c r="U2175" i="10"/>
  <c r="T2175" i="10"/>
  <c r="N2175" i="10"/>
  <c r="F2175" i="10"/>
  <c r="AI2174" i="10"/>
  <c r="AD2174" i="10"/>
  <c r="AC2174" i="10"/>
  <c r="AB2174" i="10"/>
  <c r="AA2174" i="10"/>
  <c r="Z2174" i="10"/>
  <c r="U2174" i="10"/>
  <c r="T2174" i="10"/>
  <c r="N2174" i="10"/>
  <c r="F2174" i="10"/>
  <c r="AI2173" i="10"/>
  <c r="AD2173" i="10"/>
  <c r="AC2173" i="10"/>
  <c r="AB2173" i="10"/>
  <c r="AA2173" i="10"/>
  <c r="Z2173" i="10"/>
  <c r="U2173" i="10"/>
  <c r="T2173" i="10"/>
  <c r="N2173" i="10"/>
  <c r="F2173" i="10"/>
  <c r="AI2172" i="10"/>
  <c r="AD2172" i="10"/>
  <c r="AC2172" i="10"/>
  <c r="AB2172" i="10"/>
  <c r="AA2172" i="10"/>
  <c r="Z2172" i="10"/>
  <c r="U2172" i="10"/>
  <c r="T2172" i="10"/>
  <c r="N2172" i="10"/>
  <c r="F2172" i="10"/>
  <c r="AI2171" i="10"/>
  <c r="AD2171" i="10"/>
  <c r="AC2171" i="10"/>
  <c r="AB2171" i="10"/>
  <c r="AA2171" i="10"/>
  <c r="Z2171" i="10"/>
  <c r="U2171" i="10"/>
  <c r="T2171" i="10"/>
  <c r="N2171" i="10"/>
  <c r="F2171" i="10"/>
  <c r="AI2170" i="10"/>
  <c r="AD2170" i="10"/>
  <c r="AC2170" i="10"/>
  <c r="AB2170" i="10"/>
  <c r="AA2170" i="10"/>
  <c r="Z2170" i="10"/>
  <c r="U2170" i="10"/>
  <c r="T2170" i="10"/>
  <c r="N2170" i="10"/>
  <c r="F2170" i="10"/>
  <c r="AI2169" i="10"/>
  <c r="AD2169" i="10"/>
  <c r="AC2169" i="10"/>
  <c r="AB2169" i="10"/>
  <c r="AA2169" i="10"/>
  <c r="Z2169" i="10"/>
  <c r="U2169" i="10"/>
  <c r="T2169" i="10"/>
  <c r="N2169" i="10"/>
  <c r="F2169" i="10"/>
  <c r="AI2168" i="10"/>
  <c r="AD2168" i="10"/>
  <c r="AC2168" i="10"/>
  <c r="AB2168" i="10"/>
  <c r="AA2168" i="10"/>
  <c r="Z2168" i="10"/>
  <c r="U2168" i="10"/>
  <c r="T2168" i="10"/>
  <c r="N2168" i="10"/>
  <c r="F2168" i="10"/>
  <c r="AI2167" i="10"/>
  <c r="AD2167" i="10"/>
  <c r="AC2167" i="10"/>
  <c r="AB2167" i="10"/>
  <c r="AA2167" i="10"/>
  <c r="Z2167" i="10"/>
  <c r="U2167" i="10"/>
  <c r="T2167" i="10"/>
  <c r="N2167" i="10"/>
  <c r="F2167" i="10"/>
  <c r="AI2166" i="10"/>
  <c r="AD2166" i="10"/>
  <c r="AC2166" i="10"/>
  <c r="AB2166" i="10"/>
  <c r="AA2166" i="10"/>
  <c r="Z2166" i="10"/>
  <c r="U2166" i="10"/>
  <c r="T2166" i="10"/>
  <c r="N2166" i="10"/>
  <c r="F2166" i="10"/>
  <c r="AI2165" i="10"/>
  <c r="AD2165" i="10"/>
  <c r="AC2165" i="10"/>
  <c r="AB2165" i="10"/>
  <c r="AA2165" i="10"/>
  <c r="Z2165" i="10"/>
  <c r="U2165" i="10"/>
  <c r="T2165" i="10"/>
  <c r="N2165" i="10"/>
  <c r="F2165" i="10"/>
  <c r="AI2164" i="10"/>
  <c r="AD2164" i="10"/>
  <c r="AC2164" i="10"/>
  <c r="AB2164" i="10"/>
  <c r="AA2164" i="10"/>
  <c r="Z2164" i="10"/>
  <c r="U2164" i="10"/>
  <c r="T2164" i="10"/>
  <c r="N2164" i="10"/>
  <c r="F2164" i="10"/>
  <c r="AI2163" i="10"/>
  <c r="AD2163" i="10"/>
  <c r="AC2163" i="10"/>
  <c r="AB2163" i="10"/>
  <c r="AA2163" i="10"/>
  <c r="Z2163" i="10"/>
  <c r="U2163" i="10"/>
  <c r="T2163" i="10"/>
  <c r="N2163" i="10"/>
  <c r="F2163" i="10"/>
  <c r="AI2162" i="10"/>
  <c r="AD2162" i="10"/>
  <c r="AC2162" i="10"/>
  <c r="AB2162" i="10"/>
  <c r="AA2162" i="10"/>
  <c r="Z2162" i="10"/>
  <c r="U2162" i="10"/>
  <c r="T2162" i="10"/>
  <c r="N2162" i="10"/>
  <c r="F2162" i="10"/>
  <c r="AI2161" i="10"/>
  <c r="AD2161" i="10"/>
  <c r="AC2161" i="10"/>
  <c r="AB2161" i="10"/>
  <c r="AA2161" i="10"/>
  <c r="Z2161" i="10"/>
  <c r="U2161" i="10"/>
  <c r="T2161" i="10"/>
  <c r="N2161" i="10"/>
  <c r="F2161" i="10"/>
  <c r="AI2160" i="10"/>
  <c r="AD2160" i="10"/>
  <c r="AC2160" i="10"/>
  <c r="AB2160" i="10"/>
  <c r="AA2160" i="10"/>
  <c r="Z2160" i="10"/>
  <c r="U2160" i="10"/>
  <c r="T2160" i="10"/>
  <c r="N2160" i="10"/>
  <c r="F2160" i="10"/>
  <c r="AI2159" i="10"/>
  <c r="AD2159" i="10"/>
  <c r="AC2159" i="10"/>
  <c r="AB2159" i="10"/>
  <c r="AA2159" i="10"/>
  <c r="Z2159" i="10"/>
  <c r="U2159" i="10"/>
  <c r="T2159" i="10"/>
  <c r="N2159" i="10"/>
  <c r="F2159" i="10"/>
  <c r="AI2158" i="10"/>
  <c r="AD2158" i="10"/>
  <c r="AC2158" i="10"/>
  <c r="AB2158" i="10"/>
  <c r="AA2158" i="10"/>
  <c r="Z2158" i="10"/>
  <c r="U2158" i="10"/>
  <c r="T2158" i="10"/>
  <c r="N2158" i="10"/>
  <c r="F2158" i="10"/>
  <c r="AI2157" i="10"/>
  <c r="AD2157" i="10"/>
  <c r="AC2157" i="10"/>
  <c r="AB2157" i="10"/>
  <c r="AA2157" i="10"/>
  <c r="Z2157" i="10"/>
  <c r="U2157" i="10"/>
  <c r="T2157" i="10"/>
  <c r="N2157" i="10"/>
  <c r="F2157" i="10"/>
  <c r="AI2156" i="10"/>
  <c r="AD2156" i="10"/>
  <c r="AC2156" i="10"/>
  <c r="AB2156" i="10"/>
  <c r="AA2156" i="10"/>
  <c r="Z2156" i="10"/>
  <c r="U2156" i="10"/>
  <c r="T2156" i="10"/>
  <c r="N2156" i="10"/>
  <c r="F2156" i="10"/>
  <c r="AI2155" i="10"/>
  <c r="AD2155" i="10"/>
  <c r="AC2155" i="10"/>
  <c r="AB2155" i="10"/>
  <c r="AA2155" i="10"/>
  <c r="Z2155" i="10"/>
  <c r="U2155" i="10"/>
  <c r="T2155" i="10"/>
  <c r="N2155" i="10"/>
  <c r="F2155" i="10"/>
  <c r="AI2154" i="10"/>
  <c r="AD2154" i="10"/>
  <c r="AC2154" i="10"/>
  <c r="AB2154" i="10"/>
  <c r="AA2154" i="10"/>
  <c r="Z2154" i="10"/>
  <c r="U2154" i="10"/>
  <c r="T2154" i="10"/>
  <c r="N2154" i="10"/>
  <c r="F2154" i="10"/>
  <c r="AI2153" i="10"/>
  <c r="AD2153" i="10"/>
  <c r="AC2153" i="10"/>
  <c r="AB2153" i="10"/>
  <c r="AA2153" i="10"/>
  <c r="Z2153" i="10"/>
  <c r="U2153" i="10"/>
  <c r="T2153" i="10"/>
  <c r="N2153" i="10"/>
  <c r="F2153" i="10"/>
  <c r="AI2152" i="10"/>
  <c r="AD2152" i="10"/>
  <c r="AC2152" i="10"/>
  <c r="AB2152" i="10"/>
  <c r="AA2152" i="10"/>
  <c r="Z2152" i="10"/>
  <c r="U2152" i="10"/>
  <c r="T2152" i="10"/>
  <c r="N2152" i="10"/>
  <c r="F2152" i="10"/>
  <c r="AI2151" i="10"/>
  <c r="AD2151" i="10"/>
  <c r="AC2151" i="10"/>
  <c r="AB2151" i="10"/>
  <c r="AA2151" i="10"/>
  <c r="Z2151" i="10"/>
  <c r="U2151" i="10"/>
  <c r="T2151" i="10"/>
  <c r="N2151" i="10"/>
  <c r="F2151" i="10"/>
  <c r="AI2150" i="10"/>
  <c r="AD2150" i="10"/>
  <c r="AC2150" i="10"/>
  <c r="AB2150" i="10"/>
  <c r="AA2150" i="10"/>
  <c r="Z2150" i="10"/>
  <c r="U2150" i="10"/>
  <c r="T2150" i="10"/>
  <c r="N2150" i="10"/>
  <c r="F2150" i="10"/>
  <c r="AI2149" i="10"/>
  <c r="AD2149" i="10"/>
  <c r="AC2149" i="10"/>
  <c r="AB2149" i="10"/>
  <c r="AA2149" i="10"/>
  <c r="Z2149" i="10"/>
  <c r="U2149" i="10"/>
  <c r="T2149" i="10"/>
  <c r="N2149" i="10"/>
  <c r="F2149" i="10"/>
  <c r="AI2148" i="10"/>
  <c r="AD2148" i="10"/>
  <c r="AC2148" i="10"/>
  <c r="AB2148" i="10"/>
  <c r="AA2148" i="10"/>
  <c r="Z2148" i="10"/>
  <c r="U2148" i="10"/>
  <c r="T2148" i="10"/>
  <c r="N2148" i="10"/>
  <c r="F2148" i="10"/>
  <c r="AI2147" i="10"/>
  <c r="AD2147" i="10"/>
  <c r="AC2147" i="10"/>
  <c r="AB2147" i="10"/>
  <c r="AA2147" i="10"/>
  <c r="Z2147" i="10"/>
  <c r="U2147" i="10"/>
  <c r="T2147" i="10"/>
  <c r="N2147" i="10"/>
  <c r="F2147" i="10"/>
  <c r="AI2146" i="10"/>
  <c r="AD2146" i="10"/>
  <c r="AC2146" i="10"/>
  <c r="AB2146" i="10"/>
  <c r="AA2146" i="10"/>
  <c r="Z2146" i="10"/>
  <c r="U2146" i="10"/>
  <c r="T2146" i="10"/>
  <c r="N2146" i="10"/>
  <c r="F2146" i="10"/>
  <c r="AI2145" i="10"/>
  <c r="AD2145" i="10"/>
  <c r="AC2145" i="10"/>
  <c r="AB2145" i="10"/>
  <c r="AA2145" i="10"/>
  <c r="Z2145" i="10"/>
  <c r="U2145" i="10"/>
  <c r="T2145" i="10"/>
  <c r="N2145" i="10"/>
  <c r="F2145" i="10"/>
  <c r="AI2144" i="10"/>
  <c r="AD2144" i="10"/>
  <c r="AC2144" i="10"/>
  <c r="AB2144" i="10"/>
  <c r="AA2144" i="10"/>
  <c r="Z2144" i="10"/>
  <c r="U2144" i="10"/>
  <c r="T2144" i="10"/>
  <c r="N2144" i="10"/>
  <c r="F2144" i="10"/>
  <c r="AI2143" i="10"/>
  <c r="AD2143" i="10"/>
  <c r="AC2143" i="10"/>
  <c r="AB2143" i="10"/>
  <c r="AA2143" i="10"/>
  <c r="Z2143" i="10"/>
  <c r="U2143" i="10"/>
  <c r="T2143" i="10"/>
  <c r="N2143" i="10"/>
  <c r="F2143" i="10"/>
  <c r="AI2142" i="10"/>
  <c r="AD2142" i="10"/>
  <c r="AC2142" i="10"/>
  <c r="AB2142" i="10"/>
  <c r="AA2142" i="10"/>
  <c r="Z2142" i="10"/>
  <c r="U2142" i="10"/>
  <c r="T2142" i="10"/>
  <c r="N2142" i="10"/>
  <c r="F2142" i="10"/>
  <c r="AI2141" i="10"/>
  <c r="AD2141" i="10"/>
  <c r="AC2141" i="10"/>
  <c r="AB2141" i="10"/>
  <c r="AA2141" i="10"/>
  <c r="Z2141" i="10"/>
  <c r="U2141" i="10"/>
  <c r="T2141" i="10"/>
  <c r="N2141" i="10"/>
  <c r="F2141" i="10"/>
  <c r="AI2140" i="10"/>
  <c r="AD2140" i="10"/>
  <c r="AC2140" i="10"/>
  <c r="AB2140" i="10"/>
  <c r="AA2140" i="10"/>
  <c r="Z2140" i="10"/>
  <c r="U2140" i="10"/>
  <c r="T2140" i="10"/>
  <c r="N2140" i="10"/>
  <c r="F2140" i="10"/>
  <c r="AI2139" i="10"/>
  <c r="AD2139" i="10"/>
  <c r="AC2139" i="10"/>
  <c r="AB2139" i="10"/>
  <c r="AA2139" i="10"/>
  <c r="Z2139" i="10"/>
  <c r="U2139" i="10"/>
  <c r="T2139" i="10"/>
  <c r="N2139" i="10"/>
  <c r="F2139" i="10"/>
  <c r="AI2138" i="10"/>
  <c r="AD2138" i="10"/>
  <c r="AC2138" i="10"/>
  <c r="AB2138" i="10"/>
  <c r="AA2138" i="10"/>
  <c r="Z2138" i="10"/>
  <c r="U2138" i="10"/>
  <c r="T2138" i="10"/>
  <c r="N2138" i="10"/>
  <c r="F2138" i="10"/>
  <c r="AI2137" i="10"/>
  <c r="AD2137" i="10"/>
  <c r="AC2137" i="10"/>
  <c r="AB2137" i="10"/>
  <c r="AA2137" i="10"/>
  <c r="Z2137" i="10"/>
  <c r="U2137" i="10"/>
  <c r="T2137" i="10"/>
  <c r="N2137" i="10"/>
  <c r="F2137" i="10"/>
  <c r="AI2136" i="10"/>
  <c r="AD2136" i="10"/>
  <c r="AC2136" i="10"/>
  <c r="AB2136" i="10"/>
  <c r="AA2136" i="10"/>
  <c r="Z2136" i="10"/>
  <c r="U2136" i="10"/>
  <c r="T2136" i="10"/>
  <c r="N2136" i="10"/>
  <c r="F2136" i="10"/>
  <c r="AI2135" i="10"/>
  <c r="AD2135" i="10"/>
  <c r="AC2135" i="10"/>
  <c r="AB2135" i="10"/>
  <c r="AA2135" i="10"/>
  <c r="Z2135" i="10"/>
  <c r="U2135" i="10"/>
  <c r="T2135" i="10"/>
  <c r="N2135" i="10"/>
  <c r="F2135" i="10"/>
  <c r="AI2134" i="10"/>
  <c r="AD2134" i="10"/>
  <c r="AC2134" i="10"/>
  <c r="AB2134" i="10"/>
  <c r="AA2134" i="10"/>
  <c r="Z2134" i="10"/>
  <c r="U2134" i="10"/>
  <c r="T2134" i="10"/>
  <c r="N2134" i="10"/>
  <c r="F2134" i="10"/>
  <c r="AI2133" i="10"/>
  <c r="AD2133" i="10"/>
  <c r="AC2133" i="10"/>
  <c r="AB2133" i="10"/>
  <c r="AA2133" i="10"/>
  <c r="Z2133" i="10"/>
  <c r="U2133" i="10"/>
  <c r="T2133" i="10"/>
  <c r="N2133" i="10"/>
  <c r="F2133" i="10"/>
  <c r="AI2132" i="10"/>
  <c r="AD2132" i="10"/>
  <c r="AC2132" i="10"/>
  <c r="AB2132" i="10"/>
  <c r="AA2132" i="10"/>
  <c r="Z2132" i="10"/>
  <c r="U2132" i="10"/>
  <c r="T2132" i="10"/>
  <c r="N2132" i="10"/>
  <c r="F2132" i="10"/>
  <c r="AI2131" i="10"/>
  <c r="AD2131" i="10"/>
  <c r="AC2131" i="10"/>
  <c r="AB2131" i="10"/>
  <c r="AA2131" i="10"/>
  <c r="Z2131" i="10"/>
  <c r="U2131" i="10"/>
  <c r="T2131" i="10"/>
  <c r="N2131" i="10"/>
  <c r="F2131" i="10"/>
  <c r="AI2130" i="10"/>
  <c r="AD2130" i="10"/>
  <c r="AC2130" i="10"/>
  <c r="AB2130" i="10"/>
  <c r="AA2130" i="10"/>
  <c r="Z2130" i="10"/>
  <c r="U2130" i="10"/>
  <c r="T2130" i="10"/>
  <c r="N2130" i="10"/>
  <c r="F2130" i="10"/>
  <c r="AI2129" i="10"/>
  <c r="AD2129" i="10"/>
  <c r="AC2129" i="10"/>
  <c r="AB2129" i="10"/>
  <c r="AA2129" i="10"/>
  <c r="Z2129" i="10"/>
  <c r="U2129" i="10"/>
  <c r="T2129" i="10"/>
  <c r="N2129" i="10"/>
  <c r="F2129" i="10"/>
  <c r="AI2128" i="10"/>
  <c r="AD2128" i="10"/>
  <c r="AC2128" i="10"/>
  <c r="AB2128" i="10"/>
  <c r="AA2128" i="10"/>
  <c r="Z2128" i="10"/>
  <c r="U2128" i="10"/>
  <c r="T2128" i="10"/>
  <c r="N2128" i="10"/>
  <c r="F2128" i="10"/>
  <c r="AI2127" i="10"/>
  <c r="AD2127" i="10"/>
  <c r="AC2127" i="10"/>
  <c r="AB2127" i="10"/>
  <c r="AA2127" i="10"/>
  <c r="Z2127" i="10"/>
  <c r="U2127" i="10"/>
  <c r="T2127" i="10"/>
  <c r="N2127" i="10"/>
  <c r="F2127" i="10"/>
  <c r="AI2126" i="10"/>
  <c r="AD2126" i="10"/>
  <c r="AC2126" i="10"/>
  <c r="AB2126" i="10"/>
  <c r="AA2126" i="10"/>
  <c r="Z2126" i="10"/>
  <c r="U2126" i="10"/>
  <c r="T2126" i="10"/>
  <c r="N2126" i="10"/>
  <c r="F2126" i="10"/>
  <c r="AI2125" i="10"/>
  <c r="AD2125" i="10"/>
  <c r="AC2125" i="10"/>
  <c r="AB2125" i="10"/>
  <c r="AA2125" i="10"/>
  <c r="Z2125" i="10"/>
  <c r="U2125" i="10"/>
  <c r="T2125" i="10"/>
  <c r="N2125" i="10"/>
  <c r="F2125" i="10"/>
  <c r="AI2124" i="10"/>
  <c r="AD2124" i="10"/>
  <c r="AC2124" i="10"/>
  <c r="AB2124" i="10"/>
  <c r="AA2124" i="10"/>
  <c r="Z2124" i="10"/>
  <c r="U2124" i="10"/>
  <c r="T2124" i="10"/>
  <c r="N2124" i="10"/>
  <c r="F2124" i="10"/>
  <c r="AI2123" i="10"/>
  <c r="AD2123" i="10"/>
  <c r="AC2123" i="10"/>
  <c r="AB2123" i="10"/>
  <c r="AA2123" i="10"/>
  <c r="Z2123" i="10"/>
  <c r="U2123" i="10"/>
  <c r="T2123" i="10"/>
  <c r="N2123" i="10"/>
  <c r="F2123" i="10"/>
  <c r="AI2122" i="10"/>
  <c r="AD2122" i="10"/>
  <c r="AC2122" i="10"/>
  <c r="AB2122" i="10"/>
  <c r="AA2122" i="10"/>
  <c r="Z2122" i="10"/>
  <c r="U2122" i="10"/>
  <c r="T2122" i="10"/>
  <c r="N2122" i="10"/>
  <c r="F2122" i="10"/>
  <c r="AI2121" i="10"/>
  <c r="AD2121" i="10"/>
  <c r="AC2121" i="10"/>
  <c r="AB2121" i="10"/>
  <c r="AA2121" i="10"/>
  <c r="Z2121" i="10"/>
  <c r="U2121" i="10"/>
  <c r="T2121" i="10"/>
  <c r="N2121" i="10"/>
  <c r="F2121" i="10"/>
  <c r="AI2120" i="10"/>
  <c r="AD2120" i="10"/>
  <c r="AC2120" i="10"/>
  <c r="AB2120" i="10"/>
  <c r="AA2120" i="10"/>
  <c r="Z2120" i="10"/>
  <c r="U2120" i="10"/>
  <c r="T2120" i="10"/>
  <c r="N2120" i="10"/>
  <c r="F2120" i="10"/>
  <c r="AI2119" i="10"/>
  <c r="AD2119" i="10"/>
  <c r="AC2119" i="10"/>
  <c r="AB2119" i="10"/>
  <c r="AA2119" i="10"/>
  <c r="Z2119" i="10"/>
  <c r="U2119" i="10"/>
  <c r="T2119" i="10"/>
  <c r="N2119" i="10"/>
  <c r="F2119" i="10"/>
  <c r="AI2118" i="10"/>
  <c r="AD2118" i="10"/>
  <c r="AC2118" i="10"/>
  <c r="AB2118" i="10"/>
  <c r="AA2118" i="10"/>
  <c r="Z2118" i="10"/>
  <c r="U2118" i="10"/>
  <c r="T2118" i="10"/>
  <c r="N2118" i="10"/>
  <c r="F2118" i="10"/>
  <c r="AI2117" i="10"/>
  <c r="AD2117" i="10"/>
  <c r="AC2117" i="10"/>
  <c r="AB2117" i="10"/>
  <c r="AA2117" i="10"/>
  <c r="Z2117" i="10"/>
  <c r="U2117" i="10"/>
  <c r="T2117" i="10"/>
  <c r="N2117" i="10"/>
  <c r="F2117" i="10"/>
  <c r="AI2116" i="10"/>
  <c r="AD2116" i="10"/>
  <c r="AC2116" i="10"/>
  <c r="AB2116" i="10"/>
  <c r="AA2116" i="10"/>
  <c r="Z2116" i="10"/>
  <c r="U2116" i="10"/>
  <c r="T2116" i="10"/>
  <c r="N2116" i="10"/>
  <c r="F2116" i="10"/>
  <c r="AI2115" i="10"/>
  <c r="AD2115" i="10"/>
  <c r="AC2115" i="10"/>
  <c r="AB2115" i="10"/>
  <c r="AA2115" i="10"/>
  <c r="Z2115" i="10"/>
  <c r="U2115" i="10"/>
  <c r="T2115" i="10"/>
  <c r="N2115" i="10"/>
  <c r="F2115" i="10"/>
  <c r="AI2114" i="10"/>
  <c r="AD2114" i="10"/>
  <c r="AC2114" i="10"/>
  <c r="AB2114" i="10"/>
  <c r="AA2114" i="10"/>
  <c r="Z2114" i="10"/>
  <c r="U2114" i="10"/>
  <c r="T2114" i="10"/>
  <c r="N2114" i="10"/>
  <c r="F2114" i="10"/>
  <c r="AI2113" i="10"/>
  <c r="AD2113" i="10"/>
  <c r="AC2113" i="10"/>
  <c r="AB2113" i="10"/>
  <c r="AA2113" i="10"/>
  <c r="Z2113" i="10"/>
  <c r="U2113" i="10"/>
  <c r="T2113" i="10"/>
  <c r="N2113" i="10"/>
  <c r="F2113" i="10"/>
  <c r="AI2112" i="10"/>
  <c r="AD2112" i="10"/>
  <c r="AC2112" i="10"/>
  <c r="AB2112" i="10"/>
  <c r="AA2112" i="10"/>
  <c r="Z2112" i="10"/>
  <c r="U2112" i="10"/>
  <c r="T2112" i="10"/>
  <c r="N2112" i="10"/>
  <c r="F2112" i="10"/>
  <c r="AI2111" i="10"/>
  <c r="AD2111" i="10"/>
  <c r="AC2111" i="10"/>
  <c r="AB2111" i="10"/>
  <c r="AA2111" i="10"/>
  <c r="Z2111" i="10"/>
  <c r="U2111" i="10"/>
  <c r="T2111" i="10"/>
  <c r="N2111" i="10"/>
  <c r="F2111" i="10"/>
  <c r="AI2110" i="10"/>
  <c r="AD2110" i="10"/>
  <c r="AC2110" i="10"/>
  <c r="AB2110" i="10"/>
  <c r="AA2110" i="10"/>
  <c r="Z2110" i="10"/>
  <c r="U2110" i="10"/>
  <c r="T2110" i="10"/>
  <c r="N2110" i="10"/>
  <c r="F2110" i="10"/>
  <c r="AI2109" i="10"/>
  <c r="AD2109" i="10"/>
  <c r="AC2109" i="10"/>
  <c r="AB2109" i="10"/>
  <c r="AA2109" i="10"/>
  <c r="Z2109" i="10"/>
  <c r="U2109" i="10"/>
  <c r="T2109" i="10"/>
  <c r="N2109" i="10"/>
  <c r="F2109" i="10"/>
  <c r="AI2108" i="10"/>
  <c r="AD2108" i="10"/>
  <c r="AC2108" i="10"/>
  <c r="AB2108" i="10"/>
  <c r="AA2108" i="10"/>
  <c r="Z2108" i="10"/>
  <c r="U2108" i="10"/>
  <c r="T2108" i="10"/>
  <c r="N2108" i="10"/>
  <c r="F2108" i="10"/>
  <c r="AI2107" i="10"/>
  <c r="AD2107" i="10"/>
  <c r="AC2107" i="10"/>
  <c r="AB2107" i="10"/>
  <c r="AA2107" i="10"/>
  <c r="Z2107" i="10"/>
  <c r="U2107" i="10"/>
  <c r="T2107" i="10"/>
  <c r="N2107" i="10"/>
  <c r="F2107" i="10"/>
  <c r="AI2106" i="10"/>
  <c r="AD2106" i="10"/>
  <c r="AC2106" i="10"/>
  <c r="AB2106" i="10"/>
  <c r="AA2106" i="10"/>
  <c r="Z2106" i="10"/>
  <c r="U2106" i="10"/>
  <c r="T2106" i="10"/>
  <c r="N2106" i="10"/>
  <c r="F2106" i="10"/>
  <c r="AI2105" i="10"/>
  <c r="AD2105" i="10"/>
  <c r="AC2105" i="10"/>
  <c r="AB2105" i="10"/>
  <c r="AA2105" i="10"/>
  <c r="Z2105" i="10"/>
  <c r="U2105" i="10"/>
  <c r="T2105" i="10"/>
  <c r="N2105" i="10"/>
  <c r="F2105" i="10"/>
  <c r="AI2104" i="10"/>
  <c r="AD2104" i="10"/>
  <c r="AC2104" i="10"/>
  <c r="AB2104" i="10"/>
  <c r="AA2104" i="10"/>
  <c r="Z2104" i="10"/>
  <c r="U2104" i="10"/>
  <c r="T2104" i="10"/>
  <c r="N2104" i="10"/>
  <c r="F2104" i="10"/>
  <c r="AI2103" i="10"/>
  <c r="AD2103" i="10"/>
  <c r="AC2103" i="10"/>
  <c r="AB2103" i="10"/>
  <c r="AA2103" i="10"/>
  <c r="Z2103" i="10"/>
  <c r="U2103" i="10"/>
  <c r="T2103" i="10"/>
  <c r="N2103" i="10"/>
  <c r="F2103" i="10"/>
  <c r="AI2102" i="10"/>
  <c r="AD2102" i="10"/>
  <c r="AC2102" i="10"/>
  <c r="AB2102" i="10"/>
  <c r="AA2102" i="10"/>
  <c r="Z2102" i="10"/>
  <c r="U2102" i="10"/>
  <c r="T2102" i="10"/>
  <c r="N2102" i="10"/>
  <c r="F2102" i="10"/>
  <c r="AI2101" i="10"/>
  <c r="AD2101" i="10"/>
  <c r="AC2101" i="10"/>
  <c r="AB2101" i="10"/>
  <c r="AA2101" i="10"/>
  <c r="Z2101" i="10"/>
  <c r="U2101" i="10"/>
  <c r="T2101" i="10"/>
  <c r="N2101" i="10"/>
  <c r="F2101" i="10"/>
  <c r="AI2100" i="10"/>
  <c r="AD2100" i="10"/>
  <c r="AC2100" i="10"/>
  <c r="AB2100" i="10"/>
  <c r="AA2100" i="10"/>
  <c r="Z2100" i="10"/>
  <c r="U2100" i="10"/>
  <c r="T2100" i="10"/>
  <c r="N2100" i="10"/>
  <c r="F2100" i="10"/>
  <c r="AI2099" i="10"/>
  <c r="AD2099" i="10"/>
  <c r="AC2099" i="10"/>
  <c r="AB2099" i="10"/>
  <c r="AA2099" i="10"/>
  <c r="Z2099" i="10"/>
  <c r="U2099" i="10"/>
  <c r="T2099" i="10"/>
  <c r="N2099" i="10"/>
  <c r="F2099" i="10"/>
  <c r="AI2098" i="10"/>
  <c r="AD2098" i="10"/>
  <c r="AC2098" i="10"/>
  <c r="AB2098" i="10"/>
  <c r="AA2098" i="10"/>
  <c r="Z2098" i="10"/>
  <c r="U2098" i="10"/>
  <c r="T2098" i="10"/>
  <c r="N2098" i="10"/>
  <c r="F2098" i="10"/>
  <c r="AI2097" i="10"/>
  <c r="AD2097" i="10"/>
  <c r="AC2097" i="10"/>
  <c r="AB2097" i="10"/>
  <c r="AA2097" i="10"/>
  <c r="Z2097" i="10"/>
  <c r="U2097" i="10"/>
  <c r="T2097" i="10"/>
  <c r="N2097" i="10"/>
  <c r="F2097" i="10"/>
  <c r="AI2096" i="10"/>
  <c r="AD2096" i="10"/>
  <c r="AC2096" i="10"/>
  <c r="AB2096" i="10"/>
  <c r="AA2096" i="10"/>
  <c r="Z2096" i="10"/>
  <c r="U2096" i="10"/>
  <c r="T2096" i="10"/>
  <c r="N2096" i="10"/>
  <c r="F2096" i="10"/>
  <c r="AI2095" i="10"/>
  <c r="AD2095" i="10"/>
  <c r="AC2095" i="10"/>
  <c r="AB2095" i="10"/>
  <c r="AA2095" i="10"/>
  <c r="Z2095" i="10"/>
  <c r="U2095" i="10"/>
  <c r="T2095" i="10"/>
  <c r="N2095" i="10"/>
  <c r="F2095" i="10"/>
  <c r="AI2094" i="10"/>
  <c r="AD2094" i="10"/>
  <c r="AC2094" i="10"/>
  <c r="AB2094" i="10"/>
  <c r="AA2094" i="10"/>
  <c r="Z2094" i="10"/>
  <c r="U2094" i="10"/>
  <c r="T2094" i="10"/>
  <c r="N2094" i="10"/>
  <c r="F2094" i="10"/>
  <c r="AI2093" i="10"/>
  <c r="AD2093" i="10"/>
  <c r="AC2093" i="10"/>
  <c r="AB2093" i="10"/>
  <c r="AA2093" i="10"/>
  <c r="Z2093" i="10"/>
  <c r="U2093" i="10"/>
  <c r="T2093" i="10"/>
  <c r="N2093" i="10"/>
  <c r="F2093" i="10"/>
  <c r="AI2092" i="10"/>
  <c r="AD2092" i="10"/>
  <c r="AC2092" i="10"/>
  <c r="AB2092" i="10"/>
  <c r="AA2092" i="10"/>
  <c r="Z2092" i="10"/>
  <c r="U2092" i="10"/>
  <c r="T2092" i="10"/>
  <c r="N2092" i="10"/>
  <c r="F2092" i="10"/>
  <c r="AI2091" i="10"/>
  <c r="AD2091" i="10"/>
  <c r="AC2091" i="10"/>
  <c r="AB2091" i="10"/>
  <c r="AA2091" i="10"/>
  <c r="Z2091" i="10"/>
  <c r="U2091" i="10"/>
  <c r="T2091" i="10"/>
  <c r="N2091" i="10"/>
  <c r="F2091" i="10"/>
  <c r="AI2090" i="10"/>
  <c r="AD2090" i="10"/>
  <c r="AC2090" i="10"/>
  <c r="AB2090" i="10"/>
  <c r="AA2090" i="10"/>
  <c r="Z2090" i="10"/>
  <c r="U2090" i="10"/>
  <c r="T2090" i="10"/>
  <c r="N2090" i="10"/>
  <c r="F2090" i="10"/>
  <c r="AI2089" i="10"/>
  <c r="AD2089" i="10"/>
  <c r="AC2089" i="10"/>
  <c r="AB2089" i="10"/>
  <c r="AA2089" i="10"/>
  <c r="Z2089" i="10"/>
  <c r="U2089" i="10"/>
  <c r="T2089" i="10"/>
  <c r="N2089" i="10"/>
  <c r="F2089" i="10"/>
  <c r="AI2088" i="10"/>
  <c r="AD2088" i="10"/>
  <c r="AC2088" i="10"/>
  <c r="AB2088" i="10"/>
  <c r="AA2088" i="10"/>
  <c r="Z2088" i="10"/>
  <c r="U2088" i="10"/>
  <c r="T2088" i="10"/>
  <c r="N2088" i="10"/>
  <c r="F2088" i="10"/>
  <c r="AI2087" i="10"/>
  <c r="AD2087" i="10"/>
  <c r="AC2087" i="10"/>
  <c r="AB2087" i="10"/>
  <c r="AA2087" i="10"/>
  <c r="Z2087" i="10"/>
  <c r="U2087" i="10"/>
  <c r="T2087" i="10"/>
  <c r="N2087" i="10"/>
  <c r="F2087" i="10"/>
  <c r="AI2086" i="10"/>
  <c r="AD2086" i="10"/>
  <c r="AC2086" i="10"/>
  <c r="AB2086" i="10"/>
  <c r="AA2086" i="10"/>
  <c r="Z2086" i="10"/>
  <c r="U2086" i="10"/>
  <c r="T2086" i="10"/>
  <c r="N2086" i="10"/>
  <c r="F2086" i="10"/>
  <c r="AI2085" i="10"/>
  <c r="AD2085" i="10"/>
  <c r="AC2085" i="10"/>
  <c r="AB2085" i="10"/>
  <c r="AA2085" i="10"/>
  <c r="Z2085" i="10"/>
  <c r="U2085" i="10"/>
  <c r="T2085" i="10"/>
  <c r="N2085" i="10"/>
  <c r="F2085" i="10"/>
  <c r="AI2084" i="10"/>
  <c r="AD2084" i="10"/>
  <c r="AC2084" i="10"/>
  <c r="AB2084" i="10"/>
  <c r="AA2084" i="10"/>
  <c r="Z2084" i="10"/>
  <c r="U2084" i="10"/>
  <c r="T2084" i="10"/>
  <c r="N2084" i="10"/>
  <c r="F2084" i="10"/>
  <c r="AI2083" i="10"/>
  <c r="AD2083" i="10"/>
  <c r="AC2083" i="10"/>
  <c r="AB2083" i="10"/>
  <c r="AA2083" i="10"/>
  <c r="Z2083" i="10"/>
  <c r="U2083" i="10"/>
  <c r="T2083" i="10"/>
  <c r="N2083" i="10"/>
  <c r="F2083" i="10"/>
  <c r="AI2082" i="10"/>
  <c r="AD2082" i="10"/>
  <c r="AC2082" i="10"/>
  <c r="AB2082" i="10"/>
  <c r="AA2082" i="10"/>
  <c r="Z2082" i="10"/>
  <c r="U2082" i="10"/>
  <c r="T2082" i="10"/>
  <c r="N2082" i="10"/>
  <c r="F2082" i="10"/>
  <c r="AI2081" i="10"/>
  <c r="AD2081" i="10"/>
  <c r="AC2081" i="10"/>
  <c r="AB2081" i="10"/>
  <c r="AA2081" i="10"/>
  <c r="Z2081" i="10"/>
  <c r="U2081" i="10"/>
  <c r="T2081" i="10"/>
  <c r="N2081" i="10"/>
  <c r="F2081" i="10"/>
  <c r="AI2080" i="10"/>
  <c r="AD2080" i="10"/>
  <c r="AC2080" i="10"/>
  <c r="AB2080" i="10"/>
  <c r="AA2080" i="10"/>
  <c r="Z2080" i="10"/>
  <c r="U2080" i="10"/>
  <c r="T2080" i="10"/>
  <c r="N2080" i="10"/>
  <c r="F2080" i="10"/>
  <c r="AI2079" i="10"/>
  <c r="AD2079" i="10"/>
  <c r="AC2079" i="10"/>
  <c r="AB2079" i="10"/>
  <c r="AA2079" i="10"/>
  <c r="Z2079" i="10"/>
  <c r="U2079" i="10"/>
  <c r="T2079" i="10"/>
  <c r="N2079" i="10"/>
  <c r="F2079" i="10"/>
  <c r="AI2078" i="10"/>
  <c r="AD2078" i="10"/>
  <c r="AC2078" i="10"/>
  <c r="AB2078" i="10"/>
  <c r="AA2078" i="10"/>
  <c r="Z2078" i="10"/>
  <c r="U2078" i="10"/>
  <c r="T2078" i="10"/>
  <c r="N2078" i="10"/>
  <c r="F2078" i="10"/>
  <c r="AI2077" i="10"/>
  <c r="AD2077" i="10"/>
  <c r="AC2077" i="10"/>
  <c r="AB2077" i="10"/>
  <c r="AA2077" i="10"/>
  <c r="Z2077" i="10"/>
  <c r="U2077" i="10"/>
  <c r="T2077" i="10"/>
  <c r="N2077" i="10"/>
  <c r="F2077" i="10"/>
  <c r="AI2076" i="10"/>
  <c r="AD2076" i="10"/>
  <c r="AC2076" i="10"/>
  <c r="AB2076" i="10"/>
  <c r="AA2076" i="10"/>
  <c r="Z2076" i="10"/>
  <c r="U2076" i="10"/>
  <c r="T2076" i="10"/>
  <c r="N2076" i="10"/>
  <c r="F2076" i="10"/>
  <c r="AI2075" i="10"/>
  <c r="AD2075" i="10"/>
  <c r="AC2075" i="10"/>
  <c r="AB2075" i="10"/>
  <c r="AA2075" i="10"/>
  <c r="Z2075" i="10"/>
  <c r="U2075" i="10"/>
  <c r="T2075" i="10"/>
  <c r="N2075" i="10"/>
  <c r="F2075" i="10"/>
  <c r="AI2074" i="10"/>
  <c r="AD2074" i="10"/>
  <c r="AC2074" i="10"/>
  <c r="AB2074" i="10"/>
  <c r="AA2074" i="10"/>
  <c r="Z2074" i="10"/>
  <c r="U2074" i="10"/>
  <c r="T2074" i="10"/>
  <c r="N2074" i="10"/>
  <c r="F2074" i="10"/>
  <c r="AI2073" i="10"/>
  <c r="AD2073" i="10"/>
  <c r="AC2073" i="10"/>
  <c r="AB2073" i="10"/>
  <c r="AA2073" i="10"/>
  <c r="Z2073" i="10"/>
  <c r="U2073" i="10"/>
  <c r="T2073" i="10"/>
  <c r="N2073" i="10"/>
  <c r="F2073" i="10"/>
  <c r="AI2072" i="10"/>
  <c r="AD2072" i="10"/>
  <c r="AC2072" i="10"/>
  <c r="AB2072" i="10"/>
  <c r="AA2072" i="10"/>
  <c r="Z2072" i="10"/>
  <c r="U2072" i="10"/>
  <c r="T2072" i="10"/>
  <c r="N2072" i="10"/>
  <c r="F2072" i="10"/>
  <c r="AI2071" i="10"/>
  <c r="AD2071" i="10"/>
  <c r="AC2071" i="10"/>
  <c r="AB2071" i="10"/>
  <c r="AA2071" i="10"/>
  <c r="Z2071" i="10"/>
  <c r="U2071" i="10"/>
  <c r="T2071" i="10"/>
  <c r="N2071" i="10"/>
  <c r="F2071" i="10"/>
  <c r="AI2070" i="10"/>
  <c r="AD2070" i="10"/>
  <c r="AC2070" i="10"/>
  <c r="AB2070" i="10"/>
  <c r="AA2070" i="10"/>
  <c r="Z2070" i="10"/>
  <c r="U2070" i="10"/>
  <c r="T2070" i="10"/>
  <c r="N2070" i="10"/>
  <c r="F2070" i="10"/>
  <c r="AI2069" i="10"/>
  <c r="AD2069" i="10"/>
  <c r="AC2069" i="10"/>
  <c r="AB2069" i="10"/>
  <c r="AA2069" i="10"/>
  <c r="Z2069" i="10"/>
  <c r="U2069" i="10"/>
  <c r="T2069" i="10"/>
  <c r="N2069" i="10"/>
  <c r="F2069" i="10"/>
  <c r="AI2068" i="10"/>
  <c r="AD2068" i="10"/>
  <c r="AC2068" i="10"/>
  <c r="AB2068" i="10"/>
  <c r="AA2068" i="10"/>
  <c r="Z2068" i="10"/>
  <c r="U2068" i="10"/>
  <c r="T2068" i="10"/>
  <c r="N2068" i="10"/>
  <c r="F2068" i="10"/>
  <c r="AI2067" i="10"/>
  <c r="AD2067" i="10"/>
  <c r="AC2067" i="10"/>
  <c r="AB2067" i="10"/>
  <c r="AA2067" i="10"/>
  <c r="Z2067" i="10"/>
  <c r="U2067" i="10"/>
  <c r="T2067" i="10"/>
  <c r="N2067" i="10"/>
  <c r="F2067" i="10"/>
  <c r="AI2066" i="10"/>
  <c r="AD2066" i="10"/>
  <c r="AC2066" i="10"/>
  <c r="AB2066" i="10"/>
  <c r="AA2066" i="10"/>
  <c r="Z2066" i="10"/>
  <c r="U2066" i="10"/>
  <c r="T2066" i="10"/>
  <c r="N2066" i="10"/>
  <c r="F2066" i="10"/>
  <c r="AI2065" i="10"/>
  <c r="AD2065" i="10"/>
  <c r="AC2065" i="10"/>
  <c r="AB2065" i="10"/>
  <c r="AA2065" i="10"/>
  <c r="Z2065" i="10"/>
  <c r="U2065" i="10"/>
  <c r="T2065" i="10"/>
  <c r="N2065" i="10"/>
  <c r="F2065" i="10"/>
  <c r="AI2064" i="10"/>
  <c r="AD2064" i="10"/>
  <c r="AC2064" i="10"/>
  <c r="AB2064" i="10"/>
  <c r="AA2064" i="10"/>
  <c r="Z2064" i="10"/>
  <c r="U2064" i="10"/>
  <c r="T2064" i="10"/>
  <c r="N2064" i="10"/>
  <c r="F2064" i="10"/>
  <c r="AI2063" i="10"/>
  <c r="AD2063" i="10"/>
  <c r="AC2063" i="10"/>
  <c r="AB2063" i="10"/>
  <c r="AA2063" i="10"/>
  <c r="Z2063" i="10"/>
  <c r="U2063" i="10"/>
  <c r="T2063" i="10"/>
  <c r="N2063" i="10"/>
  <c r="F2063" i="10"/>
  <c r="AI2062" i="10"/>
  <c r="AD2062" i="10"/>
  <c r="AC2062" i="10"/>
  <c r="AB2062" i="10"/>
  <c r="AA2062" i="10"/>
  <c r="Z2062" i="10"/>
  <c r="U2062" i="10"/>
  <c r="T2062" i="10"/>
  <c r="N2062" i="10"/>
  <c r="F2062" i="10"/>
  <c r="AI2061" i="10"/>
  <c r="AD2061" i="10"/>
  <c r="AC2061" i="10"/>
  <c r="AB2061" i="10"/>
  <c r="AA2061" i="10"/>
  <c r="Z2061" i="10"/>
  <c r="U2061" i="10"/>
  <c r="T2061" i="10"/>
  <c r="N2061" i="10"/>
  <c r="F2061" i="10"/>
  <c r="AI2060" i="10"/>
  <c r="AD2060" i="10"/>
  <c r="AC2060" i="10"/>
  <c r="AB2060" i="10"/>
  <c r="AA2060" i="10"/>
  <c r="Z2060" i="10"/>
  <c r="U2060" i="10"/>
  <c r="T2060" i="10"/>
  <c r="N2060" i="10"/>
  <c r="F2060" i="10"/>
  <c r="AI2059" i="10"/>
  <c r="AD2059" i="10"/>
  <c r="AC2059" i="10"/>
  <c r="AB2059" i="10"/>
  <c r="AA2059" i="10"/>
  <c r="Z2059" i="10"/>
  <c r="U2059" i="10"/>
  <c r="T2059" i="10"/>
  <c r="N2059" i="10"/>
  <c r="F2059" i="10"/>
  <c r="AI2058" i="10"/>
  <c r="AD2058" i="10"/>
  <c r="AC2058" i="10"/>
  <c r="AB2058" i="10"/>
  <c r="AA2058" i="10"/>
  <c r="Z2058" i="10"/>
  <c r="U2058" i="10"/>
  <c r="T2058" i="10"/>
  <c r="N2058" i="10"/>
  <c r="F2058" i="10"/>
  <c r="AI2057" i="10"/>
  <c r="AD2057" i="10"/>
  <c r="AC2057" i="10"/>
  <c r="AB2057" i="10"/>
  <c r="AA2057" i="10"/>
  <c r="Z2057" i="10"/>
  <c r="U2057" i="10"/>
  <c r="T2057" i="10"/>
  <c r="N2057" i="10"/>
  <c r="F2057" i="10"/>
  <c r="AI2056" i="10"/>
  <c r="AD2056" i="10"/>
  <c r="AC2056" i="10"/>
  <c r="AB2056" i="10"/>
  <c r="AA2056" i="10"/>
  <c r="Z2056" i="10"/>
  <c r="U2056" i="10"/>
  <c r="T2056" i="10"/>
  <c r="N2056" i="10"/>
  <c r="F2056" i="10"/>
  <c r="AI2055" i="10"/>
  <c r="AD2055" i="10"/>
  <c r="AC2055" i="10"/>
  <c r="AB2055" i="10"/>
  <c r="AA2055" i="10"/>
  <c r="Z2055" i="10"/>
  <c r="U2055" i="10"/>
  <c r="T2055" i="10"/>
  <c r="N2055" i="10"/>
  <c r="F2055" i="10"/>
  <c r="AI2054" i="10"/>
  <c r="AD2054" i="10"/>
  <c r="AC2054" i="10"/>
  <c r="AB2054" i="10"/>
  <c r="AA2054" i="10"/>
  <c r="Z2054" i="10"/>
  <c r="U2054" i="10"/>
  <c r="T2054" i="10"/>
  <c r="N2054" i="10"/>
  <c r="F2054" i="10"/>
  <c r="AI2053" i="10"/>
  <c r="AD2053" i="10"/>
  <c r="AC2053" i="10"/>
  <c r="AB2053" i="10"/>
  <c r="AA2053" i="10"/>
  <c r="Z2053" i="10"/>
  <c r="U2053" i="10"/>
  <c r="T2053" i="10"/>
  <c r="N2053" i="10"/>
  <c r="F2053" i="10"/>
  <c r="AI2052" i="10"/>
  <c r="AD2052" i="10"/>
  <c r="AC2052" i="10"/>
  <c r="AB2052" i="10"/>
  <c r="AA2052" i="10"/>
  <c r="Z2052" i="10"/>
  <c r="U2052" i="10"/>
  <c r="T2052" i="10"/>
  <c r="N2052" i="10"/>
  <c r="F2052" i="10"/>
  <c r="AI2051" i="10"/>
  <c r="AD2051" i="10"/>
  <c r="AC2051" i="10"/>
  <c r="AB2051" i="10"/>
  <c r="AA2051" i="10"/>
  <c r="Z2051" i="10"/>
  <c r="U2051" i="10"/>
  <c r="T2051" i="10"/>
  <c r="N2051" i="10"/>
  <c r="F2051" i="10"/>
  <c r="AI2050" i="10"/>
  <c r="AD2050" i="10"/>
  <c r="AC2050" i="10"/>
  <c r="AB2050" i="10"/>
  <c r="AA2050" i="10"/>
  <c r="Z2050" i="10"/>
  <c r="U2050" i="10"/>
  <c r="T2050" i="10"/>
  <c r="N2050" i="10"/>
  <c r="F2050" i="10"/>
  <c r="AI2049" i="10"/>
  <c r="AD2049" i="10"/>
  <c r="AC2049" i="10"/>
  <c r="AB2049" i="10"/>
  <c r="AA2049" i="10"/>
  <c r="Z2049" i="10"/>
  <c r="U2049" i="10"/>
  <c r="T2049" i="10"/>
  <c r="N2049" i="10"/>
  <c r="F2049" i="10"/>
  <c r="AI2048" i="10"/>
  <c r="AD2048" i="10"/>
  <c r="AC2048" i="10"/>
  <c r="AB2048" i="10"/>
  <c r="AA2048" i="10"/>
  <c r="Z2048" i="10"/>
  <c r="U2048" i="10"/>
  <c r="T2048" i="10"/>
  <c r="N2048" i="10"/>
  <c r="F2048" i="10"/>
  <c r="AI2047" i="10"/>
  <c r="AD2047" i="10"/>
  <c r="AC2047" i="10"/>
  <c r="AB2047" i="10"/>
  <c r="AA2047" i="10"/>
  <c r="Z2047" i="10"/>
  <c r="U2047" i="10"/>
  <c r="T2047" i="10"/>
  <c r="N2047" i="10"/>
  <c r="F2047" i="10"/>
  <c r="AI2046" i="10"/>
  <c r="AD2046" i="10"/>
  <c r="AC2046" i="10"/>
  <c r="AB2046" i="10"/>
  <c r="AA2046" i="10"/>
  <c r="Z2046" i="10"/>
  <c r="U2046" i="10"/>
  <c r="T2046" i="10"/>
  <c r="N2046" i="10"/>
  <c r="F2046" i="10"/>
  <c r="AI2045" i="10"/>
  <c r="AD2045" i="10"/>
  <c r="AC2045" i="10"/>
  <c r="AB2045" i="10"/>
  <c r="AA2045" i="10"/>
  <c r="Z2045" i="10"/>
  <c r="U2045" i="10"/>
  <c r="T2045" i="10"/>
  <c r="N2045" i="10"/>
  <c r="F2045" i="10"/>
  <c r="AI2044" i="10"/>
  <c r="AD2044" i="10"/>
  <c r="AC2044" i="10"/>
  <c r="AB2044" i="10"/>
  <c r="AA2044" i="10"/>
  <c r="Z2044" i="10"/>
  <c r="U2044" i="10"/>
  <c r="T2044" i="10"/>
  <c r="N2044" i="10"/>
  <c r="F2044" i="10"/>
  <c r="AI2043" i="10"/>
  <c r="AD2043" i="10"/>
  <c r="AC2043" i="10"/>
  <c r="AB2043" i="10"/>
  <c r="AA2043" i="10"/>
  <c r="Z2043" i="10"/>
  <c r="U2043" i="10"/>
  <c r="T2043" i="10"/>
  <c r="N2043" i="10"/>
  <c r="F2043" i="10"/>
  <c r="AI2042" i="10"/>
  <c r="AD2042" i="10"/>
  <c r="AC2042" i="10"/>
  <c r="AB2042" i="10"/>
  <c r="AA2042" i="10"/>
  <c r="Z2042" i="10"/>
  <c r="U2042" i="10"/>
  <c r="T2042" i="10"/>
  <c r="N2042" i="10"/>
  <c r="F2042" i="10"/>
  <c r="AI2041" i="10"/>
  <c r="AD2041" i="10"/>
  <c r="AC2041" i="10"/>
  <c r="AB2041" i="10"/>
  <c r="AA2041" i="10"/>
  <c r="Z2041" i="10"/>
  <c r="U2041" i="10"/>
  <c r="T2041" i="10"/>
  <c r="N2041" i="10"/>
  <c r="F2041" i="10"/>
  <c r="AI2040" i="10"/>
  <c r="AD2040" i="10"/>
  <c r="AC2040" i="10"/>
  <c r="AB2040" i="10"/>
  <c r="AA2040" i="10"/>
  <c r="Z2040" i="10"/>
  <c r="U2040" i="10"/>
  <c r="T2040" i="10"/>
  <c r="N2040" i="10"/>
  <c r="F2040" i="10"/>
  <c r="AI2039" i="10"/>
  <c r="AD2039" i="10"/>
  <c r="AC2039" i="10"/>
  <c r="AB2039" i="10"/>
  <c r="AA2039" i="10"/>
  <c r="Z2039" i="10"/>
  <c r="U2039" i="10"/>
  <c r="T2039" i="10"/>
  <c r="N2039" i="10"/>
  <c r="F2039" i="10"/>
  <c r="AI2038" i="10"/>
  <c r="AD2038" i="10"/>
  <c r="AC2038" i="10"/>
  <c r="AB2038" i="10"/>
  <c r="AA2038" i="10"/>
  <c r="Z2038" i="10"/>
  <c r="U2038" i="10"/>
  <c r="T2038" i="10"/>
  <c r="N2038" i="10"/>
  <c r="F2038" i="10"/>
  <c r="AI2037" i="10"/>
  <c r="AD2037" i="10"/>
  <c r="AC2037" i="10"/>
  <c r="AB2037" i="10"/>
  <c r="AA2037" i="10"/>
  <c r="Z2037" i="10"/>
  <c r="U2037" i="10"/>
  <c r="T2037" i="10"/>
  <c r="N2037" i="10"/>
  <c r="F2037" i="10"/>
  <c r="AI2036" i="10"/>
  <c r="AD2036" i="10"/>
  <c r="AC2036" i="10"/>
  <c r="AB2036" i="10"/>
  <c r="AA2036" i="10"/>
  <c r="Z2036" i="10"/>
  <c r="U2036" i="10"/>
  <c r="T2036" i="10"/>
  <c r="N2036" i="10"/>
  <c r="F2036" i="10"/>
  <c r="AI2035" i="10"/>
  <c r="AD2035" i="10"/>
  <c r="AC2035" i="10"/>
  <c r="AB2035" i="10"/>
  <c r="AA2035" i="10"/>
  <c r="Z2035" i="10"/>
  <c r="U2035" i="10"/>
  <c r="T2035" i="10"/>
  <c r="N2035" i="10"/>
  <c r="F2035" i="10"/>
  <c r="AI2034" i="10"/>
  <c r="AD2034" i="10"/>
  <c r="AC2034" i="10"/>
  <c r="AB2034" i="10"/>
  <c r="AA2034" i="10"/>
  <c r="Z2034" i="10"/>
  <c r="U2034" i="10"/>
  <c r="T2034" i="10"/>
  <c r="N2034" i="10"/>
  <c r="F2034" i="10"/>
  <c r="AI2033" i="10"/>
  <c r="AD2033" i="10"/>
  <c r="AC2033" i="10"/>
  <c r="AB2033" i="10"/>
  <c r="AA2033" i="10"/>
  <c r="Z2033" i="10"/>
  <c r="U2033" i="10"/>
  <c r="T2033" i="10"/>
  <c r="N2033" i="10"/>
  <c r="F2033" i="10"/>
  <c r="AI2032" i="10"/>
  <c r="AD2032" i="10"/>
  <c r="AC2032" i="10"/>
  <c r="AB2032" i="10"/>
  <c r="AA2032" i="10"/>
  <c r="Z2032" i="10"/>
  <c r="U2032" i="10"/>
  <c r="T2032" i="10"/>
  <c r="N2032" i="10"/>
  <c r="F2032" i="10"/>
  <c r="AI2031" i="10"/>
  <c r="AD2031" i="10"/>
  <c r="AC2031" i="10"/>
  <c r="AB2031" i="10"/>
  <c r="AA2031" i="10"/>
  <c r="Z2031" i="10"/>
  <c r="U2031" i="10"/>
  <c r="T2031" i="10"/>
  <c r="N2031" i="10"/>
  <c r="F2031" i="10"/>
  <c r="AI2030" i="10"/>
  <c r="AD2030" i="10"/>
  <c r="AC2030" i="10"/>
  <c r="AB2030" i="10"/>
  <c r="AA2030" i="10"/>
  <c r="Z2030" i="10"/>
  <c r="U2030" i="10"/>
  <c r="T2030" i="10"/>
  <c r="N2030" i="10"/>
  <c r="F2030" i="10"/>
  <c r="AI2029" i="10"/>
  <c r="AD2029" i="10"/>
  <c r="AC2029" i="10"/>
  <c r="AB2029" i="10"/>
  <c r="AA2029" i="10"/>
  <c r="Z2029" i="10"/>
  <c r="U2029" i="10"/>
  <c r="T2029" i="10"/>
  <c r="N2029" i="10"/>
  <c r="F2029" i="10"/>
  <c r="AI2028" i="10"/>
  <c r="AD2028" i="10"/>
  <c r="AC2028" i="10"/>
  <c r="AB2028" i="10"/>
  <c r="AA2028" i="10"/>
  <c r="Z2028" i="10"/>
  <c r="U2028" i="10"/>
  <c r="T2028" i="10"/>
  <c r="N2028" i="10"/>
  <c r="F2028" i="10"/>
  <c r="AI2027" i="10"/>
  <c r="AD2027" i="10"/>
  <c r="AC2027" i="10"/>
  <c r="AB2027" i="10"/>
  <c r="AA2027" i="10"/>
  <c r="Z2027" i="10"/>
  <c r="U2027" i="10"/>
  <c r="T2027" i="10"/>
  <c r="N2027" i="10"/>
  <c r="F2027" i="10"/>
  <c r="AI2026" i="10"/>
  <c r="AD2026" i="10"/>
  <c r="AC2026" i="10"/>
  <c r="AB2026" i="10"/>
  <c r="AA2026" i="10"/>
  <c r="Z2026" i="10"/>
  <c r="U2026" i="10"/>
  <c r="T2026" i="10"/>
  <c r="N2026" i="10"/>
  <c r="F2026" i="10"/>
  <c r="AI2025" i="10"/>
  <c r="AD2025" i="10"/>
  <c r="AC2025" i="10"/>
  <c r="AB2025" i="10"/>
  <c r="AA2025" i="10"/>
  <c r="Z2025" i="10"/>
  <c r="U2025" i="10"/>
  <c r="T2025" i="10"/>
  <c r="N2025" i="10"/>
  <c r="F2025" i="10"/>
  <c r="AI2024" i="10"/>
  <c r="AD2024" i="10"/>
  <c r="AC2024" i="10"/>
  <c r="AB2024" i="10"/>
  <c r="AA2024" i="10"/>
  <c r="Z2024" i="10"/>
  <c r="U2024" i="10"/>
  <c r="T2024" i="10"/>
  <c r="N2024" i="10"/>
  <c r="F2024" i="10"/>
  <c r="AI2023" i="10"/>
  <c r="AD2023" i="10"/>
  <c r="AC2023" i="10"/>
  <c r="AB2023" i="10"/>
  <c r="AA2023" i="10"/>
  <c r="Z2023" i="10"/>
  <c r="U2023" i="10"/>
  <c r="T2023" i="10"/>
  <c r="N2023" i="10"/>
  <c r="F2023" i="10"/>
  <c r="AI2022" i="10"/>
  <c r="AD2022" i="10"/>
  <c r="AC2022" i="10"/>
  <c r="AB2022" i="10"/>
  <c r="AA2022" i="10"/>
  <c r="Z2022" i="10"/>
  <c r="U2022" i="10"/>
  <c r="T2022" i="10"/>
  <c r="N2022" i="10"/>
  <c r="F2022" i="10"/>
  <c r="AI2021" i="10"/>
  <c r="AD2021" i="10"/>
  <c r="AC2021" i="10"/>
  <c r="AB2021" i="10"/>
  <c r="AA2021" i="10"/>
  <c r="Z2021" i="10"/>
  <c r="U2021" i="10"/>
  <c r="T2021" i="10"/>
  <c r="N2021" i="10"/>
  <c r="F2021" i="10"/>
  <c r="AI2020" i="10"/>
  <c r="AD2020" i="10"/>
  <c r="AC2020" i="10"/>
  <c r="AB2020" i="10"/>
  <c r="AA2020" i="10"/>
  <c r="Z2020" i="10"/>
  <c r="U2020" i="10"/>
  <c r="T2020" i="10"/>
  <c r="N2020" i="10"/>
  <c r="F2020" i="10"/>
  <c r="AI2019" i="10"/>
  <c r="AD2019" i="10"/>
  <c r="AC2019" i="10"/>
  <c r="AB2019" i="10"/>
  <c r="AA2019" i="10"/>
  <c r="Z2019" i="10"/>
  <c r="U2019" i="10"/>
  <c r="T2019" i="10"/>
  <c r="N2019" i="10"/>
  <c r="F2019" i="10"/>
  <c r="AI2018" i="10"/>
  <c r="AD2018" i="10"/>
  <c r="AC2018" i="10"/>
  <c r="AB2018" i="10"/>
  <c r="AA2018" i="10"/>
  <c r="Z2018" i="10"/>
  <c r="U2018" i="10"/>
  <c r="T2018" i="10"/>
  <c r="N2018" i="10"/>
  <c r="F2018" i="10"/>
  <c r="AI2017" i="10"/>
  <c r="AD2017" i="10"/>
  <c r="AC2017" i="10"/>
  <c r="AB2017" i="10"/>
  <c r="AA2017" i="10"/>
  <c r="Z2017" i="10"/>
  <c r="U2017" i="10"/>
  <c r="T2017" i="10"/>
  <c r="N2017" i="10"/>
  <c r="F2017" i="10"/>
  <c r="AI2016" i="10"/>
  <c r="AD2016" i="10"/>
  <c r="AC2016" i="10"/>
  <c r="AB2016" i="10"/>
  <c r="AA2016" i="10"/>
  <c r="Z2016" i="10"/>
  <c r="U2016" i="10"/>
  <c r="T2016" i="10"/>
  <c r="N2016" i="10"/>
  <c r="F2016" i="10"/>
  <c r="AI2015" i="10"/>
  <c r="AD2015" i="10"/>
  <c r="AC2015" i="10"/>
  <c r="AB2015" i="10"/>
  <c r="AA2015" i="10"/>
  <c r="Z2015" i="10"/>
  <c r="U2015" i="10"/>
  <c r="T2015" i="10"/>
  <c r="N2015" i="10"/>
  <c r="F2015" i="10"/>
  <c r="AI2014" i="10"/>
  <c r="AD2014" i="10"/>
  <c r="AC2014" i="10"/>
  <c r="AB2014" i="10"/>
  <c r="AA2014" i="10"/>
  <c r="Z2014" i="10"/>
  <c r="U2014" i="10"/>
  <c r="T2014" i="10"/>
  <c r="N2014" i="10"/>
  <c r="F2014" i="10"/>
  <c r="AI2013" i="10"/>
  <c r="AD2013" i="10"/>
  <c r="AC2013" i="10"/>
  <c r="AB2013" i="10"/>
  <c r="AA2013" i="10"/>
  <c r="Z2013" i="10"/>
  <c r="U2013" i="10"/>
  <c r="T2013" i="10"/>
  <c r="N2013" i="10"/>
  <c r="F2013" i="10"/>
  <c r="AI2012" i="10"/>
  <c r="AD2012" i="10"/>
  <c r="AC2012" i="10"/>
  <c r="AB2012" i="10"/>
  <c r="AA2012" i="10"/>
  <c r="Z2012" i="10"/>
  <c r="U2012" i="10"/>
  <c r="T2012" i="10"/>
  <c r="N2012" i="10"/>
  <c r="F2012" i="10"/>
  <c r="AI2011" i="10"/>
  <c r="AD2011" i="10"/>
  <c r="AC2011" i="10"/>
  <c r="AB2011" i="10"/>
  <c r="AA2011" i="10"/>
  <c r="Z2011" i="10"/>
  <c r="U2011" i="10"/>
  <c r="T2011" i="10"/>
  <c r="N2011" i="10"/>
  <c r="F2011" i="10"/>
  <c r="AI2010" i="10"/>
  <c r="AD2010" i="10"/>
  <c r="AC2010" i="10"/>
  <c r="AB2010" i="10"/>
  <c r="AA2010" i="10"/>
  <c r="Z2010" i="10"/>
  <c r="U2010" i="10"/>
  <c r="T2010" i="10"/>
  <c r="N2010" i="10"/>
  <c r="F2010" i="10"/>
  <c r="AI2009" i="10"/>
  <c r="AD2009" i="10"/>
  <c r="AC2009" i="10"/>
  <c r="AB2009" i="10"/>
  <c r="AA2009" i="10"/>
  <c r="Z2009" i="10"/>
  <c r="U2009" i="10"/>
  <c r="T2009" i="10"/>
  <c r="N2009" i="10"/>
  <c r="F2009" i="10"/>
  <c r="AI2008" i="10"/>
  <c r="AD2008" i="10"/>
  <c r="AC2008" i="10"/>
  <c r="AB2008" i="10"/>
  <c r="AA2008" i="10"/>
  <c r="Z2008" i="10"/>
  <c r="U2008" i="10"/>
  <c r="T2008" i="10"/>
  <c r="N2008" i="10"/>
  <c r="F2008" i="10"/>
  <c r="AI2007" i="10"/>
  <c r="AD2007" i="10"/>
  <c r="AC2007" i="10"/>
  <c r="AB2007" i="10"/>
  <c r="AA2007" i="10"/>
  <c r="Z2007" i="10"/>
  <c r="U2007" i="10"/>
  <c r="T2007" i="10"/>
  <c r="N2007" i="10"/>
  <c r="F2007" i="10"/>
  <c r="AI2006" i="10"/>
  <c r="AD2006" i="10"/>
  <c r="AC2006" i="10"/>
  <c r="AB2006" i="10"/>
  <c r="AA2006" i="10"/>
  <c r="Z2006" i="10"/>
  <c r="U2006" i="10"/>
  <c r="T2006" i="10"/>
  <c r="N2006" i="10"/>
  <c r="F2006" i="10"/>
  <c r="AI2005" i="10"/>
  <c r="AD2005" i="10"/>
  <c r="AC2005" i="10"/>
  <c r="AB2005" i="10"/>
  <c r="AA2005" i="10"/>
  <c r="Z2005" i="10"/>
  <c r="U2005" i="10"/>
  <c r="T2005" i="10"/>
  <c r="N2005" i="10"/>
  <c r="F2005" i="10"/>
  <c r="AI2004" i="10"/>
  <c r="AD2004" i="10"/>
  <c r="AC2004" i="10"/>
  <c r="AB2004" i="10"/>
  <c r="AA2004" i="10"/>
  <c r="Z2004" i="10"/>
  <c r="U2004" i="10"/>
  <c r="T2004" i="10"/>
  <c r="N2004" i="10"/>
  <c r="F2004" i="10"/>
  <c r="AI2003" i="10"/>
  <c r="AD2003" i="10"/>
  <c r="AC2003" i="10"/>
  <c r="AB2003" i="10"/>
  <c r="AA2003" i="10"/>
  <c r="Z2003" i="10"/>
  <c r="U2003" i="10"/>
  <c r="T2003" i="10"/>
  <c r="E7" i="9" s="1"/>
  <c r="N2003" i="10"/>
  <c r="F2003" i="10"/>
  <c r="AI2002" i="10"/>
  <c r="AD2002" i="10"/>
  <c r="AC2002" i="10"/>
  <c r="AB2002" i="10"/>
  <c r="AA2002" i="10"/>
  <c r="Z2002" i="10"/>
  <c r="U2002" i="10"/>
  <c r="T2002" i="10"/>
  <c r="N2002" i="10"/>
  <c r="F2002" i="10"/>
  <c r="AI2001" i="10"/>
  <c r="AD2001" i="10"/>
  <c r="AC2001" i="10"/>
  <c r="AB2001" i="10"/>
  <c r="AA2001" i="10"/>
  <c r="Z2001" i="10"/>
  <c r="U2001" i="10"/>
  <c r="T2001" i="10"/>
  <c r="N2001" i="10"/>
  <c r="F2001" i="10"/>
  <c r="AI2000" i="10"/>
  <c r="AD2000" i="10"/>
  <c r="AC2000" i="10"/>
  <c r="AB2000" i="10"/>
  <c r="AA2000" i="10"/>
  <c r="Z2000" i="10"/>
  <c r="U2000" i="10"/>
  <c r="T2000" i="10"/>
  <c r="N2000" i="10"/>
  <c r="F2000" i="10"/>
  <c r="AI1999" i="10"/>
  <c r="AD1999" i="10"/>
  <c r="AC1999" i="10"/>
  <c r="AB1999" i="10"/>
  <c r="AA1999" i="10"/>
  <c r="Z1999" i="10"/>
  <c r="U1999" i="10"/>
  <c r="T1999" i="10"/>
  <c r="N1999" i="10"/>
  <c r="F1999" i="10"/>
  <c r="AI1998" i="10"/>
  <c r="AD1998" i="10"/>
  <c r="AC1998" i="10"/>
  <c r="AB1998" i="10"/>
  <c r="AA1998" i="10"/>
  <c r="Z1998" i="10"/>
  <c r="U1998" i="10"/>
  <c r="T1998" i="10"/>
  <c r="N1998" i="10"/>
  <c r="F1998" i="10"/>
  <c r="AI1997" i="10"/>
  <c r="AD1997" i="10"/>
  <c r="AC1997" i="10"/>
  <c r="AB1997" i="10"/>
  <c r="AA1997" i="10"/>
  <c r="Z1997" i="10"/>
  <c r="U1997" i="10"/>
  <c r="T1997" i="10"/>
  <c r="N1997" i="10"/>
  <c r="F1997" i="10"/>
  <c r="AI1996" i="10"/>
  <c r="AD1996" i="10"/>
  <c r="AC1996" i="10"/>
  <c r="AB1996" i="10"/>
  <c r="AA1996" i="10"/>
  <c r="Z1996" i="10"/>
  <c r="U1996" i="10"/>
  <c r="T1996" i="10"/>
  <c r="N1996" i="10"/>
  <c r="F1996" i="10"/>
  <c r="AI1995" i="10"/>
  <c r="AD1995" i="10"/>
  <c r="AC1995" i="10"/>
  <c r="AB1995" i="10"/>
  <c r="AA1995" i="10"/>
  <c r="Z1995" i="10"/>
  <c r="U1995" i="10"/>
  <c r="T1995" i="10"/>
  <c r="N1995" i="10"/>
  <c r="F1995" i="10"/>
  <c r="AI1994" i="10"/>
  <c r="AD1994" i="10"/>
  <c r="AC1994" i="10"/>
  <c r="AB1994" i="10"/>
  <c r="AA1994" i="10"/>
  <c r="Z1994" i="10"/>
  <c r="U1994" i="10"/>
  <c r="T1994" i="10"/>
  <c r="N1994" i="10"/>
  <c r="F1994" i="10"/>
  <c r="AI1993" i="10"/>
  <c r="AD1993" i="10"/>
  <c r="AC1993" i="10"/>
  <c r="AB1993" i="10"/>
  <c r="AA1993" i="10"/>
  <c r="Z1993" i="10"/>
  <c r="U1993" i="10"/>
  <c r="T1993" i="10"/>
  <c r="N1993" i="10"/>
  <c r="F1993" i="10"/>
  <c r="AI1992" i="10"/>
  <c r="AD1992" i="10"/>
  <c r="AC1992" i="10"/>
  <c r="AB1992" i="10"/>
  <c r="AA1992" i="10"/>
  <c r="Z1992" i="10"/>
  <c r="U1992" i="10"/>
  <c r="T1992" i="10"/>
  <c r="N1992" i="10"/>
  <c r="F1992" i="10"/>
  <c r="AI1991" i="10"/>
  <c r="AD1991" i="10"/>
  <c r="AC1991" i="10"/>
  <c r="AB1991" i="10"/>
  <c r="AA1991" i="10"/>
  <c r="Z1991" i="10"/>
  <c r="U1991" i="10"/>
  <c r="T1991" i="10"/>
  <c r="N1991" i="10"/>
  <c r="F1991" i="10"/>
  <c r="AI1990" i="10"/>
  <c r="AD1990" i="10"/>
  <c r="AC1990" i="10"/>
  <c r="AB1990" i="10"/>
  <c r="AA1990" i="10"/>
  <c r="Z1990" i="10"/>
  <c r="U1990" i="10"/>
  <c r="T1990" i="10"/>
  <c r="N1990" i="10"/>
  <c r="F1990" i="10"/>
  <c r="AI1989" i="10"/>
  <c r="AD1989" i="10"/>
  <c r="AC1989" i="10"/>
  <c r="AB1989" i="10"/>
  <c r="AA1989" i="10"/>
  <c r="Z1989" i="10"/>
  <c r="U1989" i="10"/>
  <c r="T1989" i="10"/>
  <c r="N1989" i="10"/>
  <c r="F1989" i="10"/>
  <c r="AI1988" i="10"/>
  <c r="AD1988" i="10"/>
  <c r="AC1988" i="10"/>
  <c r="AB1988" i="10"/>
  <c r="AA1988" i="10"/>
  <c r="Z1988" i="10"/>
  <c r="U1988" i="10"/>
  <c r="T1988" i="10"/>
  <c r="N1988" i="10"/>
  <c r="F1988" i="10"/>
  <c r="AI1987" i="10"/>
  <c r="AD1987" i="10"/>
  <c r="AC1987" i="10"/>
  <c r="AB1987" i="10"/>
  <c r="AA1987" i="10"/>
  <c r="Z1987" i="10"/>
  <c r="U1987" i="10"/>
  <c r="T1987" i="10"/>
  <c r="N1987" i="10"/>
  <c r="F1987" i="10"/>
  <c r="AI1986" i="10"/>
  <c r="AD1986" i="10"/>
  <c r="AC1986" i="10"/>
  <c r="AB1986" i="10"/>
  <c r="AA1986" i="10"/>
  <c r="Z1986" i="10"/>
  <c r="U1986" i="10"/>
  <c r="T1986" i="10"/>
  <c r="N1986" i="10"/>
  <c r="F1986" i="10"/>
  <c r="AI1985" i="10"/>
  <c r="AD1985" i="10"/>
  <c r="AC1985" i="10"/>
  <c r="AB1985" i="10"/>
  <c r="AA1985" i="10"/>
  <c r="Z1985" i="10"/>
  <c r="U1985" i="10"/>
  <c r="T1985" i="10"/>
  <c r="N1985" i="10"/>
  <c r="F1985" i="10"/>
  <c r="AI1984" i="10"/>
  <c r="AD1984" i="10"/>
  <c r="AC1984" i="10"/>
  <c r="AB1984" i="10"/>
  <c r="AA1984" i="10"/>
  <c r="Z1984" i="10"/>
  <c r="U1984" i="10"/>
  <c r="T1984" i="10"/>
  <c r="N1984" i="10"/>
  <c r="F1984" i="10"/>
  <c r="AI1983" i="10"/>
  <c r="AD1983" i="10"/>
  <c r="AC1983" i="10"/>
  <c r="AB1983" i="10"/>
  <c r="AA1983" i="10"/>
  <c r="Z1983" i="10"/>
  <c r="U1983" i="10"/>
  <c r="T1983" i="10"/>
  <c r="N1983" i="10"/>
  <c r="F1983" i="10"/>
  <c r="AI1982" i="10"/>
  <c r="AD1982" i="10"/>
  <c r="AC1982" i="10"/>
  <c r="AB1982" i="10"/>
  <c r="AA1982" i="10"/>
  <c r="Z1982" i="10"/>
  <c r="U1982" i="10"/>
  <c r="T1982" i="10"/>
  <c r="N1982" i="10"/>
  <c r="F1982" i="10"/>
  <c r="AI1981" i="10"/>
  <c r="AD1981" i="10"/>
  <c r="AC1981" i="10"/>
  <c r="AB1981" i="10"/>
  <c r="AA1981" i="10"/>
  <c r="Z1981" i="10"/>
  <c r="U1981" i="10"/>
  <c r="T1981" i="10"/>
  <c r="N1981" i="10"/>
  <c r="F1981" i="10"/>
  <c r="AI1980" i="10"/>
  <c r="AD1980" i="10"/>
  <c r="AC1980" i="10"/>
  <c r="AB1980" i="10"/>
  <c r="AA1980" i="10"/>
  <c r="Z1980" i="10"/>
  <c r="U1980" i="10"/>
  <c r="T1980" i="10"/>
  <c r="N1980" i="10"/>
  <c r="F1980" i="10"/>
  <c r="AI1979" i="10"/>
  <c r="AD1979" i="10"/>
  <c r="AC1979" i="10"/>
  <c r="AB1979" i="10"/>
  <c r="AA1979" i="10"/>
  <c r="Z1979" i="10"/>
  <c r="U1979" i="10"/>
  <c r="T1979" i="10"/>
  <c r="N1979" i="10"/>
  <c r="F1979" i="10"/>
  <c r="AI1978" i="10"/>
  <c r="AD1978" i="10"/>
  <c r="AC1978" i="10"/>
  <c r="AB1978" i="10"/>
  <c r="AA1978" i="10"/>
  <c r="Z1978" i="10"/>
  <c r="U1978" i="10"/>
  <c r="T1978" i="10"/>
  <c r="N1978" i="10"/>
  <c r="F1978" i="10"/>
  <c r="AI1977" i="10"/>
  <c r="AD1977" i="10"/>
  <c r="AC1977" i="10"/>
  <c r="AB1977" i="10"/>
  <c r="AA1977" i="10"/>
  <c r="Z1977" i="10"/>
  <c r="U1977" i="10"/>
  <c r="T1977" i="10"/>
  <c r="N1977" i="10"/>
  <c r="F1977" i="10"/>
  <c r="AI1976" i="10"/>
  <c r="AD1976" i="10"/>
  <c r="AC1976" i="10"/>
  <c r="AB1976" i="10"/>
  <c r="AA1976" i="10"/>
  <c r="Z1976" i="10"/>
  <c r="U1976" i="10"/>
  <c r="T1976" i="10"/>
  <c r="N1976" i="10"/>
  <c r="F1976" i="10"/>
  <c r="AI1975" i="10"/>
  <c r="AD1975" i="10"/>
  <c r="AC1975" i="10"/>
  <c r="AB1975" i="10"/>
  <c r="AA1975" i="10"/>
  <c r="Z1975" i="10"/>
  <c r="U1975" i="10"/>
  <c r="T1975" i="10"/>
  <c r="N1975" i="10"/>
  <c r="F1975" i="10"/>
  <c r="AI1974" i="10"/>
  <c r="AD1974" i="10"/>
  <c r="AC1974" i="10"/>
  <c r="AB1974" i="10"/>
  <c r="AA1974" i="10"/>
  <c r="Z1974" i="10"/>
  <c r="U1974" i="10"/>
  <c r="T1974" i="10"/>
  <c r="N1974" i="10"/>
  <c r="F1974" i="10"/>
  <c r="AI1973" i="10"/>
  <c r="AD1973" i="10"/>
  <c r="AC1973" i="10"/>
  <c r="AB1973" i="10"/>
  <c r="AA1973" i="10"/>
  <c r="Z1973" i="10"/>
  <c r="U1973" i="10"/>
  <c r="T1973" i="10"/>
  <c r="N1973" i="10"/>
  <c r="F1973" i="10"/>
  <c r="AI1972" i="10"/>
  <c r="AD1972" i="10"/>
  <c r="AC1972" i="10"/>
  <c r="AB1972" i="10"/>
  <c r="AA1972" i="10"/>
  <c r="Z1972" i="10"/>
  <c r="U1972" i="10"/>
  <c r="T1972" i="10"/>
  <c r="N1972" i="10"/>
  <c r="F1972" i="10"/>
  <c r="AI1971" i="10"/>
  <c r="AD1971" i="10"/>
  <c r="AC1971" i="10"/>
  <c r="AB1971" i="10"/>
  <c r="AA1971" i="10"/>
  <c r="Z1971" i="10"/>
  <c r="U1971" i="10"/>
  <c r="T1971" i="10"/>
  <c r="N1971" i="10"/>
  <c r="F1971" i="10"/>
  <c r="AI1970" i="10"/>
  <c r="AD1970" i="10"/>
  <c r="AC1970" i="10"/>
  <c r="AB1970" i="10"/>
  <c r="AA1970" i="10"/>
  <c r="Z1970" i="10"/>
  <c r="U1970" i="10"/>
  <c r="T1970" i="10"/>
  <c r="N1970" i="10"/>
  <c r="F1970" i="10"/>
  <c r="AI1969" i="10"/>
  <c r="AD1969" i="10"/>
  <c r="AC1969" i="10"/>
  <c r="AB1969" i="10"/>
  <c r="AA1969" i="10"/>
  <c r="Z1969" i="10"/>
  <c r="U1969" i="10"/>
  <c r="T1969" i="10"/>
  <c r="N1969" i="10"/>
  <c r="F1969" i="10"/>
  <c r="AI1968" i="10"/>
  <c r="AD1968" i="10"/>
  <c r="AC1968" i="10"/>
  <c r="AB1968" i="10"/>
  <c r="AA1968" i="10"/>
  <c r="Z1968" i="10"/>
  <c r="U1968" i="10"/>
  <c r="T1968" i="10"/>
  <c r="N1968" i="10"/>
  <c r="F1968" i="10"/>
  <c r="AI1967" i="10"/>
  <c r="AD1967" i="10"/>
  <c r="AC1967" i="10"/>
  <c r="AB1967" i="10"/>
  <c r="AA1967" i="10"/>
  <c r="Z1967" i="10"/>
  <c r="U1967" i="10"/>
  <c r="T1967" i="10"/>
  <c r="N1967" i="10"/>
  <c r="F1967" i="10"/>
  <c r="AI1966" i="10"/>
  <c r="AD1966" i="10"/>
  <c r="AC1966" i="10"/>
  <c r="AB1966" i="10"/>
  <c r="AA1966" i="10"/>
  <c r="Z1966" i="10"/>
  <c r="U1966" i="10"/>
  <c r="T1966" i="10"/>
  <c r="N1966" i="10"/>
  <c r="F1966" i="10"/>
  <c r="AI1965" i="10"/>
  <c r="AD1965" i="10"/>
  <c r="AC1965" i="10"/>
  <c r="AB1965" i="10"/>
  <c r="AA1965" i="10"/>
  <c r="Z1965" i="10"/>
  <c r="U1965" i="10"/>
  <c r="T1965" i="10"/>
  <c r="N1965" i="10"/>
  <c r="F1965" i="10"/>
  <c r="AI1964" i="10"/>
  <c r="AD1964" i="10"/>
  <c r="AC1964" i="10"/>
  <c r="AB1964" i="10"/>
  <c r="AA1964" i="10"/>
  <c r="Z1964" i="10"/>
  <c r="U1964" i="10"/>
  <c r="T1964" i="10"/>
  <c r="N1964" i="10"/>
  <c r="F1964" i="10"/>
  <c r="AI1963" i="10"/>
  <c r="AD1963" i="10"/>
  <c r="AC1963" i="10"/>
  <c r="AB1963" i="10"/>
  <c r="AA1963" i="10"/>
  <c r="Z1963" i="10"/>
  <c r="U1963" i="10"/>
  <c r="T1963" i="10"/>
  <c r="N1963" i="10"/>
  <c r="F1963" i="10"/>
  <c r="AI1962" i="10"/>
  <c r="AD1962" i="10"/>
  <c r="AC1962" i="10"/>
  <c r="AB1962" i="10"/>
  <c r="AA1962" i="10"/>
  <c r="Z1962" i="10"/>
  <c r="U1962" i="10"/>
  <c r="T1962" i="10"/>
  <c r="N1962" i="10"/>
  <c r="F1962" i="10"/>
  <c r="AI1961" i="10"/>
  <c r="AD1961" i="10"/>
  <c r="AC1961" i="10"/>
  <c r="AB1961" i="10"/>
  <c r="AA1961" i="10"/>
  <c r="Z1961" i="10"/>
  <c r="U1961" i="10"/>
  <c r="T1961" i="10"/>
  <c r="N1961" i="10"/>
  <c r="F1961" i="10"/>
  <c r="AI1960" i="10"/>
  <c r="AD1960" i="10"/>
  <c r="AC1960" i="10"/>
  <c r="AB1960" i="10"/>
  <c r="AA1960" i="10"/>
  <c r="Z1960" i="10"/>
  <c r="U1960" i="10"/>
  <c r="T1960" i="10"/>
  <c r="N1960" i="10"/>
  <c r="F1960" i="10"/>
  <c r="AI1959" i="10"/>
  <c r="AD1959" i="10"/>
  <c r="AC1959" i="10"/>
  <c r="AB1959" i="10"/>
  <c r="AA1959" i="10"/>
  <c r="Z1959" i="10"/>
  <c r="U1959" i="10"/>
  <c r="T1959" i="10"/>
  <c r="N1959" i="10"/>
  <c r="F1959" i="10"/>
  <c r="AI1958" i="10"/>
  <c r="AD1958" i="10"/>
  <c r="AC1958" i="10"/>
  <c r="AB1958" i="10"/>
  <c r="AA1958" i="10"/>
  <c r="Z1958" i="10"/>
  <c r="U1958" i="10"/>
  <c r="T1958" i="10"/>
  <c r="N1958" i="10"/>
  <c r="F1958" i="10"/>
  <c r="AI1957" i="10"/>
  <c r="AD1957" i="10"/>
  <c r="AC1957" i="10"/>
  <c r="AB1957" i="10"/>
  <c r="AA1957" i="10"/>
  <c r="Z1957" i="10"/>
  <c r="U1957" i="10"/>
  <c r="T1957" i="10"/>
  <c r="N1957" i="10"/>
  <c r="F1957" i="10"/>
  <c r="AI1956" i="10"/>
  <c r="AD1956" i="10"/>
  <c r="AC1956" i="10"/>
  <c r="AB1956" i="10"/>
  <c r="AA1956" i="10"/>
  <c r="Z1956" i="10"/>
  <c r="U1956" i="10"/>
  <c r="T1956" i="10"/>
  <c r="N1956" i="10"/>
  <c r="F1956" i="10"/>
  <c r="AI1955" i="10"/>
  <c r="AD1955" i="10"/>
  <c r="AC1955" i="10"/>
  <c r="AB1955" i="10"/>
  <c r="AA1955" i="10"/>
  <c r="Z1955" i="10"/>
  <c r="U1955" i="10"/>
  <c r="T1955" i="10"/>
  <c r="N1955" i="10"/>
  <c r="F1955" i="10"/>
  <c r="AI1954" i="10"/>
  <c r="AD1954" i="10"/>
  <c r="AC1954" i="10"/>
  <c r="AB1954" i="10"/>
  <c r="AA1954" i="10"/>
  <c r="Z1954" i="10"/>
  <c r="U1954" i="10"/>
  <c r="T1954" i="10"/>
  <c r="N1954" i="10"/>
  <c r="F1954" i="10"/>
  <c r="AI1953" i="10"/>
  <c r="AD1953" i="10"/>
  <c r="AC1953" i="10"/>
  <c r="AB1953" i="10"/>
  <c r="AA1953" i="10"/>
  <c r="Z1953" i="10"/>
  <c r="U1953" i="10"/>
  <c r="T1953" i="10"/>
  <c r="N1953" i="10"/>
  <c r="F1953" i="10"/>
  <c r="AI1952" i="10"/>
  <c r="AD1952" i="10"/>
  <c r="AC1952" i="10"/>
  <c r="AB1952" i="10"/>
  <c r="AA1952" i="10"/>
  <c r="Z1952" i="10"/>
  <c r="U1952" i="10"/>
  <c r="T1952" i="10"/>
  <c r="N1952" i="10"/>
  <c r="F1952" i="10"/>
  <c r="AI1951" i="10"/>
  <c r="AD1951" i="10"/>
  <c r="AC1951" i="10"/>
  <c r="AB1951" i="10"/>
  <c r="AA1951" i="10"/>
  <c r="Z1951" i="10"/>
  <c r="U1951" i="10"/>
  <c r="T1951" i="10"/>
  <c r="N1951" i="10"/>
  <c r="F1951" i="10"/>
  <c r="AI1950" i="10"/>
  <c r="AD1950" i="10"/>
  <c r="AC1950" i="10"/>
  <c r="AB1950" i="10"/>
  <c r="AA1950" i="10"/>
  <c r="Z1950" i="10"/>
  <c r="U1950" i="10"/>
  <c r="T1950" i="10"/>
  <c r="N1950" i="10"/>
  <c r="F1950" i="10"/>
  <c r="AI1949" i="10"/>
  <c r="AD1949" i="10"/>
  <c r="AC1949" i="10"/>
  <c r="AB1949" i="10"/>
  <c r="AA1949" i="10"/>
  <c r="Z1949" i="10"/>
  <c r="U1949" i="10"/>
  <c r="T1949" i="10"/>
  <c r="N1949" i="10"/>
  <c r="F1949" i="10"/>
  <c r="AI1948" i="10"/>
  <c r="AD1948" i="10"/>
  <c r="AC1948" i="10"/>
  <c r="AB1948" i="10"/>
  <c r="AA1948" i="10"/>
  <c r="Z1948" i="10"/>
  <c r="U1948" i="10"/>
  <c r="T1948" i="10"/>
  <c r="N1948" i="10"/>
  <c r="F1948" i="10"/>
  <c r="AI1947" i="10"/>
  <c r="AD1947" i="10"/>
  <c r="AC1947" i="10"/>
  <c r="AB1947" i="10"/>
  <c r="AA1947" i="10"/>
  <c r="Z1947" i="10"/>
  <c r="U1947" i="10"/>
  <c r="T1947" i="10"/>
  <c r="N1947" i="10"/>
  <c r="F1947" i="10"/>
  <c r="AI1946" i="10"/>
  <c r="AD1946" i="10"/>
  <c r="AC1946" i="10"/>
  <c r="AB1946" i="10"/>
  <c r="AA1946" i="10"/>
  <c r="Z1946" i="10"/>
  <c r="U1946" i="10"/>
  <c r="T1946" i="10"/>
  <c r="N1946" i="10"/>
  <c r="F1946" i="10"/>
  <c r="AI1945" i="10"/>
  <c r="AD1945" i="10"/>
  <c r="AC1945" i="10"/>
  <c r="AB1945" i="10"/>
  <c r="AA1945" i="10"/>
  <c r="Z1945" i="10"/>
  <c r="U1945" i="10"/>
  <c r="T1945" i="10"/>
  <c r="N1945" i="10"/>
  <c r="F1945" i="10"/>
  <c r="AI1944" i="10"/>
  <c r="AD1944" i="10"/>
  <c r="AC1944" i="10"/>
  <c r="AB1944" i="10"/>
  <c r="AA1944" i="10"/>
  <c r="Z1944" i="10"/>
  <c r="U1944" i="10"/>
  <c r="T1944" i="10"/>
  <c r="N1944" i="10"/>
  <c r="F1944" i="10"/>
  <c r="AI1943" i="10"/>
  <c r="AD1943" i="10"/>
  <c r="AC1943" i="10"/>
  <c r="AB1943" i="10"/>
  <c r="AA1943" i="10"/>
  <c r="Z1943" i="10"/>
  <c r="U1943" i="10"/>
  <c r="T1943" i="10"/>
  <c r="N1943" i="10"/>
  <c r="F1943" i="10"/>
  <c r="AI1942" i="10"/>
  <c r="AD1942" i="10"/>
  <c r="AC1942" i="10"/>
  <c r="AB1942" i="10"/>
  <c r="AA1942" i="10"/>
  <c r="Z1942" i="10"/>
  <c r="U1942" i="10"/>
  <c r="T1942" i="10"/>
  <c r="N1942" i="10"/>
  <c r="F1942" i="10"/>
  <c r="AI1941" i="10"/>
  <c r="AD1941" i="10"/>
  <c r="AC1941" i="10"/>
  <c r="AB1941" i="10"/>
  <c r="AA1941" i="10"/>
  <c r="Z1941" i="10"/>
  <c r="U1941" i="10"/>
  <c r="T1941" i="10"/>
  <c r="N1941" i="10"/>
  <c r="F1941" i="10"/>
  <c r="AI1940" i="10"/>
  <c r="AD1940" i="10"/>
  <c r="AC1940" i="10"/>
  <c r="AB1940" i="10"/>
  <c r="AA1940" i="10"/>
  <c r="Z1940" i="10"/>
  <c r="U1940" i="10"/>
  <c r="T1940" i="10"/>
  <c r="N1940" i="10"/>
  <c r="F1940" i="10"/>
  <c r="AI1939" i="10"/>
  <c r="AD1939" i="10"/>
  <c r="AC1939" i="10"/>
  <c r="AB1939" i="10"/>
  <c r="AA1939" i="10"/>
  <c r="Z1939" i="10"/>
  <c r="U1939" i="10"/>
  <c r="T1939" i="10"/>
  <c r="N1939" i="10"/>
  <c r="F1939" i="10"/>
  <c r="AI1938" i="10"/>
  <c r="AD1938" i="10"/>
  <c r="AC1938" i="10"/>
  <c r="AB1938" i="10"/>
  <c r="AA1938" i="10"/>
  <c r="Z1938" i="10"/>
  <c r="U1938" i="10"/>
  <c r="T1938" i="10"/>
  <c r="N1938" i="10"/>
  <c r="F1938" i="10"/>
  <c r="AI1937" i="10"/>
  <c r="AD1937" i="10"/>
  <c r="AC1937" i="10"/>
  <c r="AB1937" i="10"/>
  <c r="AA1937" i="10"/>
  <c r="Z1937" i="10"/>
  <c r="U1937" i="10"/>
  <c r="T1937" i="10"/>
  <c r="N1937" i="10"/>
  <c r="F1937" i="10"/>
  <c r="AI1936" i="10"/>
  <c r="AD1936" i="10"/>
  <c r="AC1936" i="10"/>
  <c r="AB1936" i="10"/>
  <c r="AA1936" i="10"/>
  <c r="Z1936" i="10"/>
  <c r="U1936" i="10"/>
  <c r="T1936" i="10"/>
  <c r="N1936" i="10"/>
  <c r="F1936" i="10"/>
  <c r="AI1935" i="10"/>
  <c r="AD1935" i="10"/>
  <c r="AC1935" i="10"/>
  <c r="AB1935" i="10"/>
  <c r="AA1935" i="10"/>
  <c r="Z1935" i="10"/>
  <c r="U1935" i="10"/>
  <c r="T1935" i="10"/>
  <c r="N1935" i="10"/>
  <c r="F1935" i="10"/>
  <c r="AI1934" i="10"/>
  <c r="AD1934" i="10"/>
  <c r="AC1934" i="10"/>
  <c r="AB1934" i="10"/>
  <c r="AA1934" i="10"/>
  <c r="Z1934" i="10"/>
  <c r="U1934" i="10"/>
  <c r="T1934" i="10"/>
  <c r="N1934" i="10"/>
  <c r="F1934" i="10"/>
  <c r="AI1933" i="10"/>
  <c r="AD1933" i="10"/>
  <c r="AC1933" i="10"/>
  <c r="AB1933" i="10"/>
  <c r="AA1933" i="10"/>
  <c r="Z1933" i="10"/>
  <c r="U1933" i="10"/>
  <c r="T1933" i="10"/>
  <c r="N1933" i="10"/>
  <c r="F1933" i="10"/>
  <c r="AI1932" i="10"/>
  <c r="AD1932" i="10"/>
  <c r="AC1932" i="10"/>
  <c r="AB1932" i="10"/>
  <c r="AA1932" i="10"/>
  <c r="Z1932" i="10"/>
  <c r="U1932" i="10"/>
  <c r="T1932" i="10"/>
  <c r="N1932" i="10"/>
  <c r="F1932" i="10"/>
  <c r="AI1931" i="10"/>
  <c r="AD1931" i="10"/>
  <c r="AC1931" i="10"/>
  <c r="AB1931" i="10"/>
  <c r="AA1931" i="10"/>
  <c r="Z1931" i="10"/>
  <c r="U1931" i="10"/>
  <c r="T1931" i="10"/>
  <c r="N1931" i="10"/>
  <c r="F1931" i="10"/>
  <c r="AI1930" i="10"/>
  <c r="AD1930" i="10"/>
  <c r="AC1930" i="10"/>
  <c r="AB1930" i="10"/>
  <c r="AA1930" i="10"/>
  <c r="Z1930" i="10"/>
  <c r="U1930" i="10"/>
  <c r="T1930" i="10"/>
  <c r="N1930" i="10"/>
  <c r="F1930" i="10"/>
  <c r="AI1929" i="10"/>
  <c r="AD1929" i="10"/>
  <c r="AC1929" i="10"/>
  <c r="AB1929" i="10"/>
  <c r="AA1929" i="10"/>
  <c r="Z1929" i="10"/>
  <c r="U1929" i="10"/>
  <c r="T1929" i="10"/>
  <c r="N1929" i="10"/>
  <c r="F1929" i="10"/>
  <c r="AI1928" i="10"/>
  <c r="AD1928" i="10"/>
  <c r="AC1928" i="10"/>
  <c r="AB1928" i="10"/>
  <c r="AA1928" i="10"/>
  <c r="Z1928" i="10"/>
  <c r="U1928" i="10"/>
  <c r="T1928" i="10"/>
  <c r="N1928" i="10"/>
  <c r="F1928" i="10"/>
  <c r="AI1927" i="10"/>
  <c r="AD1927" i="10"/>
  <c r="AC1927" i="10"/>
  <c r="AB1927" i="10"/>
  <c r="AA1927" i="10"/>
  <c r="Z1927" i="10"/>
  <c r="U1927" i="10"/>
  <c r="T1927" i="10"/>
  <c r="N1927" i="10"/>
  <c r="F1927" i="10"/>
  <c r="AI1926" i="10"/>
  <c r="AD1926" i="10"/>
  <c r="AC1926" i="10"/>
  <c r="AB1926" i="10"/>
  <c r="AA1926" i="10"/>
  <c r="Z1926" i="10"/>
  <c r="U1926" i="10"/>
  <c r="T1926" i="10"/>
  <c r="N1926" i="10"/>
  <c r="F1926" i="10"/>
  <c r="AI1925" i="10"/>
  <c r="AD1925" i="10"/>
  <c r="AC1925" i="10"/>
  <c r="AB1925" i="10"/>
  <c r="AA1925" i="10"/>
  <c r="Z1925" i="10"/>
  <c r="U1925" i="10"/>
  <c r="T1925" i="10"/>
  <c r="N1925" i="10"/>
  <c r="F1925" i="10"/>
  <c r="AI1924" i="10"/>
  <c r="AD1924" i="10"/>
  <c r="AC1924" i="10"/>
  <c r="AB1924" i="10"/>
  <c r="AA1924" i="10"/>
  <c r="Z1924" i="10"/>
  <c r="U1924" i="10"/>
  <c r="T1924" i="10"/>
  <c r="N1924" i="10"/>
  <c r="F1924" i="10"/>
  <c r="AI1923" i="10"/>
  <c r="AD1923" i="10"/>
  <c r="AC1923" i="10"/>
  <c r="AB1923" i="10"/>
  <c r="AA1923" i="10"/>
  <c r="Z1923" i="10"/>
  <c r="U1923" i="10"/>
  <c r="T1923" i="10"/>
  <c r="N1923" i="10"/>
  <c r="F1923" i="10"/>
  <c r="AI1922" i="10"/>
  <c r="AD1922" i="10"/>
  <c r="AC1922" i="10"/>
  <c r="AB1922" i="10"/>
  <c r="AA1922" i="10"/>
  <c r="Z1922" i="10"/>
  <c r="U1922" i="10"/>
  <c r="T1922" i="10"/>
  <c r="N1922" i="10"/>
  <c r="F1922" i="10"/>
  <c r="AI1921" i="10"/>
  <c r="AD1921" i="10"/>
  <c r="AC1921" i="10"/>
  <c r="AB1921" i="10"/>
  <c r="AA1921" i="10"/>
  <c r="Z1921" i="10"/>
  <c r="U1921" i="10"/>
  <c r="T1921" i="10"/>
  <c r="N1921" i="10"/>
  <c r="F1921" i="10"/>
  <c r="AI1920" i="10"/>
  <c r="AD1920" i="10"/>
  <c r="AC1920" i="10"/>
  <c r="AB1920" i="10"/>
  <c r="AA1920" i="10"/>
  <c r="Z1920" i="10"/>
  <c r="U1920" i="10"/>
  <c r="T1920" i="10"/>
  <c r="N1920" i="10"/>
  <c r="F1920" i="10"/>
  <c r="AI1919" i="10"/>
  <c r="AD1919" i="10"/>
  <c r="AC1919" i="10"/>
  <c r="AB1919" i="10"/>
  <c r="AA1919" i="10"/>
  <c r="Z1919" i="10"/>
  <c r="U1919" i="10"/>
  <c r="T1919" i="10"/>
  <c r="N1919" i="10"/>
  <c r="F1919" i="10"/>
  <c r="AI1918" i="10"/>
  <c r="AD1918" i="10"/>
  <c r="AC1918" i="10"/>
  <c r="AB1918" i="10"/>
  <c r="AA1918" i="10"/>
  <c r="Z1918" i="10"/>
  <c r="U1918" i="10"/>
  <c r="T1918" i="10"/>
  <c r="N1918" i="10"/>
  <c r="F1918" i="10"/>
  <c r="AI1917" i="10"/>
  <c r="AD1917" i="10"/>
  <c r="AC1917" i="10"/>
  <c r="AB1917" i="10"/>
  <c r="AA1917" i="10"/>
  <c r="Z1917" i="10"/>
  <c r="U1917" i="10"/>
  <c r="T1917" i="10"/>
  <c r="N1917" i="10"/>
  <c r="F1917" i="10"/>
  <c r="AI1916" i="10"/>
  <c r="AD1916" i="10"/>
  <c r="AC1916" i="10"/>
  <c r="AB1916" i="10"/>
  <c r="AA1916" i="10"/>
  <c r="Z1916" i="10"/>
  <c r="U1916" i="10"/>
  <c r="T1916" i="10"/>
  <c r="N1916" i="10"/>
  <c r="F1916" i="10"/>
  <c r="AI1915" i="10"/>
  <c r="AD1915" i="10"/>
  <c r="AC1915" i="10"/>
  <c r="AB1915" i="10"/>
  <c r="AA1915" i="10"/>
  <c r="Z1915" i="10"/>
  <c r="U1915" i="10"/>
  <c r="T1915" i="10"/>
  <c r="N1915" i="10"/>
  <c r="F1915" i="10"/>
  <c r="AI1914" i="10"/>
  <c r="AD1914" i="10"/>
  <c r="AC1914" i="10"/>
  <c r="AB1914" i="10"/>
  <c r="AA1914" i="10"/>
  <c r="Z1914" i="10"/>
  <c r="U1914" i="10"/>
  <c r="T1914" i="10"/>
  <c r="N1914" i="10"/>
  <c r="F1914" i="10"/>
  <c r="AI1913" i="10"/>
  <c r="AD1913" i="10"/>
  <c r="AC1913" i="10"/>
  <c r="AB1913" i="10"/>
  <c r="AA1913" i="10"/>
  <c r="Z1913" i="10"/>
  <c r="U1913" i="10"/>
  <c r="T1913" i="10"/>
  <c r="N1913" i="10"/>
  <c r="F1913" i="10"/>
  <c r="AI1912" i="10"/>
  <c r="AD1912" i="10"/>
  <c r="AC1912" i="10"/>
  <c r="AB1912" i="10"/>
  <c r="AA1912" i="10"/>
  <c r="Z1912" i="10"/>
  <c r="U1912" i="10"/>
  <c r="T1912" i="10"/>
  <c r="N1912" i="10"/>
  <c r="F1912" i="10"/>
  <c r="AI1911" i="10"/>
  <c r="AD1911" i="10"/>
  <c r="AC1911" i="10"/>
  <c r="AB1911" i="10"/>
  <c r="AA1911" i="10"/>
  <c r="Z1911" i="10"/>
  <c r="U1911" i="10"/>
  <c r="T1911" i="10"/>
  <c r="N1911" i="10"/>
  <c r="F1911" i="10"/>
  <c r="AI1910" i="10"/>
  <c r="AD1910" i="10"/>
  <c r="AC1910" i="10"/>
  <c r="AB1910" i="10"/>
  <c r="AA1910" i="10"/>
  <c r="Z1910" i="10"/>
  <c r="U1910" i="10"/>
  <c r="T1910" i="10"/>
  <c r="N1910" i="10"/>
  <c r="F1910" i="10"/>
  <c r="AI1909" i="10"/>
  <c r="AD1909" i="10"/>
  <c r="AC1909" i="10"/>
  <c r="AB1909" i="10"/>
  <c r="AA1909" i="10"/>
  <c r="Z1909" i="10"/>
  <c r="U1909" i="10"/>
  <c r="T1909" i="10"/>
  <c r="N1909" i="10"/>
  <c r="F1909" i="10"/>
  <c r="AI1908" i="10"/>
  <c r="AD1908" i="10"/>
  <c r="AC1908" i="10"/>
  <c r="AB1908" i="10"/>
  <c r="AA1908" i="10"/>
  <c r="Z1908" i="10"/>
  <c r="U1908" i="10"/>
  <c r="T1908" i="10"/>
  <c r="N1908" i="10"/>
  <c r="F1908" i="10"/>
  <c r="AI1907" i="10"/>
  <c r="AD1907" i="10"/>
  <c r="AC1907" i="10"/>
  <c r="AB1907" i="10"/>
  <c r="AA1907" i="10"/>
  <c r="Z1907" i="10"/>
  <c r="U1907" i="10"/>
  <c r="T1907" i="10"/>
  <c r="N1907" i="10"/>
  <c r="F1907" i="10"/>
  <c r="AI1906" i="10"/>
  <c r="AD1906" i="10"/>
  <c r="AC1906" i="10"/>
  <c r="AB1906" i="10"/>
  <c r="AA1906" i="10"/>
  <c r="Z1906" i="10"/>
  <c r="U1906" i="10"/>
  <c r="T1906" i="10"/>
  <c r="N1906" i="10"/>
  <c r="F1906" i="10"/>
  <c r="AI1905" i="10"/>
  <c r="AD1905" i="10"/>
  <c r="AC1905" i="10"/>
  <c r="AB1905" i="10"/>
  <c r="AA1905" i="10"/>
  <c r="Z1905" i="10"/>
  <c r="U1905" i="10"/>
  <c r="T1905" i="10"/>
  <c r="N1905" i="10"/>
  <c r="F1905" i="10"/>
  <c r="AI1904" i="10"/>
  <c r="AD1904" i="10"/>
  <c r="AC1904" i="10"/>
  <c r="AB1904" i="10"/>
  <c r="AA1904" i="10"/>
  <c r="Z1904" i="10"/>
  <c r="U1904" i="10"/>
  <c r="T1904" i="10"/>
  <c r="N1904" i="10"/>
  <c r="F1904" i="10"/>
  <c r="AI1903" i="10"/>
  <c r="AD1903" i="10"/>
  <c r="AC1903" i="10"/>
  <c r="AB1903" i="10"/>
  <c r="AA1903" i="10"/>
  <c r="Z1903" i="10"/>
  <c r="U1903" i="10"/>
  <c r="T1903" i="10"/>
  <c r="N1903" i="10"/>
  <c r="F1903" i="10"/>
  <c r="AI1902" i="10"/>
  <c r="AD1902" i="10"/>
  <c r="AC1902" i="10"/>
  <c r="AB1902" i="10"/>
  <c r="AA1902" i="10"/>
  <c r="Z1902" i="10"/>
  <c r="U1902" i="10"/>
  <c r="T1902" i="10"/>
  <c r="N1902" i="10"/>
  <c r="F1902" i="10"/>
  <c r="AI1901" i="10"/>
  <c r="AD1901" i="10"/>
  <c r="AC1901" i="10"/>
  <c r="AB1901" i="10"/>
  <c r="AA1901" i="10"/>
  <c r="Z1901" i="10"/>
  <c r="U1901" i="10"/>
  <c r="T1901" i="10"/>
  <c r="N1901" i="10"/>
  <c r="F1901" i="10"/>
  <c r="AI1900" i="10"/>
  <c r="AD1900" i="10"/>
  <c r="AC1900" i="10"/>
  <c r="AB1900" i="10"/>
  <c r="AA1900" i="10"/>
  <c r="Z1900" i="10"/>
  <c r="U1900" i="10"/>
  <c r="T1900" i="10"/>
  <c r="N1900" i="10"/>
  <c r="F1900" i="10"/>
  <c r="AI1899" i="10"/>
  <c r="AD1899" i="10"/>
  <c r="AC1899" i="10"/>
  <c r="AB1899" i="10"/>
  <c r="AA1899" i="10"/>
  <c r="Z1899" i="10"/>
  <c r="U1899" i="10"/>
  <c r="T1899" i="10"/>
  <c r="N1899" i="10"/>
  <c r="F1899" i="10"/>
  <c r="AI1898" i="10"/>
  <c r="AD1898" i="10"/>
  <c r="AC1898" i="10"/>
  <c r="AB1898" i="10"/>
  <c r="AA1898" i="10"/>
  <c r="Z1898" i="10"/>
  <c r="U1898" i="10"/>
  <c r="T1898" i="10"/>
  <c r="N1898" i="10"/>
  <c r="F1898" i="10"/>
  <c r="AI1897" i="10"/>
  <c r="AD1897" i="10"/>
  <c r="AC1897" i="10"/>
  <c r="AB1897" i="10"/>
  <c r="AA1897" i="10"/>
  <c r="Z1897" i="10"/>
  <c r="U1897" i="10"/>
  <c r="T1897" i="10"/>
  <c r="N1897" i="10"/>
  <c r="F1897" i="10"/>
  <c r="AI1896" i="10"/>
  <c r="AD1896" i="10"/>
  <c r="AC1896" i="10"/>
  <c r="AB1896" i="10"/>
  <c r="AA1896" i="10"/>
  <c r="Z1896" i="10"/>
  <c r="U1896" i="10"/>
  <c r="T1896" i="10"/>
  <c r="N1896" i="10"/>
  <c r="F1896" i="10"/>
  <c r="AI1895" i="10"/>
  <c r="AD1895" i="10"/>
  <c r="AC1895" i="10"/>
  <c r="AB1895" i="10"/>
  <c r="AA1895" i="10"/>
  <c r="Z1895" i="10"/>
  <c r="U1895" i="10"/>
  <c r="T1895" i="10"/>
  <c r="N1895" i="10"/>
  <c r="F1895" i="10"/>
  <c r="AI1894" i="10"/>
  <c r="AD1894" i="10"/>
  <c r="AC1894" i="10"/>
  <c r="AB1894" i="10"/>
  <c r="AA1894" i="10"/>
  <c r="Z1894" i="10"/>
  <c r="U1894" i="10"/>
  <c r="T1894" i="10"/>
  <c r="N1894" i="10"/>
  <c r="F1894" i="10"/>
  <c r="AI1893" i="10"/>
  <c r="AD1893" i="10"/>
  <c r="AC1893" i="10"/>
  <c r="AB1893" i="10"/>
  <c r="AA1893" i="10"/>
  <c r="Z1893" i="10"/>
  <c r="U1893" i="10"/>
  <c r="T1893" i="10"/>
  <c r="N1893" i="10"/>
  <c r="F1893" i="10"/>
  <c r="AI1892" i="10"/>
  <c r="AD1892" i="10"/>
  <c r="AC1892" i="10"/>
  <c r="AB1892" i="10"/>
  <c r="AA1892" i="10"/>
  <c r="Z1892" i="10"/>
  <c r="U1892" i="10"/>
  <c r="T1892" i="10"/>
  <c r="N1892" i="10"/>
  <c r="F1892" i="10"/>
  <c r="AI1891" i="10"/>
  <c r="AD1891" i="10"/>
  <c r="AC1891" i="10"/>
  <c r="AB1891" i="10"/>
  <c r="AA1891" i="10"/>
  <c r="Z1891" i="10"/>
  <c r="U1891" i="10"/>
  <c r="T1891" i="10"/>
  <c r="N1891" i="10"/>
  <c r="F1891" i="10"/>
  <c r="AI1890" i="10"/>
  <c r="AD1890" i="10"/>
  <c r="AC1890" i="10"/>
  <c r="AB1890" i="10"/>
  <c r="AA1890" i="10"/>
  <c r="Z1890" i="10"/>
  <c r="U1890" i="10"/>
  <c r="T1890" i="10"/>
  <c r="N1890" i="10"/>
  <c r="F1890" i="10"/>
  <c r="AI1889" i="10"/>
  <c r="AD1889" i="10"/>
  <c r="AC1889" i="10"/>
  <c r="AB1889" i="10"/>
  <c r="AA1889" i="10"/>
  <c r="Z1889" i="10"/>
  <c r="U1889" i="10"/>
  <c r="T1889" i="10"/>
  <c r="N1889" i="10"/>
  <c r="F1889" i="10"/>
  <c r="AI1888" i="10"/>
  <c r="AD1888" i="10"/>
  <c r="AC1888" i="10"/>
  <c r="AB1888" i="10"/>
  <c r="AA1888" i="10"/>
  <c r="Z1888" i="10"/>
  <c r="U1888" i="10"/>
  <c r="T1888" i="10"/>
  <c r="N1888" i="10"/>
  <c r="F1888" i="10"/>
  <c r="AI1887" i="10"/>
  <c r="AD1887" i="10"/>
  <c r="AC1887" i="10"/>
  <c r="AB1887" i="10"/>
  <c r="AA1887" i="10"/>
  <c r="Z1887" i="10"/>
  <c r="U1887" i="10"/>
  <c r="T1887" i="10"/>
  <c r="N1887" i="10"/>
  <c r="F1887" i="10"/>
  <c r="AI1886" i="10"/>
  <c r="AD1886" i="10"/>
  <c r="AC1886" i="10"/>
  <c r="AB1886" i="10"/>
  <c r="AA1886" i="10"/>
  <c r="Z1886" i="10"/>
  <c r="U1886" i="10"/>
  <c r="T1886" i="10"/>
  <c r="N1886" i="10"/>
  <c r="F1886" i="10"/>
  <c r="AI1885" i="10"/>
  <c r="AD1885" i="10"/>
  <c r="AC1885" i="10"/>
  <c r="AB1885" i="10"/>
  <c r="AA1885" i="10"/>
  <c r="Z1885" i="10"/>
  <c r="U1885" i="10"/>
  <c r="T1885" i="10"/>
  <c r="N1885" i="10"/>
  <c r="F1885" i="10"/>
  <c r="AI1884" i="10"/>
  <c r="AD1884" i="10"/>
  <c r="AC1884" i="10"/>
  <c r="AB1884" i="10"/>
  <c r="AA1884" i="10"/>
  <c r="Z1884" i="10"/>
  <c r="U1884" i="10"/>
  <c r="T1884" i="10"/>
  <c r="N1884" i="10"/>
  <c r="F1884" i="10"/>
  <c r="AI1883" i="10"/>
  <c r="AD1883" i="10"/>
  <c r="AC1883" i="10"/>
  <c r="AB1883" i="10"/>
  <c r="AA1883" i="10"/>
  <c r="Z1883" i="10"/>
  <c r="U1883" i="10"/>
  <c r="T1883" i="10"/>
  <c r="N1883" i="10"/>
  <c r="F1883" i="10"/>
  <c r="AI1882" i="10"/>
  <c r="AD1882" i="10"/>
  <c r="AC1882" i="10"/>
  <c r="AB1882" i="10"/>
  <c r="AA1882" i="10"/>
  <c r="Z1882" i="10"/>
  <c r="U1882" i="10"/>
  <c r="T1882" i="10"/>
  <c r="N1882" i="10"/>
  <c r="F1882" i="10"/>
  <c r="AI1881" i="10"/>
  <c r="AD1881" i="10"/>
  <c r="AC1881" i="10"/>
  <c r="AB1881" i="10"/>
  <c r="AA1881" i="10"/>
  <c r="Z1881" i="10"/>
  <c r="U1881" i="10"/>
  <c r="T1881" i="10"/>
  <c r="N1881" i="10"/>
  <c r="F1881" i="10"/>
  <c r="AI1880" i="10"/>
  <c r="AD1880" i="10"/>
  <c r="AC1880" i="10"/>
  <c r="AB1880" i="10"/>
  <c r="AA1880" i="10"/>
  <c r="Z1880" i="10"/>
  <c r="U1880" i="10"/>
  <c r="T1880" i="10"/>
  <c r="N1880" i="10"/>
  <c r="F1880" i="10"/>
  <c r="AI1879" i="10"/>
  <c r="AD1879" i="10"/>
  <c r="AC1879" i="10"/>
  <c r="AB1879" i="10"/>
  <c r="AA1879" i="10"/>
  <c r="Z1879" i="10"/>
  <c r="U1879" i="10"/>
  <c r="T1879" i="10"/>
  <c r="N1879" i="10"/>
  <c r="F1879" i="10"/>
  <c r="AI1878" i="10"/>
  <c r="AD1878" i="10"/>
  <c r="AC1878" i="10"/>
  <c r="AB1878" i="10"/>
  <c r="AA1878" i="10"/>
  <c r="Z1878" i="10"/>
  <c r="U1878" i="10"/>
  <c r="T1878" i="10"/>
  <c r="N1878" i="10"/>
  <c r="F1878" i="10"/>
  <c r="AI1877" i="10"/>
  <c r="AD1877" i="10"/>
  <c r="AC1877" i="10"/>
  <c r="AB1877" i="10"/>
  <c r="AA1877" i="10"/>
  <c r="Z1877" i="10"/>
  <c r="U1877" i="10"/>
  <c r="T1877" i="10"/>
  <c r="N1877" i="10"/>
  <c r="F1877" i="10"/>
  <c r="AI1876" i="10"/>
  <c r="AD1876" i="10"/>
  <c r="AC1876" i="10"/>
  <c r="AB1876" i="10"/>
  <c r="AA1876" i="10"/>
  <c r="Z1876" i="10"/>
  <c r="U1876" i="10"/>
  <c r="T1876" i="10"/>
  <c r="N1876" i="10"/>
  <c r="F1876" i="10"/>
  <c r="AI1875" i="10"/>
  <c r="AD1875" i="10"/>
  <c r="AC1875" i="10"/>
  <c r="AB1875" i="10"/>
  <c r="AA1875" i="10"/>
  <c r="Z1875" i="10"/>
  <c r="U1875" i="10"/>
  <c r="T1875" i="10"/>
  <c r="N1875" i="10"/>
  <c r="F1875" i="10"/>
  <c r="AI1874" i="10"/>
  <c r="AD1874" i="10"/>
  <c r="AC1874" i="10"/>
  <c r="AB1874" i="10"/>
  <c r="AA1874" i="10"/>
  <c r="Z1874" i="10"/>
  <c r="U1874" i="10"/>
  <c r="T1874" i="10"/>
  <c r="N1874" i="10"/>
  <c r="F1874" i="10"/>
  <c r="AI1873" i="10"/>
  <c r="AD1873" i="10"/>
  <c r="AC1873" i="10"/>
  <c r="AB1873" i="10"/>
  <c r="AA1873" i="10"/>
  <c r="Z1873" i="10"/>
  <c r="U1873" i="10"/>
  <c r="T1873" i="10"/>
  <c r="N1873" i="10"/>
  <c r="F1873" i="10"/>
  <c r="AI1872" i="10"/>
  <c r="AD1872" i="10"/>
  <c r="AC1872" i="10"/>
  <c r="AB1872" i="10"/>
  <c r="AA1872" i="10"/>
  <c r="Z1872" i="10"/>
  <c r="U1872" i="10"/>
  <c r="T1872" i="10"/>
  <c r="N1872" i="10"/>
  <c r="F1872" i="10"/>
  <c r="AI1871" i="10"/>
  <c r="AD1871" i="10"/>
  <c r="AC1871" i="10"/>
  <c r="AB1871" i="10"/>
  <c r="AA1871" i="10"/>
  <c r="Z1871" i="10"/>
  <c r="U1871" i="10"/>
  <c r="T1871" i="10"/>
  <c r="N1871" i="10"/>
  <c r="F1871" i="10"/>
  <c r="AI1870" i="10"/>
  <c r="AD1870" i="10"/>
  <c r="AC1870" i="10"/>
  <c r="AB1870" i="10"/>
  <c r="AA1870" i="10"/>
  <c r="Z1870" i="10"/>
  <c r="U1870" i="10"/>
  <c r="T1870" i="10"/>
  <c r="N1870" i="10"/>
  <c r="F1870" i="10"/>
  <c r="AI1869" i="10"/>
  <c r="AD1869" i="10"/>
  <c r="AC1869" i="10"/>
  <c r="AB1869" i="10"/>
  <c r="AA1869" i="10"/>
  <c r="Z1869" i="10"/>
  <c r="U1869" i="10"/>
  <c r="T1869" i="10"/>
  <c r="N1869" i="10"/>
  <c r="F1869" i="10"/>
  <c r="AI1868" i="10"/>
  <c r="AD1868" i="10"/>
  <c r="AC1868" i="10"/>
  <c r="AB1868" i="10"/>
  <c r="AA1868" i="10"/>
  <c r="Z1868" i="10"/>
  <c r="U1868" i="10"/>
  <c r="T1868" i="10"/>
  <c r="N1868" i="10"/>
  <c r="F1868" i="10"/>
  <c r="AI1867" i="10"/>
  <c r="AD1867" i="10"/>
  <c r="AC1867" i="10"/>
  <c r="AB1867" i="10"/>
  <c r="AA1867" i="10"/>
  <c r="Z1867" i="10"/>
  <c r="U1867" i="10"/>
  <c r="T1867" i="10"/>
  <c r="N1867" i="10"/>
  <c r="F1867" i="10"/>
  <c r="AI1866" i="10"/>
  <c r="AD1866" i="10"/>
  <c r="AC1866" i="10"/>
  <c r="AB1866" i="10"/>
  <c r="AA1866" i="10"/>
  <c r="Z1866" i="10"/>
  <c r="U1866" i="10"/>
  <c r="T1866" i="10"/>
  <c r="N1866" i="10"/>
  <c r="F1866" i="10"/>
  <c r="AI1865" i="10"/>
  <c r="AD1865" i="10"/>
  <c r="AC1865" i="10"/>
  <c r="AB1865" i="10"/>
  <c r="AA1865" i="10"/>
  <c r="Z1865" i="10"/>
  <c r="U1865" i="10"/>
  <c r="T1865" i="10"/>
  <c r="N1865" i="10"/>
  <c r="F1865" i="10"/>
  <c r="AI1864" i="10"/>
  <c r="AD1864" i="10"/>
  <c r="AC1864" i="10"/>
  <c r="AB1864" i="10"/>
  <c r="AA1864" i="10"/>
  <c r="Z1864" i="10"/>
  <c r="U1864" i="10"/>
  <c r="T1864" i="10"/>
  <c r="N1864" i="10"/>
  <c r="F1864" i="10"/>
  <c r="AI1863" i="10"/>
  <c r="AD1863" i="10"/>
  <c r="AC1863" i="10"/>
  <c r="AB1863" i="10"/>
  <c r="AA1863" i="10"/>
  <c r="Z1863" i="10"/>
  <c r="U1863" i="10"/>
  <c r="T1863" i="10"/>
  <c r="N1863" i="10"/>
  <c r="F1863" i="10"/>
  <c r="AI1862" i="10"/>
  <c r="AD1862" i="10"/>
  <c r="AC1862" i="10"/>
  <c r="AB1862" i="10"/>
  <c r="AA1862" i="10"/>
  <c r="Z1862" i="10"/>
  <c r="U1862" i="10"/>
  <c r="T1862" i="10"/>
  <c r="N1862" i="10"/>
  <c r="F1862" i="10"/>
  <c r="AI1861" i="10"/>
  <c r="AD1861" i="10"/>
  <c r="AC1861" i="10"/>
  <c r="AB1861" i="10"/>
  <c r="AA1861" i="10"/>
  <c r="Z1861" i="10"/>
  <c r="U1861" i="10"/>
  <c r="T1861" i="10"/>
  <c r="N1861" i="10"/>
  <c r="F1861" i="10"/>
  <c r="AI1860" i="10"/>
  <c r="AD1860" i="10"/>
  <c r="AC1860" i="10"/>
  <c r="AB1860" i="10"/>
  <c r="AA1860" i="10"/>
  <c r="Z1860" i="10"/>
  <c r="U1860" i="10"/>
  <c r="T1860" i="10"/>
  <c r="N1860" i="10"/>
  <c r="F1860" i="10"/>
  <c r="AI1859" i="10"/>
  <c r="AD1859" i="10"/>
  <c r="AC1859" i="10"/>
  <c r="AB1859" i="10"/>
  <c r="AA1859" i="10"/>
  <c r="Z1859" i="10"/>
  <c r="U1859" i="10"/>
  <c r="T1859" i="10"/>
  <c r="N1859" i="10"/>
  <c r="F1859" i="10"/>
  <c r="AI1858" i="10"/>
  <c r="AD1858" i="10"/>
  <c r="AC1858" i="10"/>
  <c r="AB1858" i="10"/>
  <c r="AA1858" i="10"/>
  <c r="Z1858" i="10"/>
  <c r="U1858" i="10"/>
  <c r="T1858" i="10"/>
  <c r="N1858" i="10"/>
  <c r="F1858" i="10"/>
  <c r="AI1857" i="10"/>
  <c r="AD1857" i="10"/>
  <c r="AC1857" i="10"/>
  <c r="AB1857" i="10"/>
  <c r="AA1857" i="10"/>
  <c r="Z1857" i="10"/>
  <c r="U1857" i="10"/>
  <c r="T1857" i="10"/>
  <c r="N1857" i="10"/>
  <c r="F1857" i="10"/>
  <c r="AI1856" i="10"/>
  <c r="AD1856" i="10"/>
  <c r="AC1856" i="10"/>
  <c r="AB1856" i="10"/>
  <c r="AA1856" i="10"/>
  <c r="Z1856" i="10"/>
  <c r="U1856" i="10"/>
  <c r="T1856" i="10"/>
  <c r="N1856" i="10"/>
  <c r="F1856" i="10"/>
  <c r="AI1855" i="10"/>
  <c r="AD1855" i="10"/>
  <c r="AC1855" i="10"/>
  <c r="AB1855" i="10"/>
  <c r="AA1855" i="10"/>
  <c r="Z1855" i="10"/>
  <c r="U1855" i="10"/>
  <c r="T1855" i="10"/>
  <c r="N1855" i="10"/>
  <c r="F1855" i="10"/>
  <c r="AI1854" i="10"/>
  <c r="AD1854" i="10"/>
  <c r="AC1854" i="10"/>
  <c r="AB1854" i="10"/>
  <c r="AA1854" i="10"/>
  <c r="Z1854" i="10"/>
  <c r="U1854" i="10"/>
  <c r="T1854" i="10"/>
  <c r="N1854" i="10"/>
  <c r="F1854" i="10"/>
  <c r="AI1853" i="10"/>
  <c r="AD1853" i="10"/>
  <c r="AC1853" i="10"/>
  <c r="AB1853" i="10"/>
  <c r="AA1853" i="10"/>
  <c r="Z1853" i="10"/>
  <c r="U1853" i="10"/>
  <c r="T1853" i="10"/>
  <c r="N1853" i="10"/>
  <c r="F1853" i="10"/>
  <c r="AI1852" i="10"/>
  <c r="AD1852" i="10"/>
  <c r="AC1852" i="10"/>
  <c r="AB1852" i="10"/>
  <c r="AA1852" i="10"/>
  <c r="Z1852" i="10"/>
  <c r="U1852" i="10"/>
  <c r="T1852" i="10"/>
  <c r="N1852" i="10"/>
  <c r="F1852" i="10"/>
  <c r="AI1851" i="10"/>
  <c r="AD1851" i="10"/>
  <c r="AC1851" i="10"/>
  <c r="AB1851" i="10"/>
  <c r="AA1851" i="10"/>
  <c r="Z1851" i="10"/>
  <c r="U1851" i="10"/>
  <c r="T1851" i="10"/>
  <c r="N1851" i="10"/>
  <c r="F1851" i="10"/>
  <c r="AI1850" i="10"/>
  <c r="AD1850" i="10"/>
  <c r="AC1850" i="10"/>
  <c r="AB1850" i="10"/>
  <c r="AA1850" i="10"/>
  <c r="Z1850" i="10"/>
  <c r="U1850" i="10"/>
  <c r="T1850" i="10"/>
  <c r="N1850" i="10"/>
  <c r="F1850" i="10"/>
  <c r="AI1849" i="10"/>
  <c r="AD1849" i="10"/>
  <c r="AC1849" i="10"/>
  <c r="AB1849" i="10"/>
  <c r="AA1849" i="10"/>
  <c r="Z1849" i="10"/>
  <c r="U1849" i="10"/>
  <c r="T1849" i="10"/>
  <c r="N1849" i="10"/>
  <c r="F1849" i="10"/>
  <c r="AI1848" i="10"/>
  <c r="AD1848" i="10"/>
  <c r="AC1848" i="10"/>
  <c r="AB1848" i="10"/>
  <c r="AA1848" i="10"/>
  <c r="Z1848" i="10"/>
  <c r="U1848" i="10"/>
  <c r="T1848" i="10"/>
  <c r="N1848" i="10"/>
  <c r="F1848" i="10"/>
  <c r="AI1847" i="10"/>
  <c r="AD1847" i="10"/>
  <c r="AC1847" i="10"/>
  <c r="AB1847" i="10"/>
  <c r="AA1847" i="10"/>
  <c r="Z1847" i="10"/>
  <c r="U1847" i="10"/>
  <c r="T1847" i="10"/>
  <c r="N1847" i="10"/>
  <c r="F1847" i="10"/>
  <c r="AI1846" i="10"/>
  <c r="AD1846" i="10"/>
  <c r="AC1846" i="10"/>
  <c r="AB1846" i="10"/>
  <c r="AA1846" i="10"/>
  <c r="Z1846" i="10"/>
  <c r="U1846" i="10"/>
  <c r="T1846" i="10"/>
  <c r="N1846" i="10"/>
  <c r="F1846" i="10"/>
  <c r="AI1845" i="10"/>
  <c r="AD1845" i="10"/>
  <c r="AC1845" i="10"/>
  <c r="AB1845" i="10"/>
  <c r="AA1845" i="10"/>
  <c r="Z1845" i="10"/>
  <c r="U1845" i="10"/>
  <c r="T1845" i="10"/>
  <c r="N1845" i="10"/>
  <c r="F1845" i="10"/>
  <c r="AI1844" i="10"/>
  <c r="AD1844" i="10"/>
  <c r="AC1844" i="10"/>
  <c r="AB1844" i="10"/>
  <c r="AA1844" i="10"/>
  <c r="Z1844" i="10"/>
  <c r="U1844" i="10"/>
  <c r="T1844" i="10"/>
  <c r="N1844" i="10"/>
  <c r="F1844" i="10"/>
  <c r="AI1843" i="10"/>
  <c r="AD1843" i="10"/>
  <c r="AC1843" i="10"/>
  <c r="AB1843" i="10"/>
  <c r="AA1843" i="10"/>
  <c r="Z1843" i="10"/>
  <c r="U1843" i="10"/>
  <c r="T1843" i="10"/>
  <c r="N1843" i="10"/>
  <c r="F1843" i="10"/>
  <c r="AI1842" i="10"/>
  <c r="AD1842" i="10"/>
  <c r="AC1842" i="10"/>
  <c r="AB1842" i="10"/>
  <c r="AA1842" i="10"/>
  <c r="Z1842" i="10"/>
  <c r="U1842" i="10"/>
  <c r="T1842" i="10"/>
  <c r="N1842" i="10"/>
  <c r="F1842" i="10"/>
  <c r="AI1841" i="10"/>
  <c r="AD1841" i="10"/>
  <c r="AC1841" i="10"/>
  <c r="AB1841" i="10"/>
  <c r="AA1841" i="10"/>
  <c r="Z1841" i="10"/>
  <c r="U1841" i="10"/>
  <c r="T1841" i="10"/>
  <c r="N1841" i="10"/>
  <c r="F1841" i="10"/>
  <c r="AI1840" i="10"/>
  <c r="AD1840" i="10"/>
  <c r="AC1840" i="10"/>
  <c r="AB1840" i="10"/>
  <c r="AA1840" i="10"/>
  <c r="Z1840" i="10"/>
  <c r="U1840" i="10"/>
  <c r="T1840" i="10"/>
  <c r="N1840" i="10"/>
  <c r="F1840" i="10"/>
  <c r="AI1839" i="10"/>
  <c r="AD1839" i="10"/>
  <c r="AC1839" i="10"/>
  <c r="AB1839" i="10"/>
  <c r="AA1839" i="10"/>
  <c r="Z1839" i="10"/>
  <c r="U1839" i="10"/>
  <c r="T1839" i="10"/>
  <c r="N1839" i="10"/>
  <c r="F1839" i="10"/>
  <c r="AI1838" i="10"/>
  <c r="AD1838" i="10"/>
  <c r="AC1838" i="10"/>
  <c r="AB1838" i="10"/>
  <c r="AA1838" i="10"/>
  <c r="Z1838" i="10"/>
  <c r="U1838" i="10"/>
  <c r="T1838" i="10"/>
  <c r="N1838" i="10"/>
  <c r="F1838" i="10"/>
  <c r="AI1837" i="10"/>
  <c r="AD1837" i="10"/>
  <c r="AC1837" i="10"/>
  <c r="AB1837" i="10"/>
  <c r="AA1837" i="10"/>
  <c r="Z1837" i="10"/>
  <c r="U1837" i="10"/>
  <c r="T1837" i="10"/>
  <c r="N1837" i="10"/>
  <c r="F1837" i="10"/>
  <c r="AI1836" i="10"/>
  <c r="AD1836" i="10"/>
  <c r="AC1836" i="10"/>
  <c r="AB1836" i="10"/>
  <c r="AA1836" i="10"/>
  <c r="Z1836" i="10"/>
  <c r="U1836" i="10"/>
  <c r="T1836" i="10"/>
  <c r="N1836" i="10"/>
  <c r="F1836" i="10"/>
  <c r="AI1835" i="10"/>
  <c r="AD1835" i="10"/>
  <c r="AC1835" i="10"/>
  <c r="AB1835" i="10"/>
  <c r="AA1835" i="10"/>
  <c r="Z1835" i="10"/>
  <c r="U1835" i="10"/>
  <c r="T1835" i="10"/>
  <c r="N1835" i="10"/>
  <c r="F1835" i="10"/>
  <c r="AI1834" i="10"/>
  <c r="AD1834" i="10"/>
  <c r="AC1834" i="10"/>
  <c r="AB1834" i="10"/>
  <c r="AA1834" i="10"/>
  <c r="Z1834" i="10"/>
  <c r="U1834" i="10"/>
  <c r="T1834" i="10"/>
  <c r="N1834" i="10"/>
  <c r="F1834" i="10"/>
  <c r="AI1833" i="10"/>
  <c r="AD1833" i="10"/>
  <c r="AC1833" i="10"/>
  <c r="AB1833" i="10"/>
  <c r="AA1833" i="10"/>
  <c r="Z1833" i="10"/>
  <c r="U1833" i="10"/>
  <c r="T1833" i="10"/>
  <c r="N1833" i="10"/>
  <c r="F1833" i="10"/>
  <c r="AI1832" i="10"/>
  <c r="AD1832" i="10"/>
  <c r="AC1832" i="10"/>
  <c r="AB1832" i="10"/>
  <c r="AA1832" i="10"/>
  <c r="Z1832" i="10"/>
  <c r="U1832" i="10"/>
  <c r="T1832" i="10"/>
  <c r="N1832" i="10"/>
  <c r="F1832" i="10"/>
  <c r="AI1831" i="10"/>
  <c r="AD1831" i="10"/>
  <c r="AC1831" i="10"/>
  <c r="AB1831" i="10"/>
  <c r="AA1831" i="10"/>
  <c r="Z1831" i="10"/>
  <c r="U1831" i="10"/>
  <c r="T1831" i="10"/>
  <c r="N1831" i="10"/>
  <c r="F1831" i="10"/>
  <c r="AI1830" i="10"/>
  <c r="AD1830" i="10"/>
  <c r="AC1830" i="10"/>
  <c r="AB1830" i="10"/>
  <c r="AA1830" i="10"/>
  <c r="Z1830" i="10"/>
  <c r="U1830" i="10"/>
  <c r="T1830" i="10"/>
  <c r="N1830" i="10"/>
  <c r="F1830" i="10"/>
  <c r="AI1829" i="10"/>
  <c r="AD1829" i="10"/>
  <c r="AC1829" i="10"/>
  <c r="AB1829" i="10"/>
  <c r="AA1829" i="10"/>
  <c r="Z1829" i="10"/>
  <c r="U1829" i="10"/>
  <c r="T1829" i="10"/>
  <c r="N1829" i="10"/>
  <c r="F1829" i="10"/>
  <c r="AI1828" i="10"/>
  <c r="AD1828" i="10"/>
  <c r="AC1828" i="10"/>
  <c r="AB1828" i="10"/>
  <c r="AA1828" i="10"/>
  <c r="Z1828" i="10"/>
  <c r="U1828" i="10"/>
  <c r="T1828" i="10"/>
  <c r="N1828" i="10"/>
  <c r="F1828" i="10"/>
  <c r="AI1827" i="10"/>
  <c r="AD1827" i="10"/>
  <c r="AC1827" i="10"/>
  <c r="AB1827" i="10"/>
  <c r="AA1827" i="10"/>
  <c r="Z1827" i="10"/>
  <c r="U1827" i="10"/>
  <c r="T1827" i="10"/>
  <c r="N1827" i="10"/>
  <c r="F1827" i="10"/>
  <c r="AI1826" i="10"/>
  <c r="AD1826" i="10"/>
  <c r="AC1826" i="10"/>
  <c r="AB1826" i="10"/>
  <c r="AA1826" i="10"/>
  <c r="Z1826" i="10"/>
  <c r="U1826" i="10"/>
  <c r="T1826" i="10"/>
  <c r="N1826" i="10"/>
  <c r="F1826" i="10"/>
  <c r="AI1825" i="10"/>
  <c r="AD1825" i="10"/>
  <c r="AC1825" i="10"/>
  <c r="AB1825" i="10"/>
  <c r="AA1825" i="10"/>
  <c r="Z1825" i="10"/>
  <c r="U1825" i="10"/>
  <c r="T1825" i="10"/>
  <c r="N1825" i="10"/>
  <c r="F1825" i="10"/>
  <c r="AI1824" i="10"/>
  <c r="AD1824" i="10"/>
  <c r="AC1824" i="10"/>
  <c r="AB1824" i="10"/>
  <c r="AA1824" i="10"/>
  <c r="Z1824" i="10"/>
  <c r="U1824" i="10"/>
  <c r="T1824" i="10"/>
  <c r="N1824" i="10"/>
  <c r="F1824" i="10"/>
  <c r="AI1823" i="10"/>
  <c r="AD1823" i="10"/>
  <c r="AC1823" i="10"/>
  <c r="AB1823" i="10"/>
  <c r="AA1823" i="10"/>
  <c r="Z1823" i="10"/>
  <c r="U1823" i="10"/>
  <c r="T1823" i="10"/>
  <c r="N1823" i="10"/>
  <c r="F1823" i="10"/>
  <c r="AI1822" i="10"/>
  <c r="AD1822" i="10"/>
  <c r="AC1822" i="10"/>
  <c r="AB1822" i="10"/>
  <c r="AA1822" i="10"/>
  <c r="Z1822" i="10"/>
  <c r="U1822" i="10"/>
  <c r="T1822" i="10"/>
  <c r="N1822" i="10"/>
  <c r="F1822" i="10"/>
  <c r="AI1821" i="10"/>
  <c r="AD1821" i="10"/>
  <c r="AC1821" i="10"/>
  <c r="AB1821" i="10"/>
  <c r="AA1821" i="10"/>
  <c r="Z1821" i="10"/>
  <c r="U1821" i="10"/>
  <c r="T1821" i="10"/>
  <c r="N1821" i="10"/>
  <c r="F1821" i="10"/>
  <c r="AI1820" i="10"/>
  <c r="AD1820" i="10"/>
  <c r="AC1820" i="10"/>
  <c r="AB1820" i="10"/>
  <c r="AA1820" i="10"/>
  <c r="Z1820" i="10"/>
  <c r="U1820" i="10"/>
  <c r="T1820" i="10"/>
  <c r="N1820" i="10"/>
  <c r="F1820" i="10"/>
  <c r="AI1819" i="10"/>
  <c r="AD1819" i="10"/>
  <c r="AC1819" i="10"/>
  <c r="AB1819" i="10"/>
  <c r="AA1819" i="10"/>
  <c r="Z1819" i="10"/>
  <c r="U1819" i="10"/>
  <c r="T1819" i="10"/>
  <c r="N1819" i="10"/>
  <c r="F1819" i="10"/>
  <c r="AI1818" i="10"/>
  <c r="AD1818" i="10"/>
  <c r="AC1818" i="10"/>
  <c r="AB1818" i="10"/>
  <c r="AA1818" i="10"/>
  <c r="Z1818" i="10"/>
  <c r="U1818" i="10"/>
  <c r="T1818" i="10"/>
  <c r="N1818" i="10"/>
  <c r="F1818" i="10"/>
  <c r="AI1817" i="10"/>
  <c r="AD1817" i="10"/>
  <c r="AC1817" i="10"/>
  <c r="AB1817" i="10"/>
  <c r="AA1817" i="10"/>
  <c r="Z1817" i="10"/>
  <c r="U1817" i="10"/>
  <c r="T1817" i="10"/>
  <c r="N1817" i="10"/>
  <c r="F1817" i="10"/>
  <c r="AI1816" i="10"/>
  <c r="AD1816" i="10"/>
  <c r="AC1816" i="10"/>
  <c r="AB1816" i="10"/>
  <c r="AA1816" i="10"/>
  <c r="Z1816" i="10"/>
  <c r="U1816" i="10"/>
  <c r="T1816" i="10"/>
  <c r="N1816" i="10"/>
  <c r="F1816" i="10"/>
  <c r="AI1815" i="10"/>
  <c r="AD1815" i="10"/>
  <c r="AC1815" i="10"/>
  <c r="AB1815" i="10"/>
  <c r="AA1815" i="10"/>
  <c r="Z1815" i="10"/>
  <c r="U1815" i="10"/>
  <c r="T1815" i="10"/>
  <c r="N1815" i="10"/>
  <c r="F1815" i="10"/>
  <c r="AI1814" i="10"/>
  <c r="AD1814" i="10"/>
  <c r="AC1814" i="10"/>
  <c r="AB1814" i="10"/>
  <c r="AA1814" i="10"/>
  <c r="Z1814" i="10"/>
  <c r="U1814" i="10"/>
  <c r="T1814" i="10"/>
  <c r="N1814" i="10"/>
  <c r="F1814" i="10"/>
  <c r="AI1813" i="10"/>
  <c r="AD1813" i="10"/>
  <c r="AC1813" i="10"/>
  <c r="AB1813" i="10"/>
  <c r="AA1813" i="10"/>
  <c r="Z1813" i="10"/>
  <c r="U1813" i="10"/>
  <c r="T1813" i="10"/>
  <c r="N1813" i="10"/>
  <c r="F1813" i="10"/>
  <c r="AI1812" i="10"/>
  <c r="AD1812" i="10"/>
  <c r="AC1812" i="10"/>
  <c r="AB1812" i="10"/>
  <c r="AA1812" i="10"/>
  <c r="Z1812" i="10"/>
  <c r="U1812" i="10"/>
  <c r="T1812" i="10"/>
  <c r="N1812" i="10"/>
  <c r="F1812" i="10"/>
  <c r="AI1811" i="10"/>
  <c r="AD1811" i="10"/>
  <c r="AC1811" i="10"/>
  <c r="AB1811" i="10"/>
  <c r="AA1811" i="10"/>
  <c r="Z1811" i="10"/>
  <c r="U1811" i="10"/>
  <c r="T1811" i="10"/>
  <c r="N1811" i="10"/>
  <c r="F1811" i="10"/>
  <c r="AI1810" i="10"/>
  <c r="AD1810" i="10"/>
  <c r="AC1810" i="10"/>
  <c r="AB1810" i="10"/>
  <c r="AA1810" i="10"/>
  <c r="Z1810" i="10"/>
  <c r="U1810" i="10"/>
  <c r="T1810" i="10"/>
  <c r="N1810" i="10"/>
  <c r="F1810" i="10"/>
  <c r="AI1809" i="10"/>
  <c r="AD1809" i="10"/>
  <c r="AC1809" i="10"/>
  <c r="AB1809" i="10"/>
  <c r="AA1809" i="10"/>
  <c r="Z1809" i="10"/>
  <c r="U1809" i="10"/>
  <c r="T1809" i="10"/>
  <c r="N1809" i="10"/>
  <c r="F1809" i="10"/>
  <c r="AI1808" i="10"/>
  <c r="AD1808" i="10"/>
  <c r="AC1808" i="10"/>
  <c r="AB1808" i="10"/>
  <c r="AA1808" i="10"/>
  <c r="Z1808" i="10"/>
  <c r="U1808" i="10"/>
  <c r="T1808" i="10"/>
  <c r="N1808" i="10"/>
  <c r="F1808" i="10"/>
  <c r="AI1807" i="10"/>
  <c r="AD1807" i="10"/>
  <c r="AC1807" i="10"/>
  <c r="AB1807" i="10"/>
  <c r="AA1807" i="10"/>
  <c r="Z1807" i="10"/>
  <c r="U1807" i="10"/>
  <c r="T1807" i="10"/>
  <c r="N1807" i="10"/>
  <c r="F1807" i="10"/>
  <c r="AI1806" i="10"/>
  <c r="AD1806" i="10"/>
  <c r="AC1806" i="10"/>
  <c r="AB1806" i="10"/>
  <c r="AA1806" i="10"/>
  <c r="Z1806" i="10"/>
  <c r="U1806" i="10"/>
  <c r="T1806" i="10"/>
  <c r="N1806" i="10"/>
  <c r="F1806" i="10"/>
  <c r="AI1805" i="10"/>
  <c r="AD1805" i="10"/>
  <c r="AC1805" i="10"/>
  <c r="AB1805" i="10"/>
  <c r="AA1805" i="10"/>
  <c r="Z1805" i="10"/>
  <c r="U1805" i="10"/>
  <c r="T1805" i="10"/>
  <c r="N1805" i="10"/>
  <c r="F1805" i="10"/>
  <c r="AI1804" i="10"/>
  <c r="AD1804" i="10"/>
  <c r="AC1804" i="10"/>
  <c r="AB1804" i="10"/>
  <c r="AA1804" i="10"/>
  <c r="Z1804" i="10"/>
  <c r="U1804" i="10"/>
  <c r="T1804" i="10"/>
  <c r="N1804" i="10"/>
  <c r="F1804" i="10"/>
  <c r="AI1803" i="10"/>
  <c r="AD1803" i="10"/>
  <c r="AC1803" i="10"/>
  <c r="AB1803" i="10"/>
  <c r="AA1803" i="10"/>
  <c r="Z1803" i="10"/>
  <c r="U1803" i="10"/>
  <c r="T1803" i="10"/>
  <c r="N1803" i="10"/>
  <c r="F1803" i="10"/>
  <c r="AI1802" i="10"/>
  <c r="AD1802" i="10"/>
  <c r="AC1802" i="10"/>
  <c r="AB1802" i="10"/>
  <c r="AA1802" i="10"/>
  <c r="Z1802" i="10"/>
  <c r="U1802" i="10"/>
  <c r="T1802" i="10"/>
  <c r="N1802" i="10"/>
  <c r="F1802" i="10"/>
  <c r="AI1801" i="10"/>
  <c r="AD1801" i="10"/>
  <c r="AC1801" i="10"/>
  <c r="AB1801" i="10"/>
  <c r="AA1801" i="10"/>
  <c r="Z1801" i="10"/>
  <c r="U1801" i="10"/>
  <c r="T1801" i="10"/>
  <c r="N1801" i="10"/>
  <c r="F1801" i="10"/>
  <c r="AI1800" i="10"/>
  <c r="AD1800" i="10"/>
  <c r="AC1800" i="10"/>
  <c r="AB1800" i="10"/>
  <c r="AA1800" i="10"/>
  <c r="Z1800" i="10"/>
  <c r="U1800" i="10"/>
  <c r="T1800" i="10"/>
  <c r="N1800" i="10"/>
  <c r="F1800" i="10"/>
  <c r="AI1799" i="10"/>
  <c r="AD1799" i="10"/>
  <c r="AC1799" i="10"/>
  <c r="AB1799" i="10"/>
  <c r="AA1799" i="10"/>
  <c r="Z1799" i="10"/>
  <c r="U1799" i="10"/>
  <c r="T1799" i="10"/>
  <c r="N1799" i="10"/>
  <c r="F1799" i="10"/>
  <c r="AI1798" i="10"/>
  <c r="AD1798" i="10"/>
  <c r="AC1798" i="10"/>
  <c r="AB1798" i="10"/>
  <c r="AA1798" i="10"/>
  <c r="Z1798" i="10"/>
  <c r="U1798" i="10"/>
  <c r="T1798" i="10"/>
  <c r="N1798" i="10"/>
  <c r="F1798" i="10"/>
  <c r="AI1797" i="10"/>
  <c r="AD1797" i="10"/>
  <c r="AC1797" i="10"/>
  <c r="AB1797" i="10"/>
  <c r="AA1797" i="10"/>
  <c r="Z1797" i="10"/>
  <c r="U1797" i="10"/>
  <c r="T1797" i="10"/>
  <c r="N1797" i="10"/>
  <c r="F1797" i="10"/>
  <c r="AI1796" i="10"/>
  <c r="AD1796" i="10"/>
  <c r="AC1796" i="10"/>
  <c r="AB1796" i="10"/>
  <c r="AA1796" i="10"/>
  <c r="Z1796" i="10"/>
  <c r="U1796" i="10"/>
  <c r="T1796" i="10"/>
  <c r="N1796" i="10"/>
  <c r="F1796" i="10"/>
  <c r="AI1795" i="10"/>
  <c r="AD1795" i="10"/>
  <c r="AC1795" i="10"/>
  <c r="AB1795" i="10"/>
  <c r="AA1795" i="10"/>
  <c r="Z1795" i="10"/>
  <c r="U1795" i="10"/>
  <c r="T1795" i="10"/>
  <c r="N1795" i="10"/>
  <c r="F1795" i="10"/>
  <c r="AI1794" i="10"/>
  <c r="AD1794" i="10"/>
  <c r="AC1794" i="10"/>
  <c r="AB1794" i="10"/>
  <c r="AA1794" i="10"/>
  <c r="Z1794" i="10"/>
  <c r="U1794" i="10"/>
  <c r="T1794" i="10"/>
  <c r="N1794" i="10"/>
  <c r="F1794" i="10"/>
  <c r="AI1793" i="10"/>
  <c r="AD1793" i="10"/>
  <c r="AC1793" i="10"/>
  <c r="AB1793" i="10"/>
  <c r="AA1793" i="10"/>
  <c r="Z1793" i="10"/>
  <c r="U1793" i="10"/>
  <c r="T1793" i="10"/>
  <c r="N1793" i="10"/>
  <c r="F1793" i="10"/>
  <c r="AI1792" i="10"/>
  <c r="AD1792" i="10"/>
  <c r="AC1792" i="10"/>
  <c r="AB1792" i="10"/>
  <c r="AA1792" i="10"/>
  <c r="Z1792" i="10"/>
  <c r="U1792" i="10"/>
  <c r="T1792" i="10"/>
  <c r="N1792" i="10"/>
  <c r="F1792" i="10"/>
  <c r="AI1791" i="10"/>
  <c r="AD1791" i="10"/>
  <c r="AC1791" i="10"/>
  <c r="AB1791" i="10"/>
  <c r="AA1791" i="10"/>
  <c r="Z1791" i="10"/>
  <c r="U1791" i="10"/>
  <c r="T1791" i="10"/>
  <c r="N1791" i="10"/>
  <c r="F1791" i="10"/>
  <c r="AI1790" i="10"/>
  <c r="AD1790" i="10"/>
  <c r="AC1790" i="10"/>
  <c r="AB1790" i="10"/>
  <c r="AA1790" i="10"/>
  <c r="Z1790" i="10"/>
  <c r="U1790" i="10"/>
  <c r="T1790" i="10"/>
  <c r="N1790" i="10"/>
  <c r="F1790" i="10"/>
  <c r="AI1789" i="10"/>
  <c r="AD1789" i="10"/>
  <c r="AC1789" i="10"/>
  <c r="AB1789" i="10"/>
  <c r="AA1789" i="10"/>
  <c r="Z1789" i="10"/>
  <c r="U1789" i="10"/>
  <c r="T1789" i="10"/>
  <c r="N1789" i="10"/>
  <c r="F1789" i="10"/>
  <c r="AI1788" i="10"/>
  <c r="AD1788" i="10"/>
  <c r="AC1788" i="10"/>
  <c r="AB1788" i="10"/>
  <c r="AA1788" i="10"/>
  <c r="Z1788" i="10"/>
  <c r="U1788" i="10"/>
  <c r="T1788" i="10"/>
  <c r="N1788" i="10"/>
  <c r="F1788" i="10"/>
  <c r="AI1787" i="10"/>
  <c r="AD1787" i="10"/>
  <c r="AC1787" i="10"/>
  <c r="AB1787" i="10"/>
  <c r="AA1787" i="10"/>
  <c r="Z1787" i="10"/>
  <c r="U1787" i="10"/>
  <c r="T1787" i="10"/>
  <c r="N1787" i="10"/>
  <c r="F1787" i="10"/>
  <c r="AI1786" i="10"/>
  <c r="AD1786" i="10"/>
  <c r="AC1786" i="10"/>
  <c r="AB1786" i="10"/>
  <c r="AA1786" i="10"/>
  <c r="Z1786" i="10"/>
  <c r="U1786" i="10"/>
  <c r="T1786" i="10"/>
  <c r="N1786" i="10"/>
  <c r="F1786" i="10"/>
  <c r="AI1785" i="10"/>
  <c r="AD1785" i="10"/>
  <c r="AC1785" i="10"/>
  <c r="AB1785" i="10"/>
  <c r="AA1785" i="10"/>
  <c r="Z1785" i="10"/>
  <c r="U1785" i="10"/>
  <c r="T1785" i="10"/>
  <c r="N1785" i="10"/>
  <c r="F1785" i="10"/>
  <c r="AI1784" i="10"/>
  <c r="AD1784" i="10"/>
  <c r="AC1784" i="10"/>
  <c r="AB1784" i="10"/>
  <c r="AA1784" i="10"/>
  <c r="Z1784" i="10"/>
  <c r="U1784" i="10"/>
  <c r="T1784" i="10"/>
  <c r="N1784" i="10"/>
  <c r="F1784" i="10"/>
  <c r="AI1783" i="10"/>
  <c r="AD1783" i="10"/>
  <c r="AC1783" i="10"/>
  <c r="AB1783" i="10"/>
  <c r="AA1783" i="10"/>
  <c r="Z1783" i="10"/>
  <c r="U1783" i="10"/>
  <c r="T1783" i="10"/>
  <c r="N1783" i="10"/>
  <c r="F1783" i="10"/>
  <c r="AI1782" i="10"/>
  <c r="AD1782" i="10"/>
  <c r="AC1782" i="10"/>
  <c r="AB1782" i="10"/>
  <c r="AA1782" i="10"/>
  <c r="Z1782" i="10"/>
  <c r="U1782" i="10"/>
  <c r="T1782" i="10"/>
  <c r="N1782" i="10"/>
  <c r="F1782" i="10"/>
  <c r="AI1781" i="10"/>
  <c r="AD1781" i="10"/>
  <c r="AC1781" i="10"/>
  <c r="AB1781" i="10"/>
  <c r="AA1781" i="10"/>
  <c r="Z1781" i="10"/>
  <c r="U1781" i="10"/>
  <c r="T1781" i="10"/>
  <c r="N1781" i="10"/>
  <c r="F1781" i="10"/>
  <c r="AI1780" i="10"/>
  <c r="AD1780" i="10"/>
  <c r="AC1780" i="10"/>
  <c r="AB1780" i="10"/>
  <c r="AA1780" i="10"/>
  <c r="Z1780" i="10"/>
  <c r="U1780" i="10"/>
  <c r="T1780" i="10"/>
  <c r="N1780" i="10"/>
  <c r="F1780" i="10"/>
  <c r="AI1779" i="10"/>
  <c r="AD1779" i="10"/>
  <c r="AC1779" i="10"/>
  <c r="AB1779" i="10"/>
  <c r="AA1779" i="10"/>
  <c r="Z1779" i="10"/>
  <c r="U1779" i="10"/>
  <c r="T1779" i="10"/>
  <c r="N1779" i="10"/>
  <c r="F1779" i="10"/>
  <c r="AI1778" i="10"/>
  <c r="AD1778" i="10"/>
  <c r="AC1778" i="10"/>
  <c r="AB1778" i="10"/>
  <c r="AA1778" i="10"/>
  <c r="Z1778" i="10"/>
  <c r="U1778" i="10"/>
  <c r="T1778" i="10"/>
  <c r="N1778" i="10"/>
  <c r="F1778" i="10"/>
  <c r="AI1777" i="10"/>
  <c r="AD1777" i="10"/>
  <c r="AC1777" i="10"/>
  <c r="AB1777" i="10"/>
  <c r="AA1777" i="10"/>
  <c r="Z1777" i="10"/>
  <c r="U1777" i="10"/>
  <c r="T1777" i="10"/>
  <c r="N1777" i="10"/>
  <c r="F1777" i="10"/>
  <c r="AI1776" i="10"/>
  <c r="AD1776" i="10"/>
  <c r="AC1776" i="10"/>
  <c r="AB1776" i="10"/>
  <c r="AA1776" i="10"/>
  <c r="Z1776" i="10"/>
  <c r="U1776" i="10"/>
  <c r="T1776" i="10"/>
  <c r="N1776" i="10"/>
  <c r="F1776" i="10"/>
  <c r="AI1775" i="10"/>
  <c r="AD1775" i="10"/>
  <c r="AC1775" i="10"/>
  <c r="AB1775" i="10"/>
  <c r="AA1775" i="10"/>
  <c r="Z1775" i="10"/>
  <c r="U1775" i="10"/>
  <c r="T1775" i="10"/>
  <c r="N1775" i="10"/>
  <c r="F1775" i="10"/>
  <c r="AI1774" i="10"/>
  <c r="AD1774" i="10"/>
  <c r="AC1774" i="10"/>
  <c r="AB1774" i="10"/>
  <c r="AA1774" i="10"/>
  <c r="Z1774" i="10"/>
  <c r="U1774" i="10"/>
  <c r="T1774" i="10"/>
  <c r="N1774" i="10"/>
  <c r="F1774" i="10"/>
  <c r="AI1773" i="10"/>
  <c r="AD1773" i="10"/>
  <c r="AC1773" i="10"/>
  <c r="AB1773" i="10"/>
  <c r="AA1773" i="10"/>
  <c r="Z1773" i="10"/>
  <c r="U1773" i="10"/>
  <c r="T1773" i="10"/>
  <c r="N1773" i="10"/>
  <c r="F1773" i="10"/>
  <c r="AI1772" i="10"/>
  <c r="AD1772" i="10"/>
  <c r="AC1772" i="10"/>
  <c r="AB1772" i="10"/>
  <c r="AA1772" i="10"/>
  <c r="Z1772" i="10"/>
  <c r="U1772" i="10"/>
  <c r="T1772" i="10"/>
  <c r="N1772" i="10"/>
  <c r="F1772" i="10"/>
  <c r="AI1771" i="10"/>
  <c r="AD1771" i="10"/>
  <c r="AC1771" i="10"/>
  <c r="AB1771" i="10"/>
  <c r="AA1771" i="10"/>
  <c r="Z1771" i="10"/>
  <c r="U1771" i="10"/>
  <c r="T1771" i="10"/>
  <c r="N1771" i="10"/>
  <c r="F1771" i="10"/>
  <c r="AI1770" i="10"/>
  <c r="AD1770" i="10"/>
  <c r="AC1770" i="10"/>
  <c r="AB1770" i="10"/>
  <c r="AA1770" i="10"/>
  <c r="Z1770" i="10"/>
  <c r="U1770" i="10"/>
  <c r="T1770" i="10"/>
  <c r="N1770" i="10"/>
  <c r="F1770" i="10"/>
  <c r="AI1769" i="10"/>
  <c r="AD1769" i="10"/>
  <c r="AC1769" i="10"/>
  <c r="AB1769" i="10"/>
  <c r="AA1769" i="10"/>
  <c r="Z1769" i="10"/>
  <c r="U1769" i="10"/>
  <c r="T1769" i="10"/>
  <c r="N1769" i="10"/>
  <c r="F1769" i="10"/>
  <c r="AI1768" i="10"/>
  <c r="AD1768" i="10"/>
  <c r="AC1768" i="10"/>
  <c r="AB1768" i="10"/>
  <c r="AA1768" i="10"/>
  <c r="Z1768" i="10"/>
  <c r="U1768" i="10"/>
  <c r="T1768" i="10"/>
  <c r="N1768" i="10"/>
  <c r="F1768" i="10"/>
  <c r="AI1767" i="10"/>
  <c r="AD1767" i="10"/>
  <c r="AC1767" i="10"/>
  <c r="AB1767" i="10"/>
  <c r="AA1767" i="10"/>
  <c r="Z1767" i="10"/>
  <c r="U1767" i="10"/>
  <c r="T1767" i="10"/>
  <c r="N1767" i="10"/>
  <c r="F1767" i="10"/>
  <c r="AI1766" i="10"/>
  <c r="AD1766" i="10"/>
  <c r="AC1766" i="10"/>
  <c r="AB1766" i="10"/>
  <c r="AA1766" i="10"/>
  <c r="Z1766" i="10"/>
  <c r="U1766" i="10"/>
  <c r="T1766" i="10"/>
  <c r="N1766" i="10"/>
  <c r="F1766" i="10"/>
  <c r="AI1765" i="10"/>
  <c r="AD1765" i="10"/>
  <c r="AC1765" i="10"/>
  <c r="AB1765" i="10"/>
  <c r="AA1765" i="10"/>
  <c r="Z1765" i="10"/>
  <c r="U1765" i="10"/>
  <c r="T1765" i="10"/>
  <c r="N1765" i="10"/>
  <c r="F1765" i="10"/>
  <c r="AI1764" i="10"/>
  <c r="AD1764" i="10"/>
  <c r="AC1764" i="10"/>
  <c r="AB1764" i="10"/>
  <c r="AA1764" i="10"/>
  <c r="Z1764" i="10"/>
  <c r="U1764" i="10"/>
  <c r="T1764" i="10"/>
  <c r="N1764" i="10"/>
  <c r="F1764" i="10"/>
  <c r="AI1763" i="10"/>
  <c r="AD1763" i="10"/>
  <c r="AC1763" i="10"/>
  <c r="AB1763" i="10"/>
  <c r="AA1763" i="10"/>
  <c r="Z1763" i="10"/>
  <c r="U1763" i="10"/>
  <c r="T1763" i="10"/>
  <c r="N1763" i="10"/>
  <c r="F1763" i="10"/>
  <c r="AI1762" i="10"/>
  <c r="AD1762" i="10"/>
  <c r="AC1762" i="10"/>
  <c r="AB1762" i="10"/>
  <c r="AA1762" i="10"/>
  <c r="Z1762" i="10"/>
  <c r="U1762" i="10"/>
  <c r="T1762" i="10"/>
  <c r="N1762" i="10"/>
  <c r="F1762" i="10"/>
  <c r="AI1761" i="10"/>
  <c r="AD1761" i="10"/>
  <c r="AC1761" i="10"/>
  <c r="AB1761" i="10"/>
  <c r="AA1761" i="10"/>
  <c r="Z1761" i="10"/>
  <c r="U1761" i="10"/>
  <c r="T1761" i="10"/>
  <c r="N1761" i="10"/>
  <c r="F1761" i="10"/>
  <c r="AI1760" i="10"/>
  <c r="AD1760" i="10"/>
  <c r="AC1760" i="10"/>
  <c r="AB1760" i="10"/>
  <c r="AA1760" i="10"/>
  <c r="Z1760" i="10"/>
  <c r="U1760" i="10"/>
  <c r="T1760" i="10"/>
  <c r="N1760" i="10"/>
  <c r="F1760" i="10"/>
  <c r="AI1759" i="10"/>
  <c r="AD1759" i="10"/>
  <c r="AC1759" i="10"/>
  <c r="AB1759" i="10"/>
  <c r="AA1759" i="10"/>
  <c r="Z1759" i="10"/>
  <c r="U1759" i="10"/>
  <c r="T1759" i="10"/>
  <c r="N1759" i="10"/>
  <c r="F1759" i="10"/>
  <c r="AI1758" i="10"/>
  <c r="AD1758" i="10"/>
  <c r="AC1758" i="10"/>
  <c r="AB1758" i="10"/>
  <c r="AA1758" i="10"/>
  <c r="Z1758" i="10"/>
  <c r="U1758" i="10"/>
  <c r="T1758" i="10"/>
  <c r="N1758" i="10"/>
  <c r="F1758" i="10"/>
  <c r="AI1757" i="10"/>
  <c r="AD1757" i="10"/>
  <c r="AC1757" i="10"/>
  <c r="AB1757" i="10"/>
  <c r="AA1757" i="10"/>
  <c r="Z1757" i="10"/>
  <c r="U1757" i="10"/>
  <c r="T1757" i="10"/>
  <c r="N1757" i="10"/>
  <c r="F1757" i="10"/>
  <c r="AI1756" i="10"/>
  <c r="AD1756" i="10"/>
  <c r="AC1756" i="10"/>
  <c r="AB1756" i="10"/>
  <c r="AA1756" i="10"/>
  <c r="Z1756" i="10"/>
  <c r="U1756" i="10"/>
  <c r="T1756" i="10"/>
  <c r="N1756" i="10"/>
  <c r="F1756" i="10"/>
  <c r="AI1755" i="10"/>
  <c r="AD1755" i="10"/>
  <c r="AC1755" i="10"/>
  <c r="AB1755" i="10"/>
  <c r="AA1755" i="10"/>
  <c r="Z1755" i="10"/>
  <c r="U1755" i="10"/>
  <c r="T1755" i="10"/>
  <c r="N1755" i="10"/>
  <c r="F1755" i="10"/>
  <c r="AI1754" i="10"/>
  <c r="AD1754" i="10"/>
  <c r="AC1754" i="10"/>
  <c r="AB1754" i="10"/>
  <c r="AA1754" i="10"/>
  <c r="Z1754" i="10"/>
  <c r="U1754" i="10"/>
  <c r="T1754" i="10"/>
  <c r="N1754" i="10"/>
  <c r="F1754" i="10"/>
  <c r="AI1753" i="10"/>
  <c r="AD1753" i="10"/>
  <c r="AC1753" i="10"/>
  <c r="AB1753" i="10"/>
  <c r="AA1753" i="10"/>
  <c r="Z1753" i="10"/>
  <c r="U1753" i="10"/>
  <c r="T1753" i="10"/>
  <c r="N1753" i="10"/>
  <c r="F1753" i="10"/>
  <c r="AI1752" i="10"/>
  <c r="AD1752" i="10"/>
  <c r="AC1752" i="10"/>
  <c r="AB1752" i="10"/>
  <c r="AA1752" i="10"/>
  <c r="Z1752" i="10"/>
  <c r="U1752" i="10"/>
  <c r="T1752" i="10"/>
  <c r="N1752" i="10"/>
  <c r="F1752" i="10"/>
  <c r="AI1751" i="10"/>
  <c r="AD1751" i="10"/>
  <c r="AC1751" i="10"/>
  <c r="AB1751" i="10"/>
  <c r="AA1751" i="10"/>
  <c r="Z1751" i="10"/>
  <c r="U1751" i="10"/>
  <c r="T1751" i="10"/>
  <c r="N1751" i="10"/>
  <c r="F1751" i="10"/>
  <c r="AI1750" i="10"/>
  <c r="AD1750" i="10"/>
  <c r="AC1750" i="10"/>
  <c r="AB1750" i="10"/>
  <c r="AA1750" i="10"/>
  <c r="Z1750" i="10"/>
  <c r="U1750" i="10"/>
  <c r="T1750" i="10"/>
  <c r="N1750" i="10"/>
  <c r="F1750" i="10"/>
  <c r="AI1749" i="10"/>
  <c r="AD1749" i="10"/>
  <c r="AC1749" i="10"/>
  <c r="AB1749" i="10"/>
  <c r="AA1749" i="10"/>
  <c r="Z1749" i="10"/>
  <c r="U1749" i="10"/>
  <c r="T1749" i="10"/>
  <c r="N1749" i="10"/>
  <c r="F1749" i="10"/>
  <c r="AI1748" i="10"/>
  <c r="AD1748" i="10"/>
  <c r="AC1748" i="10"/>
  <c r="AB1748" i="10"/>
  <c r="AA1748" i="10"/>
  <c r="Z1748" i="10"/>
  <c r="U1748" i="10"/>
  <c r="T1748" i="10"/>
  <c r="N1748" i="10"/>
  <c r="F1748" i="10"/>
  <c r="AI1747" i="10"/>
  <c r="AD1747" i="10"/>
  <c r="AC1747" i="10"/>
  <c r="AB1747" i="10"/>
  <c r="AA1747" i="10"/>
  <c r="Z1747" i="10"/>
  <c r="U1747" i="10"/>
  <c r="T1747" i="10"/>
  <c r="N1747" i="10"/>
  <c r="F1747" i="10"/>
  <c r="AI1746" i="10"/>
  <c r="AD1746" i="10"/>
  <c r="AC1746" i="10"/>
  <c r="AB1746" i="10"/>
  <c r="AA1746" i="10"/>
  <c r="Z1746" i="10"/>
  <c r="U1746" i="10"/>
  <c r="T1746" i="10"/>
  <c r="N1746" i="10"/>
  <c r="F1746" i="10"/>
  <c r="AI1745" i="10"/>
  <c r="AD1745" i="10"/>
  <c r="AC1745" i="10"/>
  <c r="AB1745" i="10"/>
  <c r="AA1745" i="10"/>
  <c r="Z1745" i="10"/>
  <c r="U1745" i="10"/>
  <c r="T1745" i="10"/>
  <c r="N1745" i="10"/>
  <c r="F1745" i="10"/>
  <c r="AI1744" i="10"/>
  <c r="AD1744" i="10"/>
  <c r="AC1744" i="10"/>
  <c r="AB1744" i="10"/>
  <c r="AA1744" i="10"/>
  <c r="Z1744" i="10"/>
  <c r="U1744" i="10"/>
  <c r="T1744" i="10"/>
  <c r="N1744" i="10"/>
  <c r="F1744" i="10"/>
  <c r="AI1743" i="10"/>
  <c r="AD1743" i="10"/>
  <c r="AC1743" i="10"/>
  <c r="AB1743" i="10"/>
  <c r="AA1743" i="10"/>
  <c r="Z1743" i="10"/>
  <c r="U1743" i="10"/>
  <c r="T1743" i="10"/>
  <c r="N1743" i="10"/>
  <c r="F1743" i="10"/>
  <c r="AI1742" i="10"/>
  <c r="AD1742" i="10"/>
  <c r="AC1742" i="10"/>
  <c r="AB1742" i="10"/>
  <c r="AA1742" i="10"/>
  <c r="Z1742" i="10"/>
  <c r="U1742" i="10"/>
  <c r="T1742" i="10"/>
  <c r="N1742" i="10"/>
  <c r="F1742" i="10"/>
  <c r="AI1741" i="10"/>
  <c r="AD1741" i="10"/>
  <c r="AC1741" i="10"/>
  <c r="AB1741" i="10"/>
  <c r="AA1741" i="10"/>
  <c r="Z1741" i="10"/>
  <c r="U1741" i="10"/>
  <c r="T1741" i="10"/>
  <c r="N1741" i="10"/>
  <c r="F1741" i="10"/>
  <c r="AI1740" i="10"/>
  <c r="AD1740" i="10"/>
  <c r="AC1740" i="10"/>
  <c r="AB1740" i="10"/>
  <c r="AA1740" i="10"/>
  <c r="Z1740" i="10"/>
  <c r="U1740" i="10"/>
  <c r="T1740" i="10"/>
  <c r="N1740" i="10"/>
  <c r="F1740" i="10"/>
  <c r="AI1739" i="10"/>
  <c r="AD1739" i="10"/>
  <c r="AC1739" i="10"/>
  <c r="AB1739" i="10"/>
  <c r="AA1739" i="10"/>
  <c r="Z1739" i="10"/>
  <c r="U1739" i="10"/>
  <c r="T1739" i="10"/>
  <c r="N1739" i="10"/>
  <c r="F1739" i="10"/>
  <c r="AI1738" i="10"/>
  <c r="AD1738" i="10"/>
  <c r="AC1738" i="10"/>
  <c r="AB1738" i="10"/>
  <c r="AA1738" i="10"/>
  <c r="Z1738" i="10"/>
  <c r="U1738" i="10"/>
  <c r="T1738" i="10"/>
  <c r="N1738" i="10"/>
  <c r="F1738" i="10"/>
  <c r="AI1737" i="10"/>
  <c r="AD1737" i="10"/>
  <c r="AC1737" i="10"/>
  <c r="AB1737" i="10"/>
  <c r="AA1737" i="10"/>
  <c r="Z1737" i="10"/>
  <c r="U1737" i="10"/>
  <c r="T1737" i="10"/>
  <c r="N1737" i="10"/>
  <c r="F1737" i="10"/>
  <c r="AI1736" i="10"/>
  <c r="AD1736" i="10"/>
  <c r="AC1736" i="10"/>
  <c r="AB1736" i="10"/>
  <c r="AA1736" i="10"/>
  <c r="Z1736" i="10"/>
  <c r="U1736" i="10"/>
  <c r="T1736" i="10"/>
  <c r="N1736" i="10"/>
  <c r="F1736" i="10"/>
  <c r="AI1735" i="10"/>
  <c r="AD1735" i="10"/>
  <c r="AC1735" i="10"/>
  <c r="AB1735" i="10"/>
  <c r="AA1735" i="10"/>
  <c r="Z1735" i="10"/>
  <c r="U1735" i="10"/>
  <c r="T1735" i="10"/>
  <c r="N1735" i="10"/>
  <c r="F1735" i="10"/>
  <c r="AI1734" i="10"/>
  <c r="AD1734" i="10"/>
  <c r="AC1734" i="10"/>
  <c r="AB1734" i="10"/>
  <c r="AA1734" i="10"/>
  <c r="Z1734" i="10"/>
  <c r="U1734" i="10"/>
  <c r="T1734" i="10"/>
  <c r="N1734" i="10"/>
  <c r="F1734" i="10"/>
  <c r="AI1733" i="10"/>
  <c r="AD1733" i="10"/>
  <c r="AC1733" i="10"/>
  <c r="AB1733" i="10"/>
  <c r="AA1733" i="10"/>
  <c r="Z1733" i="10"/>
  <c r="U1733" i="10"/>
  <c r="T1733" i="10"/>
  <c r="N1733" i="10"/>
  <c r="F1733" i="10"/>
  <c r="AI1732" i="10"/>
  <c r="AD1732" i="10"/>
  <c r="AC1732" i="10"/>
  <c r="AB1732" i="10"/>
  <c r="AA1732" i="10"/>
  <c r="Z1732" i="10"/>
  <c r="U1732" i="10"/>
  <c r="T1732" i="10"/>
  <c r="N1732" i="10"/>
  <c r="F1732" i="10"/>
  <c r="AI1731" i="10"/>
  <c r="AD1731" i="10"/>
  <c r="AC1731" i="10"/>
  <c r="AB1731" i="10"/>
  <c r="AA1731" i="10"/>
  <c r="Z1731" i="10"/>
  <c r="U1731" i="10"/>
  <c r="T1731" i="10"/>
  <c r="N1731" i="10"/>
  <c r="F1731" i="10"/>
  <c r="AI1730" i="10"/>
  <c r="AD1730" i="10"/>
  <c r="AC1730" i="10"/>
  <c r="AB1730" i="10"/>
  <c r="AA1730" i="10"/>
  <c r="Z1730" i="10"/>
  <c r="U1730" i="10"/>
  <c r="T1730" i="10"/>
  <c r="N1730" i="10"/>
  <c r="F1730" i="10"/>
  <c r="AI1729" i="10"/>
  <c r="AD1729" i="10"/>
  <c r="AC1729" i="10"/>
  <c r="AB1729" i="10"/>
  <c r="AA1729" i="10"/>
  <c r="Z1729" i="10"/>
  <c r="U1729" i="10"/>
  <c r="T1729" i="10"/>
  <c r="N1729" i="10"/>
  <c r="F1729" i="10"/>
  <c r="AI1728" i="10"/>
  <c r="AD1728" i="10"/>
  <c r="AC1728" i="10"/>
  <c r="AB1728" i="10"/>
  <c r="AA1728" i="10"/>
  <c r="Z1728" i="10"/>
  <c r="U1728" i="10"/>
  <c r="T1728" i="10"/>
  <c r="N1728" i="10"/>
  <c r="F1728" i="10"/>
  <c r="AI1727" i="10"/>
  <c r="AD1727" i="10"/>
  <c r="AC1727" i="10"/>
  <c r="AB1727" i="10"/>
  <c r="AA1727" i="10"/>
  <c r="Z1727" i="10"/>
  <c r="U1727" i="10"/>
  <c r="T1727" i="10"/>
  <c r="N1727" i="10"/>
  <c r="F1727" i="10"/>
  <c r="AI1726" i="10"/>
  <c r="AD1726" i="10"/>
  <c r="AC1726" i="10"/>
  <c r="AB1726" i="10"/>
  <c r="AA1726" i="10"/>
  <c r="Z1726" i="10"/>
  <c r="U1726" i="10"/>
  <c r="T1726" i="10"/>
  <c r="N1726" i="10"/>
  <c r="F1726" i="10"/>
  <c r="AI1725" i="10"/>
  <c r="AD1725" i="10"/>
  <c r="AC1725" i="10"/>
  <c r="AB1725" i="10"/>
  <c r="AA1725" i="10"/>
  <c r="Z1725" i="10"/>
  <c r="U1725" i="10"/>
  <c r="T1725" i="10"/>
  <c r="N1725" i="10"/>
  <c r="F1725" i="10"/>
  <c r="AI1724" i="10"/>
  <c r="AD1724" i="10"/>
  <c r="AC1724" i="10"/>
  <c r="AB1724" i="10"/>
  <c r="AA1724" i="10"/>
  <c r="Z1724" i="10"/>
  <c r="U1724" i="10"/>
  <c r="T1724" i="10"/>
  <c r="N1724" i="10"/>
  <c r="F1724" i="10"/>
  <c r="AI1723" i="10"/>
  <c r="AD1723" i="10"/>
  <c r="AC1723" i="10"/>
  <c r="AB1723" i="10"/>
  <c r="AA1723" i="10"/>
  <c r="Z1723" i="10"/>
  <c r="U1723" i="10"/>
  <c r="T1723" i="10"/>
  <c r="N1723" i="10"/>
  <c r="F1723" i="10"/>
  <c r="AI1722" i="10"/>
  <c r="AD1722" i="10"/>
  <c r="AC1722" i="10"/>
  <c r="AB1722" i="10"/>
  <c r="AA1722" i="10"/>
  <c r="Z1722" i="10"/>
  <c r="U1722" i="10"/>
  <c r="T1722" i="10"/>
  <c r="N1722" i="10"/>
  <c r="F1722" i="10"/>
  <c r="AI1721" i="10"/>
  <c r="AD1721" i="10"/>
  <c r="AC1721" i="10"/>
  <c r="AB1721" i="10"/>
  <c r="AA1721" i="10"/>
  <c r="Z1721" i="10"/>
  <c r="U1721" i="10"/>
  <c r="T1721" i="10"/>
  <c r="N1721" i="10"/>
  <c r="F1721" i="10"/>
  <c r="AI1720" i="10"/>
  <c r="AD1720" i="10"/>
  <c r="AC1720" i="10"/>
  <c r="AB1720" i="10"/>
  <c r="AA1720" i="10"/>
  <c r="Z1720" i="10"/>
  <c r="U1720" i="10"/>
  <c r="T1720" i="10"/>
  <c r="N1720" i="10"/>
  <c r="F1720" i="10"/>
  <c r="AI1719" i="10"/>
  <c r="AD1719" i="10"/>
  <c r="AC1719" i="10"/>
  <c r="AB1719" i="10"/>
  <c r="AA1719" i="10"/>
  <c r="Z1719" i="10"/>
  <c r="U1719" i="10"/>
  <c r="T1719" i="10"/>
  <c r="N1719" i="10"/>
  <c r="F1719" i="10"/>
  <c r="AI1718" i="10"/>
  <c r="AD1718" i="10"/>
  <c r="AC1718" i="10"/>
  <c r="AB1718" i="10"/>
  <c r="AA1718" i="10"/>
  <c r="Z1718" i="10"/>
  <c r="U1718" i="10"/>
  <c r="T1718" i="10"/>
  <c r="N1718" i="10"/>
  <c r="F1718" i="10"/>
  <c r="AI1717" i="10"/>
  <c r="AD1717" i="10"/>
  <c r="AC1717" i="10"/>
  <c r="AB1717" i="10"/>
  <c r="AA1717" i="10"/>
  <c r="Z1717" i="10"/>
  <c r="U1717" i="10"/>
  <c r="T1717" i="10"/>
  <c r="N1717" i="10"/>
  <c r="F1717" i="10"/>
  <c r="AI1716" i="10"/>
  <c r="AD1716" i="10"/>
  <c r="AC1716" i="10"/>
  <c r="AB1716" i="10"/>
  <c r="AA1716" i="10"/>
  <c r="Z1716" i="10"/>
  <c r="U1716" i="10"/>
  <c r="T1716" i="10"/>
  <c r="N1716" i="10"/>
  <c r="F1716" i="10"/>
  <c r="AI1715" i="10"/>
  <c r="AD1715" i="10"/>
  <c r="AC1715" i="10"/>
  <c r="AB1715" i="10"/>
  <c r="AA1715" i="10"/>
  <c r="Z1715" i="10"/>
  <c r="U1715" i="10"/>
  <c r="T1715" i="10"/>
  <c r="N1715" i="10"/>
  <c r="F1715" i="10"/>
  <c r="AI1714" i="10"/>
  <c r="AD1714" i="10"/>
  <c r="AC1714" i="10"/>
  <c r="AB1714" i="10"/>
  <c r="AA1714" i="10"/>
  <c r="Z1714" i="10"/>
  <c r="U1714" i="10"/>
  <c r="T1714" i="10"/>
  <c r="N1714" i="10"/>
  <c r="F1714" i="10"/>
  <c r="AI1713" i="10"/>
  <c r="AD1713" i="10"/>
  <c r="AC1713" i="10"/>
  <c r="AB1713" i="10"/>
  <c r="AA1713" i="10"/>
  <c r="Z1713" i="10"/>
  <c r="U1713" i="10"/>
  <c r="T1713" i="10"/>
  <c r="N1713" i="10"/>
  <c r="F1713" i="10"/>
  <c r="AI1712" i="10"/>
  <c r="AD1712" i="10"/>
  <c r="AC1712" i="10"/>
  <c r="AB1712" i="10"/>
  <c r="AA1712" i="10"/>
  <c r="Z1712" i="10"/>
  <c r="U1712" i="10"/>
  <c r="T1712" i="10"/>
  <c r="N1712" i="10"/>
  <c r="F1712" i="10"/>
  <c r="AI1711" i="10"/>
  <c r="AD1711" i="10"/>
  <c r="AC1711" i="10"/>
  <c r="AB1711" i="10"/>
  <c r="AA1711" i="10"/>
  <c r="Z1711" i="10"/>
  <c r="U1711" i="10"/>
  <c r="T1711" i="10"/>
  <c r="N1711" i="10"/>
  <c r="F1711" i="10"/>
  <c r="AI1710" i="10"/>
  <c r="AD1710" i="10"/>
  <c r="AC1710" i="10"/>
  <c r="AB1710" i="10"/>
  <c r="AA1710" i="10"/>
  <c r="Z1710" i="10"/>
  <c r="U1710" i="10"/>
  <c r="T1710" i="10"/>
  <c r="N1710" i="10"/>
  <c r="F1710" i="10"/>
  <c r="AI1709" i="10"/>
  <c r="AD1709" i="10"/>
  <c r="AC1709" i="10"/>
  <c r="AB1709" i="10"/>
  <c r="AA1709" i="10"/>
  <c r="Z1709" i="10"/>
  <c r="U1709" i="10"/>
  <c r="T1709" i="10"/>
  <c r="N1709" i="10"/>
  <c r="F1709" i="10"/>
  <c r="AI1708" i="10"/>
  <c r="AD1708" i="10"/>
  <c r="AC1708" i="10"/>
  <c r="AB1708" i="10"/>
  <c r="AA1708" i="10"/>
  <c r="Z1708" i="10"/>
  <c r="U1708" i="10"/>
  <c r="T1708" i="10"/>
  <c r="N1708" i="10"/>
  <c r="F1708" i="10"/>
  <c r="AI1707" i="10"/>
  <c r="AD1707" i="10"/>
  <c r="AC1707" i="10"/>
  <c r="AB1707" i="10"/>
  <c r="AA1707" i="10"/>
  <c r="Z1707" i="10"/>
  <c r="U1707" i="10"/>
  <c r="T1707" i="10"/>
  <c r="N1707" i="10"/>
  <c r="F1707" i="10"/>
  <c r="AI1706" i="10"/>
  <c r="AD1706" i="10"/>
  <c r="AC1706" i="10"/>
  <c r="AB1706" i="10"/>
  <c r="AA1706" i="10"/>
  <c r="Z1706" i="10"/>
  <c r="U1706" i="10"/>
  <c r="T1706" i="10"/>
  <c r="N1706" i="10"/>
  <c r="F1706" i="10"/>
  <c r="AI1705" i="10"/>
  <c r="AD1705" i="10"/>
  <c r="AC1705" i="10"/>
  <c r="AB1705" i="10"/>
  <c r="AA1705" i="10"/>
  <c r="Z1705" i="10"/>
  <c r="U1705" i="10"/>
  <c r="T1705" i="10"/>
  <c r="N1705" i="10"/>
  <c r="F1705" i="10"/>
  <c r="AI1704" i="10"/>
  <c r="AD1704" i="10"/>
  <c r="AC1704" i="10"/>
  <c r="AB1704" i="10"/>
  <c r="AA1704" i="10"/>
  <c r="Z1704" i="10"/>
  <c r="U1704" i="10"/>
  <c r="T1704" i="10"/>
  <c r="N1704" i="10"/>
  <c r="F1704" i="10"/>
  <c r="AI1703" i="10"/>
  <c r="AD1703" i="10"/>
  <c r="AC1703" i="10"/>
  <c r="AB1703" i="10"/>
  <c r="AA1703" i="10"/>
  <c r="Z1703" i="10"/>
  <c r="U1703" i="10"/>
  <c r="T1703" i="10"/>
  <c r="N1703" i="10"/>
  <c r="F1703" i="10"/>
  <c r="AI1702" i="10"/>
  <c r="AD1702" i="10"/>
  <c r="AC1702" i="10"/>
  <c r="AB1702" i="10"/>
  <c r="AA1702" i="10"/>
  <c r="Z1702" i="10"/>
  <c r="U1702" i="10"/>
  <c r="T1702" i="10"/>
  <c r="N1702" i="10"/>
  <c r="F1702" i="10"/>
  <c r="AI1701" i="10"/>
  <c r="AD1701" i="10"/>
  <c r="AC1701" i="10"/>
  <c r="AB1701" i="10"/>
  <c r="AA1701" i="10"/>
  <c r="Z1701" i="10"/>
  <c r="U1701" i="10"/>
  <c r="T1701" i="10"/>
  <c r="N1701" i="10"/>
  <c r="F1701" i="10"/>
  <c r="AI1700" i="10"/>
  <c r="AD1700" i="10"/>
  <c r="AC1700" i="10"/>
  <c r="AB1700" i="10"/>
  <c r="AA1700" i="10"/>
  <c r="Z1700" i="10"/>
  <c r="U1700" i="10"/>
  <c r="T1700" i="10"/>
  <c r="N1700" i="10"/>
  <c r="F1700" i="10"/>
  <c r="AI1699" i="10"/>
  <c r="AD1699" i="10"/>
  <c r="AC1699" i="10"/>
  <c r="AB1699" i="10"/>
  <c r="AA1699" i="10"/>
  <c r="Z1699" i="10"/>
  <c r="U1699" i="10"/>
  <c r="T1699" i="10"/>
  <c r="N1699" i="10"/>
  <c r="F1699" i="10"/>
  <c r="AI1698" i="10"/>
  <c r="AD1698" i="10"/>
  <c r="AC1698" i="10"/>
  <c r="AB1698" i="10"/>
  <c r="AA1698" i="10"/>
  <c r="Z1698" i="10"/>
  <c r="U1698" i="10"/>
  <c r="T1698" i="10"/>
  <c r="N1698" i="10"/>
  <c r="F1698" i="10"/>
  <c r="AI1697" i="10"/>
  <c r="AD1697" i="10"/>
  <c r="AC1697" i="10"/>
  <c r="AB1697" i="10"/>
  <c r="AA1697" i="10"/>
  <c r="Z1697" i="10"/>
  <c r="U1697" i="10"/>
  <c r="T1697" i="10"/>
  <c r="N1697" i="10"/>
  <c r="F1697" i="10"/>
  <c r="AI1696" i="10"/>
  <c r="AD1696" i="10"/>
  <c r="AC1696" i="10"/>
  <c r="AB1696" i="10"/>
  <c r="AA1696" i="10"/>
  <c r="Z1696" i="10"/>
  <c r="U1696" i="10"/>
  <c r="T1696" i="10"/>
  <c r="N1696" i="10"/>
  <c r="F1696" i="10"/>
  <c r="AI1695" i="10"/>
  <c r="AD1695" i="10"/>
  <c r="AC1695" i="10"/>
  <c r="AB1695" i="10"/>
  <c r="AA1695" i="10"/>
  <c r="Z1695" i="10"/>
  <c r="U1695" i="10"/>
  <c r="T1695" i="10"/>
  <c r="N1695" i="10"/>
  <c r="F1695" i="10"/>
  <c r="AI1694" i="10"/>
  <c r="AD1694" i="10"/>
  <c r="AC1694" i="10"/>
  <c r="AB1694" i="10"/>
  <c r="AA1694" i="10"/>
  <c r="Z1694" i="10"/>
  <c r="U1694" i="10"/>
  <c r="T1694" i="10"/>
  <c r="N1694" i="10"/>
  <c r="F1694" i="10"/>
  <c r="AI1693" i="10"/>
  <c r="AD1693" i="10"/>
  <c r="AC1693" i="10"/>
  <c r="AB1693" i="10"/>
  <c r="AA1693" i="10"/>
  <c r="Z1693" i="10"/>
  <c r="U1693" i="10"/>
  <c r="T1693" i="10"/>
  <c r="N1693" i="10"/>
  <c r="F1693" i="10"/>
  <c r="AI1692" i="10"/>
  <c r="AD1692" i="10"/>
  <c r="AC1692" i="10"/>
  <c r="AB1692" i="10"/>
  <c r="AA1692" i="10"/>
  <c r="Z1692" i="10"/>
  <c r="U1692" i="10"/>
  <c r="T1692" i="10"/>
  <c r="N1692" i="10"/>
  <c r="F1692" i="10"/>
  <c r="AI1691" i="10"/>
  <c r="AD1691" i="10"/>
  <c r="AC1691" i="10"/>
  <c r="AB1691" i="10"/>
  <c r="AA1691" i="10"/>
  <c r="Z1691" i="10"/>
  <c r="U1691" i="10"/>
  <c r="T1691" i="10"/>
  <c r="N1691" i="10"/>
  <c r="F1691" i="10"/>
  <c r="AI1690" i="10"/>
  <c r="AD1690" i="10"/>
  <c r="AC1690" i="10"/>
  <c r="AB1690" i="10"/>
  <c r="AA1690" i="10"/>
  <c r="Z1690" i="10"/>
  <c r="U1690" i="10"/>
  <c r="T1690" i="10"/>
  <c r="N1690" i="10"/>
  <c r="F1690" i="10"/>
  <c r="AI1689" i="10"/>
  <c r="AD1689" i="10"/>
  <c r="AC1689" i="10"/>
  <c r="AB1689" i="10"/>
  <c r="AA1689" i="10"/>
  <c r="Z1689" i="10"/>
  <c r="U1689" i="10"/>
  <c r="T1689" i="10"/>
  <c r="N1689" i="10"/>
  <c r="F1689" i="10"/>
  <c r="AI1688" i="10"/>
  <c r="AD1688" i="10"/>
  <c r="AC1688" i="10"/>
  <c r="AB1688" i="10"/>
  <c r="AA1688" i="10"/>
  <c r="Z1688" i="10"/>
  <c r="U1688" i="10"/>
  <c r="T1688" i="10"/>
  <c r="N1688" i="10"/>
  <c r="F1688" i="10"/>
  <c r="AI1687" i="10"/>
  <c r="AD1687" i="10"/>
  <c r="AC1687" i="10"/>
  <c r="AB1687" i="10"/>
  <c r="AA1687" i="10"/>
  <c r="Z1687" i="10"/>
  <c r="U1687" i="10"/>
  <c r="T1687" i="10"/>
  <c r="N1687" i="10"/>
  <c r="F1687" i="10"/>
  <c r="AI1686" i="10"/>
  <c r="AD1686" i="10"/>
  <c r="AC1686" i="10"/>
  <c r="AB1686" i="10"/>
  <c r="AA1686" i="10"/>
  <c r="Z1686" i="10"/>
  <c r="U1686" i="10"/>
  <c r="T1686" i="10"/>
  <c r="N1686" i="10"/>
  <c r="F1686" i="10"/>
  <c r="AI1685" i="10"/>
  <c r="AD1685" i="10"/>
  <c r="AC1685" i="10"/>
  <c r="AB1685" i="10"/>
  <c r="AA1685" i="10"/>
  <c r="Z1685" i="10"/>
  <c r="U1685" i="10"/>
  <c r="T1685" i="10"/>
  <c r="N1685" i="10"/>
  <c r="F1685" i="10"/>
  <c r="AI1684" i="10"/>
  <c r="AD1684" i="10"/>
  <c r="AC1684" i="10"/>
  <c r="AB1684" i="10"/>
  <c r="AA1684" i="10"/>
  <c r="Z1684" i="10"/>
  <c r="U1684" i="10"/>
  <c r="T1684" i="10"/>
  <c r="N1684" i="10"/>
  <c r="F1684" i="10"/>
  <c r="AI1683" i="10"/>
  <c r="AD1683" i="10"/>
  <c r="AC1683" i="10"/>
  <c r="AB1683" i="10"/>
  <c r="AA1683" i="10"/>
  <c r="Z1683" i="10"/>
  <c r="U1683" i="10"/>
  <c r="T1683" i="10"/>
  <c r="N1683" i="10"/>
  <c r="F1683" i="10"/>
  <c r="AI1682" i="10"/>
  <c r="AD1682" i="10"/>
  <c r="AC1682" i="10"/>
  <c r="AB1682" i="10"/>
  <c r="AA1682" i="10"/>
  <c r="Z1682" i="10"/>
  <c r="U1682" i="10"/>
  <c r="T1682" i="10"/>
  <c r="N1682" i="10"/>
  <c r="F1682" i="10"/>
  <c r="AI1681" i="10"/>
  <c r="AD1681" i="10"/>
  <c r="AC1681" i="10"/>
  <c r="AB1681" i="10"/>
  <c r="AA1681" i="10"/>
  <c r="Z1681" i="10"/>
  <c r="U1681" i="10"/>
  <c r="T1681" i="10"/>
  <c r="N1681" i="10"/>
  <c r="F1681" i="10"/>
  <c r="AI1680" i="10"/>
  <c r="AD1680" i="10"/>
  <c r="AC1680" i="10"/>
  <c r="AB1680" i="10"/>
  <c r="AA1680" i="10"/>
  <c r="Z1680" i="10"/>
  <c r="U1680" i="10"/>
  <c r="T1680" i="10"/>
  <c r="N1680" i="10"/>
  <c r="F1680" i="10"/>
  <c r="AI1679" i="10"/>
  <c r="AD1679" i="10"/>
  <c r="AC1679" i="10"/>
  <c r="AB1679" i="10"/>
  <c r="AA1679" i="10"/>
  <c r="Z1679" i="10"/>
  <c r="U1679" i="10"/>
  <c r="T1679" i="10"/>
  <c r="N1679" i="10"/>
  <c r="F1679" i="10"/>
  <c r="AI1678" i="10"/>
  <c r="AD1678" i="10"/>
  <c r="AC1678" i="10"/>
  <c r="AB1678" i="10"/>
  <c r="AA1678" i="10"/>
  <c r="Z1678" i="10"/>
  <c r="U1678" i="10"/>
  <c r="T1678" i="10"/>
  <c r="N1678" i="10"/>
  <c r="F1678" i="10"/>
  <c r="AI1677" i="10"/>
  <c r="AD1677" i="10"/>
  <c r="AC1677" i="10"/>
  <c r="AB1677" i="10"/>
  <c r="AA1677" i="10"/>
  <c r="Z1677" i="10"/>
  <c r="U1677" i="10"/>
  <c r="T1677" i="10"/>
  <c r="N1677" i="10"/>
  <c r="F1677" i="10"/>
  <c r="AI1676" i="10"/>
  <c r="AD1676" i="10"/>
  <c r="AC1676" i="10"/>
  <c r="AB1676" i="10"/>
  <c r="AA1676" i="10"/>
  <c r="Z1676" i="10"/>
  <c r="U1676" i="10"/>
  <c r="T1676" i="10"/>
  <c r="N1676" i="10"/>
  <c r="F1676" i="10"/>
  <c r="AI1675" i="10"/>
  <c r="AD1675" i="10"/>
  <c r="AC1675" i="10"/>
  <c r="AB1675" i="10"/>
  <c r="AA1675" i="10"/>
  <c r="Z1675" i="10"/>
  <c r="U1675" i="10"/>
  <c r="T1675" i="10"/>
  <c r="N1675" i="10"/>
  <c r="F1675" i="10"/>
  <c r="AI1674" i="10"/>
  <c r="AD1674" i="10"/>
  <c r="AC1674" i="10"/>
  <c r="AB1674" i="10"/>
  <c r="AA1674" i="10"/>
  <c r="Z1674" i="10"/>
  <c r="U1674" i="10"/>
  <c r="T1674" i="10"/>
  <c r="N1674" i="10"/>
  <c r="F1674" i="10"/>
  <c r="AI1673" i="10"/>
  <c r="AD1673" i="10"/>
  <c r="AC1673" i="10"/>
  <c r="AB1673" i="10"/>
  <c r="AA1673" i="10"/>
  <c r="Z1673" i="10"/>
  <c r="U1673" i="10"/>
  <c r="T1673" i="10"/>
  <c r="N1673" i="10"/>
  <c r="F1673" i="10"/>
  <c r="AI1672" i="10"/>
  <c r="AD1672" i="10"/>
  <c r="AC1672" i="10"/>
  <c r="AB1672" i="10"/>
  <c r="AA1672" i="10"/>
  <c r="Z1672" i="10"/>
  <c r="U1672" i="10"/>
  <c r="T1672" i="10"/>
  <c r="N1672" i="10"/>
  <c r="F1672" i="10"/>
  <c r="AI1671" i="10"/>
  <c r="AD1671" i="10"/>
  <c r="AC1671" i="10"/>
  <c r="AB1671" i="10"/>
  <c r="AA1671" i="10"/>
  <c r="Z1671" i="10"/>
  <c r="U1671" i="10"/>
  <c r="T1671" i="10"/>
  <c r="N1671" i="10"/>
  <c r="F1671" i="10"/>
  <c r="AI1670" i="10"/>
  <c r="AD1670" i="10"/>
  <c r="AC1670" i="10"/>
  <c r="AB1670" i="10"/>
  <c r="AA1670" i="10"/>
  <c r="Z1670" i="10"/>
  <c r="U1670" i="10"/>
  <c r="T1670" i="10"/>
  <c r="N1670" i="10"/>
  <c r="F1670" i="10"/>
  <c r="AI1669" i="10"/>
  <c r="AD1669" i="10"/>
  <c r="AC1669" i="10"/>
  <c r="AB1669" i="10"/>
  <c r="AA1669" i="10"/>
  <c r="Z1669" i="10"/>
  <c r="U1669" i="10"/>
  <c r="T1669" i="10"/>
  <c r="N1669" i="10"/>
  <c r="F1669" i="10"/>
  <c r="AI1668" i="10"/>
  <c r="AD1668" i="10"/>
  <c r="AC1668" i="10"/>
  <c r="AB1668" i="10"/>
  <c r="AA1668" i="10"/>
  <c r="Z1668" i="10"/>
  <c r="U1668" i="10"/>
  <c r="T1668" i="10"/>
  <c r="N1668" i="10"/>
  <c r="F1668" i="10"/>
  <c r="AI1667" i="10"/>
  <c r="AD1667" i="10"/>
  <c r="AC1667" i="10"/>
  <c r="AB1667" i="10"/>
  <c r="AA1667" i="10"/>
  <c r="Z1667" i="10"/>
  <c r="U1667" i="10"/>
  <c r="T1667" i="10"/>
  <c r="N1667" i="10"/>
  <c r="F1667" i="10"/>
  <c r="AI1666" i="10"/>
  <c r="AD1666" i="10"/>
  <c r="AC1666" i="10"/>
  <c r="AB1666" i="10"/>
  <c r="AA1666" i="10"/>
  <c r="Z1666" i="10"/>
  <c r="U1666" i="10"/>
  <c r="T1666" i="10"/>
  <c r="N1666" i="10"/>
  <c r="F1666" i="10"/>
  <c r="AI1665" i="10"/>
  <c r="AD1665" i="10"/>
  <c r="AC1665" i="10"/>
  <c r="AB1665" i="10"/>
  <c r="AA1665" i="10"/>
  <c r="Z1665" i="10"/>
  <c r="U1665" i="10"/>
  <c r="T1665" i="10"/>
  <c r="N1665" i="10"/>
  <c r="F1665" i="10"/>
  <c r="AI1664" i="10"/>
  <c r="AD1664" i="10"/>
  <c r="AC1664" i="10"/>
  <c r="AB1664" i="10"/>
  <c r="AA1664" i="10"/>
  <c r="Z1664" i="10"/>
  <c r="U1664" i="10"/>
  <c r="T1664" i="10"/>
  <c r="N1664" i="10"/>
  <c r="F1664" i="10"/>
  <c r="AI1663" i="10"/>
  <c r="AD1663" i="10"/>
  <c r="AC1663" i="10"/>
  <c r="AB1663" i="10"/>
  <c r="AA1663" i="10"/>
  <c r="Z1663" i="10"/>
  <c r="U1663" i="10"/>
  <c r="T1663" i="10"/>
  <c r="N1663" i="10"/>
  <c r="F1663" i="10"/>
  <c r="AI1662" i="10"/>
  <c r="AD1662" i="10"/>
  <c r="AC1662" i="10"/>
  <c r="AB1662" i="10"/>
  <c r="AA1662" i="10"/>
  <c r="Z1662" i="10"/>
  <c r="U1662" i="10"/>
  <c r="T1662" i="10"/>
  <c r="N1662" i="10"/>
  <c r="F1662" i="10"/>
  <c r="AI1661" i="10"/>
  <c r="AD1661" i="10"/>
  <c r="AC1661" i="10"/>
  <c r="AB1661" i="10"/>
  <c r="AA1661" i="10"/>
  <c r="Z1661" i="10"/>
  <c r="U1661" i="10"/>
  <c r="T1661" i="10"/>
  <c r="N1661" i="10"/>
  <c r="F1661" i="10"/>
  <c r="AI1660" i="10"/>
  <c r="AD1660" i="10"/>
  <c r="AC1660" i="10"/>
  <c r="AB1660" i="10"/>
  <c r="AA1660" i="10"/>
  <c r="Z1660" i="10"/>
  <c r="U1660" i="10"/>
  <c r="T1660" i="10"/>
  <c r="N1660" i="10"/>
  <c r="F1660" i="10"/>
  <c r="AI1659" i="10"/>
  <c r="AD1659" i="10"/>
  <c r="AC1659" i="10"/>
  <c r="AB1659" i="10"/>
  <c r="AA1659" i="10"/>
  <c r="Z1659" i="10"/>
  <c r="U1659" i="10"/>
  <c r="T1659" i="10"/>
  <c r="N1659" i="10"/>
  <c r="F1659" i="10"/>
  <c r="AI1658" i="10"/>
  <c r="AD1658" i="10"/>
  <c r="AC1658" i="10"/>
  <c r="AB1658" i="10"/>
  <c r="AA1658" i="10"/>
  <c r="Z1658" i="10"/>
  <c r="U1658" i="10"/>
  <c r="T1658" i="10"/>
  <c r="N1658" i="10"/>
  <c r="F1658" i="10"/>
  <c r="AI1657" i="10"/>
  <c r="AD1657" i="10"/>
  <c r="AC1657" i="10"/>
  <c r="AB1657" i="10"/>
  <c r="AA1657" i="10"/>
  <c r="Z1657" i="10"/>
  <c r="U1657" i="10"/>
  <c r="T1657" i="10"/>
  <c r="N1657" i="10"/>
  <c r="F1657" i="10"/>
  <c r="AI1656" i="10"/>
  <c r="AD1656" i="10"/>
  <c r="AC1656" i="10"/>
  <c r="AB1656" i="10"/>
  <c r="AA1656" i="10"/>
  <c r="Z1656" i="10"/>
  <c r="U1656" i="10"/>
  <c r="T1656" i="10"/>
  <c r="N1656" i="10"/>
  <c r="F1656" i="10"/>
  <c r="AI1655" i="10"/>
  <c r="AD1655" i="10"/>
  <c r="AC1655" i="10"/>
  <c r="AB1655" i="10"/>
  <c r="AA1655" i="10"/>
  <c r="Z1655" i="10"/>
  <c r="U1655" i="10"/>
  <c r="T1655" i="10"/>
  <c r="N1655" i="10"/>
  <c r="F1655" i="10"/>
  <c r="AI1654" i="10"/>
  <c r="AD1654" i="10"/>
  <c r="AC1654" i="10"/>
  <c r="AB1654" i="10"/>
  <c r="AA1654" i="10"/>
  <c r="Z1654" i="10"/>
  <c r="U1654" i="10"/>
  <c r="T1654" i="10"/>
  <c r="N1654" i="10"/>
  <c r="F1654" i="10"/>
  <c r="AI1653" i="10"/>
  <c r="AD1653" i="10"/>
  <c r="AC1653" i="10"/>
  <c r="AB1653" i="10"/>
  <c r="AA1653" i="10"/>
  <c r="Z1653" i="10"/>
  <c r="U1653" i="10"/>
  <c r="T1653" i="10"/>
  <c r="N1653" i="10"/>
  <c r="F1653" i="10"/>
  <c r="AI1652" i="10"/>
  <c r="AD1652" i="10"/>
  <c r="AC1652" i="10"/>
  <c r="AB1652" i="10"/>
  <c r="AA1652" i="10"/>
  <c r="Z1652" i="10"/>
  <c r="U1652" i="10"/>
  <c r="T1652" i="10"/>
  <c r="N1652" i="10"/>
  <c r="F1652" i="10"/>
  <c r="AI1651" i="10"/>
  <c r="AD1651" i="10"/>
  <c r="AC1651" i="10"/>
  <c r="AB1651" i="10"/>
  <c r="AA1651" i="10"/>
  <c r="Z1651" i="10"/>
  <c r="U1651" i="10"/>
  <c r="T1651" i="10"/>
  <c r="N1651" i="10"/>
  <c r="F1651" i="10"/>
  <c r="AI1650" i="10"/>
  <c r="AD1650" i="10"/>
  <c r="AC1650" i="10"/>
  <c r="AB1650" i="10"/>
  <c r="AA1650" i="10"/>
  <c r="Z1650" i="10"/>
  <c r="U1650" i="10"/>
  <c r="T1650" i="10"/>
  <c r="N1650" i="10"/>
  <c r="F1650" i="10"/>
  <c r="AI1649" i="10"/>
  <c r="AD1649" i="10"/>
  <c r="AC1649" i="10"/>
  <c r="AB1649" i="10"/>
  <c r="AA1649" i="10"/>
  <c r="Z1649" i="10"/>
  <c r="U1649" i="10"/>
  <c r="T1649" i="10"/>
  <c r="N1649" i="10"/>
  <c r="F1649" i="10"/>
  <c r="AI1648" i="10"/>
  <c r="AD1648" i="10"/>
  <c r="AC1648" i="10"/>
  <c r="AB1648" i="10"/>
  <c r="AA1648" i="10"/>
  <c r="Z1648" i="10"/>
  <c r="U1648" i="10"/>
  <c r="T1648" i="10"/>
  <c r="N1648" i="10"/>
  <c r="F1648" i="10"/>
  <c r="AI1647" i="10"/>
  <c r="AD1647" i="10"/>
  <c r="AC1647" i="10"/>
  <c r="AB1647" i="10"/>
  <c r="AA1647" i="10"/>
  <c r="Z1647" i="10"/>
  <c r="U1647" i="10"/>
  <c r="T1647" i="10"/>
  <c r="N1647" i="10"/>
  <c r="F1647" i="10"/>
  <c r="AI1646" i="10"/>
  <c r="AD1646" i="10"/>
  <c r="AC1646" i="10"/>
  <c r="AB1646" i="10"/>
  <c r="AA1646" i="10"/>
  <c r="Z1646" i="10"/>
  <c r="U1646" i="10"/>
  <c r="T1646" i="10"/>
  <c r="N1646" i="10"/>
  <c r="F1646" i="10"/>
  <c r="AI1645" i="10"/>
  <c r="AD1645" i="10"/>
  <c r="AC1645" i="10"/>
  <c r="AB1645" i="10"/>
  <c r="AA1645" i="10"/>
  <c r="Z1645" i="10"/>
  <c r="U1645" i="10"/>
  <c r="T1645" i="10"/>
  <c r="N1645" i="10"/>
  <c r="F1645" i="10"/>
  <c r="AI1644" i="10"/>
  <c r="AD1644" i="10"/>
  <c r="AC1644" i="10"/>
  <c r="AB1644" i="10"/>
  <c r="AA1644" i="10"/>
  <c r="Z1644" i="10"/>
  <c r="U1644" i="10"/>
  <c r="T1644" i="10"/>
  <c r="N1644" i="10"/>
  <c r="F1644" i="10"/>
  <c r="AI1643" i="10"/>
  <c r="AD1643" i="10"/>
  <c r="AC1643" i="10"/>
  <c r="AB1643" i="10"/>
  <c r="AA1643" i="10"/>
  <c r="Z1643" i="10"/>
  <c r="U1643" i="10"/>
  <c r="T1643" i="10"/>
  <c r="N1643" i="10"/>
  <c r="F1643" i="10"/>
  <c r="AI1642" i="10"/>
  <c r="AD1642" i="10"/>
  <c r="AC1642" i="10"/>
  <c r="AB1642" i="10"/>
  <c r="AA1642" i="10"/>
  <c r="Z1642" i="10"/>
  <c r="U1642" i="10"/>
  <c r="T1642" i="10"/>
  <c r="N1642" i="10"/>
  <c r="F1642" i="10"/>
  <c r="AI1641" i="10"/>
  <c r="AD1641" i="10"/>
  <c r="AC1641" i="10"/>
  <c r="AB1641" i="10"/>
  <c r="AA1641" i="10"/>
  <c r="Z1641" i="10"/>
  <c r="U1641" i="10"/>
  <c r="T1641" i="10"/>
  <c r="N1641" i="10"/>
  <c r="F1641" i="10"/>
  <c r="AI1640" i="10"/>
  <c r="AD1640" i="10"/>
  <c r="AC1640" i="10"/>
  <c r="AB1640" i="10"/>
  <c r="AA1640" i="10"/>
  <c r="Z1640" i="10"/>
  <c r="U1640" i="10"/>
  <c r="T1640" i="10"/>
  <c r="N1640" i="10"/>
  <c r="F1640" i="10"/>
  <c r="AI1639" i="10"/>
  <c r="AD1639" i="10"/>
  <c r="AC1639" i="10"/>
  <c r="AB1639" i="10"/>
  <c r="AA1639" i="10"/>
  <c r="Z1639" i="10"/>
  <c r="U1639" i="10"/>
  <c r="T1639" i="10"/>
  <c r="N1639" i="10"/>
  <c r="F1639" i="10"/>
  <c r="AI1638" i="10"/>
  <c r="AD1638" i="10"/>
  <c r="AC1638" i="10"/>
  <c r="AB1638" i="10"/>
  <c r="AA1638" i="10"/>
  <c r="Z1638" i="10"/>
  <c r="U1638" i="10"/>
  <c r="T1638" i="10"/>
  <c r="N1638" i="10"/>
  <c r="F1638" i="10"/>
  <c r="AI1637" i="10"/>
  <c r="AD1637" i="10"/>
  <c r="AC1637" i="10"/>
  <c r="AB1637" i="10"/>
  <c r="AA1637" i="10"/>
  <c r="Z1637" i="10"/>
  <c r="U1637" i="10"/>
  <c r="T1637" i="10"/>
  <c r="N1637" i="10"/>
  <c r="F1637" i="10"/>
  <c r="AI1636" i="10"/>
  <c r="AD1636" i="10"/>
  <c r="AC1636" i="10"/>
  <c r="AB1636" i="10"/>
  <c r="AA1636" i="10"/>
  <c r="Z1636" i="10"/>
  <c r="U1636" i="10"/>
  <c r="T1636" i="10"/>
  <c r="N1636" i="10"/>
  <c r="F1636" i="10"/>
  <c r="AI1635" i="10"/>
  <c r="AD1635" i="10"/>
  <c r="AC1635" i="10"/>
  <c r="AB1635" i="10"/>
  <c r="AA1635" i="10"/>
  <c r="Z1635" i="10"/>
  <c r="U1635" i="10"/>
  <c r="T1635" i="10"/>
  <c r="N1635" i="10"/>
  <c r="F1635" i="10"/>
  <c r="AI1634" i="10"/>
  <c r="AD1634" i="10"/>
  <c r="AC1634" i="10"/>
  <c r="AB1634" i="10"/>
  <c r="AA1634" i="10"/>
  <c r="Z1634" i="10"/>
  <c r="U1634" i="10"/>
  <c r="T1634" i="10"/>
  <c r="N1634" i="10"/>
  <c r="F1634" i="10"/>
  <c r="AI1633" i="10"/>
  <c r="AD1633" i="10"/>
  <c r="AC1633" i="10"/>
  <c r="AB1633" i="10"/>
  <c r="AA1633" i="10"/>
  <c r="Z1633" i="10"/>
  <c r="U1633" i="10"/>
  <c r="T1633" i="10"/>
  <c r="N1633" i="10"/>
  <c r="F1633" i="10"/>
  <c r="AI1632" i="10"/>
  <c r="AD1632" i="10"/>
  <c r="AC1632" i="10"/>
  <c r="AB1632" i="10"/>
  <c r="AA1632" i="10"/>
  <c r="Z1632" i="10"/>
  <c r="U1632" i="10"/>
  <c r="T1632" i="10"/>
  <c r="N1632" i="10"/>
  <c r="F1632" i="10"/>
  <c r="AI1631" i="10"/>
  <c r="AD1631" i="10"/>
  <c r="AC1631" i="10"/>
  <c r="AB1631" i="10"/>
  <c r="AA1631" i="10"/>
  <c r="Z1631" i="10"/>
  <c r="U1631" i="10"/>
  <c r="T1631" i="10"/>
  <c r="N1631" i="10"/>
  <c r="F1631" i="10"/>
  <c r="AI1630" i="10"/>
  <c r="AD1630" i="10"/>
  <c r="AC1630" i="10"/>
  <c r="AB1630" i="10"/>
  <c r="AA1630" i="10"/>
  <c r="Z1630" i="10"/>
  <c r="U1630" i="10"/>
  <c r="T1630" i="10"/>
  <c r="N1630" i="10"/>
  <c r="F1630" i="10"/>
  <c r="AI1629" i="10"/>
  <c r="AD1629" i="10"/>
  <c r="AC1629" i="10"/>
  <c r="AB1629" i="10"/>
  <c r="AA1629" i="10"/>
  <c r="Z1629" i="10"/>
  <c r="U1629" i="10"/>
  <c r="T1629" i="10"/>
  <c r="N1629" i="10"/>
  <c r="F1629" i="10"/>
  <c r="AI1628" i="10"/>
  <c r="AD1628" i="10"/>
  <c r="AC1628" i="10"/>
  <c r="AB1628" i="10"/>
  <c r="AA1628" i="10"/>
  <c r="Z1628" i="10"/>
  <c r="U1628" i="10"/>
  <c r="T1628" i="10"/>
  <c r="N1628" i="10"/>
  <c r="F1628" i="10"/>
  <c r="AI1627" i="10"/>
  <c r="AD1627" i="10"/>
  <c r="AC1627" i="10"/>
  <c r="AB1627" i="10"/>
  <c r="AA1627" i="10"/>
  <c r="Z1627" i="10"/>
  <c r="U1627" i="10"/>
  <c r="T1627" i="10"/>
  <c r="N1627" i="10"/>
  <c r="F1627" i="10"/>
  <c r="AI1626" i="10"/>
  <c r="AD1626" i="10"/>
  <c r="AC1626" i="10"/>
  <c r="AB1626" i="10"/>
  <c r="AA1626" i="10"/>
  <c r="Z1626" i="10"/>
  <c r="U1626" i="10"/>
  <c r="T1626" i="10"/>
  <c r="N1626" i="10"/>
  <c r="F1626" i="10"/>
  <c r="AI1625" i="10"/>
  <c r="AD1625" i="10"/>
  <c r="AC1625" i="10"/>
  <c r="AB1625" i="10"/>
  <c r="AA1625" i="10"/>
  <c r="Z1625" i="10"/>
  <c r="U1625" i="10"/>
  <c r="T1625" i="10"/>
  <c r="N1625" i="10"/>
  <c r="F1625" i="10"/>
  <c r="AI1624" i="10"/>
  <c r="AD1624" i="10"/>
  <c r="AC1624" i="10"/>
  <c r="AB1624" i="10"/>
  <c r="AA1624" i="10"/>
  <c r="Z1624" i="10"/>
  <c r="U1624" i="10"/>
  <c r="T1624" i="10"/>
  <c r="N1624" i="10"/>
  <c r="F1624" i="10"/>
  <c r="AI1623" i="10"/>
  <c r="AD1623" i="10"/>
  <c r="AC1623" i="10"/>
  <c r="AB1623" i="10"/>
  <c r="AA1623" i="10"/>
  <c r="Z1623" i="10"/>
  <c r="U1623" i="10"/>
  <c r="T1623" i="10"/>
  <c r="N1623" i="10"/>
  <c r="F1623" i="10"/>
  <c r="AI1622" i="10"/>
  <c r="AD1622" i="10"/>
  <c r="AC1622" i="10"/>
  <c r="AB1622" i="10"/>
  <c r="AA1622" i="10"/>
  <c r="Z1622" i="10"/>
  <c r="U1622" i="10"/>
  <c r="T1622" i="10"/>
  <c r="N1622" i="10"/>
  <c r="F1622" i="10"/>
  <c r="AI1621" i="10"/>
  <c r="AD1621" i="10"/>
  <c r="AC1621" i="10"/>
  <c r="AB1621" i="10"/>
  <c r="AA1621" i="10"/>
  <c r="Z1621" i="10"/>
  <c r="U1621" i="10"/>
  <c r="T1621" i="10"/>
  <c r="N1621" i="10"/>
  <c r="F1621" i="10"/>
  <c r="AI1620" i="10"/>
  <c r="AD1620" i="10"/>
  <c r="AC1620" i="10"/>
  <c r="AB1620" i="10"/>
  <c r="AA1620" i="10"/>
  <c r="Z1620" i="10"/>
  <c r="U1620" i="10"/>
  <c r="T1620" i="10"/>
  <c r="N1620" i="10"/>
  <c r="F1620" i="10"/>
  <c r="AI1619" i="10"/>
  <c r="AD1619" i="10"/>
  <c r="AC1619" i="10"/>
  <c r="AB1619" i="10"/>
  <c r="AA1619" i="10"/>
  <c r="Z1619" i="10"/>
  <c r="U1619" i="10"/>
  <c r="T1619" i="10"/>
  <c r="N1619" i="10"/>
  <c r="F1619" i="10"/>
  <c r="AI1618" i="10"/>
  <c r="AD1618" i="10"/>
  <c r="AC1618" i="10"/>
  <c r="AB1618" i="10"/>
  <c r="AA1618" i="10"/>
  <c r="Z1618" i="10"/>
  <c r="U1618" i="10"/>
  <c r="T1618" i="10"/>
  <c r="N1618" i="10"/>
  <c r="F1618" i="10"/>
  <c r="AI1617" i="10"/>
  <c r="AD1617" i="10"/>
  <c r="AC1617" i="10"/>
  <c r="AB1617" i="10"/>
  <c r="AA1617" i="10"/>
  <c r="Z1617" i="10"/>
  <c r="U1617" i="10"/>
  <c r="T1617" i="10"/>
  <c r="N1617" i="10"/>
  <c r="F1617" i="10"/>
  <c r="AI1616" i="10"/>
  <c r="AD1616" i="10"/>
  <c r="AC1616" i="10"/>
  <c r="AB1616" i="10"/>
  <c r="AA1616" i="10"/>
  <c r="Z1616" i="10"/>
  <c r="U1616" i="10"/>
  <c r="T1616" i="10"/>
  <c r="N1616" i="10"/>
  <c r="F1616" i="10"/>
  <c r="AI1615" i="10"/>
  <c r="AD1615" i="10"/>
  <c r="AC1615" i="10"/>
  <c r="AB1615" i="10"/>
  <c r="AA1615" i="10"/>
  <c r="Z1615" i="10"/>
  <c r="U1615" i="10"/>
  <c r="T1615" i="10"/>
  <c r="N1615" i="10"/>
  <c r="F1615" i="10"/>
  <c r="AI1614" i="10"/>
  <c r="AD1614" i="10"/>
  <c r="AC1614" i="10"/>
  <c r="AB1614" i="10"/>
  <c r="AA1614" i="10"/>
  <c r="Z1614" i="10"/>
  <c r="U1614" i="10"/>
  <c r="T1614" i="10"/>
  <c r="N1614" i="10"/>
  <c r="F1614" i="10"/>
  <c r="AI1613" i="10"/>
  <c r="AD1613" i="10"/>
  <c r="AC1613" i="10"/>
  <c r="AB1613" i="10"/>
  <c r="AA1613" i="10"/>
  <c r="Z1613" i="10"/>
  <c r="U1613" i="10"/>
  <c r="T1613" i="10"/>
  <c r="N1613" i="10"/>
  <c r="F1613" i="10"/>
  <c r="AI1612" i="10"/>
  <c r="AD1612" i="10"/>
  <c r="AC1612" i="10"/>
  <c r="AB1612" i="10"/>
  <c r="AA1612" i="10"/>
  <c r="Z1612" i="10"/>
  <c r="U1612" i="10"/>
  <c r="T1612" i="10"/>
  <c r="N1612" i="10"/>
  <c r="F1612" i="10"/>
  <c r="AI1611" i="10"/>
  <c r="AD1611" i="10"/>
  <c r="AC1611" i="10"/>
  <c r="AB1611" i="10"/>
  <c r="AA1611" i="10"/>
  <c r="Z1611" i="10"/>
  <c r="U1611" i="10"/>
  <c r="T1611" i="10"/>
  <c r="N1611" i="10"/>
  <c r="F1611" i="10"/>
  <c r="AI1610" i="10"/>
  <c r="AD1610" i="10"/>
  <c r="AC1610" i="10"/>
  <c r="AB1610" i="10"/>
  <c r="AA1610" i="10"/>
  <c r="Z1610" i="10"/>
  <c r="U1610" i="10"/>
  <c r="T1610" i="10"/>
  <c r="N1610" i="10"/>
  <c r="F1610" i="10"/>
  <c r="AI1609" i="10"/>
  <c r="AD1609" i="10"/>
  <c r="AC1609" i="10"/>
  <c r="AB1609" i="10"/>
  <c r="AA1609" i="10"/>
  <c r="Z1609" i="10"/>
  <c r="U1609" i="10"/>
  <c r="T1609" i="10"/>
  <c r="N1609" i="10"/>
  <c r="F1609" i="10"/>
  <c r="AI1608" i="10"/>
  <c r="AD1608" i="10"/>
  <c r="AC1608" i="10"/>
  <c r="AB1608" i="10"/>
  <c r="AA1608" i="10"/>
  <c r="Z1608" i="10"/>
  <c r="U1608" i="10"/>
  <c r="T1608" i="10"/>
  <c r="N1608" i="10"/>
  <c r="F1608" i="10"/>
  <c r="AI1607" i="10"/>
  <c r="AD1607" i="10"/>
  <c r="AC1607" i="10"/>
  <c r="AB1607" i="10"/>
  <c r="AA1607" i="10"/>
  <c r="Z1607" i="10"/>
  <c r="U1607" i="10"/>
  <c r="T1607" i="10"/>
  <c r="N1607" i="10"/>
  <c r="F1607" i="10"/>
  <c r="AI1606" i="10"/>
  <c r="AD1606" i="10"/>
  <c r="AC1606" i="10"/>
  <c r="AB1606" i="10"/>
  <c r="AA1606" i="10"/>
  <c r="Z1606" i="10"/>
  <c r="U1606" i="10"/>
  <c r="T1606" i="10"/>
  <c r="N1606" i="10"/>
  <c r="F1606" i="10"/>
  <c r="AI1605" i="10"/>
  <c r="AD1605" i="10"/>
  <c r="AC1605" i="10"/>
  <c r="AB1605" i="10"/>
  <c r="AA1605" i="10"/>
  <c r="Z1605" i="10"/>
  <c r="U1605" i="10"/>
  <c r="T1605" i="10"/>
  <c r="N1605" i="10"/>
  <c r="F1605" i="10"/>
  <c r="AI1604" i="10"/>
  <c r="AD1604" i="10"/>
  <c r="AC1604" i="10"/>
  <c r="AB1604" i="10"/>
  <c r="AA1604" i="10"/>
  <c r="Z1604" i="10"/>
  <c r="U1604" i="10"/>
  <c r="T1604" i="10"/>
  <c r="N1604" i="10"/>
  <c r="F1604" i="10"/>
  <c r="AI1603" i="10"/>
  <c r="AD1603" i="10"/>
  <c r="AC1603" i="10"/>
  <c r="AB1603" i="10"/>
  <c r="AA1603" i="10"/>
  <c r="Z1603" i="10"/>
  <c r="U1603" i="10"/>
  <c r="T1603" i="10"/>
  <c r="N1603" i="10"/>
  <c r="F1603" i="10"/>
  <c r="AI1602" i="10"/>
  <c r="AD1602" i="10"/>
  <c r="AC1602" i="10"/>
  <c r="AB1602" i="10"/>
  <c r="AA1602" i="10"/>
  <c r="Z1602" i="10"/>
  <c r="U1602" i="10"/>
  <c r="T1602" i="10"/>
  <c r="N1602" i="10"/>
  <c r="F1602" i="10"/>
  <c r="AI1601" i="10"/>
  <c r="AD1601" i="10"/>
  <c r="AC1601" i="10"/>
  <c r="AB1601" i="10"/>
  <c r="AA1601" i="10"/>
  <c r="Z1601" i="10"/>
  <c r="U1601" i="10"/>
  <c r="T1601" i="10"/>
  <c r="N1601" i="10"/>
  <c r="F1601" i="10"/>
  <c r="AI1600" i="10"/>
  <c r="AD1600" i="10"/>
  <c r="AC1600" i="10"/>
  <c r="AB1600" i="10"/>
  <c r="AA1600" i="10"/>
  <c r="Z1600" i="10"/>
  <c r="U1600" i="10"/>
  <c r="T1600" i="10"/>
  <c r="N1600" i="10"/>
  <c r="F1600" i="10"/>
  <c r="AI1599" i="10"/>
  <c r="AD1599" i="10"/>
  <c r="AC1599" i="10"/>
  <c r="AB1599" i="10"/>
  <c r="AA1599" i="10"/>
  <c r="Z1599" i="10"/>
  <c r="U1599" i="10"/>
  <c r="T1599" i="10"/>
  <c r="N1599" i="10"/>
  <c r="F1599" i="10"/>
  <c r="AI1598" i="10"/>
  <c r="AD1598" i="10"/>
  <c r="AC1598" i="10"/>
  <c r="AB1598" i="10"/>
  <c r="AA1598" i="10"/>
  <c r="Z1598" i="10"/>
  <c r="U1598" i="10"/>
  <c r="T1598" i="10"/>
  <c r="N1598" i="10"/>
  <c r="F1598" i="10"/>
  <c r="AI1597" i="10"/>
  <c r="AD1597" i="10"/>
  <c r="AC1597" i="10"/>
  <c r="AB1597" i="10"/>
  <c r="AA1597" i="10"/>
  <c r="Z1597" i="10"/>
  <c r="U1597" i="10"/>
  <c r="T1597" i="10"/>
  <c r="N1597" i="10"/>
  <c r="F1597" i="10"/>
  <c r="AI1596" i="10"/>
  <c r="AD1596" i="10"/>
  <c r="AC1596" i="10"/>
  <c r="AB1596" i="10"/>
  <c r="AA1596" i="10"/>
  <c r="Z1596" i="10"/>
  <c r="U1596" i="10"/>
  <c r="T1596" i="10"/>
  <c r="N1596" i="10"/>
  <c r="F1596" i="10"/>
  <c r="AI1595" i="10"/>
  <c r="AD1595" i="10"/>
  <c r="AC1595" i="10"/>
  <c r="AB1595" i="10"/>
  <c r="AA1595" i="10"/>
  <c r="Z1595" i="10"/>
  <c r="U1595" i="10"/>
  <c r="T1595" i="10"/>
  <c r="N1595" i="10"/>
  <c r="F1595" i="10"/>
  <c r="AI1594" i="10"/>
  <c r="AD1594" i="10"/>
  <c r="AC1594" i="10"/>
  <c r="AB1594" i="10"/>
  <c r="AA1594" i="10"/>
  <c r="Z1594" i="10"/>
  <c r="U1594" i="10"/>
  <c r="T1594" i="10"/>
  <c r="N1594" i="10"/>
  <c r="F1594" i="10"/>
  <c r="AI1593" i="10"/>
  <c r="AD1593" i="10"/>
  <c r="AC1593" i="10"/>
  <c r="AB1593" i="10"/>
  <c r="AA1593" i="10"/>
  <c r="Z1593" i="10"/>
  <c r="U1593" i="10"/>
  <c r="T1593" i="10"/>
  <c r="N1593" i="10"/>
  <c r="F1593" i="10"/>
  <c r="AI1592" i="10"/>
  <c r="AD1592" i="10"/>
  <c r="AC1592" i="10"/>
  <c r="AB1592" i="10"/>
  <c r="AA1592" i="10"/>
  <c r="Z1592" i="10"/>
  <c r="U1592" i="10"/>
  <c r="T1592" i="10"/>
  <c r="N1592" i="10"/>
  <c r="F1592" i="10"/>
  <c r="AI1591" i="10"/>
  <c r="AD1591" i="10"/>
  <c r="AC1591" i="10"/>
  <c r="AB1591" i="10"/>
  <c r="AA1591" i="10"/>
  <c r="Z1591" i="10"/>
  <c r="U1591" i="10"/>
  <c r="T1591" i="10"/>
  <c r="N1591" i="10"/>
  <c r="F1591" i="10"/>
  <c r="AI1590" i="10"/>
  <c r="AD1590" i="10"/>
  <c r="AC1590" i="10"/>
  <c r="AB1590" i="10"/>
  <c r="AA1590" i="10"/>
  <c r="Z1590" i="10"/>
  <c r="U1590" i="10"/>
  <c r="T1590" i="10"/>
  <c r="N1590" i="10"/>
  <c r="F1590" i="10"/>
  <c r="AI1589" i="10"/>
  <c r="AD1589" i="10"/>
  <c r="AC1589" i="10"/>
  <c r="AB1589" i="10"/>
  <c r="AA1589" i="10"/>
  <c r="Z1589" i="10"/>
  <c r="U1589" i="10"/>
  <c r="T1589" i="10"/>
  <c r="N1589" i="10"/>
  <c r="F1589" i="10"/>
  <c r="AI1588" i="10"/>
  <c r="AD1588" i="10"/>
  <c r="AC1588" i="10"/>
  <c r="AB1588" i="10"/>
  <c r="AA1588" i="10"/>
  <c r="Z1588" i="10"/>
  <c r="U1588" i="10"/>
  <c r="T1588" i="10"/>
  <c r="N1588" i="10"/>
  <c r="F1588" i="10"/>
  <c r="AI1587" i="10"/>
  <c r="AD1587" i="10"/>
  <c r="AC1587" i="10"/>
  <c r="AB1587" i="10"/>
  <c r="AA1587" i="10"/>
  <c r="Z1587" i="10"/>
  <c r="U1587" i="10"/>
  <c r="T1587" i="10"/>
  <c r="N1587" i="10"/>
  <c r="F1587" i="10"/>
  <c r="AI1586" i="10"/>
  <c r="AD1586" i="10"/>
  <c r="AC1586" i="10"/>
  <c r="AB1586" i="10"/>
  <c r="AA1586" i="10"/>
  <c r="Z1586" i="10"/>
  <c r="U1586" i="10"/>
  <c r="T1586" i="10"/>
  <c r="N1586" i="10"/>
  <c r="F1586" i="10"/>
  <c r="AI1585" i="10"/>
  <c r="AD1585" i="10"/>
  <c r="AC1585" i="10"/>
  <c r="AB1585" i="10"/>
  <c r="AA1585" i="10"/>
  <c r="Z1585" i="10"/>
  <c r="U1585" i="10"/>
  <c r="T1585" i="10"/>
  <c r="N1585" i="10"/>
  <c r="F1585" i="10"/>
  <c r="AI1584" i="10"/>
  <c r="AD1584" i="10"/>
  <c r="AC1584" i="10"/>
  <c r="AB1584" i="10"/>
  <c r="AA1584" i="10"/>
  <c r="Z1584" i="10"/>
  <c r="U1584" i="10"/>
  <c r="T1584" i="10"/>
  <c r="N1584" i="10"/>
  <c r="F1584" i="10"/>
  <c r="AI1583" i="10"/>
  <c r="AD1583" i="10"/>
  <c r="AC1583" i="10"/>
  <c r="AB1583" i="10"/>
  <c r="AA1583" i="10"/>
  <c r="Z1583" i="10"/>
  <c r="U1583" i="10"/>
  <c r="T1583" i="10"/>
  <c r="N1583" i="10"/>
  <c r="F1583" i="10"/>
  <c r="AI1582" i="10"/>
  <c r="AD1582" i="10"/>
  <c r="AC1582" i="10"/>
  <c r="AB1582" i="10"/>
  <c r="AA1582" i="10"/>
  <c r="Z1582" i="10"/>
  <c r="U1582" i="10"/>
  <c r="T1582" i="10"/>
  <c r="N1582" i="10"/>
  <c r="F1582" i="10"/>
  <c r="AI1581" i="10"/>
  <c r="AD1581" i="10"/>
  <c r="AC1581" i="10"/>
  <c r="AB1581" i="10"/>
  <c r="AA1581" i="10"/>
  <c r="Z1581" i="10"/>
  <c r="U1581" i="10"/>
  <c r="T1581" i="10"/>
  <c r="N1581" i="10"/>
  <c r="F1581" i="10"/>
  <c r="AI1580" i="10"/>
  <c r="AD1580" i="10"/>
  <c r="AC1580" i="10"/>
  <c r="AB1580" i="10"/>
  <c r="AA1580" i="10"/>
  <c r="Z1580" i="10"/>
  <c r="U1580" i="10"/>
  <c r="T1580" i="10"/>
  <c r="N1580" i="10"/>
  <c r="F1580" i="10"/>
  <c r="AI1579" i="10"/>
  <c r="AD1579" i="10"/>
  <c r="AC1579" i="10"/>
  <c r="AB1579" i="10"/>
  <c r="AA1579" i="10"/>
  <c r="Z1579" i="10"/>
  <c r="U1579" i="10"/>
  <c r="T1579" i="10"/>
  <c r="N1579" i="10"/>
  <c r="F1579" i="10"/>
  <c r="AI1578" i="10"/>
  <c r="AD1578" i="10"/>
  <c r="AC1578" i="10"/>
  <c r="AB1578" i="10"/>
  <c r="AA1578" i="10"/>
  <c r="Z1578" i="10"/>
  <c r="U1578" i="10"/>
  <c r="T1578" i="10"/>
  <c r="N1578" i="10"/>
  <c r="F1578" i="10"/>
  <c r="AI1577" i="10"/>
  <c r="AD1577" i="10"/>
  <c r="AC1577" i="10"/>
  <c r="AB1577" i="10"/>
  <c r="AA1577" i="10"/>
  <c r="Z1577" i="10"/>
  <c r="U1577" i="10"/>
  <c r="T1577" i="10"/>
  <c r="N1577" i="10"/>
  <c r="F1577" i="10"/>
  <c r="AI1576" i="10"/>
  <c r="AD1576" i="10"/>
  <c r="AC1576" i="10"/>
  <c r="AB1576" i="10"/>
  <c r="AA1576" i="10"/>
  <c r="Z1576" i="10"/>
  <c r="U1576" i="10"/>
  <c r="T1576" i="10"/>
  <c r="N1576" i="10"/>
  <c r="F1576" i="10"/>
  <c r="AI1575" i="10"/>
  <c r="AD1575" i="10"/>
  <c r="AC1575" i="10"/>
  <c r="AB1575" i="10"/>
  <c r="AA1575" i="10"/>
  <c r="Z1575" i="10"/>
  <c r="U1575" i="10"/>
  <c r="T1575" i="10"/>
  <c r="N1575" i="10"/>
  <c r="F1575" i="10"/>
  <c r="AI1574" i="10"/>
  <c r="AD1574" i="10"/>
  <c r="AC1574" i="10"/>
  <c r="AB1574" i="10"/>
  <c r="AA1574" i="10"/>
  <c r="Z1574" i="10"/>
  <c r="U1574" i="10"/>
  <c r="T1574" i="10"/>
  <c r="N1574" i="10"/>
  <c r="F1574" i="10"/>
  <c r="AI1573" i="10"/>
  <c r="AD1573" i="10"/>
  <c r="AC1573" i="10"/>
  <c r="AB1573" i="10"/>
  <c r="AA1573" i="10"/>
  <c r="Z1573" i="10"/>
  <c r="U1573" i="10"/>
  <c r="T1573" i="10"/>
  <c r="N1573" i="10"/>
  <c r="F1573" i="10"/>
  <c r="AI1572" i="10"/>
  <c r="AD1572" i="10"/>
  <c r="AC1572" i="10"/>
  <c r="AB1572" i="10"/>
  <c r="AA1572" i="10"/>
  <c r="Z1572" i="10"/>
  <c r="U1572" i="10"/>
  <c r="T1572" i="10"/>
  <c r="N1572" i="10"/>
  <c r="F1572" i="10"/>
  <c r="AI1571" i="10"/>
  <c r="AD1571" i="10"/>
  <c r="AC1571" i="10"/>
  <c r="AB1571" i="10"/>
  <c r="AA1571" i="10"/>
  <c r="Z1571" i="10"/>
  <c r="U1571" i="10"/>
  <c r="T1571" i="10"/>
  <c r="N1571" i="10"/>
  <c r="F1571" i="10"/>
  <c r="AI1570" i="10"/>
  <c r="AD1570" i="10"/>
  <c r="AC1570" i="10"/>
  <c r="AB1570" i="10"/>
  <c r="AA1570" i="10"/>
  <c r="Z1570" i="10"/>
  <c r="U1570" i="10"/>
  <c r="T1570" i="10"/>
  <c r="N1570" i="10"/>
  <c r="F1570" i="10"/>
  <c r="AI1569" i="10"/>
  <c r="AD1569" i="10"/>
  <c r="AC1569" i="10"/>
  <c r="AB1569" i="10"/>
  <c r="AA1569" i="10"/>
  <c r="Z1569" i="10"/>
  <c r="U1569" i="10"/>
  <c r="T1569" i="10"/>
  <c r="N1569" i="10"/>
  <c r="F1569" i="10"/>
  <c r="AI1568" i="10"/>
  <c r="AD1568" i="10"/>
  <c r="AC1568" i="10"/>
  <c r="AB1568" i="10"/>
  <c r="AA1568" i="10"/>
  <c r="Z1568" i="10"/>
  <c r="U1568" i="10"/>
  <c r="T1568" i="10"/>
  <c r="N1568" i="10"/>
  <c r="F1568" i="10"/>
  <c r="AI1567" i="10"/>
  <c r="AD1567" i="10"/>
  <c r="AC1567" i="10"/>
  <c r="AB1567" i="10"/>
  <c r="AA1567" i="10"/>
  <c r="Z1567" i="10"/>
  <c r="U1567" i="10"/>
  <c r="T1567" i="10"/>
  <c r="N1567" i="10"/>
  <c r="F1567" i="10"/>
  <c r="AI1566" i="10"/>
  <c r="AD1566" i="10"/>
  <c r="AC1566" i="10"/>
  <c r="AB1566" i="10"/>
  <c r="AA1566" i="10"/>
  <c r="Z1566" i="10"/>
  <c r="U1566" i="10"/>
  <c r="T1566" i="10"/>
  <c r="N1566" i="10"/>
  <c r="F1566" i="10"/>
  <c r="AI1565" i="10"/>
  <c r="AD1565" i="10"/>
  <c r="AC1565" i="10"/>
  <c r="AB1565" i="10"/>
  <c r="AA1565" i="10"/>
  <c r="Z1565" i="10"/>
  <c r="U1565" i="10"/>
  <c r="T1565" i="10"/>
  <c r="N1565" i="10"/>
  <c r="F1565" i="10"/>
  <c r="AI1564" i="10"/>
  <c r="AD1564" i="10"/>
  <c r="AC1564" i="10"/>
  <c r="AB1564" i="10"/>
  <c r="AA1564" i="10"/>
  <c r="Z1564" i="10"/>
  <c r="U1564" i="10"/>
  <c r="T1564" i="10"/>
  <c r="N1564" i="10"/>
  <c r="F1564" i="10"/>
  <c r="AI1563" i="10"/>
  <c r="AD1563" i="10"/>
  <c r="AC1563" i="10"/>
  <c r="AB1563" i="10"/>
  <c r="AA1563" i="10"/>
  <c r="Z1563" i="10"/>
  <c r="U1563" i="10"/>
  <c r="T1563" i="10"/>
  <c r="N1563" i="10"/>
  <c r="F1563" i="10"/>
  <c r="AI1562" i="10"/>
  <c r="AD1562" i="10"/>
  <c r="AC1562" i="10"/>
  <c r="AB1562" i="10"/>
  <c r="AA1562" i="10"/>
  <c r="Z1562" i="10"/>
  <c r="U1562" i="10"/>
  <c r="T1562" i="10"/>
  <c r="N1562" i="10"/>
  <c r="F1562" i="10"/>
  <c r="AI1561" i="10"/>
  <c r="AD1561" i="10"/>
  <c r="AC1561" i="10"/>
  <c r="AB1561" i="10"/>
  <c r="AA1561" i="10"/>
  <c r="Z1561" i="10"/>
  <c r="U1561" i="10"/>
  <c r="T1561" i="10"/>
  <c r="N1561" i="10"/>
  <c r="F1561" i="10"/>
  <c r="AI1560" i="10"/>
  <c r="AD1560" i="10"/>
  <c r="AC1560" i="10"/>
  <c r="AB1560" i="10"/>
  <c r="AA1560" i="10"/>
  <c r="Z1560" i="10"/>
  <c r="U1560" i="10"/>
  <c r="T1560" i="10"/>
  <c r="N1560" i="10"/>
  <c r="F1560" i="10"/>
  <c r="AI1559" i="10"/>
  <c r="AD1559" i="10"/>
  <c r="AC1559" i="10"/>
  <c r="AB1559" i="10"/>
  <c r="AA1559" i="10"/>
  <c r="Z1559" i="10"/>
  <c r="U1559" i="10"/>
  <c r="T1559" i="10"/>
  <c r="N1559" i="10"/>
  <c r="F1559" i="10"/>
  <c r="AI1558" i="10"/>
  <c r="AD1558" i="10"/>
  <c r="AC1558" i="10"/>
  <c r="AB1558" i="10"/>
  <c r="AA1558" i="10"/>
  <c r="Z1558" i="10"/>
  <c r="U1558" i="10"/>
  <c r="T1558" i="10"/>
  <c r="N1558" i="10"/>
  <c r="F1558" i="10"/>
  <c r="AI1557" i="10"/>
  <c r="AD1557" i="10"/>
  <c r="AC1557" i="10"/>
  <c r="AB1557" i="10"/>
  <c r="AA1557" i="10"/>
  <c r="Z1557" i="10"/>
  <c r="U1557" i="10"/>
  <c r="T1557" i="10"/>
  <c r="N1557" i="10"/>
  <c r="F1557" i="10"/>
  <c r="AI1556" i="10"/>
  <c r="AD1556" i="10"/>
  <c r="AC1556" i="10"/>
  <c r="AB1556" i="10"/>
  <c r="AA1556" i="10"/>
  <c r="Z1556" i="10"/>
  <c r="U1556" i="10"/>
  <c r="T1556" i="10"/>
  <c r="N1556" i="10"/>
  <c r="F1556" i="10"/>
  <c r="AI1555" i="10"/>
  <c r="AD1555" i="10"/>
  <c r="AC1555" i="10"/>
  <c r="AB1555" i="10"/>
  <c r="AA1555" i="10"/>
  <c r="Z1555" i="10"/>
  <c r="U1555" i="10"/>
  <c r="T1555" i="10"/>
  <c r="N1555" i="10"/>
  <c r="F1555" i="10"/>
  <c r="AI1554" i="10"/>
  <c r="AD1554" i="10"/>
  <c r="AC1554" i="10"/>
  <c r="AB1554" i="10"/>
  <c r="AA1554" i="10"/>
  <c r="Z1554" i="10"/>
  <c r="U1554" i="10"/>
  <c r="T1554" i="10"/>
  <c r="N1554" i="10"/>
  <c r="F1554" i="10"/>
  <c r="AI1553" i="10"/>
  <c r="AD1553" i="10"/>
  <c r="AC1553" i="10"/>
  <c r="AB1553" i="10"/>
  <c r="AA1553" i="10"/>
  <c r="Z1553" i="10"/>
  <c r="U1553" i="10"/>
  <c r="T1553" i="10"/>
  <c r="N1553" i="10"/>
  <c r="F1553" i="10"/>
  <c r="AI1552" i="10"/>
  <c r="AD1552" i="10"/>
  <c r="AC1552" i="10"/>
  <c r="AB1552" i="10"/>
  <c r="AA1552" i="10"/>
  <c r="Z1552" i="10"/>
  <c r="U1552" i="10"/>
  <c r="T1552" i="10"/>
  <c r="N1552" i="10"/>
  <c r="F1552" i="10"/>
  <c r="AI1551" i="10"/>
  <c r="AD1551" i="10"/>
  <c r="AC1551" i="10"/>
  <c r="AB1551" i="10"/>
  <c r="AA1551" i="10"/>
  <c r="Z1551" i="10"/>
  <c r="U1551" i="10"/>
  <c r="T1551" i="10"/>
  <c r="N1551" i="10"/>
  <c r="F1551" i="10"/>
  <c r="AI1550" i="10"/>
  <c r="AD1550" i="10"/>
  <c r="AC1550" i="10"/>
  <c r="AB1550" i="10"/>
  <c r="AA1550" i="10"/>
  <c r="Z1550" i="10"/>
  <c r="U1550" i="10"/>
  <c r="T1550" i="10"/>
  <c r="N1550" i="10"/>
  <c r="F1550" i="10"/>
  <c r="AI1549" i="10"/>
  <c r="AD1549" i="10"/>
  <c r="AC1549" i="10"/>
  <c r="AB1549" i="10"/>
  <c r="AA1549" i="10"/>
  <c r="Z1549" i="10"/>
  <c r="U1549" i="10"/>
  <c r="T1549" i="10"/>
  <c r="N1549" i="10"/>
  <c r="F1549" i="10"/>
  <c r="AI1548" i="10"/>
  <c r="AD1548" i="10"/>
  <c r="AC1548" i="10"/>
  <c r="AB1548" i="10"/>
  <c r="AA1548" i="10"/>
  <c r="Z1548" i="10"/>
  <c r="U1548" i="10"/>
  <c r="T1548" i="10"/>
  <c r="N1548" i="10"/>
  <c r="F1548" i="10"/>
  <c r="AI1547" i="10"/>
  <c r="AD1547" i="10"/>
  <c r="AC1547" i="10"/>
  <c r="AB1547" i="10"/>
  <c r="AA1547" i="10"/>
  <c r="Z1547" i="10"/>
  <c r="U1547" i="10"/>
  <c r="T1547" i="10"/>
  <c r="N1547" i="10"/>
  <c r="F1547" i="10"/>
  <c r="AI1546" i="10"/>
  <c r="AD1546" i="10"/>
  <c r="AC1546" i="10"/>
  <c r="AB1546" i="10"/>
  <c r="AA1546" i="10"/>
  <c r="Z1546" i="10"/>
  <c r="U1546" i="10"/>
  <c r="T1546" i="10"/>
  <c r="N1546" i="10"/>
  <c r="F1546" i="10"/>
  <c r="AI1545" i="10"/>
  <c r="AD1545" i="10"/>
  <c r="AC1545" i="10"/>
  <c r="AB1545" i="10"/>
  <c r="AA1545" i="10"/>
  <c r="Z1545" i="10"/>
  <c r="U1545" i="10"/>
  <c r="T1545" i="10"/>
  <c r="N1545" i="10"/>
  <c r="F1545" i="10"/>
  <c r="AI1544" i="10"/>
  <c r="AD1544" i="10"/>
  <c r="AC1544" i="10"/>
  <c r="AB1544" i="10"/>
  <c r="AA1544" i="10"/>
  <c r="Z1544" i="10"/>
  <c r="U1544" i="10"/>
  <c r="T1544" i="10"/>
  <c r="N1544" i="10"/>
  <c r="F1544" i="10"/>
  <c r="AI1543" i="10"/>
  <c r="AD1543" i="10"/>
  <c r="AC1543" i="10"/>
  <c r="AB1543" i="10"/>
  <c r="AA1543" i="10"/>
  <c r="Z1543" i="10"/>
  <c r="U1543" i="10"/>
  <c r="T1543" i="10"/>
  <c r="N1543" i="10"/>
  <c r="F1543" i="10"/>
  <c r="AI1542" i="10"/>
  <c r="AD1542" i="10"/>
  <c r="AC1542" i="10"/>
  <c r="AB1542" i="10"/>
  <c r="AA1542" i="10"/>
  <c r="Z1542" i="10"/>
  <c r="U1542" i="10"/>
  <c r="T1542" i="10"/>
  <c r="N1542" i="10"/>
  <c r="F1542" i="10"/>
  <c r="AI1541" i="10"/>
  <c r="AD1541" i="10"/>
  <c r="AC1541" i="10"/>
  <c r="AB1541" i="10"/>
  <c r="AA1541" i="10"/>
  <c r="Z1541" i="10"/>
  <c r="U1541" i="10"/>
  <c r="T1541" i="10"/>
  <c r="N1541" i="10"/>
  <c r="F1541" i="10"/>
  <c r="AI1540" i="10"/>
  <c r="AD1540" i="10"/>
  <c r="AC1540" i="10"/>
  <c r="AB1540" i="10"/>
  <c r="AA1540" i="10"/>
  <c r="Z1540" i="10"/>
  <c r="U1540" i="10"/>
  <c r="T1540" i="10"/>
  <c r="N1540" i="10"/>
  <c r="F1540" i="10"/>
  <c r="AI1539" i="10"/>
  <c r="AD1539" i="10"/>
  <c r="AC1539" i="10"/>
  <c r="AB1539" i="10"/>
  <c r="AA1539" i="10"/>
  <c r="Z1539" i="10"/>
  <c r="U1539" i="10"/>
  <c r="T1539" i="10"/>
  <c r="N1539" i="10"/>
  <c r="F1539" i="10"/>
  <c r="AI1538" i="10"/>
  <c r="AD1538" i="10"/>
  <c r="AC1538" i="10"/>
  <c r="AB1538" i="10"/>
  <c r="AA1538" i="10"/>
  <c r="Z1538" i="10"/>
  <c r="U1538" i="10"/>
  <c r="T1538" i="10"/>
  <c r="N1538" i="10"/>
  <c r="F1538" i="10"/>
  <c r="AI1537" i="10"/>
  <c r="AD1537" i="10"/>
  <c r="AC1537" i="10"/>
  <c r="AB1537" i="10"/>
  <c r="AA1537" i="10"/>
  <c r="Z1537" i="10"/>
  <c r="U1537" i="10"/>
  <c r="T1537" i="10"/>
  <c r="N1537" i="10"/>
  <c r="F1537" i="10"/>
  <c r="AI1536" i="10"/>
  <c r="AD1536" i="10"/>
  <c r="AC1536" i="10"/>
  <c r="AB1536" i="10"/>
  <c r="AA1536" i="10"/>
  <c r="Z1536" i="10"/>
  <c r="U1536" i="10"/>
  <c r="T1536" i="10"/>
  <c r="N1536" i="10"/>
  <c r="F1536" i="10"/>
  <c r="AI1535" i="10"/>
  <c r="AD1535" i="10"/>
  <c r="AC1535" i="10"/>
  <c r="AB1535" i="10"/>
  <c r="AA1535" i="10"/>
  <c r="Z1535" i="10"/>
  <c r="U1535" i="10"/>
  <c r="T1535" i="10"/>
  <c r="N1535" i="10"/>
  <c r="F1535" i="10"/>
  <c r="AI1534" i="10"/>
  <c r="AD1534" i="10"/>
  <c r="AC1534" i="10"/>
  <c r="AB1534" i="10"/>
  <c r="AA1534" i="10"/>
  <c r="Z1534" i="10"/>
  <c r="U1534" i="10"/>
  <c r="T1534" i="10"/>
  <c r="N1534" i="10"/>
  <c r="F1534" i="10"/>
  <c r="AI1533" i="10"/>
  <c r="AD1533" i="10"/>
  <c r="AC1533" i="10"/>
  <c r="AB1533" i="10"/>
  <c r="AA1533" i="10"/>
  <c r="Z1533" i="10"/>
  <c r="U1533" i="10"/>
  <c r="T1533" i="10"/>
  <c r="N1533" i="10"/>
  <c r="F1533" i="10"/>
  <c r="AI1532" i="10"/>
  <c r="AD1532" i="10"/>
  <c r="AC1532" i="10"/>
  <c r="AB1532" i="10"/>
  <c r="AA1532" i="10"/>
  <c r="Z1532" i="10"/>
  <c r="U1532" i="10"/>
  <c r="T1532" i="10"/>
  <c r="N1532" i="10"/>
  <c r="F1532" i="10"/>
  <c r="AI1531" i="10"/>
  <c r="AD1531" i="10"/>
  <c r="AC1531" i="10"/>
  <c r="AB1531" i="10"/>
  <c r="AA1531" i="10"/>
  <c r="Z1531" i="10"/>
  <c r="U1531" i="10"/>
  <c r="T1531" i="10"/>
  <c r="N1531" i="10"/>
  <c r="F1531" i="10"/>
  <c r="AI1530" i="10"/>
  <c r="AD1530" i="10"/>
  <c r="AC1530" i="10"/>
  <c r="AB1530" i="10"/>
  <c r="AA1530" i="10"/>
  <c r="Z1530" i="10"/>
  <c r="U1530" i="10"/>
  <c r="T1530" i="10"/>
  <c r="N1530" i="10"/>
  <c r="F1530" i="10"/>
  <c r="AI1529" i="10"/>
  <c r="AD1529" i="10"/>
  <c r="AC1529" i="10"/>
  <c r="AB1529" i="10"/>
  <c r="AA1529" i="10"/>
  <c r="Z1529" i="10"/>
  <c r="U1529" i="10"/>
  <c r="T1529" i="10"/>
  <c r="N1529" i="10"/>
  <c r="F1529" i="10"/>
  <c r="AI1528" i="10"/>
  <c r="AD1528" i="10"/>
  <c r="AC1528" i="10"/>
  <c r="AB1528" i="10"/>
  <c r="AA1528" i="10"/>
  <c r="Z1528" i="10"/>
  <c r="U1528" i="10"/>
  <c r="T1528" i="10"/>
  <c r="N1528" i="10"/>
  <c r="F1528" i="10"/>
  <c r="AI1527" i="10"/>
  <c r="AD1527" i="10"/>
  <c r="AC1527" i="10"/>
  <c r="AB1527" i="10"/>
  <c r="AA1527" i="10"/>
  <c r="Z1527" i="10"/>
  <c r="U1527" i="10"/>
  <c r="T1527" i="10"/>
  <c r="N1527" i="10"/>
  <c r="F1527" i="10"/>
  <c r="AI1526" i="10"/>
  <c r="AD1526" i="10"/>
  <c r="AC1526" i="10"/>
  <c r="AB1526" i="10"/>
  <c r="AA1526" i="10"/>
  <c r="Z1526" i="10"/>
  <c r="U1526" i="10"/>
  <c r="T1526" i="10"/>
  <c r="N1526" i="10"/>
  <c r="F1526" i="10"/>
  <c r="AI1525" i="10"/>
  <c r="AD1525" i="10"/>
  <c r="AC1525" i="10"/>
  <c r="AB1525" i="10"/>
  <c r="AA1525" i="10"/>
  <c r="Z1525" i="10"/>
  <c r="U1525" i="10"/>
  <c r="T1525" i="10"/>
  <c r="N1525" i="10"/>
  <c r="F1525" i="10"/>
  <c r="AI1524" i="10"/>
  <c r="AD1524" i="10"/>
  <c r="AC1524" i="10"/>
  <c r="AB1524" i="10"/>
  <c r="AA1524" i="10"/>
  <c r="Z1524" i="10"/>
  <c r="U1524" i="10"/>
  <c r="T1524" i="10"/>
  <c r="N1524" i="10"/>
  <c r="F1524" i="10"/>
  <c r="AI1523" i="10"/>
  <c r="AD1523" i="10"/>
  <c r="AC1523" i="10"/>
  <c r="AB1523" i="10"/>
  <c r="AA1523" i="10"/>
  <c r="Z1523" i="10"/>
  <c r="U1523" i="10"/>
  <c r="T1523" i="10"/>
  <c r="N1523" i="10"/>
  <c r="F1523" i="10"/>
  <c r="AI1522" i="10"/>
  <c r="AD1522" i="10"/>
  <c r="AC1522" i="10"/>
  <c r="AB1522" i="10"/>
  <c r="AA1522" i="10"/>
  <c r="Z1522" i="10"/>
  <c r="U1522" i="10"/>
  <c r="T1522" i="10"/>
  <c r="N1522" i="10"/>
  <c r="F1522" i="10"/>
  <c r="AI1521" i="10"/>
  <c r="AD1521" i="10"/>
  <c r="AC1521" i="10"/>
  <c r="AB1521" i="10"/>
  <c r="AA1521" i="10"/>
  <c r="Z1521" i="10"/>
  <c r="U1521" i="10"/>
  <c r="T1521" i="10"/>
  <c r="N1521" i="10"/>
  <c r="F1521" i="10"/>
  <c r="AI1520" i="10"/>
  <c r="AD1520" i="10"/>
  <c r="AC1520" i="10"/>
  <c r="AB1520" i="10"/>
  <c r="AA1520" i="10"/>
  <c r="Z1520" i="10"/>
  <c r="U1520" i="10"/>
  <c r="T1520" i="10"/>
  <c r="N1520" i="10"/>
  <c r="F1520" i="10"/>
  <c r="AI1519" i="10"/>
  <c r="AD1519" i="10"/>
  <c r="AC1519" i="10"/>
  <c r="AB1519" i="10"/>
  <c r="AA1519" i="10"/>
  <c r="Z1519" i="10"/>
  <c r="U1519" i="10"/>
  <c r="T1519" i="10"/>
  <c r="N1519" i="10"/>
  <c r="F1519" i="10"/>
  <c r="AI1518" i="10"/>
  <c r="AD1518" i="10"/>
  <c r="AC1518" i="10"/>
  <c r="AB1518" i="10"/>
  <c r="AA1518" i="10"/>
  <c r="Z1518" i="10"/>
  <c r="U1518" i="10"/>
  <c r="T1518" i="10"/>
  <c r="N1518" i="10"/>
  <c r="F1518" i="10"/>
  <c r="AI1517" i="10"/>
  <c r="AD1517" i="10"/>
  <c r="AC1517" i="10"/>
  <c r="AB1517" i="10"/>
  <c r="AA1517" i="10"/>
  <c r="Z1517" i="10"/>
  <c r="U1517" i="10"/>
  <c r="T1517" i="10"/>
  <c r="N1517" i="10"/>
  <c r="F1517" i="10"/>
  <c r="AI1516" i="10"/>
  <c r="AD1516" i="10"/>
  <c r="AC1516" i="10"/>
  <c r="AB1516" i="10"/>
  <c r="AA1516" i="10"/>
  <c r="Z1516" i="10"/>
  <c r="U1516" i="10"/>
  <c r="T1516" i="10"/>
  <c r="N1516" i="10"/>
  <c r="F1516" i="10"/>
  <c r="AI1515" i="10"/>
  <c r="AD1515" i="10"/>
  <c r="AC1515" i="10"/>
  <c r="AB1515" i="10"/>
  <c r="AA1515" i="10"/>
  <c r="Z1515" i="10"/>
  <c r="U1515" i="10"/>
  <c r="T1515" i="10"/>
  <c r="N1515" i="10"/>
  <c r="F1515" i="10"/>
  <c r="AI1514" i="10"/>
  <c r="AD1514" i="10"/>
  <c r="AC1514" i="10"/>
  <c r="AB1514" i="10"/>
  <c r="AA1514" i="10"/>
  <c r="Z1514" i="10"/>
  <c r="U1514" i="10"/>
  <c r="T1514" i="10"/>
  <c r="N1514" i="10"/>
  <c r="F1514" i="10"/>
  <c r="AI1513" i="10"/>
  <c r="AD1513" i="10"/>
  <c r="AC1513" i="10"/>
  <c r="AB1513" i="10"/>
  <c r="AA1513" i="10"/>
  <c r="Z1513" i="10"/>
  <c r="U1513" i="10"/>
  <c r="T1513" i="10"/>
  <c r="N1513" i="10"/>
  <c r="F1513" i="10"/>
  <c r="AI1512" i="10"/>
  <c r="AD1512" i="10"/>
  <c r="AC1512" i="10"/>
  <c r="AB1512" i="10"/>
  <c r="AA1512" i="10"/>
  <c r="Z1512" i="10"/>
  <c r="U1512" i="10"/>
  <c r="T1512" i="10"/>
  <c r="N1512" i="10"/>
  <c r="F1512" i="10"/>
  <c r="AI1511" i="10"/>
  <c r="AD1511" i="10"/>
  <c r="AC1511" i="10"/>
  <c r="AB1511" i="10"/>
  <c r="AA1511" i="10"/>
  <c r="Z1511" i="10"/>
  <c r="U1511" i="10"/>
  <c r="T1511" i="10"/>
  <c r="N1511" i="10"/>
  <c r="F1511" i="10"/>
  <c r="AI1510" i="10"/>
  <c r="AD1510" i="10"/>
  <c r="AC1510" i="10"/>
  <c r="AB1510" i="10"/>
  <c r="AA1510" i="10"/>
  <c r="Z1510" i="10"/>
  <c r="U1510" i="10"/>
  <c r="T1510" i="10"/>
  <c r="N1510" i="10"/>
  <c r="F1510" i="10"/>
  <c r="AI1509" i="10"/>
  <c r="AD1509" i="10"/>
  <c r="AC1509" i="10"/>
  <c r="AB1509" i="10"/>
  <c r="AA1509" i="10"/>
  <c r="Z1509" i="10"/>
  <c r="U1509" i="10"/>
  <c r="T1509" i="10"/>
  <c r="N1509" i="10"/>
  <c r="F1509" i="10"/>
  <c r="AI1508" i="10"/>
  <c r="AD1508" i="10"/>
  <c r="AC1508" i="10"/>
  <c r="AB1508" i="10"/>
  <c r="AA1508" i="10"/>
  <c r="Z1508" i="10"/>
  <c r="U1508" i="10"/>
  <c r="T1508" i="10"/>
  <c r="N1508" i="10"/>
  <c r="F1508" i="10"/>
  <c r="AI1507" i="10"/>
  <c r="AD1507" i="10"/>
  <c r="AC1507" i="10"/>
  <c r="AB1507" i="10"/>
  <c r="AA1507" i="10"/>
  <c r="Z1507" i="10"/>
  <c r="U1507" i="10"/>
  <c r="T1507" i="10"/>
  <c r="N1507" i="10"/>
  <c r="F1507" i="10"/>
  <c r="AI1506" i="10"/>
  <c r="AD1506" i="10"/>
  <c r="AC1506" i="10"/>
  <c r="AB1506" i="10"/>
  <c r="AA1506" i="10"/>
  <c r="Z1506" i="10"/>
  <c r="U1506" i="10"/>
  <c r="T1506" i="10"/>
  <c r="N1506" i="10"/>
  <c r="F1506" i="10"/>
  <c r="AI1505" i="10"/>
  <c r="AD1505" i="10"/>
  <c r="AC1505" i="10"/>
  <c r="AB1505" i="10"/>
  <c r="AA1505" i="10"/>
  <c r="Z1505" i="10"/>
  <c r="U1505" i="10"/>
  <c r="T1505" i="10"/>
  <c r="N1505" i="10"/>
  <c r="F1505" i="10"/>
  <c r="AI1504" i="10"/>
  <c r="AD1504" i="10"/>
  <c r="AC1504" i="10"/>
  <c r="AB1504" i="10"/>
  <c r="AA1504" i="10"/>
  <c r="Z1504" i="10"/>
  <c r="U1504" i="10"/>
  <c r="T1504" i="10"/>
  <c r="N1504" i="10"/>
  <c r="F1504" i="10"/>
  <c r="AI1503" i="10"/>
  <c r="AD1503" i="10"/>
  <c r="AC1503" i="10"/>
  <c r="AB1503" i="10"/>
  <c r="AA1503" i="10"/>
  <c r="Z1503" i="10"/>
  <c r="U1503" i="10"/>
  <c r="T1503" i="10"/>
  <c r="N1503" i="10"/>
  <c r="F1503" i="10"/>
  <c r="AI1502" i="10"/>
  <c r="AD1502" i="10"/>
  <c r="AC1502" i="10"/>
  <c r="AB1502" i="10"/>
  <c r="AA1502" i="10"/>
  <c r="Z1502" i="10"/>
  <c r="U1502" i="10"/>
  <c r="T1502" i="10"/>
  <c r="N1502" i="10"/>
  <c r="F1502" i="10"/>
  <c r="AI1501" i="10"/>
  <c r="AD1501" i="10"/>
  <c r="AC1501" i="10"/>
  <c r="AB1501" i="10"/>
  <c r="AA1501" i="10"/>
  <c r="Z1501" i="10"/>
  <c r="U1501" i="10"/>
  <c r="T1501" i="10"/>
  <c r="N1501" i="10"/>
  <c r="F1501" i="10"/>
  <c r="AI1500" i="10"/>
  <c r="AD1500" i="10"/>
  <c r="AC1500" i="10"/>
  <c r="AB1500" i="10"/>
  <c r="AA1500" i="10"/>
  <c r="Z1500" i="10"/>
  <c r="U1500" i="10"/>
  <c r="T1500" i="10"/>
  <c r="N1500" i="10"/>
  <c r="F1500" i="10"/>
  <c r="AI1499" i="10"/>
  <c r="AD1499" i="10"/>
  <c r="AC1499" i="10"/>
  <c r="AB1499" i="10"/>
  <c r="AA1499" i="10"/>
  <c r="Z1499" i="10"/>
  <c r="U1499" i="10"/>
  <c r="T1499" i="10"/>
  <c r="N1499" i="10"/>
  <c r="F1499" i="10"/>
  <c r="AI1498" i="10"/>
  <c r="AD1498" i="10"/>
  <c r="AC1498" i="10"/>
  <c r="AB1498" i="10"/>
  <c r="AA1498" i="10"/>
  <c r="Z1498" i="10"/>
  <c r="U1498" i="10"/>
  <c r="T1498" i="10"/>
  <c r="N1498" i="10"/>
  <c r="F1498" i="10"/>
  <c r="AI1497" i="10"/>
  <c r="AD1497" i="10"/>
  <c r="AC1497" i="10"/>
  <c r="AB1497" i="10"/>
  <c r="AA1497" i="10"/>
  <c r="Z1497" i="10"/>
  <c r="U1497" i="10"/>
  <c r="T1497" i="10"/>
  <c r="N1497" i="10"/>
  <c r="F1497" i="10"/>
  <c r="AI1496" i="10"/>
  <c r="AD1496" i="10"/>
  <c r="AC1496" i="10"/>
  <c r="AB1496" i="10"/>
  <c r="AA1496" i="10"/>
  <c r="Z1496" i="10"/>
  <c r="U1496" i="10"/>
  <c r="T1496" i="10"/>
  <c r="N1496" i="10"/>
  <c r="F1496" i="10"/>
  <c r="AI1495" i="10"/>
  <c r="AD1495" i="10"/>
  <c r="AC1495" i="10"/>
  <c r="AB1495" i="10"/>
  <c r="AA1495" i="10"/>
  <c r="Z1495" i="10"/>
  <c r="U1495" i="10"/>
  <c r="T1495" i="10"/>
  <c r="N1495" i="10"/>
  <c r="F1495" i="10"/>
  <c r="AI1494" i="10"/>
  <c r="AD1494" i="10"/>
  <c r="AC1494" i="10"/>
  <c r="AB1494" i="10"/>
  <c r="AA1494" i="10"/>
  <c r="Z1494" i="10"/>
  <c r="U1494" i="10"/>
  <c r="T1494" i="10"/>
  <c r="N1494" i="10"/>
  <c r="F1494" i="10"/>
  <c r="AI1493" i="10"/>
  <c r="AD1493" i="10"/>
  <c r="AC1493" i="10"/>
  <c r="AB1493" i="10"/>
  <c r="AA1493" i="10"/>
  <c r="Z1493" i="10"/>
  <c r="U1493" i="10"/>
  <c r="T1493" i="10"/>
  <c r="N1493" i="10"/>
  <c r="F1493" i="10"/>
  <c r="AI1492" i="10"/>
  <c r="AD1492" i="10"/>
  <c r="AC1492" i="10"/>
  <c r="AB1492" i="10"/>
  <c r="AA1492" i="10"/>
  <c r="Z1492" i="10"/>
  <c r="U1492" i="10"/>
  <c r="T1492" i="10"/>
  <c r="N1492" i="10"/>
  <c r="F1492" i="10"/>
  <c r="AI1491" i="10"/>
  <c r="AD1491" i="10"/>
  <c r="AC1491" i="10"/>
  <c r="AB1491" i="10"/>
  <c r="AA1491" i="10"/>
  <c r="Z1491" i="10"/>
  <c r="U1491" i="10"/>
  <c r="T1491" i="10"/>
  <c r="N1491" i="10"/>
  <c r="F1491" i="10"/>
  <c r="AI1490" i="10"/>
  <c r="AD1490" i="10"/>
  <c r="AC1490" i="10"/>
  <c r="AB1490" i="10"/>
  <c r="AA1490" i="10"/>
  <c r="Z1490" i="10"/>
  <c r="U1490" i="10"/>
  <c r="T1490" i="10"/>
  <c r="N1490" i="10"/>
  <c r="F1490" i="10"/>
  <c r="AI1489" i="10"/>
  <c r="AD1489" i="10"/>
  <c r="AC1489" i="10"/>
  <c r="AB1489" i="10"/>
  <c r="AA1489" i="10"/>
  <c r="Z1489" i="10"/>
  <c r="U1489" i="10"/>
  <c r="T1489" i="10"/>
  <c r="N1489" i="10"/>
  <c r="F1489" i="10"/>
  <c r="AI1488" i="10"/>
  <c r="AD1488" i="10"/>
  <c r="AC1488" i="10"/>
  <c r="AB1488" i="10"/>
  <c r="AA1488" i="10"/>
  <c r="Z1488" i="10"/>
  <c r="U1488" i="10"/>
  <c r="T1488" i="10"/>
  <c r="N1488" i="10"/>
  <c r="F1488" i="10"/>
  <c r="AI1487" i="10"/>
  <c r="AD1487" i="10"/>
  <c r="AC1487" i="10"/>
  <c r="AB1487" i="10"/>
  <c r="AA1487" i="10"/>
  <c r="Z1487" i="10"/>
  <c r="U1487" i="10"/>
  <c r="T1487" i="10"/>
  <c r="N1487" i="10"/>
  <c r="F1487" i="10"/>
  <c r="AI1486" i="10"/>
  <c r="AD1486" i="10"/>
  <c r="AC1486" i="10"/>
  <c r="AB1486" i="10"/>
  <c r="AA1486" i="10"/>
  <c r="Z1486" i="10"/>
  <c r="U1486" i="10"/>
  <c r="T1486" i="10"/>
  <c r="N1486" i="10"/>
  <c r="F1486" i="10"/>
  <c r="AI1485" i="10"/>
  <c r="AD1485" i="10"/>
  <c r="AC1485" i="10"/>
  <c r="AB1485" i="10"/>
  <c r="AA1485" i="10"/>
  <c r="Z1485" i="10"/>
  <c r="U1485" i="10"/>
  <c r="T1485" i="10"/>
  <c r="N1485" i="10"/>
  <c r="F1485" i="10"/>
  <c r="AI1484" i="10"/>
  <c r="AD1484" i="10"/>
  <c r="AC1484" i="10"/>
  <c r="AB1484" i="10"/>
  <c r="AA1484" i="10"/>
  <c r="Z1484" i="10"/>
  <c r="U1484" i="10"/>
  <c r="T1484" i="10"/>
  <c r="N1484" i="10"/>
  <c r="F1484" i="10"/>
  <c r="AI1483" i="10"/>
  <c r="AD1483" i="10"/>
  <c r="AC1483" i="10"/>
  <c r="AB1483" i="10"/>
  <c r="AA1483" i="10"/>
  <c r="Z1483" i="10"/>
  <c r="U1483" i="10"/>
  <c r="T1483" i="10"/>
  <c r="N1483" i="10"/>
  <c r="F1483" i="10"/>
  <c r="AI1482" i="10"/>
  <c r="AD1482" i="10"/>
  <c r="AC1482" i="10"/>
  <c r="AB1482" i="10"/>
  <c r="AA1482" i="10"/>
  <c r="Z1482" i="10"/>
  <c r="U1482" i="10"/>
  <c r="T1482" i="10"/>
  <c r="N1482" i="10"/>
  <c r="F1482" i="10"/>
  <c r="AI1481" i="10"/>
  <c r="AD1481" i="10"/>
  <c r="AC1481" i="10"/>
  <c r="AB1481" i="10"/>
  <c r="AA1481" i="10"/>
  <c r="Z1481" i="10"/>
  <c r="U1481" i="10"/>
  <c r="T1481" i="10"/>
  <c r="N1481" i="10"/>
  <c r="F1481" i="10"/>
  <c r="AI1480" i="10"/>
  <c r="AD1480" i="10"/>
  <c r="AC1480" i="10"/>
  <c r="AB1480" i="10"/>
  <c r="AA1480" i="10"/>
  <c r="Z1480" i="10"/>
  <c r="U1480" i="10"/>
  <c r="T1480" i="10"/>
  <c r="N1480" i="10"/>
  <c r="F1480" i="10"/>
  <c r="AI1479" i="10"/>
  <c r="AD1479" i="10"/>
  <c r="AC1479" i="10"/>
  <c r="AB1479" i="10"/>
  <c r="AA1479" i="10"/>
  <c r="Z1479" i="10"/>
  <c r="U1479" i="10"/>
  <c r="T1479" i="10"/>
  <c r="N1479" i="10"/>
  <c r="F1479" i="10"/>
  <c r="AI1478" i="10"/>
  <c r="AD1478" i="10"/>
  <c r="AC1478" i="10"/>
  <c r="AB1478" i="10"/>
  <c r="AA1478" i="10"/>
  <c r="Z1478" i="10"/>
  <c r="U1478" i="10"/>
  <c r="T1478" i="10"/>
  <c r="N1478" i="10"/>
  <c r="F1478" i="10"/>
  <c r="AI1477" i="10"/>
  <c r="AD1477" i="10"/>
  <c r="AC1477" i="10"/>
  <c r="AB1477" i="10"/>
  <c r="AA1477" i="10"/>
  <c r="Z1477" i="10"/>
  <c r="U1477" i="10"/>
  <c r="T1477" i="10"/>
  <c r="N1477" i="10"/>
  <c r="F1477" i="10"/>
  <c r="AI1476" i="10"/>
  <c r="AD1476" i="10"/>
  <c r="AC1476" i="10"/>
  <c r="AB1476" i="10"/>
  <c r="AA1476" i="10"/>
  <c r="Z1476" i="10"/>
  <c r="U1476" i="10"/>
  <c r="T1476" i="10"/>
  <c r="N1476" i="10"/>
  <c r="F1476" i="10"/>
  <c r="AI1475" i="10"/>
  <c r="AD1475" i="10"/>
  <c r="AC1475" i="10"/>
  <c r="AB1475" i="10"/>
  <c r="AA1475" i="10"/>
  <c r="Z1475" i="10"/>
  <c r="U1475" i="10"/>
  <c r="T1475" i="10"/>
  <c r="N1475" i="10"/>
  <c r="F1475" i="10"/>
  <c r="AI1474" i="10"/>
  <c r="AD1474" i="10"/>
  <c r="AC1474" i="10"/>
  <c r="AB1474" i="10"/>
  <c r="AA1474" i="10"/>
  <c r="Z1474" i="10"/>
  <c r="U1474" i="10"/>
  <c r="T1474" i="10"/>
  <c r="N1474" i="10"/>
  <c r="F1474" i="10"/>
  <c r="AI1473" i="10"/>
  <c r="AD1473" i="10"/>
  <c r="AC1473" i="10"/>
  <c r="AB1473" i="10"/>
  <c r="AA1473" i="10"/>
  <c r="Z1473" i="10"/>
  <c r="U1473" i="10"/>
  <c r="T1473" i="10"/>
  <c r="N1473" i="10"/>
  <c r="F1473" i="10"/>
  <c r="AI1472" i="10"/>
  <c r="AD1472" i="10"/>
  <c r="AC1472" i="10"/>
  <c r="AB1472" i="10"/>
  <c r="AA1472" i="10"/>
  <c r="Z1472" i="10"/>
  <c r="U1472" i="10"/>
  <c r="T1472" i="10"/>
  <c r="N1472" i="10"/>
  <c r="F1472" i="10"/>
  <c r="AI1471" i="10"/>
  <c r="AD1471" i="10"/>
  <c r="AC1471" i="10"/>
  <c r="AB1471" i="10"/>
  <c r="AA1471" i="10"/>
  <c r="Z1471" i="10"/>
  <c r="U1471" i="10"/>
  <c r="T1471" i="10"/>
  <c r="N1471" i="10"/>
  <c r="F1471" i="10"/>
  <c r="AI1470" i="10"/>
  <c r="AD1470" i="10"/>
  <c r="AC1470" i="10"/>
  <c r="AB1470" i="10"/>
  <c r="AA1470" i="10"/>
  <c r="Z1470" i="10"/>
  <c r="U1470" i="10"/>
  <c r="T1470" i="10"/>
  <c r="N1470" i="10"/>
  <c r="F1470" i="10"/>
  <c r="AI1469" i="10"/>
  <c r="AD1469" i="10"/>
  <c r="AC1469" i="10"/>
  <c r="AB1469" i="10"/>
  <c r="AA1469" i="10"/>
  <c r="Z1469" i="10"/>
  <c r="U1469" i="10"/>
  <c r="T1469" i="10"/>
  <c r="N1469" i="10"/>
  <c r="F1469" i="10"/>
  <c r="AI1468" i="10"/>
  <c r="AD1468" i="10"/>
  <c r="AC1468" i="10"/>
  <c r="AB1468" i="10"/>
  <c r="AA1468" i="10"/>
  <c r="Z1468" i="10"/>
  <c r="U1468" i="10"/>
  <c r="T1468" i="10"/>
  <c r="N1468" i="10"/>
  <c r="F1468" i="10"/>
  <c r="AI1467" i="10"/>
  <c r="AD1467" i="10"/>
  <c r="AC1467" i="10"/>
  <c r="AB1467" i="10"/>
  <c r="AA1467" i="10"/>
  <c r="Z1467" i="10"/>
  <c r="U1467" i="10"/>
  <c r="T1467" i="10"/>
  <c r="N1467" i="10"/>
  <c r="F1467" i="10"/>
  <c r="AI1466" i="10"/>
  <c r="AD1466" i="10"/>
  <c r="AC1466" i="10"/>
  <c r="AB1466" i="10"/>
  <c r="AA1466" i="10"/>
  <c r="Z1466" i="10"/>
  <c r="U1466" i="10"/>
  <c r="T1466" i="10"/>
  <c r="N1466" i="10"/>
  <c r="F1466" i="10"/>
  <c r="AI1465" i="10"/>
  <c r="AD1465" i="10"/>
  <c r="AC1465" i="10"/>
  <c r="AB1465" i="10"/>
  <c r="AA1465" i="10"/>
  <c r="Z1465" i="10"/>
  <c r="U1465" i="10"/>
  <c r="T1465" i="10"/>
  <c r="N1465" i="10"/>
  <c r="F1465" i="10"/>
  <c r="AI1464" i="10"/>
  <c r="AD1464" i="10"/>
  <c r="AC1464" i="10"/>
  <c r="AB1464" i="10"/>
  <c r="AA1464" i="10"/>
  <c r="Z1464" i="10"/>
  <c r="U1464" i="10"/>
  <c r="T1464" i="10"/>
  <c r="N1464" i="10"/>
  <c r="F1464" i="10"/>
  <c r="AI1463" i="10"/>
  <c r="AD1463" i="10"/>
  <c r="AC1463" i="10"/>
  <c r="AB1463" i="10"/>
  <c r="AA1463" i="10"/>
  <c r="Z1463" i="10"/>
  <c r="U1463" i="10"/>
  <c r="T1463" i="10"/>
  <c r="N1463" i="10"/>
  <c r="F1463" i="10"/>
  <c r="AI1462" i="10"/>
  <c r="AD1462" i="10"/>
  <c r="AC1462" i="10"/>
  <c r="AB1462" i="10"/>
  <c r="AA1462" i="10"/>
  <c r="Z1462" i="10"/>
  <c r="U1462" i="10"/>
  <c r="T1462" i="10"/>
  <c r="N1462" i="10"/>
  <c r="F1462" i="10"/>
  <c r="AI1461" i="10"/>
  <c r="AD1461" i="10"/>
  <c r="AC1461" i="10"/>
  <c r="AB1461" i="10"/>
  <c r="AA1461" i="10"/>
  <c r="Z1461" i="10"/>
  <c r="U1461" i="10"/>
  <c r="T1461" i="10"/>
  <c r="N1461" i="10"/>
  <c r="F1461" i="10"/>
  <c r="AI1460" i="10"/>
  <c r="AD1460" i="10"/>
  <c r="AC1460" i="10"/>
  <c r="AB1460" i="10"/>
  <c r="AA1460" i="10"/>
  <c r="Z1460" i="10"/>
  <c r="U1460" i="10"/>
  <c r="T1460" i="10"/>
  <c r="N1460" i="10"/>
  <c r="F1460" i="10"/>
  <c r="AI1459" i="10"/>
  <c r="AD1459" i="10"/>
  <c r="AC1459" i="10"/>
  <c r="AB1459" i="10"/>
  <c r="AA1459" i="10"/>
  <c r="Z1459" i="10"/>
  <c r="U1459" i="10"/>
  <c r="T1459" i="10"/>
  <c r="N1459" i="10"/>
  <c r="F1459" i="10"/>
  <c r="AI1458" i="10"/>
  <c r="AD1458" i="10"/>
  <c r="AC1458" i="10"/>
  <c r="AB1458" i="10"/>
  <c r="AA1458" i="10"/>
  <c r="Z1458" i="10"/>
  <c r="U1458" i="10"/>
  <c r="T1458" i="10"/>
  <c r="N1458" i="10"/>
  <c r="F1458" i="10"/>
  <c r="AI1457" i="10"/>
  <c r="AD1457" i="10"/>
  <c r="AC1457" i="10"/>
  <c r="AB1457" i="10"/>
  <c r="AA1457" i="10"/>
  <c r="Z1457" i="10"/>
  <c r="U1457" i="10"/>
  <c r="T1457" i="10"/>
  <c r="N1457" i="10"/>
  <c r="F1457" i="10"/>
  <c r="AI1456" i="10"/>
  <c r="AD1456" i="10"/>
  <c r="AC1456" i="10"/>
  <c r="AB1456" i="10"/>
  <c r="AA1456" i="10"/>
  <c r="Z1456" i="10"/>
  <c r="U1456" i="10"/>
  <c r="T1456" i="10"/>
  <c r="N1456" i="10"/>
  <c r="F1456" i="10"/>
  <c r="AI1455" i="10"/>
  <c r="AD1455" i="10"/>
  <c r="AC1455" i="10"/>
  <c r="AB1455" i="10"/>
  <c r="AA1455" i="10"/>
  <c r="Z1455" i="10"/>
  <c r="U1455" i="10"/>
  <c r="T1455" i="10"/>
  <c r="N1455" i="10"/>
  <c r="F1455" i="10"/>
  <c r="AI1454" i="10"/>
  <c r="AD1454" i="10"/>
  <c r="AC1454" i="10"/>
  <c r="AB1454" i="10"/>
  <c r="AA1454" i="10"/>
  <c r="Z1454" i="10"/>
  <c r="U1454" i="10"/>
  <c r="T1454" i="10"/>
  <c r="N1454" i="10"/>
  <c r="F1454" i="10"/>
  <c r="AI1453" i="10"/>
  <c r="AD1453" i="10"/>
  <c r="AC1453" i="10"/>
  <c r="AB1453" i="10"/>
  <c r="AA1453" i="10"/>
  <c r="Z1453" i="10"/>
  <c r="U1453" i="10"/>
  <c r="T1453" i="10"/>
  <c r="N1453" i="10"/>
  <c r="F1453" i="10"/>
  <c r="AI1452" i="10"/>
  <c r="AD1452" i="10"/>
  <c r="AC1452" i="10"/>
  <c r="AB1452" i="10"/>
  <c r="AA1452" i="10"/>
  <c r="Z1452" i="10"/>
  <c r="U1452" i="10"/>
  <c r="T1452" i="10"/>
  <c r="N1452" i="10"/>
  <c r="F1452" i="10"/>
  <c r="AI1451" i="10"/>
  <c r="AD1451" i="10"/>
  <c r="AC1451" i="10"/>
  <c r="AB1451" i="10"/>
  <c r="AA1451" i="10"/>
  <c r="Z1451" i="10"/>
  <c r="U1451" i="10"/>
  <c r="T1451" i="10"/>
  <c r="N1451" i="10"/>
  <c r="F1451" i="10"/>
  <c r="AI1450" i="10"/>
  <c r="AD1450" i="10"/>
  <c r="AC1450" i="10"/>
  <c r="AB1450" i="10"/>
  <c r="AA1450" i="10"/>
  <c r="Z1450" i="10"/>
  <c r="U1450" i="10"/>
  <c r="T1450" i="10"/>
  <c r="N1450" i="10"/>
  <c r="F1450" i="10"/>
  <c r="AI1449" i="10"/>
  <c r="AD1449" i="10"/>
  <c r="AC1449" i="10"/>
  <c r="AB1449" i="10"/>
  <c r="AA1449" i="10"/>
  <c r="Z1449" i="10"/>
  <c r="U1449" i="10"/>
  <c r="T1449" i="10"/>
  <c r="N1449" i="10"/>
  <c r="F1449" i="10"/>
  <c r="AI1448" i="10"/>
  <c r="AD1448" i="10"/>
  <c r="AC1448" i="10"/>
  <c r="AB1448" i="10"/>
  <c r="AA1448" i="10"/>
  <c r="Z1448" i="10"/>
  <c r="U1448" i="10"/>
  <c r="T1448" i="10"/>
  <c r="N1448" i="10"/>
  <c r="F1448" i="10"/>
  <c r="AI1447" i="10"/>
  <c r="AD1447" i="10"/>
  <c r="AC1447" i="10"/>
  <c r="AB1447" i="10"/>
  <c r="AA1447" i="10"/>
  <c r="Z1447" i="10"/>
  <c r="U1447" i="10"/>
  <c r="T1447" i="10"/>
  <c r="N1447" i="10"/>
  <c r="F1447" i="10"/>
  <c r="AI1446" i="10"/>
  <c r="AD1446" i="10"/>
  <c r="AC1446" i="10"/>
  <c r="AB1446" i="10"/>
  <c r="AA1446" i="10"/>
  <c r="Z1446" i="10"/>
  <c r="U1446" i="10"/>
  <c r="T1446" i="10"/>
  <c r="N1446" i="10"/>
  <c r="F1446" i="10"/>
  <c r="AI1445" i="10"/>
  <c r="AD1445" i="10"/>
  <c r="AC1445" i="10"/>
  <c r="AB1445" i="10"/>
  <c r="AA1445" i="10"/>
  <c r="Z1445" i="10"/>
  <c r="U1445" i="10"/>
  <c r="T1445" i="10"/>
  <c r="N1445" i="10"/>
  <c r="F1445" i="10"/>
  <c r="AI1444" i="10"/>
  <c r="AD1444" i="10"/>
  <c r="AC1444" i="10"/>
  <c r="AB1444" i="10"/>
  <c r="AA1444" i="10"/>
  <c r="Z1444" i="10"/>
  <c r="U1444" i="10"/>
  <c r="T1444" i="10"/>
  <c r="N1444" i="10"/>
  <c r="F1444" i="10"/>
  <c r="AI1443" i="10"/>
  <c r="AD1443" i="10"/>
  <c r="AC1443" i="10"/>
  <c r="AB1443" i="10"/>
  <c r="AA1443" i="10"/>
  <c r="Z1443" i="10"/>
  <c r="U1443" i="10"/>
  <c r="T1443" i="10"/>
  <c r="N1443" i="10"/>
  <c r="F1443" i="10"/>
  <c r="AI1442" i="10"/>
  <c r="AD1442" i="10"/>
  <c r="AC1442" i="10"/>
  <c r="AB1442" i="10"/>
  <c r="AA1442" i="10"/>
  <c r="Z1442" i="10"/>
  <c r="U1442" i="10"/>
  <c r="T1442" i="10"/>
  <c r="N1442" i="10"/>
  <c r="F1442" i="10"/>
  <c r="AI1441" i="10"/>
  <c r="AD1441" i="10"/>
  <c r="AC1441" i="10"/>
  <c r="AB1441" i="10"/>
  <c r="AA1441" i="10"/>
  <c r="Z1441" i="10"/>
  <c r="U1441" i="10"/>
  <c r="T1441" i="10"/>
  <c r="N1441" i="10"/>
  <c r="F1441" i="10"/>
  <c r="AI1440" i="10"/>
  <c r="AD1440" i="10"/>
  <c r="AC1440" i="10"/>
  <c r="AB1440" i="10"/>
  <c r="AA1440" i="10"/>
  <c r="Z1440" i="10"/>
  <c r="U1440" i="10"/>
  <c r="T1440" i="10"/>
  <c r="N1440" i="10"/>
  <c r="F1440" i="10"/>
  <c r="AI1439" i="10"/>
  <c r="AD1439" i="10"/>
  <c r="AC1439" i="10"/>
  <c r="AB1439" i="10"/>
  <c r="AA1439" i="10"/>
  <c r="Z1439" i="10"/>
  <c r="U1439" i="10"/>
  <c r="T1439" i="10"/>
  <c r="N1439" i="10"/>
  <c r="F1439" i="10"/>
  <c r="AI1438" i="10"/>
  <c r="AD1438" i="10"/>
  <c r="AC1438" i="10"/>
  <c r="AB1438" i="10"/>
  <c r="AA1438" i="10"/>
  <c r="Z1438" i="10"/>
  <c r="U1438" i="10"/>
  <c r="T1438" i="10"/>
  <c r="N1438" i="10"/>
  <c r="F1438" i="10"/>
  <c r="AI1437" i="10"/>
  <c r="AD1437" i="10"/>
  <c r="AC1437" i="10"/>
  <c r="AB1437" i="10"/>
  <c r="AA1437" i="10"/>
  <c r="Z1437" i="10"/>
  <c r="U1437" i="10"/>
  <c r="T1437" i="10"/>
  <c r="N1437" i="10"/>
  <c r="F1437" i="10"/>
  <c r="AI1436" i="10"/>
  <c r="AD1436" i="10"/>
  <c r="AC1436" i="10"/>
  <c r="AB1436" i="10"/>
  <c r="AA1436" i="10"/>
  <c r="Z1436" i="10"/>
  <c r="U1436" i="10"/>
  <c r="T1436" i="10"/>
  <c r="N1436" i="10"/>
  <c r="F1436" i="10"/>
  <c r="AI1435" i="10"/>
  <c r="AD1435" i="10"/>
  <c r="AC1435" i="10"/>
  <c r="AB1435" i="10"/>
  <c r="AA1435" i="10"/>
  <c r="Z1435" i="10"/>
  <c r="U1435" i="10"/>
  <c r="T1435" i="10"/>
  <c r="N1435" i="10"/>
  <c r="F1435" i="10"/>
  <c r="AI1434" i="10"/>
  <c r="AD1434" i="10"/>
  <c r="AC1434" i="10"/>
  <c r="AB1434" i="10"/>
  <c r="AA1434" i="10"/>
  <c r="Z1434" i="10"/>
  <c r="U1434" i="10"/>
  <c r="T1434" i="10"/>
  <c r="N1434" i="10"/>
  <c r="F1434" i="10"/>
  <c r="AI1433" i="10"/>
  <c r="AD1433" i="10"/>
  <c r="AC1433" i="10"/>
  <c r="AB1433" i="10"/>
  <c r="AA1433" i="10"/>
  <c r="Z1433" i="10"/>
  <c r="U1433" i="10"/>
  <c r="T1433" i="10"/>
  <c r="N1433" i="10"/>
  <c r="F1433" i="10"/>
  <c r="AI1432" i="10"/>
  <c r="AD1432" i="10"/>
  <c r="AC1432" i="10"/>
  <c r="AB1432" i="10"/>
  <c r="AA1432" i="10"/>
  <c r="Z1432" i="10"/>
  <c r="U1432" i="10"/>
  <c r="T1432" i="10"/>
  <c r="N1432" i="10"/>
  <c r="F1432" i="10"/>
  <c r="AI1431" i="10"/>
  <c r="AD1431" i="10"/>
  <c r="AC1431" i="10"/>
  <c r="AB1431" i="10"/>
  <c r="AA1431" i="10"/>
  <c r="Z1431" i="10"/>
  <c r="U1431" i="10"/>
  <c r="T1431" i="10"/>
  <c r="N1431" i="10"/>
  <c r="F1431" i="10"/>
  <c r="AI1430" i="10"/>
  <c r="AD1430" i="10"/>
  <c r="AC1430" i="10"/>
  <c r="AB1430" i="10"/>
  <c r="AA1430" i="10"/>
  <c r="Z1430" i="10"/>
  <c r="U1430" i="10"/>
  <c r="T1430" i="10"/>
  <c r="N1430" i="10"/>
  <c r="F1430" i="10"/>
  <c r="AI1429" i="10"/>
  <c r="AD1429" i="10"/>
  <c r="AC1429" i="10"/>
  <c r="AB1429" i="10"/>
  <c r="AA1429" i="10"/>
  <c r="Z1429" i="10"/>
  <c r="U1429" i="10"/>
  <c r="T1429" i="10"/>
  <c r="N1429" i="10"/>
  <c r="F1429" i="10"/>
  <c r="AI1428" i="10"/>
  <c r="AD1428" i="10"/>
  <c r="AC1428" i="10"/>
  <c r="AB1428" i="10"/>
  <c r="AA1428" i="10"/>
  <c r="Z1428" i="10"/>
  <c r="U1428" i="10"/>
  <c r="T1428" i="10"/>
  <c r="N1428" i="10"/>
  <c r="F1428" i="10"/>
  <c r="AI1427" i="10"/>
  <c r="AD1427" i="10"/>
  <c r="AC1427" i="10"/>
  <c r="AB1427" i="10"/>
  <c r="AA1427" i="10"/>
  <c r="Z1427" i="10"/>
  <c r="U1427" i="10"/>
  <c r="T1427" i="10"/>
  <c r="N1427" i="10"/>
  <c r="F1427" i="10"/>
  <c r="AI1426" i="10"/>
  <c r="AD1426" i="10"/>
  <c r="AC1426" i="10"/>
  <c r="AB1426" i="10"/>
  <c r="AA1426" i="10"/>
  <c r="Z1426" i="10"/>
  <c r="U1426" i="10"/>
  <c r="T1426" i="10"/>
  <c r="N1426" i="10"/>
  <c r="F1426" i="10"/>
  <c r="AI1425" i="10"/>
  <c r="AD1425" i="10"/>
  <c r="AC1425" i="10"/>
  <c r="AB1425" i="10"/>
  <c r="AA1425" i="10"/>
  <c r="Z1425" i="10"/>
  <c r="U1425" i="10"/>
  <c r="T1425" i="10"/>
  <c r="N1425" i="10"/>
  <c r="F1425" i="10"/>
  <c r="AI1424" i="10"/>
  <c r="AD1424" i="10"/>
  <c r="AC1424" i="10"/>
  <c r="AB1424" i="10"/>
  <c r="AA1424" i="10"/>
  <c r="Z1424" i="10"/>
  <c r="U1424" i="10"/>
  <c r="T1424" i="10"/>
  <c r="N1424" i="10"/>
  <c r="F1424" i="10"/>
  <c r="AI1423" i="10"/>
  <c r="AD1423" i="10"/>
  <c r="AC1423" i="10"/>
  <c r="AB1423" i="10"/>
  <c r="AA1423" i="10"/>
  <c r="Z1423" i="10"/>
  <c r="U1423" i="10"/>
  <c r="T1423" i="10"/>
  <c r="N1423" i="10"/>
  <c r="F1423" i="10"/>
  <c r="AI1422" i="10"/>
  <c r="AD1422" i="10"/>
  <c r="AC1422" i="10"/>
  <c r="AB1422" i="10"/>
  <c r="AA1422" i="10"/>
  <c r="Z1422" i="10"/>
  <c r="U1422" i="10"/>
  <c r="T1422" i="10"/>
  <c r="N1422" i="10"/>
  <c r="F1422" i="10"/>
  <c r="AI1421" i="10"/>
  <c r="AD1421" i="10"/>
  <c r="AC1421" i="10"/>
  <c r="AB1421" i="10"/>
  <c r="AA1421" i="10"/>
  <c r="Z1421" i="10"/>
  <c r="U1421" i="10"/>
  <c r="T1421" i="10"/>
  <c r="N1421" i="10"/>
  <c r="F1421" i="10"/>
  <c r="AI1420" i="10"/>
  <c r="AD1420" i="10"/>
  <c r="AC1420" i="10"/>
  <c r="AB1420" i="10"/>
  <c r="AA1420" i="10"/>
  <c r="Z1420" i="10"/>
  <c r="U1420" i="10"/>
  <c r="T1420" i="10"/>
  <c r="N1420" i="10"/>
  <c r="F1420" i="10"/>
  <c r="AI1419" i="10"/>
  <c r="AD1419" i="10"/>
  <c r="AC1419" i="10"/>
  <c r="AB1419" i="10"/>
  <c r="AA1419" i="10"/>
  <c r="Z1419" i="10"/>
  <c r="U1419" i="10"/>
  <c r="T1419" i="10"/>
  <c r="N1419" i="10"/>
  <c r="F1419" i="10"/>
  <c r="AI1418" i="10"/>
  <c r="AD1418" i="10"/>
  <c r="AC1418" i="10"/>
  <c r="AB1418" i="10"/>
  <c r="AA1418" i="10"/>
  <c r="Z1418" i="10"/>
  <c r="U1418" i="10"/>
  <c r="T1418" i="10"/>
  <c r="N1418" i="10"/>
  <c r="F1418" i="10"/>
  <c r="AI1417" i="10"/>
  <c r="AD1417" i="10"/>
  <c r="AC1417" i="10"/>
  <c r="AB1417" i="10"/>
  <c r="AA1417" i="10"/>
  <c r="Z1417" i="10"/>
  <c r="U1417" i="10"/>
  <c r="T1417" i="10"/>
  <c r="N1417" i="10"/>
  <c r="F1417" i="10"/>
  <c r="AI1416" i="10"/>
  <c r="AD1416" i="10"/>
  <c r="AC1416" i="10"/>
  <c r="AB1416" i="10"/>
  <c r="AA1416" i="10"/>
  <c r="Z1416" i="10"/>
  <c r="U1416" i="10"/>
  <c r="T1416" i="10"/>
  <c r="N1416" i="10"/>
  <c r="F1416" i="10"/>
  <c r="AI1415" i="10"/>
  <c r="AD1415" i="10"/>
  <c r="AC1415" i="10"/>
  <c r="AB1415" i="10"/>
  <c r="AA1415" i="10"/>
  <c r="Z1415" i="10"/>
  <c r="U1415" i="10"/>
  <c r="T1415" i="10"/>
  <c r="N1415" i="10"/>
  <c r="F1415" i="10"/>
  <c r="AI1414" i="10"/>
  <c r="AD1414" i="10"/>
  <c r="AC1414" i="10"/>
  <c r="AB1414" i="10"/>
  <c r="AA1414" i="10"/>
  <c r="Z1414" i="10"/>
  <c r="U1414" i="10"/>
  <c r="T1414" i="10"/>
  <c r="N1414" i="10"/>
  <c r="F1414" i="10"/>
  <c r="AI1413" i="10"/>
  <c r="AD1413" i="10"/>
  <c r="AC1413" i="10"/>
  <c r="AB1413" i="10"/>
  <c r="AA1413" i="10"/>
  <c r="Z1413" i="10"/>
  <c r="U1413" i="10"/>
  <c r="T1413" i="10"/>
  <c r="N1413" i="10"/>
  <c r="F1413" i="10"/>
  <c r="AI1412" i="10"/>
  <c r="AD1412" i="10"/>
  <c r="AC1412" i="10"/>
  <c r="AB1412" i="10"/>
  <c r="AA1412" i="10"/>
  <c r="Z1412" i="10"/>
  <c r="U1412" i="10"/>
  <c r="T1412" i="10"/>
  <c r="N1412" i="10"/>
  <c r="F1412" i="10"/>
  <c r="AI1411" i="10"/>
  <c r="AD1411" i="10"/>
  <c r="AC1411" i="10"/>
  <c r="AB1411" i="10"/>
  <c r="AA1411" i="10"/>
  <c r="Z1411" i="10"/>
  <c r="U1411" i="10"/>
  <c r="T1411" i="10"/>
  <c r="N1411" i="10"/>
  <c r="F1411" i="10"/>
  <c r="AI1410" i="10"/>
  <c r="AD1410" i="10"/>
  <c r="AC1410" i="10"/>
  <c r="AB1410" i="10"/>
  <c r="AA1410" i="10"/>
  <c r="Z1410" i="10"/>
  <c r="U1410" i="10"/>
  <c r="T1410" i="10"/>
  <c r="N1410" i="10"/>
  <c r="F1410" i="10"/>
  <c r="AI1409" i="10"/>
  <c r="AD1409" i="10"/>
  <c r="AC1409" i="10"/>
  <c r="AB1409" i="10"/>
  <c r="AA1409" i="10"/>
  <c r="Z1409" i="10"/>
  <c r="U1409" i="10"/>
  <c r="T1409" i="10"/>
  <c r="N1409" i="10"/>
  <c r="F1409" i="10"/>
  <c r="AI1408" i="10"/>
  <c r="AD1408" i="10"/>
  <c r="AC1408" i="10"/>
  <c r="AB1408" i="10"/>
  <c r="AA1408" i="10"/>
  <c r="Z1408" i="10"/>
  <c r="U1408" i="10"/>
  <c r="T1408" i="10"/>
  <c r="N1408" i="10"/>
  <c r="F1408" i="10"/>
  <c r="AI1407" i="10"/>
  <c r="AD1407" i="10"/>
  <c r="AC1407" i="10"/>
  <c r="AB1407" i="10"/>
  <c r="AA1407" i="10"/>
  <c r="Z1407" i="10"/>
  <c r="U1407" i="10"/>
  <c r="T1407" i="10"/>
  <c r="N1407" i="10"/>
  <c r="F1407" i="10"/>
  <c r="AI1406" i="10"/>
  <c r="AD1406" i="10"/>
  <c r="AC1406" i="10"/>
  <c r="AB1406" i="10"/>
  <c r="AA1406" i="10"/>
  <c r="Z1406" i="10"/>
  <c r="U1406" i="10"/>
  <c r="T1406" i="10"/>
  <c r="N1406" i="10"/>
  <c r="F1406" i="10"/>
  <c r="AI1405" i="10"/>
  <c r="AD1405" i="10"/>
  <c r="AC1405" i="10"/>
  <c r="AB1405" i="10"/>
  <c r="AA1405" i="10"/>
  <c r="Z1405" i="10"/>
  <c r="U1405" i="10"/>
  <c r="T1405" i="10"/>
  <c r="N1405" i="10"/>
  <c r="F1405" i="10"/>
  <c r="AI1404" i="10"/>
  <c r="AD1404" i="10"/>
  <c r="AC1404" i="10"/>
  <c r="AB1404" i="10"/>
  <c r="AA1404" i="10"/>
  <c r="Z1404" i="10"/>
  <c r="U1404" i="10"/>
  <c r="T1404" i="10"/>
  <c r="N1404" i="10"/>
  <c r="F1404" i="10"/>
  <c r="AI1403" i="10"/>
  <c r="AD1403" i="10"/>
  <c r="AC1403" i="10"/>
  <c r="AB1403" i="10"/>
  <c r="AA1403" i="10"/>
  <c r="Z1403" i="10"/>
  <c r="U1403" i="10"/>
  <c r="T1403" i="10"/>
  <c r="N1403" i="10"/>
  <c r="F1403" i="10"/>
  <c r="AI1402" i="10"/>
  <c r="AD1402" i="10"/>
  <c r="AC1402" i="10"/>
  <c r="AB1402" i="10"/>
  <c r="AA1402" i="10"/>
  <c r="Z1402" i="10"/>
  <c r="U1402" i="10"/>
  <c r="T1402" i="10"/>
  <c r="N1402" i="10"/>
  <c r="F1402" i="10"/>
  <c r="AI1401" i="10"/>
  <c r="AD1401" i="10"/>
  <c r="AC1401" i="10"/>
  <c r="AB1401" i="10"/>
  <c r="AA1401" i="10"/>
  <c r="Z1401" i="10"/>
  <c r="U1401" i="10"/>
  <c r="T1401" i="10"/>
  <c r="N1401" i="10"/>
  <c r="F1401" i="10"/>
  <c r="AI1400" i="10"/>
  <c r="AD1400" i="10"/>
  <c r="AC1400" i="10"/>
  <c r="AB1400" i="10"/>
  <c r="AA1400" i="10"/>
  <c r="Z1400" i="10"/>
  <c r="U1400" i="10"/>
  <c r="T1400" i="10"/>
  <c r="N1400" i="10"/>
  <c r="F1400" i="10"/>
  <c r="AI1399" i="10"/>
  <c r="AD1399" i="10"/>
  <c r="AC1399" i="10"/>
  <c r="AB1399" i="10"/>
  <c r="AA1399" i="10"/>
  <c r="Z1399" i="10"/>
  <c r="U1399" i="10"/>
  <c r="T1399" i="10"/>
  <c r="N1399" i="10"/>
  <c r="F1399" i="10"/>
  <c r="AI1398" i="10"/>
  <c r="AD1398" i="10"/>
  <c r="AC1398" i="10"/>
  <c r="AB1398" i="10"/>
  <c r="AA1398" i="10"/>
  <c r="Z1398" i="10"/>
  <c r="U1398" i="10"/>
  <c r="T1398" i="10"/>
  <c r="N1398" i="10"/>
  <c r="F1398" i="10"/>
  <c r="AI1397" i="10"/>
  <c r="AD1397" i="10"/>
  <c r="AC1397" i="10"/>
  <c r="AB1397" i="10"/>
  <c r="AA1397" i="10"/>
  <c r="Z1397" i="10"/>
  <c r="U1397" i="10"/>
  <c r="T1397" i="10"/>
  <c r="N1397" i="10"/>
  <c r="F1397" i="10"/>
  <c r="AI1396" i="10"/>
  <c r="AD1396" i="10"/>
  <c r="AC1396" i="10"/>
  <c r="AB1396" i="10"/>
  <c r="AA1396" i="10"/>
  <c r="Z1396" i="10"/>
  <c r="U1396" i="10"/>
  <c r="T1396" i="10"/>
  <c r="N1396" i="10"/>
  <c r="F1396" i="10"/>
  <c r="AI1395" i="10"/>
  <c r="AD1395" i="10"/>
  <c r="AC1395" i="10"/>
  <c r="AB1395" i="10"/>
  <c r="AA1395" i="10"/>
  <c r="Z1395" i="10"/>
  <c r="U1395" i="10"/>
  <c r="T1395" i="10"/>
  <c r="N1395" i="10"/>
  <c r="F1395" i="10"/>
  <c r="AI1394" i="10"/>
  <c r="AD1394" i="10"/>
  <c r="AC1394" i="10"/>
  <c r="AB1394" i="10"/>
  <c r="AA1394" i="10"/>
  <c r="Z1394" i="10"/>
  <c r="U1394" i="10"/>
  <c r="T1394" i="10"/>
  <c r="N1394" i="10"/>
  <c r="F1394" i="10"/>
  <c r="AI1393" i="10"/>
  <c r="AD1393" i="10"/>
  <c r="AC1393" i="10"/>
  <c r="AB1393" i="10"/>
  <c r="AA1393" i="10"/>
  <c r="Z1393" i="10"/>
  <c r="U1393" i="10"/>
  <c r="T1393" i="10"/>
  <c r="N1393" i="10"/>
  <c r="F1393" i="10"/>
  <c r="AI1392" i="10"/>
  <c r="AD1392" i="10"/>
  <c r="AC1392" i="10"/>
  <c r="AB1392" i="10"/>
  <c r="AA1392" i="10"/>
  <c r="Z1392" i="10"/>
  <c r="U1392" i="10"/>
  <c r="T1392" i="10"/>
  <c r="N1392" i="10"/>
  <c r="F1392" i="10"/>
  <c r="AI1391" i="10"/>
  <c r="AD1391" i="10"/>
  <c r="AC1391" i="10"/>
  <c r="AB1391" i="10"/>
  <c r="AA1391" i="10"/>
  <c r="Z1391" i="10"/>
  <c r="U1391" i="10"/>
  <c r="T1391" i="10"/>
  <c r="N1391" i="10"/>
  <c r="F1391" i="10"/>
  <c r="AI1390" i="10"/>
  <c r="AD1390" i="10"/>
  <c r="AC1390" i="10"/>
  <c r="AB1390" i="10"/>
  <c r="AA1390" i="10"/>
  <c r="Z1390" i="10"/>
  <c r="U1390" i="10"/>
  <c r="T1390" i="10"/>
  <c r="N1390" i="10"/>
  <c r="F1390" i="10"/>
  <c r="AI1389" i="10"/>
  <c r="AD1389" i="10"/>
  <c r="AC1389" i="10"/>
  <c r="AB1389" i="10"/>
  <c r="AA1389" i="10"/>
  <c r="Z1389" i="10"/>
  <c r="U1389" i="10"/>
  <c r="T1389" i="10"/>
  <c r="N1389" i="10"/>
  <c r="F1389" i="10"/>
  <c r="AI1388" i="10"/>
  <c r="AD1388" i="10"/>
  <c r="AC1388" i="10"/>
  <c r="AB1388" i="10"/>
  <c r="AA1388" i="10"/>
  <c r="Z1388" i="10"/>
  <c r="U1388" i="10"/>
  <c r="T1388" i="10"/>
  <c r="N1388" i="10"/>
  <c r="F1388" i="10"/>
  <c r="AI1387" i="10"/>
  <c r="AD1387" i="10"/>
  <c r="AC1387" i="10"/>
  <c r="AB1387" i="10"/>
  <c r="AA1387" i="10"/>
  <c r="Z1387" i="10"/>
  <c r="U1387" i="10"/>
  <c r="T1387" i="10"/>
  <c r="N1387" i="10"/>
  <c r="F1387" i="10"/>
  <c r="AI1386" i="10"/>
  <c r="AD1386" i="10"/>
  <c r="AC1386" i="10"/>
  <c r="AB1386" i="10"/>
  <c r="AA1386" i="10"/>
  <c r="Z1386" i="10"/>
  <c r="U1386" i="10"/>
  <c r="T1386" i="10"/>
  <c r="N1386" i="10"/>
  <c r="F1386" i="10"/>
  <c r="AI1385" i="10"/>
  <c r="AD1385" i="10"/>
  <c r="AC1385" i="10"/>
  <c r="AB1385" i="10"/>
  <c r="AA1385" i="10"/>
  <c r="Z1385" i="10"/>
  <c r="U1385" i="10"/>
  <c r="T1385" i="10"/>
  <c r="N1385" i="10"/>
  <c r="F1385" i="10"/>
  <c r="AI1384" i="10"/>
  <c r="AD1384" i="10"/>
  <c r="AC1384" i="10"/>
  <c r="AB1384" i="10"/>
  <c r="AA1384" i="10"/>
  <c r="Z1384" i="10"/>
  <c r="U1384" i="10"/>
  <c r="T1384" i="10"/>
  <c r="N1384" i="10"/>
  <c r="F1384" i="10"/>
  <c r="AI1383" i="10"/>
  <c r="AD1383" i="10"/>
  <c r="AC1383" i="10"/>
  <c r="AB1383" i="10"/>
  <c r="AA1383" i="10"/>
  <c r="Z1383" i="10"/>
  <c r="U1383" i="10"/>
  <c r="T1383" i="10"/>
  <c r="N1383" i="10"/>
  <c r="F1383" i="10"/>
  <c r="AI1382" i="10"/>
  <c r="AD1382" i="10"/>
  <c r="AC1382" i="10"/>
  <c r="AB1382" i="10"/>
  <c r="AA1382" i="10"/>
  <c r="Z1382" i="10"/>
  <c r="U1382" i="10"/>
  <c r="T1382" i="10"/>
  <c r="N1382" i="10"/>
  <c r="F1382" i="10"/>
  <c r="AI1381" i="10"/>
  <c r="AD1381" i="10"/>
  <c r="AC1381" i="10"/>
  <c r="AB1381" i="10"/>
  <c r="AA1381" i="10"/>
  <c r="Z1381" i="10"/>
  <c r="U1381" i="10"/>
  <c r="T1381" i="10"/>
  <c r="N1381" i="10"/>
  <c r="F1381" i="10"/>
  <c r="AI1380" i="10"/>
  <c r="AD1380" i="10"/>
  <c r="AC1380" i="10"/>
  <c r="AB1380" i="10"/>
  <c r="AA1380" i="10"/>
  <c r="Z1380" i="10"/>
  <c r="U1380" i="10"/>
  <c r="T1380" i="10"/>
  <c r="N1380" i="10"/>
  <c r="F1380" i="10"/>
  <c r="AI1379" i="10"/>
  <c r="AD1379" i="10"/>
  <c r="AC1379" i="10"/>
  <c r="AB1379" i="10"/>
  <c r="AA1379" i="10"/>
  <c r="Z1379" i="10"/>
  <c r="U1379" i="10"/>
  <c r="T1379" i="10"/>
  <c r="N1379" i="10"/>
  <c r="F1379" i="10"/>
  <c r="AI1378" i="10"/>
  <c r="AD1378" i="10"/>
  <c r="AC1378" i="10"/>
  <c r="AB1378" i="10"/>
  <c r="AA1378" i="10"/>
  <c r="Z1378" i="10"/>
  <c r="U1378" i="10"/>
  <c r="T1378" i="10"/>
  <c r="N1378" i="10"/>
  <c r="F1378" i="10"/>
  <c r="AI1377" i="10"/>
  <c r="AD1377" i="10"/>
  <c r="AC1377" i="10"/>
  <c r="AB1377" i="10"/>
  <c r="AA1377" i="10"/>
  <c r="Z1377" i="10"/>
  <c r="U1377" i="10"/>
  <c r="T1377" i="10"/>
  <c r="N1377" i="10"/>
  <c r="F1377" i="10"/>
  <c r="AI1376" i="10"/>
  <c r="AD1376" i="10"/>
  <c r="AC1376" i="10"/>
  <c r="AB1376" i="10"/>
  <c r="AA1376" i="10"/>
  <c r="Z1376" i="10"/>
  <c r="U1376" i="10"/>
  <c r="T1376" i="10"/>
  <c r="N1376" i="10"/>
  <c r="F1376" i="10"/>
  <c r="AI1375" i="10"/>
  <c r="AD1375" i="10"/>
  <c r="AC1375" i="10"/>
  <c r="AB1375" i="10"/>
  <c r="AA1375" i="10"/>
  <c r="Z1375" i="10"/>
  <c r="U1375" i="10"/>
  <c r="T1375" i="10"/>
  <c r="N1375" i="10"/>
  <c r="F1375" i="10"/>
  <c r="AI1374" i="10"/>
  <c r="AD1374" i="10"/>
  <c r="AC1374" i="10"/>
  <c r="AB1374" i="10"/>
  <c r="AA1374" i="10"/>
  <c r="Z1374" i="10"/>
  <c r="U1374" i="10"/>
  <c r="T1374" i="10"/>
  <c r="N1374" i="10"/>
  <c r="F1374" i="10"/>
  <c r="AI1373" i="10"/>
  <c r="AD1373" i="10"/>
  <c r="AC1373" i="10"/>
  <c r="AB1373" i="10"/>
  <c r="AA1373" i="10"/>
  <c r="Z1373" i="10"/>
  <c r="U1373" i="10"/>
  <c r="T1373" i="10"/>
  <c r="N1373" i="10"/>
  <c r="F1373" i="10"/>
  <c r="AI1372" i="10"/>
  <c r="AD1372" i="10"/>
  <c r="AC1372" i="10"/>
  <c r="AB1372" i="10"/>
  <c r="AA1372" i="10"/>
  <c r="Z1372" i="10"/>
  <c r="U1372" i="10"/>
  <c r="T1372" i="10"/>
  <c r="N1372" i="10"/>
  <c r="F1372" i="10"/>
  <c r="AI1371" i="10"/>
  <c r="AD1371" i="10"/>
  <c r="AC1371" i="10"/>
  <c r="AB1371" i="10"/>
  <c r="AA1371" i="10"/>
  <c r="Z1371" i="10"/>
  <c r="U1371" i="10"/>
  <c r="T1371" i="10"/>
  <c r="N1371" i="10"/>
  <c r="F1371" i="10"/>
  <c r="AI1370" i="10"/>
  <c r="AD1370" i="10"/>
  <c r="AC1370" i="10"/>
  <c r="AB1370" i="10"/>
  <c r="AA1370" i="10"/>
  <c r="Z1370" i="10"/>
  <c r="U1370" i="10"/>
  <c r="T1370" i="10"/>
  <c r="N1370" i="10"/>
  <c r="F1370" i="10"/>
  <c r="AI1369" i="10"/>
  <c r="AD1369" i="10"/>
  <c r="AC1369" i="10"/>
  <c r="AB1369" i="10"/>
  <c r="AA1369" i="10"/>
  <c r="Z1369" i="10"/>
  <c r="U1369" i="10"/>
  <c r="T1369" i="10"/>
  <c r="N1369" i="10"/>
  <c r="F1369" i="10"/>
  <c r="AI1368" i="10"/>
  <c r="AD1368" i="10"/>
  <c r="AC1368" i="10"/>
  <c r="AB1368" i="10"/>
  <c r="AA1368" i="10"/>
  <c r="Z1368" i="10"/>
  <c r="U1368" i="10"/>
  <c r="T1368" i="10"/>
  <c r="N1368" i="10"/>
  <c r="F1368" i="10"/>
  <c r="AI1367" i="10"/>
  <c r="AD1367" i="10"/>
  <c r="AC1367" i="10"/>
  <c r="AB1367" i="10"/>
  <c r="AA1367" i="10"/>
  <c r="Z1367" i="10"/>
  <c r="U1367" i="10"/>
  <c r="T1367" i="10"/>
  <c r="N1367" i="10"/>
  <c r="F1367" i="10"/>
  <c r="AI1366" i="10"/>
  <c r="AD1366" i="10"/>
  <c r="AC1366" i="10"/>
  <c r="AB1366" i="10"/>
  <c r="AA1366" i="10"/>
  <c r="Z1366" i="10"/>
  <c r="U1366" i="10"/>
  <c r="T1366" i="10"/>
  <c r="N1366" i="10"/>
  <c r="F1366" i="10"/>
  <c r="AI1365" i="10"/>
  <c r="AD1365" i="10"/>
  <c r="AC1365" i="10"/>
  <c r="AB1365" i="10"/>
  <c r="AA1365" i="10"/>
  <c r="Z1365" i="10"/>
  <c r="U1365" i="10"/>
  <c r="T1365" i="10"/>
  <c r="N1365" i="10"/>
  <c r="F1365" i="10"/>
  <c r="AI1364" i="10"/>
  <c r="AD1364" i="10"/>
  <c r="AC1364" i="10"/>
  <c r="AB1364" i="10"/>
  <c r="AA1364" i="10"/>
  <c r="Z1364" i="10"/>
  <c r="U1364" i="10"/>
  <c r="T1364" i="10"/>
  <c r="N1364" i="10"/>
  <c r="F1364" i="10"/>
  <c r="AI1363" i="10"/>
  <c r="AD1363" i="10"/>
  <c r="AC1363" i="10"/>
  <c r="AB1363" i="10"/>
  <c r="AA1363" i="10"/>
  <c r="Z1363" i="10"/>
  <c r="U1363" i="10"/>
  <c r="T1363" i="10"/>
  <c r="N1363" i="10"/>
  <c r="F1363" i="10"/>
  <c r="AI1362" i="10"/>
  <c r="AD1362" i="10"/>
  <c r="AC1362" i="10"/>
  <c r="AB1362" i="10"/>
  <c r="AA1362" i="10"/>
  <c r="Z1362" i="10"/>
  <c r="U1362" i="10"/>
  <c r="T1362" i="10"/>
  <c r="N1362" i="10"/>
  <c r="F1362" i="10"/>
  <c r="AI1361" i="10"/>
  <c r="AD1361" i="10"/>
  <c r="AC1361" i="10"/>
  <c r="AB1361" i="10"/>
  <c r="AA1361" i="10"/>
  <c r="Z1361" i="10"/>
  <c r="U1361" i="10"/>
  <c r="T1361" i="10"/>
  <c r="N1361" i="10"/>
  <c r="F1361" i="10"/>
  <c r="AI1360" i="10"/>
  <c r="AD1360" i="10"/>
  <c r="AC1360" i="10"/>
  <c r="AB1360" i="10"/>
  <c r="AA1360" i="10"/>
  <c r="Z1360" i="10"/>
  <c r="U1360" i="10"/>
  <c r="T1360" i="10"/>
  <c r="N1360" i="10"/>
  <c r="F1360" i="10"/>
  <c r="AI1359" i="10"/>
  <c r="AD1359" i="10"/>
  <c r="AC1359" i="10"/>
  <c r="AB1359" i="10"/>
  <c r="AA1359" i="10"/>
  <c r="Z1359" i="10"/>
  <c r="U1359" i="10"/>
  <c r="T1359" i="10"/>
  <c r="N1359" i="10"/>
  <c r="F1359" i="10"/>
  <c r="AI1358" i="10"/>
  <c r="AD1358" i="10"/>
  <c r="AC1358" i="10"/>
  <c r="AB1358" i="10"/>
  <c r="AA1358" i="10"/>
  <c r="Z1358" i="10"/>
  <c r="U1358" i="10"/>
  <c r="T1358" i="10"/>
  <c r="N1358" i="10"/>
  <c r="F1358" i="10"/>
  <c r="AI1357" i="10"/>
  <c r="AD1357" i="10"/>
  <c r="AC1357" i="10"/>
  <c r="AB1357" i="10"/>
  <c r="AA1357" i="10"/>
  <c r="Z1357" i="10"/>
  <c r="U1357" i="10"/>
  <c r="T1357" i="10"/>
  <c r="N1357" i="10"/>
  <c r="F1357" i="10"/>
  <c r="AI1356" i="10"/>
  <c r="AD1356" i="10"/>
  <c r="AC1356" i="10"/>
  <c r="AB1356" i="10"/>
  <c r="AA1356" i="10"/>
  <c r="Z1356" i="10"/>
  <c r="U1356" i="10"/>
  <c r="T1356" i="10"/>
  <c r="N1356" i="10"/>
  <c r="F1356" i="10"/>
  <c r="AI1355" i="10"/>
  <c r="AD1355" i="10"/>
  <c r="AC1355" i="10"/>
  <c r="AB1355" i="10"/>
  <c r="AA1355" i="10"/>
  <c r="Z1355" i="10"/>
  <c r="U1355" i="10"/>
  <c r="T1355" i="10"/>
  <c r="N1355" i="10"/>
  <c r="F1355" i="10"/>
  <c r="AI1354" i="10"/>
  <c r="AD1354" i="10"/>
  <c r="AC1354" i="10"/>
  <c r="AB1354" i="10"/>
  <c r="AA1354" i="10"/>
  <c r="Z1354" i="10"/>
  <c r="U1354" i="10"/>
  <c r="T1354" i="10"/>
  <c r="N1354" i="10"/>
  <c r="F1354" i="10"/>
  <c r="AI1353" i="10"/>
  <c r="AD1353" i="10"/>
  <c r="AC1353" i="10"/>
  <c r="AB1353" i="10"/>
  <c r="AA1353" i="10"/>
  <c r="Z1353" i="10"/>
  <c r="U1353" i="10"/>
  <c r="T1353" i="10"/>
  <c r="N1353" i="10"/>
  <c r="F1353" i="10"/>
  <c r="AI1352" i="10"/>
  <c r="AD1352" i="10"/>
  <c r="AC1352" i="10"/>
  <c r="AB1352" i="10"/>
  <c r="AA1352" i="10"/>
  <c r="Z1352" i="10"/>
  <c r="U1352" i="10"/>
  <c r="T1352" i="10"/>
  <c r="N1352" i="10"/>
  <c r="F1352" i="10"/>
  <c r="AI1351" i="10"/>
  <c r="AD1351" i="10"/>
  <c r="AC1351" i="10"/>
  <c r="AB1351" i="10"/>
  <c r="AA1351" i="10"/>
  <c r="Z1351" i="10"/>
  <c r="U1351" i="10"/>
  <c r="T1351" i="10"/>
  <c r="N1351" i="10"/>
  <c r="F1351" i="10"/>
  <c r="AI1350" i="10"/>
  <c r="AD1350" i="10"/>
  <c r="AC1350" i="10"/>
  <c r="AB1350" i="10"/>
  <c r="AA1350" i="10"/>
  <c r="Z1350" i="10"/>
  <c r="U1350" i="10"/>
  <c r="T1350" i="10"/>
  <c r="N1350" i="10"/>
  <c r="F1350" i="10"/>
  <c r="AI1349" i="10"/>
  <c r="AD1349" i="10"/>
  <c r="AC1349" i="10"/>
  <c r="AB1349" i="10"/>
  <c r="AA1349" i="10"/>
  <c r="Z1349" i="10"/>
  <c r="U1349" i="10"/>
  <c r="T1349" i="10"/>
  <c r="N1349" i="10"/>
  <c r="F1349" i="10"/>
  <c r="AI1348" i="10"/>
  <c r="AD1348" i="10"/>
  <c r="AC1348" i="10"/>
  <c r="AB1348" i="10"/>
  <c r="AA1348" i="10"/>
  <c r="Z1348" i="10"/>
  <c r="U1348" i="10"/>
  <c r="T1348" i="10"/>
  <c r="N1348" i="10"/>
  <c r="F1348" i="10"/>
  <c r="AI1347" i="10"/>
  <c r="AD1347" i="10"/>
  <c r="AC1347" i="10"/>
  <c r="AB1347" i="10"/>
  <c r="AA1347" i="10"/>
  <c r="Z1347" i="10"/>
  <c r="U1347" i="10"/>
  <c r="T1347" i="10"/>
  <c r="N1347" i="10"/>
  <c r="F1347" i="10"/>
  <c r="AI1346" i="10"/>
  <c r="AD1346" i="10"/>
  <c r="AC1346" i="10"/>
  <c r="AB1346" i="10"/>
  <c r="AA1346" i="10"/>
  <c r="Z1346" i="10"/>
  <c r="U1346" i="10"/>
  <c r="T1346" i="10"/>
  <c r="N1346" i="10"/>
  <c r="F1346" i="10"/>
  <c r="AI1345" i="10"/>
  <c r="AD1345" i="10"/>
  <c r="AC1345" i="10"/>
  <c r="AB1345" i="10"/>
  <c r="AA1345" i="10"/>
  <c r="Z1345" i="10"/>
  <c r="U1345" i="10"/>
  <c r="T1345" i="10"/>
  <c r="N1345" i="10"/>
  <c r="F1345" i="10"/>
  <c r="AI1344" i="10"/>
  <c r="AD1344" i="10"/>
  <c r="AC1344" i="10"/>
  <c r="AB1344" i="10"/>
  <c r="AA1344" i="10"/>
  <c r="Z1344" i="10"/>
  <c r="U1344" i="10"/>
  <c r="T1344" i="10"/>
  <c r="N1344" i="10"/>
  <c r="F1344" i="10"/>
  <c r="AI1343" i="10"/>
  <c r="AD1343" i="10"/>
  <c r="AC1343" i="10"/>
  <c r="AB1343" i="10"/>
  <c r="AA1343" i="10"/>
  <c r="Z1343" i="10"/>
  <c r="U1343" i="10"/>
  <c r="T1343" i="10"/>
  <c r="N1343" i="10"/>
  <c r="F1343" i="10"/>
  <c r="AI1342" i="10"/>
  <c r="AD1342" i="10"/>
  <c r="AC1342" i="10"/>
  <c r="AB1342" i="10"/>
  <c r="AA1342" i="10"/>
  <c r="Z1342" i="10"/>
  <c r="U1342" i="10"/>
  <c r="T1342" i="10"/>
  <c r="N1342" i="10"/>
  <c r="F1342" i="10"/>
  <c r="AI1341" i="10"/>
  <c r="AD1341" i="10"/>
  <c r="AC1341" i="10"/>
  <c r="AB1341" i="10"/>
  <c r="AA1341" i="10"/>
  <c r="Z1341" i="10"/>
  <c r="U1341" i="10"/>
  <c r="T1341" i="10"/>
  <c r="N1341" i="10"/>
  <c r="F1341" i="10"/>
  <c r="AI1340" i="10"/>
  <c r="AD1340" i="10"/>
  <c r="AC1340" i="10"/>
  <c r="AB1340" i="10"/>
  <c r="AA1340" i="10"/>
  <c r="Z1340" i="10"/>
  <c r="U1340" i="10"/>
  <c r="T1340" i="10"/>
  <c r="N1340" i="10"/>
  <c r="F1340" i="10"/>
  <c r="AI1339" i="10"/>
  <c r="AD1339" i="10"/>
  <c r="AC1339" i="10"/>
  <c r="AB1339" i="10"/>
  <c r="AA1339" i="10"/>
  <c r="Z1339" i="10"/>
  <c r="U1339" i="10"/>
  <c r="T1339" i="10"/>
  <c r="N1339" i="10"/>
  <c r="F1339" i="10"/>
  <c r="AI1338" i="10"/>
  <c r="AD1338" i="10"/>
  <c r="AC1338" i="10"/>
  <c r="AB1338" i="10"/>
  <c r="AA1338" i="10"/>
  <c r="Z1338" i="10"/>
  <c r="U1338" i="10"/>
  <c r="T1338" i="10"/>
  <c r="N1338" i="10"/>
  <c r="F1338" i="10"/>
  <c r="AI1337" i="10"/>
  <c r="AD1337" i="10"/>
  <c r="AC1337" i="10"/>
  <c r="AB1337" i="10"/>
  <c r="AA1337" i="10"/>
  <c r="Z1337" i="10"/>
  <c r="U1337" i="10"/>
  <c r="T1337" i="10"/>
  <c r="N1337" i="10"/>
  <c r="F1337" i="10"/>
  <c r="AI1336" i="10"/>
  <c r="AD1336" i="10"/>
  <c r="AC1336" i="10"/>
  <c r="AB1336" i="10"/>
  <c r="AA1336" i="10"/>
  <c r="Z1336" i="10"/>
  <c r="U1336" i="10"/>
  <c r="T1336" i="10"/>
  <c r="N1336" i="10"/>
  <c r="F1336" i="10"/>
  <c r="AI1335" i="10"/>
  <c r="AD1335" i="10"/>
  <c r="AC1335" i="10"/>
  <c r="AB1335" i="10"/>
  <c r="AA1335" i="10"/>
  <c r="Z1335" i="10"/>
  <c r="U1335" i="10"/>
  <c r="T1335" i="10"/>
  <c r="N1335" i="10"/>
  <c r="F1335" i="10"/>
  <c r="AI1334" i="10"/>
  <c r="AD1334" i="10"/>
  <c r="AC1334" i="10"/>
  <c r="AB1334" i="10"/>
  <c r="AA1334" i="10"/>
  <c r="Z1334" i="10"/>
  <c r="U1334" i="10"/>
  <c r="T1334" i="10"/>
  <c r="N1334" i="10"/>
  <c r="F1334" i="10"/>
  <c r="AI1333" i="10"/>
  <c r="AD1333" i="10"/>
  <c r="AC1333" i="10"/>
  <c r="AB1333" i="10"/>
  <c r="AA1333" i="10"/>
  <c r="Z1333" i="10"/>
  <c r="U1333" i="10"/>
  <c r="T1333" i="10"/>
  <c r="N1333" i="10"/>
  <c r="F1333" i="10"/>
  <c r="AI1332" i="10"/>
  <c r="AD1332" i="10"/>
  <c r="AC1332" i="10"/>
  <c r="AB1332" i="10"/>
  <c r="AA1332" i="10"/>
  <c r="Z1332" i="10"/>
  <c r="U1332" i="10"/>
  <c r="T1332" i="10"/>
  <c r="N1332" i="10"/>
  <c r="F1332" i="10"/>
  <c r="AI1331" i="10"/>
  <c r="AD1331" i="10"/>
  <c r="AC1331" i="10"/>
  <c r="AB1331" i="10"/>
  <c r="AA1331" i="10"/>
  <c r="Z1331" i="10"/>
  <c r="U1331" i="10"/>
  <c r="T1331" i="10"/>
  <c r="N1331" i="10"/>
  <c r="F1331" i="10"/>
  <c r="AI1330" i="10"/>
  <c r="AD1330" i="10"/>
  <c r="AC1330" i="10"/>
  <c r="AB1330" i="10"/>
  <c r="AA1330" i="10"/>
  <c r="Z1330" i="10"/>
  <c r="U1330" i="10"/>
  <c r="T1330" i="10"/>
  <c r="N1330" i="10"/>
  <c r="F1330" i="10"/>
  <c r="AI1329" i="10"/>
  <c r="AD1329" i="10"/>
  <c r="AC1329" i="10"/>
  <c r="AB1329" i="10"/>
  <c r="AA1329" i="10"/>
  <c r="Z1329" i="10"/>
  <c r="U1329" i="10"/>
  <c r="T1329" i="10"/>
  <c r="N1329" i="10"/>
  <c r="F1329" i="10"/>
  <c r="AI1328" i="10"/>
  <c r="AD1328" i="10"/>
  <c r="AC1328" i="10"/>
  <c r="AB1328" i="10"/>
  <c r="AA1328" i="10"/>
  <c r="Z1328" i="10"/>
  <c r="U1328" i="10"/>
  <c r="T1328" i="10"/>
  <c r="N1328" i="10"/>
  <c r="F1328" i="10"/>
  <c r="AI1327" i="10"/>
  <c r="AD1327" i="10"/>
  <c r="AC1327" i="10"/>
  <c r="AB1327" i="10"/>
  <c r="AA1327" i="10"/>
  <c r="Z1327" i="10"/>
  <c r="U1327" i="10"/>
  <c r="T1327" i="10"/>
  <c r="N1327" i="10"/>
  <c r="F1327" i="10"/>
  <c r="AI1326" i="10"/>
  <c r="AD1326" i="10"/>
  <c r="AC1326" i="10"/>
  <c r="AB1326" i="10"/>
  <c r="AA1326" i="10"/>
  <c r="Z1326" i="10"/>
  <c r="U1326" i="10"/>
  <c r="T1326" i="10"/>
  <c r="N1326" i="10"/>
  <c r="F1326" i="10"/>
  <c r="AI1325" i="10"/>
  <c r="AD1325" i="10"/>
  <c r="AC1325" i="10"/>
  <c r="AB1325" i="10"/>
  <c r="AA1325" i="10"/>
  <c r="Z1325" i="10"/>
  <c r="U1325" i="10"/>
  <c r="T1325" i="10"/>
  <c r="N1325" i="10"/>
  <c r="F1325" i="10"/>
  <c r="AI1324" i="10"/>
  <c r="AD1324" i="10"/>
  <c r="AC1324" i="10"/>
  <c r="AB1324" i="10"/>
  <c r="AA1324" i="10"/>
  <c r="Z1324" i="10"/>
  <c r="U1324" i="10"/>
  <c r="T1324" i="10"/>
  <c r="N1324" i="10"/>
  <c r="F1324" i="10"/>
  <c r="AI1323" i="10"/>
  <c r="AD1323" i="10"/>
  <c r="AC1323" i="10"/>
  <c r="AB1323" i="10"/>
  <c r="AA1323" i="10"/>
  <c r="Z1323" i="10"/>
  <c r="U1323" i="10"/>
  <c r="T1323" i="10"/>
  <c r="N1323" i="10"/>
  <c r="F1323" i="10"/>
  <c r="AI1322" i="10"/>
  <c r="AD1322" i="10"/>
  <c r="AC1322" i="10"/>
  <c r="AB1322" i="10"/>
  <c r="AA1322" i="10"/>
  <c r="Z1322" i="10"/>
  <c r="U1322" i="10"/>
  <c r="T1322" i="10"/>
  <c r="N1322" i="10"/>
  <c r="F1322" i="10"/>
  <c r="AI1321" i="10"/>
  <c r="AD1321" i="10"/>
  <c r="AC1321" i="10"/>
  <c r="AB1321" i="10"/>
  <c r="AA1321" i="10"/>
  <c r="Z1321" i="10"/>
  <c r="U1321" i="10"/>
  <c r="T1321" i="10"/>
  <c r="N1321" i="10"/>
  <c r="F1321" i="10"/>
  <c r="AI1320" i="10"/>
  <c r="AD1320" i="10"/>
  <c r="AC1320" i="10"/>
  <c r="AB1320" i="10"/>
  <c r="AA1320" i="10"/>
  <c r="Z1320" i="10"/>
  <c r="U1320" i="10"/>
  <c r="T1320" i="10"/>
  <c r="N1320" i="10"/>
  <c r="F1320" i="10"/>
  <c r="AI1319" i="10"/>
  <c r="AD1319" i="10"/>
  <c r="AC1319" i="10"/>
  <c r="AB1319" i="10"/>
  <c r="AA1319" i="10"/>
  <c r="Z1319" i="10"/>
  <c r="U1319" i="10"/>
  <c r="T1319" i="10"/>
  <c r="N1319" i="10"/>
  <c r="F1319" i="10"/>
  <c r="AI1318" i="10"/>
  <c r="AD1318" i="10"/>
  <c r="AC1318" i="10"/>
  <c r="AB1318" i="10"/>
  <c r="AA1318" i="10"/>
  <c r="Z1318" i="10"/>
  <c r="U1318" i="10"/>
  <c r="T1318" i="10"/>
  <c r="N1318" i="10"/>
  <c r="F1318" i="10"/>
  <c r="AI1317" i="10"/>
  <c r="AD1317" i="10"/>
  <c r="AC1317" i="10"/>
  <c r="AB1317" i="10"/>
  <c r="AA1317" i="10"/>
  <c r="Z1317" i="10"/>
  <c r="U1317" i="10"/>
  <c r="T1317" i="10"/>
  <c r="N1317" i="10"/>
  <c r="F1317" i="10"/>
  <c r="AI1316" i="10"/>
  <c r="AD1316" i="10"/>
  <c r="AC1316" i="10"/>
  <c r="AB1316" i="10"/>
  <c r="AA1316" i="10"/>
  <c r="Z1316" i="10"/>
  <c r="U1316" i="10"/>
  <c r="T1316" i="10"/>
  <c r="N1316" i="10"/>
  <c r="F1316" i="10"/>
  <c r="AI1315" i="10"/>
  <c r="AD1315" i="10"/>
  <c r="AC1315" i="10"/>
  <c r="AB1315" i="10"/>
  <c r="AA1315" i="10"/>
  <c r="Z1315" i="10"/>
  <c r="U1315" i="10"/>
  <c r="T1315" i="10"/>
  <c r="N1315" i="10"/>
  <c r="F1315" i="10"/>
  <c r="AI1314" i="10"/>
  <c r="AD1314" i="10"/>
  <c r="AC1314" i="10"/>
  <c r="AB1314" i="10"/>
  <c r="AA1314" i="10"/>
  <c r="Z1314" i="10"/>
  <c r="U1314" i="10"/>
  <c r="T1314" i="10"/>
  <c r="N1314" i="10"/>
  <c r="F1314" i="10"/>
  <c r="AI1313" i="10"/>
  <c r="AD1313" i="10"/>
  <c r="AC1313" i="10"/>
  <c r="AB1313" i="10"/>
  <c r="AA1313" i="10"/>
  <c r="Z1313" i="10"/>
  <c r="U1313" i="10"/>
  <c r="T1313" i="10"/>
  <c r="N1313" i="10"/>
  <c r="F1313" i="10"/>
  <c r="AI1312" i="10"/>
  <c r="AD1312" i="10"/>
  <c r="AC1312" i="10"/>
  <c r="AB1312" i="10"/>
  <c r="AA1312" i="10"/>
  <c r="Z1312" i="10"/>
  <c r="U1312" i="10"/>
  <c r="T1312" i="10"/>
  <c r="N1312" i="10"/>
  <c r="F1312" i="10"/>
  <c r="AI1311" i="10"/>
  <c r="AD1311" i="10"/>
  <c r="AC1311" i="10"/>
  <c r="AB1311" i="10"/>
  <c r="AA1311" i="10"/>
  <c r="Z1311" i="10"/>
  <c r="U1311" i="10"/>
  <c r="T1311" i="10"/>
  <c r="N1311" i="10"/>
  <c r="F1311" i="10"/>
  <c r="AI1310" i="10"/>
  <c r="AD1310" i="10"/>
  <c r="AC1310" i="10"/>
  <c r="AB1310" i="10"/>
  <c r="AA1310" i="10"/>
  <c r="Z1310" i="10"/>
  <c r="U1310" i="10"/>
  <c r="T1310" i="10"/>
  <c r="N1310" i="10"/>
  <c r="F1310" i="10"/>
  <c r="AI1309" i="10"/>
  <c r="AD1309" i="10"/>
  <c r="AC1309" i="10"/>
  <c r="AB1309" i="10"/>
  <c r="AA1309" i="10"/>
  <c r="Z1309" i="10"/>
  <c r="U1309" i="10"/>
  <c r="T1309" i="10"/>
  <c r="N1309" i="10"/>
  <c r="F1309" i="10"/>
  <c r="AI1308" i="10"/>
  <c r="AD1308" i="10"/>
  <c r="AC1308" i="10"/>
  <c r="AB1308" i="10"/>
  <c r="AA1308" i="10"/>
  <c r="Z1308" i="10"/>
  <c r="U1308" i="10"/>
  <c r="T1308" i="10"/>
  <c r="N1308" i="10"/>
  <c r="F1308" i="10"/>
  <c r="AI1307" i="10"/>
  <c r="AD1307" i="10"/>
  <c r="AC1307" i="10"/>
  <c r="AB1307" i="10"/>
  <c r="AA1307" i="10"/>
  <c r="Z1307" i="10"/>
  <c r="U1307" i="10"/>
  <c r="T1307" i="10"/>
  <c r="N1307" i="10"/>
  <c r="F1307" i="10"/>
  <c r="AI1306" i="10"/>
  <c r="AD1306" i="10"/>
  <c r="AC1306" i="10"/>
  <c r="AB1306" i="10"/>
  <c r="AA1306" i="10"/>
  <c r="Z1306" i="10"/>
  <c r="U1306" i="10"/>
  <c r="T1306" i="10"/>
  <c r="N1306" i="10"/>
  <c r="F1306" i="10"/>
  <c r="AI1305" i="10"/>
  <c r="AD1305" i="10"/>
  <c r="AC1305" i="10"/>
  <c r="AB1305" i="10"/>
  <c r="AA1305" i="10"/>
  <c r="Z1305" i="10"/>
  <c r="U1305" i="10"/>
  <c r="T1305" i="10"/>
  <c r="N1305" i="10"/>
  <c r="F1305" i="10"/>
  <c r="AI1304" i="10"/>
  <c r="AD1304" i="10"/>
  <c r="AC1304" i="10"/>
  <c r="AB1304" i="10"/>
  <c r="AA1304" i="10"/>
  <c r="Z1304" i="10"/>
  <c r="U1304" i="10"/>
  <c r="T1304" i="10"/>
  <c r="N1304" i="10"/>
  <c r="F1304" i="10"/>
  <c r="AI1303" i="10"/>
  <c r="AD1303" i="10"/>
  <c r="AC1303" i="10"/>
  <c r="AB1303" i="10"/>
  <c r="AA1303" i="10"/>
  <c r="Z1303" i="10"/>
  <c r="U1303" i="10"/>
  <c r="T1303" i="10"/>
  <c r="N1303" i="10"/>
  <c r="F1303" i="10"/>
  <c r="AI1302" i="10"/>
  <c r="AD1302" i="10"/>
  <c r="AC1302" i="10"/>
  <c r="AB1302" i="10"/>
  <c r="AA1302" i="10"/>
  <c r="Z1302" i="10"/>
  <c r="U1302" i="10"/>
  <c r="T1302" i="10"/>
  <c r="N1302" i="10"/>
  <c r="F1302" i="10"/>
  <c r="AI1301" i="10"/>
  <c r="AD1301" i="10"/>
  <c r="AC1301" i="10"/>
  <c r="AB1301" i="10"/>
  <c r="AA1301" i="10"/>
  <c r="Z1301" i="10"/>
  <c r="U1301" i="10"/>
  <c r="T1301" i="10"/>
  <c r="N1301" i="10"/>
  <c r="F1301" i="10"/>
  <c r="AI1300" i="10"/>
  <c r="AD1300" i="10"/>
  <c r="AC1300" i="10"/>
  <c r="AB1300" i="10"/>
  <c r="AA1300" i="10"/>
  <c r="Z1300" i="10"/>
  <c r="U1300" i="10"/>
  <c r="T1300" i="10"/>
  <c r="N1300" i="10"/>
  <c r="F1300" i="10"/>
  <c r="AI1299" i="10"/>
  <c r="AD1299" i="10"/>
  <c r="AC1299" i="10"/>
  <c r="AB1299" i="10"/>
  <c r="AA1299" i="10"/>
  <c r="Z1299" i="10"/>
  <c r="U1299" i="10"/>
  <c r="T1299" i="10"/>
  <c r="N1299" i="10"/>
  <c r="F1299" i="10"/>
  <c r="AI1298" i="10"/>
  <c r="AD1298" i="10"/>
  <c r="AC1298" i="10"/>
  <c r="AB1298" i="10"/>
  <c r="AA1298" i="10"/>
  <c r="Z1298" i="10"/>
  <c r="U1298" i="10"/>
  <c r="T1298" i="10"/>
  <c r="N1298" i="10"/>
  <c r="F1298" i="10"/>
  <c r="AI1297" i="10"/>
  <c r="AD1297" i="10"/>
  <c r="AC1297" i="10"/>
  <c r="AB1297" i="10"/>
  <c r="AA1297" i="10"/>
  <c r="Z1297" i="10"/>
  <c r="U1297" i="10"/>
  <c r="T1297" i="10"/>
  <c r="N1297" i="10"/>
  <c r="F1297" i="10"/>
  <c r="AI1296" i="10"/>
  <c r="AD1296" i="10"/>
  <c r="AC1296" i="10"/>
  <c r="AB1296" i="10"/>
  <c r="AA1296" i="10"/>
  <c r="Z1296" i="10"/>
  <c r="U1296" i="10"/>
  <c r="T1296" i="10"/>
  <c r="N1296" i="10"/>
  <c r="F1296" i="10"/>
  <c r="AI1295" i="10"/>
  <c r="AD1295" i="10"/>
  <c r="AC1295" i="10"/>
  <c r="AB1295" i="10"/>
  <c r="AA1295" i="10"/>
  <c r="Z1295" i="10"/>
  <c r="U1295" i="10"/>
  <c r="T1295" i="10"/>
  <c r="N1295" i="10"/>
  <c r="F1295" i="10"/>
  <c r="AI1294" i="10"/>
  <c r="AD1294" i="10"/>
  <c r="AC1294" i="10"/>
  <c r="AB1294" i="10"/>
  <c r="AA1294" i="10"/>
  <c r="Z1294" i="10"/>
  <c r="U1294" i="10"/>
  <c r="T1294" i="10"/>
  <c r="N1294" i="10"/>
  <c r="F1294" i="10"/>
  <c r="AI1293" i="10"/>
  <c r="AD1293" i="10"/>
  <c r="AC1293" i="10"/>
  <c r="AB1293" i="10"/>
  <c r="AA1293" i="10"/>
  <c r="Z1293" i="10"/>
  <c r="U1293" i="10"/>
  <c r="T1293" i="10"/>
  <c r="N1293" i="10"/>
  <c r="F1293" i="10"/>
  <c r="AI1292" i="10"/>
  <c r="AD1292" i="10"/>
  <c r="AC1292" i="10"/>
  <c r="AB1292" i="10"/>
  <c r="AA1292" i="10"/>
  <c r="Z1292" i="10"/>
  <c r="U1292" i="10"/>
  <c r="T1292" i="10"/>
  <c r="N1292" i="10"/>
  <c r="F1292" i="10"/>
  <c r="AI1291" i="10"/>
  <c r="AD1291" i="10"/>
  <c r="AC1291" i="10"/>
  <c r="AB1291" i="10"/>
  <c r="AA1291" i="10"/>
  <c r="Z1291" i="10"/>
  <c r="U1291" i="10"/>
  <c r="T1291" i="10"/>
  <c r="N1291" i="10"/>
  <c r="F1291" i="10"/>
  <c r="AI1290" i="10"/>
  <c r="AD1290" i="10"/>
  <c r="AC1290" i="10"/>
  <c r="AB1290" i="10"/>
  <c r="AA1290" i="10"/>
  <c r="Z1290" i="10"/>
  <c r="U1290" i="10"/>
  <c r="T1290" i="10"/>
  <c r="N1290" i="10"/>
  <c r="F1290" i="10"/>
  <c r="AI1289" i="10"/>
  <c r="AD1289" i="10"/>
  <c r="AC1289" i="10"/>
  <c r="AB1289" i="10"/>
  <c r="AA1289" i="10"/>
  <c r="Z1289" i="10"/>
  <c r="U1289" i="10"/>
  <c r="T1289" i="10"/>
  <c r="N1289" i="10"/>
  <c r="F1289" i="10"/>
  <c r="AI1288" i="10"/>
  <c r="AD1288" i="10"/>
  <c r="AC1288" i="10"/>
  <c r="AB1288" i="10"/>
  <c r="AA1288" i="10"/>
  <c r="Z1288" i="10"/>
  <c r="U1288" i="10"/>
  <c r="T1288" i="10"/>
  <c r="N1288" i="10"/>
  <c r="F1288" i="10"/>
  <c r="AI1287" i="10"/>
  <c r="AD1287" i="10"/>
  <c r="AC1287" i="10"/>
  <c r="AB1287" i="10"/>
  <c r="AA1287" i="10"/>
  <c r="Z1287" i="10"/>
  <c r="U1287" i="10"/>
  <c r="T1287" i="10"/>
  <c r="N1287" i="10"/>
  <c r="F1287" i="10"/>
  <c r="AI1286" i="10"/>
  <c r="AD1286" i="10"/>
  <c r="AC1286" i="10"/>
  <c r="AB1286" i="10"/>
  <c r="AA1286" i="10"/>
  <c r="Z1286" i="10"/>
  <c r="U1286" i="10"/>
  <c r="T1286" i="10"/>
  <c r="N1286" i="10"/>
  <c r="F1286" i="10"/>
  <c r="AI1285" i="10"/>
  <c r="AD1285" i="10"/>
  <c r="AC1285" i="10"/>
  <c r="AB1285" i="10"/>
  <c r="AA1285" i="10"/>
  <c r="Z1285" i="10"/>
  <c r="U1285" i="10"/>
  <c r="T1285" i="10"/>
  <c r="N1285" i="10"/>
  <c r="F1285" i="10"/>
  <c r="AI1284" i="10"/>
  <c r="AD1284" i="10"/>
  <c r="AC1284" i="10"/>
  <c r="AB1284" i="10"/>
  <c r="AA1284" i="10"/>
  <c r="Z1284" i="10"/>
  <c r="U1284" i="10"/>
  <c r="T1284" i="10"/>
  <c r="N1284" i="10"/>
  <c r="F1284" i="10"/>
  <c r="AI1283" i="10"/>
  <c r="AD1283" i="10"/>
  <c r="AC1283" i="10"/>
  <c r="AB1283" i="10"/>
  <c r="AA1283" i="10"/>
  <c r="Z1283" i="10"/>
  <c r="U1283" i="10"/>
  <c r="T1283" i="10"/>
  <c r="N1283" i="10"/>
  <c r="F1283" i="10"/>
  <c r="AI1282" i="10"/>
  <c r="AD1282" i="10"/>
  <c r="AC1282" i="10"/>
  <c r="AB1282" i="10"/>
  <c r="AA1282" i="10"/>
  <c r="Z1282" i="10"/>
  <c r="U1282" i="10"/>
  <c r="T1282" i="10"/>
  <c r="N1282" i="10"/>
  <c r="F1282" i="10"/>
  <c r="AI1281" i="10"/>
  <c r="AD1281" i="10"/>
  <c r="AC1281" i="10"/>
  <c r="AB1281" i="10"/>
  <c r="AA1281" i="10"/>
  <c r="Z1281" i="10"/>
  <c r="U1281" i="10"/>
  <c r="T1281" i="10"/>
  <c r="N1281" i="10"/>
  <c r="F1281" i="10"/>
  <c r="AI1280" i="10"/>
  <c r="AD1280" i="10"/>
  <c r="AC1280" i="10"/>
  <c r="AB1280" i="10"/>
  <c r="AA1280" i="10"/>
  <c r="Z1280" i="10"/>
  <c r="U1280" i="10"/>
  <c r="T1280" i="10"/>
  <c r="N1280" i="10"/>
  <c r="F1280" i="10"/>
  <c r="AI1279" i="10"/>
  <c r="AD1279" i="10"/>
  <c r="AC1279" i="10"/>
  <c r="AB1279" i="10"/>
  <c r="AA1279" i="10"/>
  <c r="Z1279" i="10"/>
  <c r="U1279" i="10"/>
  <c r="T1279" i="10"/>
  <c r="N1279" i="10"/>
  <c r="F1279" i="10"/>
  <c r="AI1278" i="10"/>
  <c r="AD1278" i="10"/>
  <c r="AC1278" i="10"/>
  <c r="AB1278" i="10"/>
  <c r="AA1278" i="10"/>
  <c r="Z1278" i="10"/>
  <c r="U1278" i="10"/>
  <c r="T1278" i="10"/>
  <c r="N1278" i="10"/>
  <c r="F1278" i="10"/>
  <c r="AI1277" i="10"/>
  <c r="AD1277" i="10"/>
  <c r="AC1277" i="10"/>
  <c r="AB1277" i="10"/>
  <c r="AA1277" i="10"/>
  <c r="Z1277" i="10"/>
  <c r="U1277" i="10"/>
  <c r="T1277" i="10"/>
  <c r="N1277" i="10"/>
  <c r="F1277" i="10"/>
  <c r="AI1276" i="10"/>
  <c r="AD1276" i="10"/>
  <c r="AC1276" i="10"/>
  <c r="AB1276" i="10"/>
  <c r="AA1276" i="10"/>
  <c r="Z1276" i="10"/>
  <c r="U1276" i="10"/>
  <c r="T1276" i="10"/>
  <c r="N1276" i="10"/>
  <c r="F1276" i="10"/>
  <c r="AI1275" i="10"/>
  <c r="AD1275" i="10"/>
  <c r="AC1275" i="10"/>
  <c r="AB1275" i="10"/>
  <c r="AA1275" i="10"/>
  <c r="Z1275" i="10"/>
  <c r="U1275" i="10"/>
  <c r="T1275" i="10"/>
  <c r="N1275" i="10"/>
  <c r="F1275" i="10"/>
  <c r="AI1274" i="10"/>
  <c r="AD1274" i="10"/>
  <c r="AC1274" i="10"/>
  <c r="AB1274" i="10"/>
  <c r="AA1274" i="10"/>
  <c r="Z1274" i="10"/>
  <c r="U1274" i="10"/>
  <c r="T1274" i="10"/>
  <c r="N1274" i="10"/>
  <c r="F1274" i="10"/>
  <c r="AI1273" i="10"/>
  <c r="AD1273" i="10"/>
  <c r="AC1273" i="10"/>
  <c r="AB1273" i="10"/>
  <c r="AA1273" i="10"/>
  <c r="Z1273" i="10"/>
  <c r="U1273" i="10"/>
  <c r="T1273" i="10"/>
  <c r="N1273" i="10"/>
  <c r="F1273" i="10"/>
  <c r="AI1272" i="10"/>
  <c r="AD1272" i="10"/>
  <c r="AC1272" i="10"/>
  <c r="AB1272" i="10"/>
  <c r="AA1272" i="10"/>
  <c r="Z1272" i="10"/>
  <c r="U1272" i="10"/>
  <c r="T1272" i="10"/>
  <c r="N1272" i="10"/>
  <c r="F1272" i="10"/>
  <c r="AI1271" i="10"/>
  <c r="AD1271" i="10"/>
  <c r="AC1271" i="10"/>
  <c r="AB1271" i="10"/>
  <c r="AA1271" i="10"/>
  <c r="Z1271" i="10"/>
  <c r="U1271" i="10"/>
  <c r="T1271" i="10"/>
  <c r="F12" i="6" s="1"/>
  <c r="N1271" i="10"/>
  <c r="F1271" i="10"/>
  <c r="AI1270" i="10"/>
  <c r="AD1270" i="10"/>
  <c r="AC1270" i="10"/>
  <c r="AB1270" i="10"/>
  <c r="AA1270" i="10"/>
  <c r="Z1270" i="10"/>
  <c r="U1270" i="10"/>
  <c r="T1270" i="10"/>
  <c r="N1270" i="10"/>
  <c r="F1270" i="10"/>
  <c r="AI1269" i="10"/>
  <c r="AD1269" i="10"/>
  <c r="AC1269" i="10"/>
  <c r="AB1269" i="10"/>
  <c r="AA1269" i="10"/>
  <c r="Z1269" i="10"/>
  <c r="U1269" i="10"/>
  <c r="T1269" i="10"/>
  <c r="N1269" i="10"/>
  <c r="F1269" i="10"/>
  <c r="AI1268" i="10"/>
  <c r="AD1268" i="10"/>
  <c r="AC1268" i="10"/>
  <c r="AB1268" i="10"/>
  <c r="AA1268" i="10"/>
  <c r="Z1268" i="10"/>
  <c r="U1268" i="10"/>
  <c r="T1268" i="10"/>
  <c r="N1268" i="10"/>
  <c r="F1268" i="10"/>
  <c r="AI1267" i="10"/>
  <c r="AD1267" i="10"/>
  <c r="AC1267" i="10"/>
  <c r="AB1267" i="10"/>
  <c r="AA1267" i="10"/>
  <c r="Z1267" i="10"/>
  <c r="U1267" i="10"/>
  <c r="T1267" i="10"/>
  <c r="N1267" i="10"/>
  <c r="F1267" i="10"/>
  <c r="AI1266" i="10"/>
  <c r="AD1266" i="10"/>
  <c r="AC1266" i="10"/>
  <c r="AB1266" i="10"/>
  <c r="AA1266" i="10"/>
  <c r="Z1266" i="10"/>
  <c r="U1266" i="10"/>
  <c r="T1266" i="10"/>
  <c r="N1266" i="10"/>
  <c r="F1266" i="10"/>
  <c r="AI1265" i="10"/>
  <c r="AD1265" i="10"/>
  <c r="AC1265" i="10"/>
  <c r="AB1265" i="10"/>
  <c r="AA1265" i="10"/>
  <c r="Z1265" i="10"/>
  <c r="U1265" i="10"/>
  <c r="T1265" i="10"/>
  <c r="N1265" i="10"/>
  <c r="F1265" i="10"/>
  <c r="AI1264" i="10"/>
  <c r="AD1264" i="10"/>
  <c r="AC1264" i="10"/>
  <c r="AB1264" i="10"/>
  <c r="AA1264" i="10"/>
  <c r="Z1264" i="10"/>
  <c r="U1264" i="10"/>
  <c r="T1264" i="10"/>
  <c r="N1264" i="10"/>
  <c r="F1264" i="10"/>
  <c r="AI1263" i="10"/>
  <c r="AD1263" i="10"/>
  <c r="AC1263" i="10"/>
  <c r="AB1263" i="10"/>
  <c r="AA1263" i="10"/>
  <c r="Z1263" i="10"/>
  <c r="U1263" i="10"/>
  <c r="T1263" i="10"/>
  <c r="N1263" i="10"/>
  <c r="F1263" i="10"/>
  <c r="AI1262" i="10"/>
  <c r="AD1262" i="10"/>
  <c r="AC1262" i="10"/>
  <c r="AB1262" i="10"/>
  <c r="AA1262" i="10"/>
  <c r="Z1262" i="10"/>
  <c r="U1262" i="10"/>
  <c r="T1262" i="10"/>
  <c r="N1262" i="10"/>
  <c r="F1262" i="10"/>
  <c r="AI1261" i="10"/>
  <c r="AD1261" i="10"/>
  <c r="AC1261" i="10"/>
  <c r="AB1261" i="10"/>
  <c r="AA1261" i="10"/>
  <c r="Z1261" i="10"/>
  <c r="U1261" i="10"/>
  <c r="T1261" i="10"/>
  <c r="N1261" i="10"/>
  <c r="F1261" i="10"/>
  <c r="AI1260" i="10"/>
  <c r="AD1260" i="10"/>
  <c r="AC1260" i="10"/>
  <c r="AB1260" i="10"/>
  <c r="AA1260" i="10"/>
  <c r="Z1260" i="10"/>
  <c r="U1260" i="10"/>
  <c r="T1260" i="10"/>
  <c r="N1260" i="10"/>
  <c r="F1260" i="10"/>
  <c r="AI1259" i="10"/>
  <c r="AD1259" i="10"/>
  <c r="AC1259" i="10"/>
  <c r="AB1259" i="10"/>
  <c r="AA1259" i="10"/>
  <c r="Z1259" i="10"/>
  <c r="U1259" i="10"/>
  <c r="T1259" i="10"/>
  <c r="N1259" i="10"/>
  <c r="F1259" i="10"/>
  <c r="AI1258" i="10"/>
  <c r="AD1258" i="10"/>
  <c r="AC1258" i="10"/>
  <c r="AB1258" i="10"/>
  <c r="AA1258" i="10"/>
  <c r="Z1258" i="10"/>
  <c r="U1258" i="10"/>
  <c r="T1258" i="10"/>
  <c r="N1258" i="10"/>
  <c r="F1258" i="10"/>
  <c r="AI1257" i="10"/>
  <c r="AD1257" i="10"/>
  <c r="AC1257" i="10"/>
  <c r="AB1257" i="10"/>
  <c r="AA1257" i="10"/>
  <c r="Z1257" i="10"/>
  <c r="U1257" i="10"/>
  <c r="T1257" i="10"/>
  <c r="N1257" i="10"/>
  <c r="F1257" i="10"/>
  <c r="AI1256" i="10"/>
  <c r="AD1256" i="10"/>
  <c r="AC1256" i="10"/>
  <c r="AB1256" i="10"/>
  <c r="AA1256" i="10"/>
  <c r="Z1256" i="10"/>
  <c r="U1256" i="10"/>
  <c r="T1256" i="10"/>
  <c r="N1256" i="10"/>
  <c r="F1256" i="10"/>
  <c r="AI1255" i="10"/>
  <c r="AD1255" i="10"/>
  <c r="AC1255" i="10"/>
  <c r="AB1255" i="10"/>
  <c r="AA1255" i="10"/>
  <c r="Z1255" i="10"/>
  <c r="U1255" i="10"/>
  <c r="T1255" i="10"/>
  <c r="N1255" i="10"/>
  <c r="F1255" i="10"/>
  <c r="AI1254" i="10"/>
  <c r="AD1254" i="10"/>
  <c r="AC1254" i="10"/>
  <c r="AB1254" i="10"/>
  <c r="AA1254" i="10"/>
  <c r="Z1254" i="10"/>
  <c r="U1254" i="10"/>
  <c r="T1254" i="10"/>
  <c r="N1254" i="10"/>
  <c r="F1254" i="10"/>
  <c r="AI1253" i="10"/>
  <c r="AD1253" i="10"/>
  <c r="AC1253" i="10"/>
  <c r="AB1253" i="10"/>
  <c r="AA1253" i="10"/>
  <c r="Z1253" i="10"/>
  <c r="U1253" i="10"/>
  <c r="T1253" i="10"/>
  <c r="N1253" i="10"/>
  <c r="F1253" i="10"/>
  <c r="AI1252" i="10"/>
  <c r="AD1252" i="10"/>
  <c r="AC1252" i="10"/>
  <c r="AB1252" i="10"/>
  <c r="AA1252" i="10"/>
  <c r="Z1252" i="10"/>
  <c r="U1252" i="10"/>
  <c r="T1252" i="10"/>
  <c r="N1252" i="10"/>
  <c r="F1252" i="10"/>
  <c r="AI1251" i="10"/>
  <c r="AD1251" i="10"/>
  <c r="AC1251" i="10"/>
  <c r="AB1251" i="10"/>
  <c r="AA1251" i="10"/>
  <c r="Z1251" i="10"/>
  <c r="U1251" i="10"/>
  <c r="T1251" i="10"/>
  <c r="N1251" i="10"/>
  <c r="F1251" i="10"/>
  <c r="AI1250" i="10"/>
  <c r="AD1250" i="10"/>
  <c r="AC1250" i="10"/>
  <c r="AB1250" i="10"/>
  <c r="AA1250" i="10"/>
  <c r="Z1250" i="10"/>
  <c r="U1250" i="10"/>
  <c r="T1250" i="10"/>
  <c r="N1250" i="10"/>
  <c r="F1250" i="10"/>
  <c r="AI1249" i="10"/>
  <c r="AD1249" i="10"/>
  <c r="AC1249" i="10"/>
  <c r="AB1249" i="10"/>
  <c r="AA1249" i="10"/>
  <c r="Z1249" i="10"/>
  <c r="U1249" i="10"/>
  <c r="T1249" i="10"/>
  <c r="N1249" i="10"/>
  <c r="F1249" i="10"/>
  <c r="AI1248" i="10"/>
  <c r="AD1248" i="10"/>
  <c r="AC1248" i="10"/>
  <c r="AB1248" i="10"/>
  <c r="AA1248" i="10"/>
  <c r="Z1248" i="10"/>
  <c r="U1248" i="10"/>
  <c r="T1248" i="10"/>
  <c r="N1248" i="10"/>
  <c r="F1248" i="10"/>
  <c r="AI1247" i="10"/>
  <c r="AD1247" i="10"/>
  <c r="AC1247" i="10"/>
  <c r="AB1247" i="10"/>
  <c r="AA1247" i="10"/>
  <c r="Z1247" i="10"/>
  <c r="U1247" i="10"/>
  <c r="T1247" i="10"/>
  <c r="N1247" i="10"/>
  <c r="F1247" i="10"/>
  <c r="AI1246" i="10"/>
  <c r="AD1246" i="10"/>
  <c r="AC1246" i="10"/>
  <c r="AB1246" i="10"/>
  <c r="AA1246" i="10"/>
  <c r="Z1246" i="10"/>
  <c r="U1246" i="10"/>
  <c r="T1246" i="10"/>
  <c r="N1246" i="10"/>
  <c r="F1246" i="10"/>
  <c r="AI1245" i="10"/>
  <c r="AD1245" i="10"/>
  <c r="AC1245" i="10"/>
  <c r="AB1245" i="10"/>
  <c r="AA1245" i="10"/>
  <c r="Z1245" i="10"/>
  <c r="U1245" i="10"/>
  <c r="T1245" i="10"/>
  <c r="N1245" i="10"/>
  <c r="F1245" i="10"/>
  <c r="AI1244" i="10"/>
  <c r="AD1244" i="10"/>
  <c r="AC1244" i="10"/>
  <c r="AB1244" i="10"/>
  <c r="AA1244" i="10"/>
  <c r="Z1244" i="10"/>
  <c r="U1244" i="10"/>
  <c r="T1244" i="10"/>
  <c r="N1244" i="10"/>
  <c r="F1244" i="10"/>
  <c r="AI1243" i="10"/>
  <c r="AD1243" i="10"/>
  <c r="AC1243" i="10"/>
  <c r="AB1243" i="10"/>
  <c r="AA1243" i="10"/>
  <c r="Z1243" i="10"/>
  <c r="U1243" i="10"/>
  <c r="T1243" i="10"/>
  <c r="N1243" i="10"/>
  <c r="F1243" i="10"/>
  <c r="AI1242" i="10"/>
  <c r="AD1242" i="10"/>
  <c r="AC1242" i="10"/>
  <c r="AB1242" i="10"/>
  <c r="AA1242" i="10"/>
  <c r="Z1242" i="10"/>
  <c r="U1242" i="10"/>
  <c r="T1242" i="10"/>
  <c r="N1242" i="10"/>
  <c r="F1242" i="10"/>
  <c r="AI1241" i="10"/>
  <c r="AD1241" i="10"/>
  <c r="AC1241" i="10"/>
  <c r="AB1241" i="10"/>
  <c r="AA1241" i="10"/>
  <c r="Z1241" i="10"/>
  <c r="U1241" i="10"/>
  <c r="T1241" i="10"/>
  <c r="N1241" i="10"/>
  <c r="F1241" i="10"/>
  <c r="AI1240" i="10"/>
  <c r="AD1240" i="10"/>
  <c r="AC1240" i="10"/>
  <c r="AB1240" i="10"/>
  <c r="AA1240" i="10"/>
  <c r="Z1240" i="10"/>
  <c r="U1240" i="10"/>
  <c r="T1240" i="10"/>
  <c r="N1240" i="10"/>
  <c r="F1240" i="10"/>
  <c r="AI1239" i="10"/>
  <c r="AD1239" i="10"/>
  <c r="AC1239" i="10"/>
  <c r="AB1239" i="10"/>
  <c r="AA1239" i="10"/>
  <c r="Z1239" i="10"/>
  <c r="U1239" i="10"/>
  <c r="T1239" i="10"/>
  <c r="N1239" i="10"/>
  <c r="F1239" i="10"/>
  <c r="AI1238" i="10"/>
  <c r="AD1238" i="10"/>
  <c r="AC1238" i="10"/>
  <c r="AB1238" i="10"/>
  <c r="AA1238" i="10"/>
  <c r="Z1238" i="10"/>
  <c r="U1238" i="10"/>
  <c r="T1238" i="10"/>
  <c r="N1238" i="10"/>
  <c r="F1238" i="10"/>
  <c r="AI1237" i="10"/>
  <c r="AD1237" i="10"/>
  <c r="AC1237" i="10"/>
  <c r="AB1237" i="10"/>
  <c r="AA1237" i="10"/>
  <c r="Z1237" i="10"/>
  <c r="U1237" i="10"/>
  <c r="T1237" i="10"/>
  <c r="N1237" i="10"/>
  <c r="F1237" i="10"/>
  <c r="AI1236" i="10"/>
  <c r="AD1236" i="10"/>
  <c r="AC1236" i="10"/>
  <c r="AB1236" i="10"/>
  <c r="AA1236" i="10"/>
  <c r="Z1236" i="10"/>
  <c r="U1236" i="10"/>
  <c r="T1236" i="10"/>
  <c r="N1236" i="10"/>
  <c r="F1236" i="10"/>
  <c r="AI1235" i="10"/>
  <c r="AD1235" i="10"/>
  <c r="AC1235" i="10"/>
  <c r="AB1235" i="10"/>
  <c r="AA1235" i="10"/>
  <c r="Z1235" i="10"/>
  <c r="U1235" i="10"/>
  <c r="T1235" i="10"/>
  <c r="N1235" i="10"/>
  <c r="F1235" i="10"/>
  <c r="AI1234" i="10"/>
  <c r="AD1234" i="10"/>
  <c r="AC1234" i="10"/>
  <c r="AB1234" i="10"/>
  <c r="AA1234" i="10"/>
  <c r="Z1234" i="10"/>
  <c r="U1234" i="10"/>
  <c r="T1234" i="10"/>
  <c r="N1234" i="10"/>
  <c r="F1234" i="10"/>
  <c r="AI1233" i="10"/>
  <c r="AD1233" i="10"/>
  <c r="AC1233" i="10"/>
  <c r="AB1233" i="10"/>
  <c r="AA1233" i="10"/>
  <c r="Z1233" i="10"/>
  <c r="U1233" i="10"/>
  <c r="T1233" i="10"/>
  <c r="N1233" i="10"/>
  <c r="F1233" i="10"/>
  <c r="AI1232" i="10"/>
  <c r="AD1232" i="10"/>
  <c r="AC1232" i="10"/>
  <c r="AB1232" i="10"/>
  <c r="AA1232" i="10"/>
  <c r="Z1232" i="10"/>
  <c r="U1232" i="10"/>
  <c r="T1232" i="10"/>
  <c r="N1232" i="10"/>
  <c r="F1232" i="10"/>
  <c r="AI1231" i="10"/>
  <c r="AD1231" i="10"/>
  <c r="AC1231" i="10"/>
  <c r="AB1231" i="10"/>
  <c r="AA1231" i="10"/>
  <c r="Z1231" i="10"/>
  <c r="U1231" i="10"/>
  <c r="T1231" i="10"/>
  <c r="N1231" i="10"/>
  <c r="F1231" i="10"/>
  <c r="AI1230" i="10"/>
  <c r="AD1230" i="10"/>
  <c r="AC1230" i="10"/>
  <c r="AB1230" i="10"/>
  <c r="AA1230" i="10"/>
  <c r="Z1230" i="10"/>
  <c r="U1230" i="10"/>
  <c r="T1230" i="10"/>
  <c r="N1230" i="10"/>
  <c r="F1230" i="10"/>
  <c r="AI1229" i="10"/>
  <c r="AD1229" i="10"/>
  <c r="AC1229" i="10"/>
  <c r="AB1229" i="10"/>
  <c r="AA1229" i="10"/>
  <c r="Z1229" i="10"/>
  <c r="U1229" i="10"/>
  <c r="T1229" i="10"/>
  <c r="N1229" i="10"/>
  <c r="F1229" i="10"/>
  <c r="AI1228" i="10"/>
  <c r="AD1228" i="10"/>
  <c r="AC1228" i="10"/>
  <c r="AB1228" i="10"/>
  <c r="AA1228" i="10"/>
  <c r="Z1228" i="10"/>
  <c r="U1228" i="10"/>
  <c r="T1228" i="10"/>
  <c r="N1228" i="10"/>
  <c r="F1228" i="10"/>
  <c r="AI1227" i="10"/>
  <c r="AD1227" i="10"/>
  <c r="AC1227" i="10"/>
  <c r="AB1227" i="10"/>
  <c r="AA1227" i="10"/>
  <c r="Z1227" i="10"/>
  <c r="U1227" i="10"/>
  <c r="T1227" i="10"/>
  <c r="N1227" i="10"/>
  <c r="F1227" i="10"/>
  <c r="AI1226" i="10"/>
  <c r="AD1226" i="10"/>
  <c r="AC1226" i="10"/>
  <c r="AB1226" i="10"/>
  <c r="AA1226" i="10"/>
  <c r="Z1226" i="10"/>
  <c r="U1226" i="10"/>
  <c r="T1226" i="10"/>
  <c r="N1226" i="10"/>
  <c r="F1226" i="10"/>
  <c r="AI1225" i="10"/>
  <c r="AD1225" i="10"/>
  <c r="AC1225" i="10"/>
  <c r="AB1225" i="10"/>
  <c r="AA1225" i="10"/>
  <c r="Z1225" i="10"/>
  <c r="U1225" i="10"/>
  <c r="T1225" i="10"/>
  <c r="N1225" i="10"/>
  <c r="F1225" i="10"/>
  <c r="AI1224" i="10"/>
  <c r="AD1224" i="10"/>
  <c r="AC1224" i="10"/>
  <c r="AB1224" i="10"/>
  <c r="AA1224" i="10"/>
  <c r="Z1224" i="10"/>
  <c r="U1224" i="10"/>
  <c r="T1224" i="10"/>
  <c r="N1224" i="10"/>
  <c r="F1224" i="10"/>
  <c r="AI1223" i="10"/>
  <c r="AD1223" i="10"/>
  <c r="AC1223" i="10"/>
  <c r="AB1223" i="10"/>
  <c r="AA1223" i="10"/>
  <c r="Z1223" i="10"/>
  <c r="U1223" i="10"/>
  <c r="T1223" i="10"/>
  <c r="N1223" i="10"/>
  <c r="F1223" i="10"/>
  <c r="AI1222" i="10"/>
  <c r="AD1222" i="10"/>
  <c r="AC1222" i="10"/>
  <c r="AB1222" i="10"/>
  <c r="AA1222" i="10"/>
  <c r="Z1222" i="10"/>
  <c r="U1222" i="10"/>
  <c r="T1222" i="10"/>
  <c r="N1222" i="10"/>
  <c r="F1222" i="10"/>
  <c r="AI1221" i="10"/>
  <c r="AD1221" i="10"/>
  <c r="AC1221" i="10"/>
  <c r="AB1221" i="10"/>
  <c r="AA1221" i="10"/>
  <c r="Z1221" i="10"/>
  <c r="U1221" i="10"/>
  <c r="T1221" i="10"/>
  <c r="N1221" i="10"/>
  <c r="F1221" i="10"/>
  <c r="AI1220" i="10"/>
  <c r="AD1220" i="10"/>
  <c r="AC1220" i="10"/>
  <c r="AB1220" i="10"/>
  <c r="AA1220" i="10"/>
  <c r="Z1220" i="10"/>
  <c r="U1220" i="10"/>
  <c r="T1220" i="10"/>
  <c r="N1220" i="10"/>
  <c r="F1220" i="10"/>
  <c r="AI1219" i="10"/>
  <c r="AD1219" i="10"/>
  <c r="AC1219" i="10"/>
  <c r="AB1219" i="10"/>
  <c r="AA1219" i="10"/>
  <c r="Z1219" i="10"/>
  <c r="U1219" i="10"/>
  <c r="T1219" i="10"/>
  <c r="N1219" i="10"/>
  <c r="F1219" i="10"/>
  <c r="AI1218" i="10"/>
  <c r="AD1218" i="10"/>
  <c r="AC1218" i="10"/>
  <c r="AB1218" i="10"/>
  <c r="AA1218" i="10"/>
  <c r="Z1218" i="10"/>
  <c r="U1218" i="10"/>
  <c r="T1218" i="10"/>
  <c r="N1218" i="10"/>
  <c r="F1218" i="10"/>
  <c r="AI1217" i="10"/>
  <c r="AD1217" i="10"/>
  <c r="AC1217" i="10"/>
  <c r="AB1217" i="10"/>
  <c r="AA1217" i="10"/>
  <c r="Z1217" i="10"/>
  <c r="U1217" i="10"/>
  <c r="T1217" i="10"/>
  <c r="N1217" i="10"/>
  <c r="F1217" i="10"/>
  <c r="AI1216" i="10"/>
  <c r="AD1216" i="10"/>
  <c r="AC1216" i="10"/>
  <c r="AB1216" i="10"/>
  <c r="AA1216" i="10"/>
  <c r="Z1216" i="10"/>
  <c r="U1216" i="10"/>
  <c r="T1216" i="10"/>
  <c r="N1216" i="10"/>
  <c r="F1216" i="10"/>
  <c r="AI1215" i="10"/>
  <c r="AD1215" i="10"/>
  <c r="AC1215" i="10"/>
  <c r="AB1215" i="10"/>
  <c r="AA1215" i="10"/>
  <c r="Z1215" i="10"/>
  <c r="U1215" i="10"/>
  <c r="T1215" i="10"/>
  <c r="N1215" i="10"/>
  <c r="F1215" i="10"/>
  <c r="AI1214" i="10"/>
  <c r="AD1214" i="10"/>
  <c r="AC1214" i="10"/>
  <c r="AB1214" i="10"/>
  <c r="AA1214" i="10"/>
  <c r="Z1214" i="10"/>
  <c r="U1214" i="10"/>
  <c r="T1214" i="10"/>
  <c r="N1214" i="10"/>
  <c r="F1214" i="10"/>
  <c r="AI1213" i="10"/>
  <c r="AD1213" i="10"/>
  <c r="AC1213" i="10"/>
  <c r="AB1213" i="10"/>
  <c r="AA1213" i="10"/>
  <c r="Z1213" i="10"/>
  <c r="U1213" i="10"/>
  <c r="T1213" i="10"/>
  <c r="N1213" i="10"/>
  <c r="F1213" i="10"/>
  <c r="AI1212" i="10"/>
  <c r="AD1212" i="10"/>
  <c r="AC1212" i="10"/>
  <c r="AB1212" i="10"/>
  <c r="AA1212" i="10"/>
  <c r="Z1212" i="10"/>
  <c r="U1212" i="10"/>
  <c r="T1212" i="10"/>
  <c r="N1212" i="10"/>
  <c r="F1212" i="10"/>
  <c r="AI1211" i="10"/>
  <c r="AD1211" i="10"/>
  <c r="AC1211" i="10"/>
  <c r="AB1211" i="10"/>
  <c r="AA1211" i="10"/>
  <c r="Z1211" i="10"/>
  <c r="U1211" i="10"/>
  <c r="T1211" i="10"/>
  <c r="N1211" i="10"/>
  <c r="F1211" i="10"/>
  <c r="AI1210" i="10"/>
  <c r="AD1210" i="10"/>
  <c r="AC1210" i="10"/>
  <c r="AB1210" i="10"/>
  <c r="AA1210" i="10"/>
  <c r="Z1210" i="10"/>
  <c r="U1210" i="10"/>
  <c r="T1210" i="10"/>
  <c r="N1210" i="10"/>
  <c r="F1210" i="10"/>
  <c r="AI1209" i="10"/>
  <c r="AD1209" i="10"/>
  <c r="AC1209" i="10"/>
  <c r="AB1209" i="10"/>
  <c r="AA1209" i="10"/>
  <c r="Z1209" i="10"/>
  <c r="U1209" i="10"/>
  <c r="T1209" i="10"/>
  <c r="N1209" i="10"/>
  <c r="F1209" i="10"/>
  <c r="AI1208" i="10"/>
  <c r="AD1208" i="10"/>
  <c r="AC1208" i="10"/>
  <c r="AB1208" i="10"/>
  <c r="AA1208" i="10"/>
  <c r="Z1208" i="10"/>
  <c r="U1208" i="10"/>
  <c r="T1208" i="10"/>
  <c r="N1208" i="10"/>
  <c r="F1208" i="10"/>
  <c r="AI1207" i="10"/>
  <c r="AD1207" i="10"/>
  <c r="AC1207" i="10"/>
  <c r="AB1207" i="10"/>
  <c r="AA1207" i="10"/>
  <c r="Z1207" i="10"/>
  <c r="U1207" i="10"/>
  <c r="T1207" i="10"/>
  <c r="N1207" i="10"/>
  <c r="F1207" i="10"/>
  <c r="AI1206" i="10"/>
  <c r="AD1206" i="10"/>
  <c r="AC1206" i="10"/>
  <c r="AB1206" i="10"/>
  <c r="AA1206" i="10"/>
  <c r="Z1206" i="10"/>
  <c r="U1206" i="10"/>
  <c r="T1206" i="10"/>
  <c r="N1206" i="10"/>
  <c r="F1206" i="10"/>
  <c r="AI1205" i="10"/>
  <c r="AD1205" i="10"/>
  <c r="AC1205" i="10"/>
  <c r="AB1205" i="10"/>
  <c r="AA1205" i="10"/>
  <c r="Z1205" i="10"/>
  <c r="U1205" i="10"/>
  <c r="T1205" i="10"/>
  <c r="N1205" i="10"/>
  <c r="F1205" i="10"/>
  <c r="AI1204" i="10"/>
  <c r="AD1204" i="10"/>
  <c r="AC1204" i="10"/>
  <c r="AB1204" i="10"/>
  <c r="AA1204" i="10"/>
  <c r="Z1204" i="10"/>
  <c r="U1204" i="10"/>
  <c r="T1204" i="10"/>
  <c r="N1204" i="10"/>
  <c r="F1204" i="10"/>
  <c r="AI1203" i="10"/>
  <c r="AD1203" i="10"/>
  <c r="AC1203" i="10"/>
  <c r="AB1203" i="10"/>
  <c r="AA1203" i="10"/>
  <c r="Z1203" i="10"/>
  <c r="U1203" i="10"/>
  <c r="T1203" i="10"/>
  <c r="N1203" i="10"/>
  <c r="F1203" i="10"/>
  <c r="AI1202" i="10"/>
  <c r="AD1202" i="10"/>
  <c r="AC1202" i="10"/>
  <c r="AB1202" i="10"/>
  <c r="AA1202" i="10"/>
  <c r="Z1202" i="10"/>
  <c r="U1202" i="10"/>
  <c r="T1202" i="10"/>
  <c r="N1202" i="10"/>
  <c r="F1202" i="10"/>
  <c r="AI1201" i="10"/>
  <c r="AD1201" i="10"/>
  <c r="AC1201" i="10"/>
  <c r="AB1201" i="10"/>
  <c r="AA1201" i="10"/>
  <c r="Z1201" i="10"/>
  <c r="U1201" i="10"/>
  <c r="T1201" i="10"/>
  <c r="N1201" i="10"/>
  <c r="F1201" i="10"/>
  <c r="AI1200" i="10"/>
  <c r="AD1200" i="10"/>
  <c r="AC1200" i="10"/>
  <c r="AB1200" i="10"/>
  <c r="AA1200" i="10"/>
  <c r="Z1200" i="10"/>
  <c r="U1200" i="10"/>
  <c r="T1200" i="10"/>
  <c r="N1200" i="10"/>
  <c r="F1200" i="10"/>
  <c r="AI1199" i="10"/>
  <c r="AD1199" i="10"/>
  <c r="AC1199" i="10"/>
  <c r="AB1199" i="10"/>
  <c r="AA1199" i="10"/>
  <c r="Z1199" i="10"/>
  <c r="U1199" i="10"/>
  <c r="T1199" i="10"/>
  <c r="N1199" i="10"/>
  <c r="F1199" i="10"/>
  <c r="AI1198" i="10"/>
  <c r="AD1198" i="10"/>
  <c r="AC1198" i="10"/>
  <c r="AB1198" i="10"/>
  <c r="AA1198" i="10"/>
  <c r="Z1198" i="10"/>
  <c r="U1198" i="10"/>
  <c r="T1198" i="10"/>
  <c r="N1198" i="10"/>
  <c r="F1198" i="10"/>
  <c r="AI1197" i="10"/>
  <c r="AD1197" i="10"/>
  <c r="AC1197" i="10"/>
  <c r="AB1197" i="10"/>
  <c r="AA1197" i="10"/>
  <c r="Z1197" i="10"/>
  <c r="U1197" i="10"/>
  <c r="T1197" i="10"/>
  <c r="N1197" i="10"/>
  <c r="F1197" i="10"/>
  <c r="AI1196" i="10"/>
  <c r="AD1196" i="10"/>
  <c r="AC1196" i="10"/>
  <c r="AB1196" i="10"/>
  <c r="AA1196" i="10"/>
  <c r="Z1196" i="10"/>
  <c r="U1196" i="10"/>
  <c r="T1196" i="10"/>
  <c r="N1196" i="10"/>
  <c r="F1196" i="10"/>
  <c r="AI1195" i="10"/>
  <c r="AD1195" i="10"/>
  <c r="AC1195" i="10"/>
  <c r="AB1195" i="10"/>
  <c r="AA1195" i="10"/>
  <c r="Z1195" i="10"/>
  <c r="U1195" i="10"/>
  <c r="T1195" i="10"/>
  <c r="N1195" i="10"/>
  <c r="F1195" i="10"/>
  <c r="AI1194" i="10"/>
  <c r="AD1194" i="10"/>
  <c r="AC1194" i="10"/>
  <c r="AB1194" i="10"/>
  <c r="AA1194" i="10"/>
  <c r="Z1194" i="10"/>
  <c r="U1194" i="10"/>
  <c r="T1194" i="10"/>
  <c r="N1194" i="10"/>
  <c r="F1194" i="10"/>
  <c r="AI1193" i="10"/>
  <c r="AD1193" i="10"/>
  <c r="AC1193" i="10"/>
  <c r="AB1193" i="10"/>
  <c r="AA1193" i="10"/>
  <c r="Z1193" i="10"/>
  <c r="U1193" i="10"/>
  <c r="T1193" i="10"/>
  <c r="N1193" i="10"/>
  <c r="F1193" i="10"/>
  <c r="AI1192" i="10"/>
  <c r="AD1192" i="10"/>
  <c r="AC1192" i="10"/>
  <c r="AB1192" i="10"/>
  <c r="AA1192" i="10"/>
  <c r="Z1192" i="10"/>
  <c r="U1192" i="10"/>
  <c r="T1192" i="10"/>
  <c r="N1192" i="10"/>
  <c r="F1192" i="10"/>
  <c r="AI1191" i="10"/>
  <c r="AD1191" i="10"/>
  <c r="AC1191" i="10"/>
  <c r="AB1191" i="10"/>
  <c r="AA1191" i="10"/>
  <c r="Z1191" i="10"/>
  <c r="U1191" i="10"/>
  <c r="T1191" i="10"/>
  <c r="N1191" i="10"/>
  <c r="F1191" i="10"/>
  <c r="AI1190" i="10"/>
  <c r="AD1190" i="10"/>
  <c r="AC1190" i="10"/>
  <c r="AB1190" i="10"/>
  <c r="AA1190" i="10"/>
  <c r="Z1190" i="10"/>
  <c r="U1190" i="10"/>
  <c r="T1190" i="10"/>
  <c r="N1190" i="10"/>
  <c r="F1190" i="10"/>
  <c r="AI1189" i="10"/>
  <c r="AD1189" i="10"/>
  <c r="AC1189" i="10"/>
  <c r="AB1189" i="10"/>
  <c r="AA1189" i="10"/>
  <c r="Z1189" i="10"/>
  <c r="U1189" i="10"/>
  <c r="T1189" i="10"/>
  <c r="N1189" i="10"/>
  <c r="F1189" i="10"/>
  <c r="AI1188" i="10"/>
  <c r="AD1188" i="10"/>
  <c r="AC1188" i="10"/>
  <c r="AB1188" i="10"/>
  <c r="AA1188" i="10"/>
  <c r="Z1188" i="10"/>
  <c r="U1188" i="10"/>
  <c r="T1188" i="10"/>
  <c r="N1188" i="10"/>
  <c r="F1188" i="10"/>
  <c r="AI1187" i="10"/>
  <c r="AD1187" i="10"/>
  <c r="AC1187" i="10"/>
  <c r="AB1187" i="10"/>
  <c r="AA1187" i="10"/>
  <c r="Z1187" i="10"/>
  <c r="U1187" i="10"/>
  <c r="T1187" i="10"/>
  <c r="N1187" i="10"/>
  <c r="F1187" i="10"/>
  <c r="AI1186" i="10"/>
  <c r="AD1186" i="10"/>
  <c r="AC1186" i="10"/>
  <c r="AB1186" i="10"/>
  <c r="AA1186" i="10"/>
  <c r="Z1186" i="10"/>
  <c r="U1186" i="10"/>
  <c r="T1186" i="10"/>
  <c r="N1186" i="10"/>
  <c r="F1186" i="10"/>
  <c r="AI1185" i="10"/>
  <c r="AD1185" i="10"/>
  <c r="AC1185" i="10"/>
  <c r="AB1185" i="10"/>
  <c r="AA1185" i="10"/>
  <c r="Z1185" i="10"/>
  <c r="U1185" i="10"/>
  <c r="T1185" i="10"/>
  <c r="N1185" i="10"/>
  <c r="F1185" i="10"/>
  <c r="AI1184" i="10"/>
  <c r="AD1184" i="10"/>
  <c r="AC1184" i="10"/>
  <c r="AB1184" i="10"/>
  <c r="AA1184" i="10"/>
  <c r="Z1184" i="10"/>
  <c r="U1184" i="10"/>
  <c r="T1184" i="10"/>
  <c r="N1184" i="10"/>
  <c r="F1184" i="10"/>
  <c r="AI1183" i="10"/>
  <c r="AD1183" i="10"/>
  <c r="AC1183" i="10"/>
  <c r="AB1183" i="10"/>
  <c r="AA1183" i="10"/>
  <c r="Z1183" i="10"/>
  <c r="U1183" i="10"/>
  <c r="T1183" i="10"/>
  <c r="N1183" i="10"/>
  <c r="F1183" i="10"/>
  <c r="AI1182" i="10"/>
  <c r="AD1182" i="10"/>
  <c r="AC1182" i="10"/>
  <c r="AB1182" i="10"/>
  <c r="AA1182" i="10"/>
  <c r="Z1182" i="10"/>
  <c r="U1182" i="10"/>
  <c r="T1182" i="10"/>
  <c r="N1182" i="10"/>
  <c r="F1182" i="10"/>
  <c r="AI1181" i="10"/>
  <c r="AD1181" i="10"/>
  <c r="AC1181" i="10"/>
  <c r="AB1181" i="10"/>
  <c r="AA1181" i="10"/>
  <c r="Z1181" i="10"/>
  <c r="U1181" i="10"/>
  <c r="T1181" i="10"/>
  <c r="N1181" i="10"/>
  <c r="F1181" i="10"/>
  <c r="AI1180" i="10"/>
  <c r="AD1180" i="10"/>
  <c r="AC1180" i="10"/>
  <c r="AB1180" i="10"/>
  <c r="AA1180" i="10"/>
  <c r="Z1180" i="10"/>
  <c r="U1180" i="10"/>
  <c r="T1180" i="10"/>
  <c r="N1180" i="10"/>
  <c r="F1180" i="10"/>
  <c r="AI1179" i="10"/>
  <c r="AD1179" i="10"/>
  <c r="AC1179" i="10"/>
  <c r="AB1179" i="10"/>
  <c r="AA1179" i="10"/>
  <c r="Z1179" i="10"/>
  <c r="U1179" i="10"/>
  <c r="T1179" i="10"/>
  <c r="N1179" i="10"/>
  <c r="F1179" i="10"/>
  <c r="AI1178" i="10"/>
  <c r="AD1178" i="10"/>
  <c r="AC1178" i="10"/>
  <c r="AB1178" i="10"/>
  <c r="AA1178" i="10"/>
  <c r="Z1178" i="10"/>
  <c r="U1178" i="10"/>
  <c r="T1178" i="10"/>
  <c r="N1178" i="10"/>
  <c r="F1178" i="10"/>
  <c r="AI1177" i="10"/>
  <c r="AD1177" i="10"/>
  <c r="AC1177" i="10"/>
  <c r="AB1177" i="10"/>
  <c r="AA1177" i="10"/>
  <c r="Z1177" i="10"/>
  <c r="U1177" i="10"/>
  <c r="T1177" i="10"/>
  <c r="N1177" i="10"/>
  <c r="F1177" i="10"/>
  <c r="AI1176" i="10"/>
  <c r="AD1176" i="10"/>
  <c r="AC1176" i="10"/>
  <c r="AB1176" i="10"/>
  <c r="AA1176" i="10"/>
  <c r="Z1176" i="10"/>
  <c r="U1176" i="10"/>
  <c r="T1176" i="10"/>
  <c r="N1176" i="10"/>
  <c r="F1176" i="10"/>
  <c r="AI1175" i="10"/>
  <c r="AD1175" i="10"/>
  <c r="AC1175" i="10"/>
  <c r="AB1175" i="10"/>
  <c r="AA1175" i="10"/>
  <c r="Z1175" i="10"/>
  <c r="U1175" i="10"/>
  <c r="T1175" i="10"/>
  <c r="N1175" i="10"/>
  <c r="F1175" i="10"/>
  <c r="AI1174" i="10"/>
  <c r="AD1174" i="10"/>
  <c r="AC1174" i="10"/>
  <c r="AB1174" i="10"/>
  <c r="AA1174" i="10"/>
  <c r="Z1174" i="10"/>
  <c r="U1174" i="10"/>
  <c r="T1174" i="10"/>
  <c r="N1174" i="10"/>
  <c r="F1174" i="10"/>
  <c r="AI1173" i="10"/>
  <c r="AD1173" i="10"/>
  <c r="AC1173" i="10"/>
  <c r="AB1173" i="10"/>
  <c r="AA1173" i="10"/>
  <c r="Z1173" i="10"/>
  <c r="U1173" i="10"/>
  <c r="T1173" i="10"/>
  <c r="N1173" i="10"/>
  <c r="F1173" i="10"/>
  <c r="AI1172" i="10"/>
  <c r="AD1172" i="10"/>
  <c r="AC1172" i="10"/>
  <c r="AB1172" i="10"/>
  <c r="AA1172" i="10"/>
  <c r="Z1172" i="10"/>
  <c r="U1172" i="10"/>
  <c r="T1172" i="10"/>
  <c r="N1172" i="10"/>
  <c r="F1172" i="10"/>
  <c r="AI1171" i="10"/>
  <c r="AD1171" i="10"/>
  <c r="AC1171" i="10"/>
  <c r="AB1171" i="10"/>
  <c r="AA1171" i="10"/>
  <c r="Z1171" i="10"/>
  <c r="U1171" i="10"/>
  <c r="T1171" i="10"/>
  <c r="N1171" i="10"/>
  <c r="F1171" i="10"/>
  <c r="AI1170" i="10"/>
  <c r="AD1170" i="10"/>
  <c r="AC1170" i="10"/>
  <c r="AB1170" i="10"/>
  <c r="AA1170" i="10"/>
  <c r="Z1170" i="10"/>
  <c r="U1170" i="10"/>
  <c r="T1170" i="10"/>
  <c r="N1170" i="10"/>
  <c r="F1170" i="10"/>
  <c r="AI1169" i="10"/>
  <c r="AD1169" i="10"/>
  <c r="AC1169" i="10"/>
  <c r="AB1169" i="10"/>
  <c r="AA1169" i="10"/>
  <c r="Z1169" i="10"/>
  <c r="U1169" i="10"/>
  <c r="T1169" i="10"/>
  <c r="N1169" i="10"/>
  <c r="F1169" i="10"/>
  <c r="AI1168" i="10"/>
  <c r="AD1168" i="10"/>
  <c r="AC1168" i="10"/>
  <c r="AB1168" i="10"/>
  <c r="AA1168" i="10"/>
  <c r="Z1168" i="10"/>
  <c r="U1168" i="10"/>
  <c r="T1168" i="10"/>
  <c r="N1168" i="10"/>
  <c r="F1168" i="10"/>
  <c r="AI1167" i="10"/>
  <c r="AD1167" i="10"/>
  <c r="AC1167" i="10"/>
  <c r="AB1167" i="10"/>
  <c r="AA1167" i="10"/>
  <c r="Z1167" i="10"/>
  <c r="U1167" i="10"/>
  <c r="T1167" i="10"/>
  <c r="N1167" i="10"/>
  <c r="F1167" i="10"/>
  <c r="AI1166" i="10"/>
  <c r="AD1166" i="10"/>
  <c r="AC1166" i="10"/>
  <c r="AB1166" i="10"/>
  <c r="AA1166" i="10"/>
  <c r="Z1166" i="10"/>
  <c r="U1166" i="10"/>
  <c r="T1166" i="10"/>
  <c r="N1166" i="10"/>
  <c r="F1166" i="10"/>
  <c r="AI1165" i="10"/>
  <c r="AD1165" i="10"/>
  <c r="AC1165" i="10"/>
  <c r="AB1165" i="10"/>
  <c r="AA1165" i="10"/>
  <c r="Z1165" i="10"/>
  <c r="U1165" i="10"/>
  <c r="T1165" i="10"/>
  <c r="N1165" i="10"/>
  <c r="F1165" i="10"/>
  <c r="AI1164" i="10"/>
  <c r="AD1164" i="10"/>
  <c r="AC1164" i="10"/>
  <c r="AB1164" i="10"/>
  <c r="AA1164" i="10"/>
  <c r="Z1164" i="10"/>
  <c r="U1164" i="10"/>
  <c r="T1164" i="10"/>
  <c r="N1164" i="10"/>
  <c r="F1164" i="10"/>
  <c r="AI1163" i="10"/>
  <c r="AD1163" i="10"/>
  <c r="AC1163" i="10"/>
  <c r="AB1163" i="10"/>
  <c r="AA1163" i="10"/>
  <c r="Z1163" i="10"/>
  <c r="U1163" i="10"/>
  <c r="T1163" i="10"/>
  <c r="N1163" i="10"/>
  <c r="F1163" i="10"/>
  <c r="AI1162" i="10"/>
  <c r="AD1162" i="10"/>
  <c r="AC1162" i="10"/>
  <c r="AB1162" i="10"/>
  <c r="AA1162" i="10"/>
  <c r="Z1162" i="10"/>
  <c r="U1162" i="10"/>
  <c r="T1162" i="10"/>
  <c r="N1162" i="10"/>
  <c r="F1162" i="10"/>
  <c r="AI1161" i="10"/>
  <c r="AD1161" i="10"/>
  <c r="AC1161" i="10"/>
  <c r="AB1161" i="10"/>
  <c r="AA1161" i="10"/>
  <c r="Z1161" i="10"/>
  <c r="U1161" i="10"/>
  <c r="T1161" i="10"/>
  <c r="N1161" i="10"/>
  <c r="F1161" i="10"/>
  <c r="AI1160" i="10"/>
  <c r="AD1160" i="10"/>
  <c r="AC1160" i="10"/>
  <c r="AB1160" i="10"/>
  <c r="AA1160" i="10"/>
  <c r="Z1160" i="10"/>
  <c r="U1160" i="10"/>
  <c r="T1160" i="10"/>
  <c r="N1160" i="10"/>
  <c r="F1160" i="10"/>
  <c r="AI1159" i="10"/>
  <c r="AD1159" i="10"/>
  <c r="AC1159" i="10"/>
  <c r="AB1159" i="10"/>
  <c r="AA1159" i="10"/>
  <c r="Z1159" i="10"/>
  <c r="U1159" i="10"/>
  <c r="T1159" i="10"/>
  <c r="N1159" i="10"/>
  <c r="F1159" i="10"/>
  <c r="AI1158" i="10"/>
  <c r="AD1158" i="10"/>
  <c r="AC1158" i="10"/>
  <c r="AB1158" i="10"/>
  <c r="AA1158" i="10"/>
  <c r="Z1158" i="10"/>
  <c r="U1158" i="10"/>
  <c r="T1158" i="10"/>
  <c r="N1158" i="10"/>
  <c r="F1158" i="10"/>
  <c r="AI1157" i="10"/>
  <c r="AD1157" i="10"/>
  <c r="AC1157" i="10"/>
  <c r="AB1157" i="10"/>
  <c r="AA1157" i="10"/>
  <c r="Z1157" i="10"/>
  <c r="U1157" i="10"/>
  <c r="T1157" i="10"/>
  <c r="N1157" i="10"/>
  <c r="F1157" i="10"/>
  <c r="AI1156" i="10"/>
  <c r="AD1156" i="10"/>
  <c r="AC1156" i="10"/>
  <c r="AB1156" i="10"/>
  <c r="AA1156" i="10"/>
  <c r="Z1156" i="10"/>
  <c r="U1156" i="10"/>
  <c r="T1156" i="10"/>
  <c r="N1156" i="10"/>
  <c r="F1156" i="10"/>
  <c r="AI1155" i="10"/>
  <c r="AD1155" i="10"/>
  <c r="AC1155" i="10"/>
  <c r="AB1155" i="10"/>
  <c r="AA1155" i="10"/>
  <c r="Z1155" i="10"/>
  <c r="U1155" i="10"/>
  <c r="T1155" i="10"/>
  <c r="N1155" i="10"/>
  <c r="F1155" i="10"/>
  <c r="AI1154" i="10"/>
  <c r="AD1154" i="10"/>
  <c r="AC1154" i="10"/>
  <c r="AB1154" i="10"/>
  <c r="AA1154" i="10"/>
  <c r="Z1154" i="10"/>
  <c r="U1154" i="10"/>
  <c r="T1154" i="10"/>
  <c r="N1154" i="10"/>
  <c r="F1154" i="10"/>
  <c r="AI1153" i="10"/>
  <c r="AD1153" i="10"/>
  <c r="AC1153" i="10"/>
  <c r="AB1153" i="10"/>
  <c r="AA1153" i="10"/>
  <c r="Z1153" i="10"/>
  <c r="U1153" i="10"/>
  <c r="T1153" i="10"/>
  <c r="N1153" i="10"/>
  <c r="F1153" i="10"/>
  <c r="AI1152" i="10"/>
  <c r="AD1152" i="10"/>
  <c r="AC1152" i="10"/>
  <c r="AB1152" i="10"/>
  <c r="AA1152" i="10"/>
  <c r="Z1152" i="10"/>
  <c r="U1152" i="10"/>
  <c r="T1152" i="10"/>
  <c r="N1152" i="10"/>
  <c r="F1152" i="10"/>
  <c r="AI1151" i="10"/>
  <c r="AD1151" i="10"/>
  <c r="AC1151" i="10"/>
  <c r="AB1151" i="10"/>
  <c r="AA1151" i="10"/>
  <c r="Z1151" i="10"/>
  <c r="U1151" i="10"/>
  <c r="T1151" i="10"/>
  <c r="N1151" i="10"/>
  <c r="F1151" i="10"/>
  <c r="AI1150" i="10"/>
  <c r="AD1150" i="10"/>
  <c r="AC1150" i="10"/>
  <c r="AB1150" i="10"/>
  <c r="AA1150" i="10"/>
  <c r="Z1150" i="10"/>
  <c r="U1150" i="10"/>
  <c r="T1150" i="10"/>
  <c r="N1150" i="10"/>
  <c r="F1150" i="10"/>
  <c r="AI1149" i="10"/>
  <c r="AD1149" i="10"/>
  <c r="AC1149" i="10"/>
  <c r="AB1149" i="10"/>
  <c r="AA1149" i="10"/>
  <c r="Z1149" i="10"/>
  <c r="U1149" i="10"/>
  <c r="T1149" i="10"/>
  <c r="N1149" i="10"/>
  <c r="F1149" i="10"/>
  <c r="AI1148" i="10"/>
  <c r="AD1148" i="10"/>
  <c r="AC1148" i="10"/>
  <c r="AB1148" i="10"/>
  <c r="AA1148" i="10"/>
  <c r="Z1148" i="10"/>
  <c r="U1148" i="10"/>
  <c r="T1148" i="10"/>
  <c r="N1148" i="10"/>
  <c r="F1148" i="10"/>
  <c r="AI1147" i="10"/>
  <c r="AD1147" i="10"/>
  <c r="AC1147" i="10"/>
  <c r="AB1147" i="10"/>
  <c r="AA1147" i="10"/>
  <c r="Z1147" i="10"/>
  <c r="U1147" i="10"/>
  <c r="T1147" i="10"/>
  <c r="N1147" i="10"/>
  <c r="F1147" i="10"/>
  <c r="AI1146" i="10"/>
  <c r="AD1146" i="10"/>
  <c r="AC1146" i="10"/>
  <c r="AB1146" i="10"/>
  <c r="AA1146" i="10"/>
  <c r="Z1146" i="10"/>
  <c r="U1146" i="10"/>
  <c r="T1146" i="10"/>
  <c r="N1146" i="10"/>
  <c r="F1146" i="10"/>
  <c r="AI1145" i="10"/>
  <c r="AD1145" i="10"/>
  <c r="AC1145" i="10"/>
  <c r="AB1145" i="10"/>
  <c r="AA1145" i="10"/>
  <c r="Z1145" i="10"/>
  <c r="U1145" i="10"/>
  <c r="T1145" i="10"/>
  <c r="N1145" i="10"/>
  <c r="F1145" i="10"/>
  <c r="AI1144" i="10"/>
  <c r="AD1144" i="10"/>
  <c r="AC1144" i="10"/>
  <c r="AB1144" i="10"/>
  <c r="AA1144" i="10"/>
  <c r="Z1144" i="10"/>
  <c r="U1144" i="10"/>
  <c r="T1144" i="10"/>
  <c r="N1144" i="10"/>
  <c r="F1144" i="10"/>
  <c r="AI1143" i="10"/>
  <c r="AD1143" i="10"/>
  <c r="AC1143" i="10"/>
  <c r="AB1143" i="10"/>
  <c r="AA1143" i="10"/>
  <c r="Z1143" i="10"/>
  <c r="U1143" i="10"/>
  <c r="T1143" i="10"/>
  <c r="N1143" i="10"/>
  <c r="F1143" i="10"/>
  <c r="AI1142" i="10"/>
  <c r="AD1142" i="10"/>
  <c r="AC1142" i="10"/>
  <c r="AB1142" i="10"/>
  <c r="AA1142" i="10"/>
  <c r="Z1142" i="10"/>
  <c r="U1142" i="10"/>
  <c r="T1142" i="10"/>
  <c r="N1142" i="10"/>
  <c r="F1142" i="10"/>
  <c r="AI1141" i="10"/>
  <c r="AD1141" i="10"/>
  <c r="AC1141" i="10"/>
  <c r="AB1141" i="10"/>
  <c r="AA1141" i="10"/>
  <c r="Z1141" i="10"/>
  <c r="U1141" i="10"/>
  <c r="T1141" i="10"/>
  <c r="N1141" i="10"/>
  <c r="F1141" i="10"/>
  <c r="AI1140" i="10"/>
  <c r="AD1140" i="10"/>
  <c r="AC1140" i="10"/>
  <c r="AB1140" i="10"/>
  <c r="AA1140" i="10"/>
  <c r="Z1140" i="10"/>
  <c r="U1140" i="10"/>
  <c r="T1140" i="10"/>
  <c r="N1140" i="10"/>
  <c r="F1140" i="10"/>
  <c r="AI1139" i="10"/>
  <c r="AD1139" i="10"/>
  <c r="AC1139" i="10"/>
  <c r="AB1139" i="10"/>
  <c r="AA1139" i="10"/>
  <c r="Z1139" i="10"/>
  <c r="U1139" i="10"/>
  <c r="T1139" i="10"/>
  <c r="N1139" i="10"/>
  <c r="F1139" i="10"/>
  <c r="AI1138" i="10"/>
  <c r="AD1138" i="10"/>
  <c r="AC1138" i="10"/>
  <c r="AB1138" i="10"/>
  <c r="AA1138" i="10"/>
  <c r="Z1138" i="10"/>
  <c r="U1138" i="10"/>
  <c r="T1138" i="10"/>
  <c r="N1138" i="10"/>
  <c r="F1138" i="10"/>
  <c r="AI1137" i="10"/>
  <c r="AD1137" i="10"/>
  <c r="AC1137" i="10"/>
  <c r="AB1137" i="10"/>
  <c r="AA1137" i="10"/>
  <c r="Z1137" i="10"/>
  <c r="U1137" i="10"/>
  <c r="T1137" i="10"/>
  <c r="N1137" i="10"/>
  <c r="F1137" i="10"/>
  <c r="AI1136" i="10"/>
  <c r="AD1136" i="10"/>
  <c r="AC1136" i="10"/>
  <c r="AB1136" i="10"/>
  <c r="AA1136" i="10"/>
  <c r="Z1136" i="10"/>
  <c r="U1136" i="10"/>
  <c r="T1136" i="10"/>
  <c r="N1136" i="10"/>
  <c r="F1136" i="10"/>
  <c r="AI1135" i="10"/>
  <c r="AD1135" i="10"/>
  <c r="AC1135" i="10"/>
  <c r="AB1135" i="10"/>
  <c r="AA1135" i="10"/>
  <c r="Z1135" i="10"/>
  <c r="U1135" i="10"/>
  <c r="T1135" i="10"/>
  <c r="N1135" i="10"/>
  <c r="F1135" i="10"/>
  <c r="AI1134" i="10"/>
  <c r="AD1134" i="10"/>
  <c r="AC1134" i="10"/>
  <c r="AB1134" i="10"/>
  <c r="AA1134" i="10"/>
  <c r="Z1134" i="10"/>
  <c r="U1134" i="10"/>
  <c r="T1134" i="10"/>
  <c r="N1134" i="10"/>
  <c r="F1134" i="10"/>
  <c r="AI1133" i="10"/>
  <c r="AD1133" i="10"/>
  <c r="AC1133" i="10"/>
  <c r="AB1133" i="10"/>
  <c r="AA1133" i="10"/>
  <c r="Z1133" i="10"/>
  <c r="U1133" i="10"/>
  <c r="T1133" i="10"/>
  <c r="N1133" i="10"/>
  <c r="F1133" i="10"/>
  <c r="AI1132" i="10"/>
  <c r="AD1132" i="10"/>
  <c r="AC1132" i="10"/>
  <c r="AB1132" i="10"/>
  <c r="AA1132" i="10"/>
  <c r="Z1132" i="10"/>
  <c r="U1132" i="10"/>
  <c r="T1132" i="10"/>
  <c r="N1132" i="10"/>
  <c r="F1132" i="10"/>
  <c r="AI1131" i="10"/>
  <c r="AD1131" i="10"/>
  <c r="AC1131" i="10"/>
  <c r="AB1131" i="10"/>
  <c r="AA1131" i="10"/>
  <c r="Z1131" i="10"/>
  <c r="U1131" i="10"/>
  <c r="T1131" i="10"/>
  <c r="N1131" i="10"/>
  <c r="F1131" i="10"/>
  <c r="AI1130" i="10"/>
  <c r="AD1130" i="10"/>
  <c r="AC1130" i="10"/>
  <c r="AB1130" i="10"/>
  <c r="AA1130" i="10"/>
  <c r="Z1130" i="10"/>
  <c r="U1130" i="10"/>
  <c r="T1130" i="10"/>
  <c r="N1130" i="10"/>
  <c r="F1130" i="10"/>
  <c r="AI1129" i="10"/>
  <c r="AD1129" i="10"/>
  <c r="AC1129" i="10"/>
  <c r="AB1129" i="10"/>
  <c r="AA1129" i="10"/>
  <c r="Z1129" i="10"/>
  <c r="U1129" i="10"/>
  <c r="T1129" i="10"/>
  <c r="N1129" i="10"/>
  <c r="F1129" i="10"/>
  <c r="AI1128" i="10"/>
  <c r="AD1128" i="10"/>
  <c r="AC1128" i="10"/>
  <c r="AB1128" i="10"/>
  <c r="AA1128" i="10"/>
  <c r="Z1128" i="10"/>
  <c r="U1128" i="10"/>
  <c r="T1128" i="10"/>
  <c r="N1128" i="10"/>
  <c r="F1128" i="10"/>
  <c r="AI1127" i="10"/>
  <c r="AD1127" i="10"/>
  <c r="AC1127" i="10"/>
  <c r="AB1127" i="10"/>
  <c r="AA1127" i="10"/>
  <c r="Z1127" i="10"/>
  <c r="U1127" i="10"/>
  <c r="T1127" i="10"/>
  <c r="N1127" i="10"/>
  <c r="F1127" i="10"/>
  <c r="AI1126" i="10"/>
  <c r="AD1126" i="10"/>
  <c r="AC1126" i="10"/>
  <c r="AB1126" i="10"/>
  <c r="AA1126" i="10"/>
  <c r="Z1126" i="10"/>
  <c r="U1126" i="10"/>
  <c r="T1126" i="10"/>
  <c r="N1126" i="10"/>
  <c r="F1126" i="10"/>
  <c r="AI1125" i="10"/>
  <c r="AD1125" i="10"/>
  <c r="AC1125" i="10"/>
  <c r="AB1125" i="10"/>
  <c r="AA1125" i="10"/>
  <c r="Z1125" i="10"/>
  <c r="U1125" i="10"/>
  <c r="T1125" i="10"/>
  <c r="N1125" i="10"/>
  <c r="F1125" i="10"/>
  <c r="AI1124" i="10"/>
  <c r="AD1124" i="10"/>
  <c r="AC1124" i="10"/>
  <c r="AB1124" i="10"/>
  <c r="AA1124" i="10"/>
  <c r="Z1124" i="10"/>
  <c r="U1124" i="10"/>
  <c r="T1124" i="10"/>
  <c r="N1124" i="10"/>
  <c r="F1124" i="10"/>
  <c r="AI1123" i="10"/>
  <c r="AD1123" i="10"/>
  <c r="AC1123" i="10"/>
  <c r="AB1123" i="10"/>
  <c r="AA1123" i="10"/>
  <c r="Z1123" i="10"/>
  <c r="U1123" i="10"/>
  <c r="T1123" i="10"/>
  <c r="N1123" i="10"/>
  <c r="F1123" i="10"/>
  <c r="AI1122" i="10"/>
  <c r="AD1122" i="10"/>
  <c r="AC1122" i="10"/>
  <c r="AB1122" i="10"/>
  <c r="AA1122" i="10"/>
  <c r="Z1122" i="10"/>
  <c r="U1122" i="10"/>
  <c r="T1122" i="10"/>
  <c r="N1122" i="10"/>
  <c r="F1122" i="10"/>
  <c r="AI1121" i="10"/>
  <c r="AD1121" i="10"/>
  <c r="AC1121" i="10"/>
  <c r="AB1121" i="10"/>
  <c r="AA1121" i="10"/>
  <c r="Z1121" i="10"/>
  <c r="U1121" i="10"/>
  <c r="T1121" i="10"/>
  <c r="N1121" i="10"/>
  <c r="F1121" i="10"/>
  <c r="AI1120" i="10"/>
  <c r="AD1120" i="10"/>
  <c r="AC1120" i="10"/>
  <c r="AB1120" i="10"/>
  <c r="AA1120" i="10"/>
  <c r="Z1120" i="10"/>
  <c r="U1120" i="10"/>
  <c r="T1120" i="10"/>
  <c r="N1120" i="10"/>
  <c r="F1120" i="10"/>
  <c r="AI1119" i="10"/>
  <c r="AD1119" i="10"/>
  <c r="AC1119" i="10"/>
  <c r="AB1119" i="10"/>
  <c r="AA1119" i="10"/>
  <c r="Z1119" i="10"/>
  <c r="U1119" i="10"/>
  <c r="T1119" i="10"/>
  <c r="N1119" i="10"/>
  <c r="F1119" i="10"/>
  <c r="AI1118" i="10"/>
  <c r="AD1118" i="10"/>
  <c r="AC1118" i="10"/>
  <c r="AB1118" i="10"/>
  <c r="AA1118" i="10"/>
  <c r="Z1118" i="10"/>
  <c r="U1118" i="10"/>
  <c r="T1118" i="10"/>
  <c r="N1118" i="10"/>
  <c r="F1118" i="10"/>
  <c r="AI1117" i="10"/>
  <c r="AD1117" i="10"/>
  <c r="AC1117" i="10"/>
  <c r="AB1117" i="10"/>
  <c r="AA1117" i="10"/>
  <c r="Z1117" i="10"/>
  <c r="U1117" i="10"/>
  <c r="T1117" i="10"/>
  <c r="N1117" i="10"/>
  <c r="F1117" i="10"/>
  <c r="AI1116" i="10"/>
  <c r="AD1116" i="10"/>
  <c r="AC1116" i="10"/>
  <c r="AB1116" i="10"/>
  <c r="AA1116" i="10"/>
  <c r="Z1116" i="10"/>
  <c r="U1116" i="10"/>
  <c r="T1116" i="10"/>
  <c r="N1116" i="10"/>
  <c r="F1116" i="10"/>
  <c r="AI1115" i="10"/>
  <c r="AD1115" i="10"/>
  <c r="AC1115" i="10"/>
  <c r="AB1115" i="10"/>
  <c r="AA1115" i="10"/>
  <c r="Z1115" i="10"/>
  <c r="U1115" i="10"/>
  <c r="T1115" i="10"/>
  <c r="N1115" i="10"/>
  <c r="F1115" i="10"/>
  <c r="AI1114" i="10"/>
  <c r="AD1114" i="10"/>
  <c r="AC1114" i="10"/>
  <c r="AB1114" i="10"/>
  <c r="AA1114" i="10"/>
  <c r="Z1114" i="10"/>
  <c r="U1114" i="10"/>
  <c r="T1114" i="10"/>
  <c r="N1114" i="10"/>
  <c r="F1114" i="10"/>
  <c r="AI1113" i="10"/>
  <c r="AD1113" i="10"/>
  <c r="AC1113" i="10"/>
  <c r="AB1113" i="10"/>
  <c r="AA1113" i="10"/>
  <c r="Z1113" i="10"/>
  <c r="U1113" i="10"/>
  <c r="T1113" i="10"/>
  <c r="N1113" i="10"/>
  <c r="F1113" i="10"/>
  <c r="AI1112" i="10"/>
  <c r="AD1112" i="10"/>
  <c r="AC1112" i="10"/>
  <c r="AB1112" i="10"/>
  <c r="AA1112" i="10"/>
  <c r="Z1112" i="10"/>
  <c r="U1112" i="10"/>
  <c r="T1112" i="10"/>
  <c r="N1112" i="10"/>
  <c r="F1112" i="10"/>
  <c r="AI1111" i="10"/>
  <c r="AD1111" i="10"/>
  <c r="AC1111" i="10"/>
  <c r="AB1111" i="10"/>
  <c r="AA1111" i="10"/>
  <c r="Z1111" i="10"/>
  <c r="U1111" i="10"/>
  <c r="T1111" i="10"/>
  <c r="N1111" i="10"/>
  <c r="F1111" i="10"/>
  <c r="AI1110" i="10"/>
  <c r="AD1110" i="10"/>
  <c r="AC1110" i="10"/>
  <c r="AB1110" i="10"/>
  <c r="AA1110" i="10"/>
  <c r="Z1110" i="10"/>
  <c r="U1110" i="10"/>
  <c r="T1110" i="10"/>
  <c r="N1110" i="10"/>
  <c r="F1110" i="10"/>
  <c r="AI1109" i="10"/>
  <c r="AD1109" i="10"/>
  <c r="AC1109" i="10"/>
  <c r="AB1109" i="10"/>
  <c r="AA1109" i="10"/>
  <c r="Z1109" i="10"/>
  <c r="U1109" i="10"/>
  <c r="T1109" i="10"/>
  <c r="N1109" i="10"/>
  <c r="F1109" i="10"/>
  <c r="AI1108" i="10"/>
  <c r="AD1108" i="10"/>
  <c r="AC1108" i="10"/>
  <c r="AB1108" i="10"/>
  <c r="AA1108" i="10"/>
  <c r="Z1108" i="10"/>
  <c r="U1108" i="10"/>
  <c r="T1108" i="10"/>
  <c r="N1108" i="10"/>
  <c r="F1108" i="10"/>
  <c r="AI1107" i="10"/>
  <c r="AD1107" i="10"/>
  <c r="AC1107" i="10"/>
  <c r="AB1107" i="10"/>
  <c r="AA1107" i="10"/>
  <c r="Z1107" i="10"/>
  <c r="U1107" i="10"/>
  <c r="T1107" i="10"/>
  <c r="N1107" i="10"/>
  <c r="F1107" i="10"/>
  <c r="AI1106" i="10"/>
  <c r="AD1106" i="10"/>
  <c r="AC1106" i="10"/>
  <c r="AB1106" i="10"/>
  <c r="AA1106" i="10"/>
  <c r="Z1106" i="10"/>
  <c r="U1106" i="10"/>
  <c r="T1106" i="10"/>
  <c r="N1106" i="10"/>
  <c r="F1106" i="10"/>
  <c r="AI1105" i="10"/>
  <c r="AD1105" i="10"/>
  <c r="AC1105" i="10"/>
  <c r="AB1105" i="10"/>
  <c r="AA1105" i="10"/>
  <c r="Z1105" i="10"/>
  <c r="U1105" i="10"/>
  <c r="T1105" i="10"/>
  <c r="N1105" i="10"/>
  <c r="F1105" i="10"/>
  <c r="AI1104" i="10"/>
  <c r="AD1104" i="10"/>
  <c r="AC1104" i="10"/>
  <c r="AB1104" i="10"/>
  <c r="AA1104" i="10"/>
  <c r="Z1104" i="10"/>
  <c r="U1104" i="10"/>
  <c r="T1104" i="10"/>
  <c r="N1104" i="10"/>
  <c r="F1104" i="10"/>
  <c r="AI1103" i="10"/>
  <c r="AD1103" i="10"/>
  <c r="AC1103" i="10"/>
  <c r="AB1103" i="10"/>
  <c r="AA1103" i="10"/>
  <c r="Z1103" i="10"/>
  <c r="U1103" i="10"/>
  <c r="T1103" i="10"/>
  <c r="N1103" i="10"/>
  <c r="F1103" i="10"/>
  <c r="AI1102" i="10"/>
  <c r="AD1102" i="10"/>
  <c r="AC1102" i="10"/>
  <c r="AB1102" i="10"/>
  <c r="AA1102" i="10"/>
  <c r="Z1102" i="10"/>
  <c r="U1102" i="10"/>
  <c r="T1102" i="10"/>
  <c r="N1102" i="10"/>
  <c r="F1102" i="10"/>
  <c r="AI1101" i="10"/>
  <c r="AD1101" i="10"/>
  <c r="AC1101" i="10"/>
  <c r="AB1101" i="10"/>
  <c r="AA1101" i="10"/>
  <c r="Z1101" i="10"/>
  <c r="U1101" i="10"/>
  <c r="T1101" i="10"/>
  <c r="N1101" i="10"/>
  <c r="F1101" i="10"/>
  <c r="AI1100" i="10"/>
  <c r="AD1100" i="10"/>
  <c r="AC1100" i="10"/>
  <c r="AB1100" i="10"/>
  <c r="AA1100" i="10"/>
  <c r="Z1100" i="10"/>
  <c r="U1100" i="10"/>
  <c r="T1100" i="10"/>
  <c r="N1100" i="10"/>
  <c r="F1100" i="10"/>
  <c r="AI1099" i="10"/>
  <c r="AD1099" i="10"/>
  <c r="AC1099" i="10"/>
  <c r="AB1099" i="10"/>
  <c r="AA1099" i="10"/>
  <c r="Z1099" i="10"/>
  <c r="U1099" i="10"/>
  <c r="T1099" i="10"/>
  <c r="N1099" i="10"/>
  <c r="F1099" i="10"/>
  <c r="AI1098" i="10"/>
  <c r="AD1098" i="10"/>
  <c r="AC1098" i="10"/>
  <c r="AB1098" i="10"/>
  <c r="AA1098" i="10"/>
  <c r="Z1098" i="10"/>
  <c r="U1098" i="10"/>
  <c r="T1098" i="10"/>
  <c r="N1098" i="10"/>
  <c r="F1098" i="10"/>
  <c r="AI1097" i="10"/>
  <c r="AD1097" i="10"/>
  <c r="AC1097" i="10"/>
  <c r="AB1097" i="10"/>
  <c r="AA1097" i="10"/>
  <c r="Z1097" i="10"/>
  <c r="U1097" i="10"/>
  <c r="T1097" i="10"/>
  <c r="N1097" i="10"/>
  <c r="F1097" i="10"/>
  <c r="AI1096" i="10"/>
  <c r="AD1096" i="10"/>
  <c r="AC1096" i="10"/>
  <c r="AB1096" i="10"/>
  <c r="AA1096" i="10"/>
  <c r="Z1096" i="10"/>
  <c r="U1096" i="10"/>
  <c r="T1096" i="10"/>
  <c r="N1096" i="10"/>
  <c r="F1096" i="10"/>
  <c r="AI1095" i="10"/>
  <c r="AD1095" i="10"/>
  <c r="AC1095" i="10"/>
  <c r="AB1095" i="10"/>
  <c r="AA1095" i="10"/>
  <c r="Z1095" i="10"/>
  <c r="U1095" i="10"/>
  <c r="T1095" i="10"/>
  <c r="N1095" i="10"/>
  <c r="F1095" i="10"/>
  <c r="AI1094" i="10"/>
  <c r="AD1094" i="10"/>
  <c r="AC1094" i="10"/>
  <c r="AB1094" i="10"/>
  <c r="AA1094" i="10"/>
  <c r="Z1094" i="10"/>
  <c r="U1094" i="10"/>
  <c r="T1094" i="10"/>
  <c r="N1094" i="10"/>
  <c r="F1094" i="10"/>
  <c r="AI1093" i="10"/>
  <c r="AD1093" i="10"/>
  <c r="AC1093" i="10"/>
  <c r="AB1093" i="10"/>
  <c r="AA1093" i="10"/>
  <c r="Z1093" i="10"/>
  <c r="U1093" i="10"/>
  <c r="T1093" i="10"/>
  <c r="N1093" i="10"/>
  <c r="F1093" i="10"/>
  <c r="AI1092" i="10"/>
  <c r="AD1092" i="10"/>
  <c r="AC1092" i="10"/>
  <c r="AB1092" i="10"/>
  <c r="AA1092" i="10"/>
  <c r="Z1092" i="10"/>
  <c r="U1092" i="10"/>
  <c r="T1092" i="10"/>
  <c r="N1092" i="10"/>
  <c r="F1092" i="10"/>
  <c r="AI1091" i="10"/>
  <c r="AD1091" i="10"/>
  <c r="AC1091" i="10"/>
  <c r="AB1091" i="10"/>
  <c r="AA1091" i="10"/>
  <c r="Z1091" i="10"/>
  <c r="U1091" i="10"/>
  <c r="T1091" i="10"/>
  <c r="N1091" i="10"/>
  <c r="F1091" i="10"/>
  <c r="AI1090" i="10"/>
  <c r="AD1090" i="10"/>
  <c r="AC1090" i="10"/>
  <c r="AB1090" i="10"/>
  <c r="AA1090" i="10"/>
  <c r="Z1090" i="10"/>
  <c r="U1090" i="10"/>
  <c r="T1090" i="10"/>
  <c r="N1090" i="10"/>
  <c r="F1090" i="10"/>
  <c r="AI1089" i="10"/>
  <c r="AD1089" i="10"/>
  <c r="AC1089" i="10"/>
  <c r="AB1089" i="10"/>
  <c r="AA1089" i="10"/>
  <c r="Z1089" i="10"/>
  <c r="U1089" i="10"/>
  <c r="T1089" i="10"/>
  <c r="N1089" i="10"/>
  <c r="F1089" i="10"/>
  <c r="AI1088" i="10"/>
  <c r="AD1088" i="10"/>
  <c r="AC1088" i="10"/>
  <c r="AB1088" i="10"/>
  <c r="AA1088" i="10"/>
  <c r="Z1088" i="10"/>
  <c r="U1088" i="10"/>
  <c r="T1088" i="10"/>
  <c r="N1088" i="10"/>
  <c r="F1088" i="10"/>
  <c r="AI1087" i="10"/>
  <c r="AD1087" i="10"/>
  <c r="AC1087" i="10"/>
  <c r="AB1087" i="10"/>
  <c r="AA1087" i="10"/>
  <c r="Z1087" i="10"/>
  <c r="U1087" i="10"/>
  <c r="T1087" i="10"/>
  <c r="N1087" i="10"/>
  <c r="F1087" i="10"/>
  <c r="AI1086" i="10"/>
  <c r="AD1086" i="10"/>
  <c r="AC1086" i="10"/>
  <c r="AB1086" i="10"/>
  <c r="AA1086" i="10"/>
  <c r="Z1086" i="10"/>
  <c r="U1086" i="10"/>
  <c r="T1086" i="10"/>
  <c r="N1086" i="10"/>
  <c r="F1086" i="10"/>
  <c r="AI1085" i="10"/>
  <c r="AD1085" i="10"/>
  <c r="AC1085" i="10"/>
  <c r="AB1085" i="10"/>
  <c r="AA1085" i="10"/>
  <c r="Z1085" i="10"/>
  <c r="U1085" i="10"/>
  <c r="T1085" i="10"/>
  <c r="N1085" i="10"/>
  <c r="F1085" i="10"/>
  <c r="AI1084" i="10"/>
  <c r="AD1084" i="10"/>
  <c r="AC1084" i="10"/>
  <c r="AB1084" i="10"/>
  <c r="AA1084" i="10"/>
  <c r="Z1084" i="10"/>
  <c r="U1084" i="10"/>
  <c r="T1084" i="10"/>
  <c r="N1084" i="10"/>
  <c r="F1084" i="10"/>
  <c r="AI1083" i="10"/>
  <c r="AD1083" i="10"/>
  <c r="AC1083" i="10"/>
  <c r="AB1083" i="10"/>
  <c r="AA1083" i="10"/>
  <c r="Z1083" i="10"/>
  <c r="U1083" i="10"/>
  <c r="T1083" i="10"/>
  <c r="N1083" i="10"/>
  <c r="F1083" i="10"/>
  <c r="AI1082" i="10"/>
  <c r="AD1082" i="10"/>
  <c r="AC1082" i="10"/>
  <c r="AB1082" i="10"/>
  <c r="AA1082" i="10"/>
  <c r="Z1082" i="10"/>
  <c r="U1082" i="10"/>
  <c r="T1082" i="10"/>
  <c r="N1082" i="10"/>
  <c r="F1082" i="10"/>
  <c r="AI1081" i="10"/>
  <c r="AD1081" i="10"/>
  <c r="AC1081" i="10"/>
  <c r="AB1081" i="10"/>
  <c r="AA1081" i="10"/>
  <c r="Z1081" i="10"/>
  <c r="U1081" i="10"/>
  <c r="T1081" i="10"/>
  <c r="N1081" i="10"/>
  <c r="F1081" i="10"/>
  <c r="AI1080" i="10"/>
  <c r="AD1080" i="10"/>
  <c r="AC1080" i="10"/>
  <c r="AB1080" i="10"/>
  <c r="AA1080" i="10"/>
  <c r="Z1080" i="10"/>
  <c r="U1080" i="10"/>
  <c r="T1080" i="10"/>
  <c r="N1080" i="10"/>
  <c r="F1080" i="10"/>
  <c r="AI1079" i="10"/>
  <c r="AD1079" i="10"/>
  <c r="AC1079" i="10"/>
  <c r="AB1079" i="10"/>
  <c r="AA1079" i="10"/>
  <c r="Z1079" i="10"/>
  <c r="U1079" i="10"/>
  <c r="T1079" i="10"/>
  <c r="N1079" i="10"/>
  <c r="F1079" i="10"/>
  <c r="AI1078" i="10"/>
  <c r="AD1078" i="10"/>
  <c r="AC1078" i="10"/>
  <c r="AB1078" i="10"/>
  <c r="AA1078" i="10"/>
  <c r="Z1078" i="10"/>
  <c r="U1078" i="10"/>
  <c r="T1078" i="10"/>
  <c r="N1078" i="10"/>
  <c r="F1078" i="10"/>
  <c r="AI1077" i="10"/>
  <c r="AD1077" i="10"/>
  <c r="AC1077" i="10"/>
  <c r="AB1077" i="10"/>
  <c r="AA1077" i="10"/>
  <c r="Z1077" i="10"/>
  <c r="U1077" i="10"/>
  <c r="T1077" i="10"/>
  <c r="N1077" i="10"/>
  <c r="F1077" i="10"/>
  <c r="AI1076" i="10"/>
  <c r="AD1076" i="10"/>
  <c r="AC1076" i="10"/>
  <c r="AB1076" i="10"/>
  <c r="AA1076" i="10"/>
  <c r="Z1076" i="10"/>
  <c r="U1076" i="10"/>
  <c r="T1076" i="10"/>
  <c r="N1076" i="10"/>
  <c r="F1076" i="10"/>
  <c r="AI1075" i="10"/>
  <c r="AD1075" i="10"/>
  <c r="AC1075" i="10"/>
  <c r="AB1075" i="10"/>
  <c r="AA1075" i="10"/>
  <c r="Z1075" i="10"/>
  <c r="U1075" i="10"/>
  <c r="T1075" i="10"/>
  <c r="N1075" i="10"/>
  <c r="F1075" i="10"/>
  <c r="AI1074" i="10"/>
  <c r="AD1074" i="10"/>
  <c r="AC1074" i="10"/>
  <c r="AB1074" i="10"/>
  <c r="AA1074" i="10"/>
  <c r="Z1074" i="10"/>
  <c r="U1074" i="10"/>
  <c r="T1074" i="10"/>
  <c r="N1074" i="10"/>
  <c r="F1074" i="10"/>
  <c r="AI1073" i="10"/>
  <c r="AD1073" i="10"/>
  <c r="AC1073" i="10"/>
  <c r="AB1073" i="10"/>
  <c r="AA1073" i="10"/>
  <c r="Z1073" i="10"/>
  <c r="U1073" i="10"/>
  <c r="T1073" i="10"/>
  <c r="N1073" i="10"/>
  <c r="F1073" i="10"/>
  <c r="AI1072" i="10"/>
  <c r="AD1072" i="10"/>
  <c r="AC1072" i="10"/>
  <c r="AB1072" i="10"/>
  <c r="AA1072" i="10"/>
  <c r="Z1072" i="10"/>
  <c r="U1072" i="10"/>
  <c r="T1072" i="10"/>
  <c r="N1072" i="10"/>
  <c r="F1072" i="10"/>
  <c r="AI1071" i="10"/>
  <c r="AD1071" i="10"/>
  <c r="AC1071" i="10"/>
  <c r="AB1071" i="10"/>
  <c r="AA1071" i="10"/>
  <c r="Z1071" i="10"/>
  <c r="U1071" i="10"/>
  <c r="T1071" i="10"/>
  <c r="E22" i="9" s="1"/>
  <c r="N1071" i="10"/>
  <c r="F1071" i="10"/>
  <c r="AI1070" i="10"/>
  <c r="AD1070" i="10"/>
  <c r="AC1070" i="10"/>
  <c r="AB1070" i="10"/>
  <c r="AA1070" i="10"/>
  <c r="Z1070" i="10"/>
  <c r="U1070" i="10"/>
  <c r="T1070" i="10"/>
  <c r="N1070" i="10"/>
  <c r="F1070" i="10"/>
  <c r="AI1069" i="10"/>
  <c r="AD1069" i="10"/>
  <c r="AC1069" i="10"/>
  <c r="AB1069" i="10"/>
  <c r="AA1069" i="10"/>
  <c r="Z1069" i="10"/>
  <c r="U1069" i="10"/>
  <c r="T1069" i="10"/>
  <c r="N1069" i="10"/>
  <c r="F1069" i="10"/>
  <c r="AI1068" i="10"/>
  <c r="AD1068" i="10"/>
  <c r="AC1068" i="10"/>
  <c r="AB1068" i="10"/>
  <c r="AA1068" i="10"/>
  <c r="Z1068" i="10"/>
  <c r="U1068" i="10"/>
  <c r="T1068" i="10"/>
  <c r="N1068" i="10"/>
  <c r="F1068" i="10"/>
  <c r="AI1067" i="10"/>
  <c r="AD1067" i="10"/>
  <c r="AC1067" i="10"/>
  <c r="AB1067" i="10"/>
  <c r="AA1067" i="10"/>
  <c r="Z1067" i="10"/>
  <c r="U1067" i="10"/>
  <c r="T1067" i="10"/>
  <c r="N1067" i="10"/>
  <c r="F1067" i="10"/>
  <c r="AI1066" i="10"/>
  <c r="AD1066" i="10"/>
  <c r="AC1066" i="10"/>
  <c r="AB1066" i="10"/>
  <c r="AA1066" i="10"/>
  <c r="Z1066" i="10"/>
  <c r="U1066" i="10"/>
  <c r="T1066" i="10"/>
  <c r="N1066" i="10"/>
  <c r="F1066" i="10"/>
  <c r="AI1065" i="10"/>
  <c r="AD1065" i="10"/>
  <c r="AC1065" i="10"/>
  <c r="AB1065" i="10"/>
  <c r="AA1065" i="10"/>
  <c r="Z1065" i="10"/>
  <c r="U1065" i="10"/>
  <c r="T1065" i="10"/>
  <c r="N1065" i="10"/>
  <c r="F1065" i="10"/>
  <c r="AI1064" i="10"/>
  <c r="AD1064" i="10"/>
  <c r="AC1064" i="10"/>
  <c r="AB1064" i="10"/>
  <c r="AA1064" i="10"/>
  <c r="Z1064" i="10"/>
  <c r="U1064" i="10"/>
  <c r="T1064" i="10"/>
  <c r="N1064" i="10"/>
  <c r="F1064" i="10"/>
  <c r="AI1063" i="10"/>
  <c r="AD1063" i="10"/>
  <c r="AC1063" i="10"/>
  <c r="AB1063" i="10"/>
  <c r="AA1063" i="10"/>
  <c r="Z1063" i="10"/>
  <c r="U1063" i="10"/>
  <c r="T1063" i="10"/>
  <c r="N1063" i="10"/>
  <c r="F1063" i="10"/>
  <c r="AI1062" i="10"/>
  <c r="AD1062" i="10"/>
  <c r="AC1062" i="10"/>
  <c r="AB1062" i="10"/>
  <c r="AA1062" i="10"/>
  <c r="Z1062" i="10"/>
  <c r="U1062" i="10"/>
  <c r="T1062" i="10"/>
  <c r="N1062" i="10"/>
  <c r="F1062" i="10"/>
  <c r="AI1061" i="10"/>
  <c r="AD1061" i="10"/>
  <c r="AC1061" i="10"/>
  <c r="AB1061" i="10"/>
  <c r="AA1061" i="10"/>
  <c r="Z1061" i="10"/>
  <c r="U1061" i="10"/>
  <c r="T1061" i="10"/>
  <c r="N1061" i="10"/>
  <c r="F1061" i="10"/>
  <c r="AI1060" i="10"/>
  <c r="AD1060" i="10"/>
  <c r="AC1060" i="10"/>
  <c r="AB1060" i="10"/>
  <c r="AA1060" i="10"/>
  <c r="Z1060" i="10"/>
  <c r="U1060" i="10"/>
  <c r="T1060" i="10"/>
  <c r="N1060" i="10"/>
  <c r="F1060" i="10"/>
  <c r="AI1059" i="10"/>
  <c r="AD1059" i="10"/>
  <c r="AC1059" i="10"/>
  <c r="AB1059" i="10"/>
  <c r="AA1059" i="10"/>
  <c r="Z1059" i="10"/>
  <c r="U1059" i="10"/>
  <c r="T1059" i="10"/>
  <c r="N1059" i="10"/>
  <c r="F1059" i="10"/>
  <c r="AI1058" i="10"/>
  <c r="AD1058" i="10"/>
  <c r="AC1058" i="10"/>
  <c r="AB1058" i="10"/>
  <c r="AA1058" i="10"/>
  <c r="Z1058" i="10"/>
  <c r="U1058" i="10"/>
  <c r="T1058" i="10"/>
  <c r="N1058" i="10"/>
  <c r="F1058" i="10"/>
  <c r="AI1057" i="10"/>
  <c r="AD1057" i="10"/>
  <c r="AC1057" i="10"/>
  <c r="AB1057" i="10"/>
  <c r="AA1057" i="10"/>
  <c r="Z1057" i="10"/>
  <c r="U1057" i="10"/>
  <c r="T1057" i="10"/>
  <c r="N1057" i="10"/>
  <c r="F1057" i="10"/>
  <c r="AI1056" i="10"/>
  <c r="AD1056" i="10"/>
  <c r="AC1056" i="10"/>
  <c r="AB1056" i="10"/>
  <c r="AA1056" i="10"/>
  <c r="Z1056" i="10"/>
  <c r="U1056" i="10"/>
  <c r="T1056" i="10"/>
  <c r="N1056" i="10"/>
  <c r="F1056" i="10"/>
  <c r="AI1055" i="10"/>
  <c r="AD1055" i="10"/>
  <c r="AC1055" i="10"/>
  <c r="AB1055" i="10"/>
  <c r="AA1055" i="10"/>
  <c r="Z1055" i="10"/>
  <c r="U1055" i="10"/>
  <c r="T1055" i="10"/>
  <c r="N1055" i="10"/>
  <c r="F1055" i="10"/>
  <c r="AI1054" i="10"/>
  <c r="AD1054" i="10"/>
  <c r="AC1054" i="10"/>
  <c r="AB1054" i="10"/>
  <c r="AA1054" i="10"/>
  <c r="Z1054" i="10"/>
  <c r="U1054" i="10"/>
  <c r="T1054" i="10"/>
  <c r="N1054" i="10"/>
  <c r="F1054" i="10"/>
  <c r="AI1053" i="10"/>
  <c r="AD1053" i="10"/>
  <c r="AC1053" i="10"/>
  <c r="AB1053" i="10"/>
  <c r="AA1053" i="10"/>
  <c r="Z1053" i="10"/>
  <c r="U1053" i="10"/>
  <c r="T1053" i="10"/>
  <c r="N1053" i="10"/>
  <c r="F1053" i="10"/>
  <c r="AI1052" i="10"/>
  <c r="AD1052" i="10"/>
  <c r="AC1052" i="10"/>
  <c r="AB1052" i="10"/>
  <c r="AA1052" i="10"/>
  <c r="Z1052" i="10"/>
  <c r="U1052" i="10"/>
  <c r="T1052" i="10"/>
  <c r="N1052" i="10"/>
  <c r="F1052" i="10"/>
  <c r="AI1051" i="10"/>
  <c r="AD1051" i="10"/>
  <c r="AC1051" i="10"/>
  <c r="AB1051" i="10"/>
  <c r="AA1051" i="10"/>
  <c r="Z1051" i="10"/>
  <c r="U1051" i="10"/>
  <c r="T1051" i="10"/>
  <c r="N1051" i="10"/>
  <c r="F1051" i="10"/>
  <c r="AI1050" i="10"/>
  <c r="AD1050" i="10"/>
  <c r="AC1050" i="10"/>
  <c r="AB1050" i="10"/>
  <c r="AA1050" i="10"/>
  <c r="Z1050" i="10"/>
  <c r="U1050" i="10"/>
  <c r="T1050" i="10"/>
  <c r="N1050" i="10"/>
  <c r="F1050" i="10"/>
  <c r="AI1049" i="10"/>
  <c r="AD1049" i="10"/>
  <c r="AC1049" i="10"/>
  <c r="AB1049" i="10"/>
  <c r="AA1049" i="10"/>
  <c r="Z1049" i="10"/>
  <c r="U1049" i="10"/>
  <c r="T1049" i="10"/>
  <c r="N1049" i="10"/>
  <c r="F1049" i="10"/>
  <c r="AI1048" i="10"/>
  <c r="AD1048" i="10"/>
  <c r="AC1048" i="10"/>
  <c r="AB1048" i="10"/>
  <c r="AA1048" i="10"/>
  <c r="Z1048" i="10"/>
  <c r="U1048" i="10"/>
  <c r="T1048" i="10"/>
  <c r="N1048" i="10"/>
  <c r="F1048" i="10"/>
  <c r="AI1047" i="10"/>
  <c r="AD1047" i="10"/>
  <c r="AC1047" i="10"/>
  <c r="AB1047" i="10"/>
  <c r="AA1047" i="10"/>
  <c r="Z1047" i="10"/>
  <c r="U1047" i="10"/>
  <c r="T1047" i="10"/>
  <c r="N1047" i="10"/>
  <c r="F1047" i="10"/>
  <c r="AI1046" i="10"/>
  <c r="AD1046" i="10"/>
  <c r="AC1046" i="10"/>
  <c r="AB1046" i="10"/>
  <c r="AA1046" i="10"/>
  <c r="Z1046" i="10"/>
  <c r="U1046" i="10"/>
  <c r="T1046" i="10"/>
  <c r="N1046" i="10"/>
  <c r="F1046" i="10"/>
  <c r="AI1045" i="10"/>
  <c r="AD1045" i="10"/>
  <c r="AC1045" i="10"/>
  <c r="AB1045" i="10"/>
  <c r="AA1045" i="10"/>
  <c r="Z1045" i="10"/>
  <c r="U1045" i="10"/>
  <c r="T1045" i="10"/>
  <c r="N1045" i="10"/>
  <c r="F1045" i="10"/>
  <c r="AI1044" i="10"/>
  <c r="AD1044" i="10"/>
  <c r="AC1044" i="10"/>
  <c r="AB1044" i="10"/>
  <c r="AA1044" i="10"/>
  <c r="Z1044" i="10"/>
  <c r="U1044" i="10"/>
  <c r="T1044" i="10"/>
  <c r="N1044" i="10"/>
  <c r="F1044" i="10"/>
  <c r="AI1043" i="10"/>
  <c r="AD1043" i="10"/>
  <c r="AC1043" i="10"/>
  <c r="AB1043" i="10"/>
  <c r="AA1043" i="10"/>
  <c r="Z1043" i="10"/>
  <c r="U1043" i="10"/>
  <c r="T1043" i="10"/>
  <c r="N1043" i="10"/>
  <c r="F1043" i="10"/>
  <c r="AI1042" i="10"/>
  <c r="AD1042" i="10"/>
  <c r="AC1042" i="10"/>
  <c r="AB1042" i="10"/>
  <c r="AA1042" i="10"/>
  <c r="Z1042" i="10"/>
  <c r="U1042" i="10"/>
  <c r="T1042" i="10"/>
  <c r="N1042" i="10"/>
  <c r="F1042" i="10"/>
  <c r="AI1041" i="10"/>
  <c r="AD1041" i="10"/>
  <c r="AC1041" i="10"/>
  <c r="AB1041" i="10"/>
  <c r="AA1041" i="10"/>
  <c r="Z1041" i="10"/>
  <c r="U1041" i="10"/>
  <c r="T1041" i="10"/>
  <c r="N1041" i="10"/>
  <c r="F1041" i="10"/>
  <c r="AI1040" i="10"/>
  <c r="AD1040" i="10"/>
  <c r="AC1040" i="10"/>
  <c r="AB1040" i="10"/>
  <c r="AA1040" i="10"/>
  <c r="Z1040" i="10"/>
  <c r="U1040" i="10"/>
  <c r="T1040" i="10"/>
  <c r="N1040" i="10"/>
  <c r="F1040" i="10"/>
  <c r="AI1039" i="10"/>
  <c r="AD1039" i="10"/>
  <c r="AC1039" i="10"/>
  <c r="AB1039" i="10"/>
  <c r="AA1039" i="10"/>
  <c r="Z1039" i="10"/>
  <c r="U1039" i="10"/>
  <c r="T1039" i="10"/>
  <c r="N1039" i="10"/>
  <c r="F1039" i="10"/>
  <c r="AI1038" i="10"/>
  <c r="AD1038" i="10"/>
  <c r="AC1038" i="10"/>
  <c r="AB1038" i="10"/>
  <c r="AA1038" i="10"/>
  <c r="Z1038" i="10"/>
  <c r="U1038" i="10"/>
  <c r="T1038" i="10"/>
  <c r="N1038" i="10"/>
  <c r="F1038" i="10"/>
  <c r="AI1037" i="10"/>
  <c r="AD1037" i="10"/>
  <c r="AC1037" i="10"/>
  <c r="AB1037" i="10"/>
  <c r="AA1037" i="10"/>
  <c r="Z1037" i="10"/>
  <c r="U1037" i="10"/>
  <c r="T1037" i="10"/>
  <c r="N1037" i="10"/>
  <c r="F1037" i="10"/>
  <c r="AI1036" i="10"/>
  <c r="AD1036" i="10"/>
  <c r="AC1036" i="10"/>
  <c r="AB1036" i="10"/>
  <c r="AA1036" i="10"/>
  <c r="Z1036" i="10"/>
  <c r="U1036" i="10"/>
  <c r="T1036" i="10"/>
  <c r="N1036" i="10"/>
  <c r="F1036" i="10"/>
  <c r="AI1035" i="10"/>
  <c r="AD1035" i="10"/>
  <c r="AC1035" i="10"/>
  <c r="AB1035" i="10"/>
  <c r="AA1035" i="10"/>
  <c r="Z1035" i="10"/>
  <c r="U1035" i="10"/>
  <c r="T1035" i="10"/>
  <c r="N1035" i="10"/>
  <c r="F1035" i="10"/>
  <c r="AI1034" i="10"/>
  <c r="AD1034" i="10"/>
  <c r="AC1034" i="10"/>
  <c r="AB1034" i="10"/>
  <c r="AA1034" i="10"/>
  <c r="Z1034" i="10"/>
  <c r="U1034" i="10"/>
  <c r="T1034" i="10"/>
  <c r="N1034" i="10"/>
  <c r="F1034" i="10"/>
  <c r="AI1033" i="10"/>
  <c r="AD1033" i="10"/>
  <c r="AC1033" i="10"/>
  <c r="AB1033" i="10"/>
  <c r="AA1033" i="10"/>
  <c r="Z1033" i="10"/>
  <c r="U1033" i="10"/>
  <c r="T1033" i="10"/>
  <c r="N1033" i="10"/>
  <c r="F1033" i="10"/>
  <c r="AI1032" i="10"/>
  <c r="AD1032" i="10"/>
  <c r="AC1032" i="10"/>
  <c r="AB1032" i="10"/>
  <c r="AA1032" i="10"/>
  <c r="Z1032" i="10"/>
  <c r="U1032" i="10"/>
  <c r="T1032" i="10"/>
  <c r="N1032" i="10"/>
  <c r="F1032" i="10"/>
  <c r="AI1031" i="10"/>
  <c r="AD1031" i="10"/>
  <c r="AC1031" i="10"/>
  <c r="AB1031" i="10"/>
  <c r="AA1031" i="10"/>
  <c r="Z1031" i="10"/>
  <c r="U1031" i="10"/>
  <c r="T1031" i="10"/>
  <c r="N1031" i="10"/>
  <c r="F1031" i="10"/>
  <c r="AI1030" i="10"/>
  <c r="AD1030" i="10"/>
  <c r="AC1030" i="10"/>
  <c r="AB1030" i="10"/>
  <c r="AA1030" i="10"/>
  <c r="Z1030" i="10"/>
  <c r="U1030" i="10"/>
  <c r="T1030" i="10"/>
  <c r="N1030" i="10"/>
  <c r="F1030" i="10"/>
  <c r="AI1029" i="10"/>
  <c r="AD1029" i="10"/>
  <c r="AC1029" i="10"/>
  <c r="AB1029" i="10"/>
  <c r="AA1029" i="10"/>
  <c r="Z1029" i="10"/>
  <c r="U1029" i="10"/>
  <c r="T1029" i="10"/>
  <c r="N1029" i="10"/>
  <c r="F1029" i="10"/>
  <c r="AI1028" i="10"/>
  <c r="AD1028" i="10"/>
  <c r="AC1028" i="10"/>
  <c r="AB1028" i="10"/>
  <c r="AA1028" i="10"/>
  <c r="Z1028" i="10"/>
  <c r="U1028" i="10"/>
  <c r="T1028" i="10"/>
  <c r="N1028" i="10"/>
  <c r="F1028" i="10"/>
  <c r="AI1027" i="10"/>
  <c r="AD1027" i="10"/>
  <c r="AC1027" i="10"/>
  <c r="AB1027" i="10"/>
  <c r="AA1027" i="10"/>
  <c r="Z1027" i="10"/>
  <c r="U1027" i="10"/>
  <c r="T1027" i="10"/>
  <c r="N1027" i="10"/>
  <c r="F1027" i="10"/>
  <c r="AI1026" i="10"/>
  <c r="AD1026" i="10"/>
  <c r="AC1026" i="10"/>
  <c r="AB1026" i="10"/>
  <c r="AA1026" i="10"/>
  <c r="Z1026" i="10"/>
  <c r="U1026" i="10"/>
  <c r="T1026" i="10"/>
  <c r="N1026" i="10"/>
  <c r="F1026" i="10"/>
  <c r="AI1025" i="10"/>
  <c r="AD1025" i="10"/>
  <c r="AC1025" i="10"/>
  <c r="AB1025" i="10"/>
  <c r="AA1025" i="10"/>
  <c r="Z1025" i="10"/>
  <c r="U1025" i="10"/>
  <c r="T1025" i="10"/>
  <c r="N1025" i="10"/>
  <c r="F1025" i="10"/>
  <c r="AI1024" i="10"/>
  <c r="AD1024" i="10"/>
  <c r="AC1024" i="10"/>
  <c r="AB1024" i="10"/>
  <c r="AA1024" i="10"/>
  <c r="Z1024" i="10"/>
  <c r="U1024" i="10"/>
  <c r="T1024" i="10"/>
  <c r="N1024" i="10"/>
  <c r="F1024" i="10"/>
  <c r="AI1023" i="10"/>
  <c r="AD1023" i="10"/>
  <c r="AC1023" i="10"/>
  <c r="AB1023" i="10"/>
  <c r="AA1023" i="10"/>
  <c r="Z1023" i="10"/>
  <c r="U1023" i="10"/>
  <c r="T1023" i="10"/>
  <c r="N1023" i="10"/>
  <c r="F1023" i="10"/>
  <c r="AI1022" i="10"/>
  <c r="AD1022" i="10"/>
  <c r="AC1022" i="10"/>
  <c r="AB1022" i="10"/>
  <c r="AA1022" i="10"/>
  <c r="Z1022" i="10"/>
  <c r="U1022" i="10"/>
  <c r="T1022" i="10"/>
  <c r="N1022" i="10"/>
  <c r="F1022" i="10"/>
  <c r="AI1021" i="10"/>
  <c r="AD1021" i="10"/>
  <c r="AC1021" i="10"/>
  <c r="AB1021" i="10"/>
  <c r="AA1021" i="10"/>
  <c r="Z1021" i="10"/>
  <c r="U1021" i="10"/>
  <c r="T1021" i="10"/>
  <c r="N1021" i="10"/>
  <c r="F1021" i="10"/>
  <c r="AI1020" i="10"/>
  <c r="AD1020" i="10"/>
  <c r="AC1020" i="10"/>
  <c r="AB1020" i="10"/>
  <c r="AA1020" i="10"/>
  <c r="Z1020" i="10"/>
  <c r="U1020" i="10"/>
  <c r="T1020" i="10"/>
  <c r="N1020" i="10"/>
  <c r="F1020" i="10"/>
  <c r="AI1019" i="10"/>
  <c r="AD1019" i="10"/>
  <c r="AC1019" i="10"/>
  <c r="AB1019" i="10"/>
  <c r="AA1019" i="10"/>
  <c r="Z1019" i="10"/>
  <c r="U1019" i="10"/>
  <c r="T1019" i="10"/>
  <c r="N1019" i="10"/>
  <c r="F1019" i="10"/>
  <c r="AI1018" i="10"/>
  <c r="AD1018" i="10"/>
  <c r="AC1018" i="10"/>
  <c r="AB1018" i="10"/>
  <c r="AA1018" i="10"/>
  <c r="Z1018" i="10"/>
  <c r="U1018" i="10"/>
  <c r="T1018" i="10"/>
  <c r="N1018" i="10"/>
  <c r="F1018" i="10"/>
  <c r="AI1017" i="10"/>
  <c r="AD1017" i="10"/>
  <c r="AC1017" i="10"/>
  <c r="AB1017" i="10"/>
  <c r="AA1017" i="10"/>
  <c r="Z1017" i="10"/>
  <c r="U1017" i="10"/>
  <c r="T1017" i="10"/>
  <c r="N1017" i="10"/>
  <c r="F1017" i="10"/>
  <c r="AI1016" i="10"/>
  <c r="AD1016" i="10"/>
  <c r="AC1016" i="10"/>
  <c r="AB1016" i="10"/>
  <c r="AA1016" i="10"/>
  <c r="Z1016" i="10"/>
  <c r="U1016" i="10"/>
  <c r="T1016" i="10"/>
  <c r="N1016" i="10"/>
  <c r="F1016" i="10"/>
  <c r="AI1015" i="10"/>
  <c r="AD1015" i="10"/>
  <c r="AC1015" i="10"/>
  <c r="AB1015" i="10"/>
  <c r="AA1015" i="10"/>
  <c r="Z1015" i="10"/>
  <c r="U1015" i="10"/>
  <c r="T1015" i="10"/>
  <c r="N1015" i="10"/>
  <c r="F1015" i="10"/>
  <c r="AI1014" i="10"/>
  <c r="AD1014" i="10"/>
  <c r="AC1014" i="10"/>
  <c r="AB1014" i="10"/>
  <c r="AA1014" i="10"/>
  <c r="Z1014" i="10"/>
  <c r="U1014" i="10"/>
  <c r="T1014" i="10"/>
  <c r="N1014" i="10"/>
  <c r="F1014" i="10"/>
  <c r="AI1013" i="10"/>
  <c r="AD1013" i="10"/>
  <c r="AC1013" i="10"/>
  <c r="AB1013" i="10"/>
  <c r="AA1013" i="10"/>
  <c r="Z1013" i="10"/>
  <c r="U1013" i="10"/>
  <c r="T1013" i="10"/>
  <c r="N1013" i="10"/>
  <c r="F1013" i="10"/>
  <c r="AI1012" i="10"/>
  <c r="AD1012" i="10"/>
  <c r="AC1012" i="10"/>
  <c r="AB1012" i="10"/>
  <c r="AA1012" i="10"/>
  <c r="Z1012" i="10"/>
  <c r="U1012" i="10"/>
  <c r="T1012" i="10"/>
  <c r="N1012" i="10"/>
  <c r="F1012" i="10"/>
  <c r="AI1011" i="10"/>
  <c r="AD1011" i="10"/>
  <c r="AC1011" i="10"/>
  <c r="AB1011" i="10"/>
  <c r="AA1011" i="10"/>
  <c r="Z1011" i="10"/>
  <c r="U1011" i="10"/>
  <c r="T1011" i="10"/>
  <c r="N1011" i="10"/>
  <c r="F1011" i="10"/>
  <c r="AI1010" i="10"/>
  <c r="AD1010" i="10"/>
  <c r="AC1010" i="10"/>
  <c r="AB1010" i="10"/>
  <c r="AA1010" i="10"/>
  <c r="Z1010" i="10"/>
  <c r="U1010" i="10"/>
  <c r="T1010" i="10"/>
  <c r="N1010" i="10"/>
  <c r="F1010" i="10"/>
  <c r="AI1009" i="10"/>
  <c r="AD1009" i="10"/>
  <c r="AC1009" i="10"/>
  <c r="AB1009" i="10"/>
  <c r="AA1009" i="10"/>
  <c r="Z1009" i="10"/>
  <c r="U1009" i="10"/>
  <c r="T1009" i="10"/>
  <c r="N1009" i="10"/>
  <c r="F1009" i="10"/>
  <c r="AI1008" i="10"/>
  <c r="AD1008" i="10"/>
  <c r="AC1008" i="10"/>
  <c r="AB1008" i="10"/>
  <c r="AA1008" i="10"/>
  <c r="Z1008" i="10"/>
  <c r="U1008" i="10"/>
  <c r="T1008" i="10"/>
  <c r="N1008" i="10"/>
  <c r="F1008" i="10"/>
  <c r="AI1007" i="10"/>
  <c r="AD1007" i="10"/>
  <c r="AC1007" i="10"/>
  <c r="AB1007" i="10"/>
  <c r="AA1007" i="10"/>
  <c r="Z1007" i="10"/>
  <c r="U1007" i="10"/>
  <c r="T1007" i="10"/>
  <c r="N1007" i="10"/>
  <c r="F1007" i="10"/>
  <c r="AI1006" i="10"/>
  <c r="AD1006" i="10"/>
  <c r="AC1006" i="10"/>
  <c r="AB1006" i="10"/>
  <c r="AA1006" i="10"/>
  <c r="Z1006" i="10"/>
  <c r="U1006" i="10"/>
  <c r="T1006" i="10"/>
  <c r="N1006" i="10"/>
  <c r="F1006" i="10"/>
  <c r="AI1005" i="10"/>
  <c r="AD1005" i="10"/>
  <c r="AC1005" i="10"/>
  <c r="AB1005" i="10"/>
  <c r="AA1005" i="10"/>
  <c r="Z1005" i="10"/>
  <c r="U1005" i="10"/>
  <c r="T1005" i="10"/>
  <c r="N1005" i="10"/>
  <c r="F1005" i="10"/>
  <c r="AI1004" i="10"/>
  <c r="AD1004" i="10"/>
  <c r="AC1004" i="10"/>
  <c r="AB1004" i="10"/>
  <c r="AA1004" i="10"/>
  <c r="Z1004" i="10"/>
  <c r="U1004" i="10"/>
  <c r="T1004" i="10"/>
  <c r="N1004" i="10"/>
  <c r="F1004" i="10"/>
  <c r="AI1003" i="10"/>
  <c r="AD1003" i="10"/>
  <c r="AC1003" i="10"/>
  <c r="AB1003" i="10"/>
  <c r="AA1003" i="10"/>
  <c r="Z1003" i="10"/>
  <c r="U1003" i="10"/>
  <c r="T1003" i="10"/>
  <c r="C6" i="9" s="1"/>
  <c r="D6" i="9" s="1"/>
  <c r="N1003" i="10"/>
  <c r="F1003" i="10"/>
  <c r="AI1002" i="10"/>
  <c r="AD1002" i="10"/>
  <c r="AC1002" i="10"/>
  <c r="AB1002" i="10"/>
  <c r="AA1002" i="10"/>
  <c r="Z1002" i="10"/>
  <c r="U1002" i="10"/>
  <c r="T1002" i="10"/>
  <c r="N1002" i="10"/>
  <c r="F1002" i="10"/>
  <c r="AI1001" i="10"/>
  <c r="AD1001" i="10"/>
  <c r="AC1001" i="10"/>
  <c r="AB1001" i="10"/>
  <c r="AA1001" i="10"/>
  <c r="Z1001" i="10"/>
  <c r="U1001" i="10"/>
  <c r="T1001" i="10"/>
  <c r="N1001" i="10"/>
  <c r="F1001" i="10"/>
  <c r="AI1000" i="10"/>
  <c r="AD1000" i="10"/>
  <c r="AC1000" i="10"/>
  <c r="AB1000" i="10"/>
  <c r="AA1000" i="10"/>
  <c r="Z1000" i="10"/>
  <c r="U1000" i="10"/>
  <c r="T1000" i="10"/>
  <c r="N1000" i="10"/>
  <c r="F1000" i="10"/>
  <c r="AI999" i="10"/>
  <c r="AD999" i="10"/>
  <c r="AC999" i="10"/>
  <c r="AB999" i="10"/>
  <c r="AA999" i="10"/>
  <c r="Z999" i="10"/>
  <c r="U999" i="10"/>
  <c r="T999" i="10"/>
  <c r="N999" i="10"/>
  <c r="F999" i="10"/>
  <c r="AI998" i="10"/>
  <c r="AD998" i="10"/>
  <c r="AC998" i="10"/>
  <c r="AB998" i="10"/>
  <c r="AA998" i="10"/>
  <c r="Z998" i="10"/>
  <c r="U998" i="10"/>
  <c r="T998" i="10"/>
  <c r="N998" i="10"/>
  <c r="F998" i="10"/>
  <c r="AI997" i="10"/>
  <c r="AD997" i="10"/>
  <c r="AC997" i="10"/>
  <c r="AB997" i="10"/>
  <c r="AA997" i="10"/>
  <c r="Z997" i="10"/>
  <c r="U997" i="10"/>
  <c r="T997" i="10"/>
  <c r="N997" i="10"/>
  <c r="F997" i="10"/>
  <c r="AI996" i="10"/>
  <c r="AD996" i="10"/>
  <c r="AC996" i="10"/>
  <c r="AB996" i="10"/>
  <c r="AA996" i="10"/>
  <c r="Z996" i="10"/>
  <c r="U996" i="10"/>
  <c r="T996" i="10"/>
  <c r="N996" i="10"/>
  <c r="F996" i="10"/>
  <c r="AI995" i="10"/>
  <c r="AD995" i="10"/>
  <c r="AC995" i="10"/>
  <c r="AB995" i="10"/>
  <c r="AA995" i="10"/>
  <c r="Z995" i="10"/>
  <c r="U995" i="10"/>
  <c r="T995" i="10"/>
  <c r="N995" i="10"/>
  <c r="F995" i="10"/>
  <c r="AI994" i="10"/>
  <c r="AD994" i="10"/>
  <c r="AC994" i="10"/>
  <c r="AB994" i="10"/>
  <c r="AA994" i="10"/>
  <c r="Z994" i="10"/>
  <c r="U994" i="10"/>
  <c r="T994" i="10"/>
  <c r="N994" i="10"/>
  <c r="F994" i="10"/>
  <c r="AI993" i="10"/>
  <c r="AD993" i="10"/>
  <c r="AC993" i="10"/>
  <c r="AB993" i="10"/>
  <c r="AA993" i="10"/>
  <c r="Z993" i="10"/>
  <c r="U993" i="10"/>
  <c r="T993" i="10"/>
  <c r="N993" i="10"/>
  <c r="F993" i="10"/>
  <c r="AI992" i="10"/>
  <c r="AD992" i="10"/>
  <c r="AC992" i="10"/>
  <c r="AB992" i="10"/>
  <c r="AA992" i="10"/>
  <c r="Z992" i="10"/>
  <c r="U992" i="10"/>
  <c r="T992" i="10"/>
  <c r="N992" i="10"/>
  <c r="F992" i="10"/>
  <c r="AI991" i="10"/>
  <c r="AD991" i="10"/>
  <c r="AC991" i="10"/>
  <c r="AB991" i="10"/>
  <c r="AA991" i="10"/>
  <c r="Z991" i="10"/>
  <c r="U991" i="10"/>
  <c r="T991" i="10"/>
  <c r="N991" i="10"/>
  <c r="F991" i="10"/>
  <c r="AI990" i="10"/>
  <c r="AD990" i="10"/>
  <c r="AC990" i="10"/>
  <c r="AB990" i="10"/>
  <c r="AA990" i="10"/>
  <c r="Z990" i="10"/>
  <c r="U990" i="10"/>
  <c r="T990" i="10"/>
  <c r="N990" i="10"/>
  <c r="F990" i="10"/>
  <c r="AI989" i="10"/>
  <c r="AD989" i="10"/>
  <c r="AC989" i="10"/>
  <c r="AB989" i="10"/>
  <c r="AA989" i="10"/>
  <c r="Z989" i="10"/>
  <c r="U989" i="10"/>
  <c r="T989" i="10"/>
  <c r="N989" i="10"/>
  <c r="F989" i="10"/>
  <c r="AI988" i="10"/>
  <c r="AD988" i="10"/>
  <c r="AC988" i="10"/>
  <c r="AB988" i="10"/>
  <c r="AA988" i="10"/>
  <c r="Z988" i="10"/>
  <c r="U988" i="10"/>
  <c r="T988" i="10"/>
  <c r="N988" i="10"/>
  <c r="F988" i="10"/>
  <c r="AI987" i="10"/>
  <c r="AD987" i="10"/>
  <c r="AC987" i="10"/>
  <c r="AB987" i="10"/>
  <c r="AA987" i="10"/>
  <c r="Z987" i="10"/>
  <c r="U987" i="10"/>
  <c r="T987" i="10"/>
  <c r="N987" i="10"/>
  <c r="F987" i="10"/>
  <c r="AI986" i="10"/>
  <c r="AD986" i="10"/>
  <c r="AC986" i="10"/>
  <c r="AB986" i="10"/>
  <c r="AA986" i="10"/>
  <c r="Z986" i="10"/>
  <c r="U986" i="10"/>
  <c r="T986" i="10"/>
  <c r="N986" i="10"/>
  <c r="F986" i="10"/>
  <c r="AI985" i="10"/>
  <c r="AD985" i="10"/>
  <c r="AC985" i="10"/>
  <c r="AB985" i="10"/>
  <c r="AA985" i="10"/>
  <c r="Z985" i="10"/>
  <c r="U985" i="10"/>
  <c r="T985" i="10"/>
  <c r="N985" i="10"/>
  <c r="F985" i="10"/>
  <c r="AI984" i="10"/>
  <c r="AD984" i="10"/>
  <c r="AC984" i="10"/>
  <c r="AB984" i="10"/>
  <c r="AA984" i="10"/>
  <c r="Z984" i="10"/>
  <c r="U984" i="10"/>
  <c r="T984" i="10"/>
  <c r="N984" i="10"/>
  <c r="F984" i="10"/>
  <c r="AI983" i="10"/>
  <c r="AD983" i="10"/>
  <c r="AC983" i="10"/>
  <c r="AB983" i="10"/>
  <c r="AA983" i="10"/>
  <c r="Z983" i="10"/>
  <c r="U983" i="10"/>
  <c r="T983" i="10"/>
  <c r="N983" i="10"/>
  <c r="F983" i="10"/>
  <c r="AI982" i="10"/>
  <c r="AD982" i="10"/>
  <c r="AC982" i="10"/>
  <c r="AB982" i="10"/>
  <c r="AA982" i="10"/>
  <c r="Z982" i="10"/>
  <c r="U982" i="10"/>
  <c r="T982" i="10"/>
  <c r="N982" i="10"/>
  <c r="F982" i="10"/>
  <c r="AI981" i="10"/>
  <c r="AD981" i="10"/>
  <c r="AC981" i="10"/>
  <c r="AB981" i="10"/>
  <c r="AA981" i="10"/>
  <c r="Z981" i="10"/>
  <c r="U981" i="10"/>
  <c r="T981" i="10"/>
  <c r="N981" i="10"/>
  <c r="F981" i="10"/>
  <c r="AI980" i="10"/>
  <c r="AD980" i="10"/>
  <c r="AC980" i="10"/>
  <c r="AB980" i="10"/>
  <c r="AA980" i="10"/>
  <c r="Z980" i="10"/>
  <c r="U980" i="10"/>
  <c r="T980" i="10"/>
  <c r="N980" i="10"/>
  <c r="F980" i="10"/>
  <c r="AI979" i="10"/>
  <c r="AD979" i="10"/>
  <c r="AC979" i="10"/>
  <c r="AB979" i="10"/>
  <c r="AA979" i="10"/>
  <c r="Z979" i="10"/>
  <c r="U979" i="10"/>
  <c r="T979" i="10"/>
  <c r="N979" i="10"/>
  <c r="F979" i="10"/>
  <c r="AI978" i="10"/>
  <c r="AD978" i="10"/>
  <c r="AC978" i="10"/>
  <c r="AB978" i="10"/>
  <c r="AA978" i="10"/>
  <c r="Z978" i="10"/>
  <c r="U978" i="10"/>
  <c r="T978" i="10"/>
  <c r="N978" i="10"/>
  <c r="F978" i="10"/>
  <c r="AI977" i="10"/>
  <c r="AD977" i="10"/>
  <c r="AC977" i="10"/>
  <c r="AB977" i="10"/>
  <c r="AA977" i="10"/>
  <c r="Z977" i="10"/>
  <c r="U977" i="10"/>
  <c r="T977" i="10"/>
  <c r="N977" i="10"/>
  <c r="F977" i="10"/>
  <c r="AI976" i="10"/>
  <c r="AD976" i="10"/>
  <c r="AC976" i="10"/>
  <c r="AB976" i="10"/>
  <c r="AA976" i="10"/>
  <c r="Z976" i="10"/>
  <c r="U976" i="10"/>
  <c r="T976" i="10"/>
  <c r="N976" i="10"/>
  <c r="F976" i="10"/>
  <c r="AI975" i="10"/>
  <c r="AD975" i="10"/>
  <c r="AC975" i="10"/>
  <c r="AB975" i="10"/>
  <c r="AA975" i="10"/>
  <c r="Z975" i="10"/>
  <c r="U975" i="10"/>
  <c r="T975" i="10"/>
  <c r="N975" i="10"/>
  <c r="F975" i="10"/>
  <c r="AI974" i="10"/>
  <c r="AD974" i="10"/>
  <c r="AC974" i="10"/>
  <c r="AB974" i="10"/>
  <c r="AA974" i="10"/>
  <c r="Z974" i="10"/>
  <c r="U974" i="10"/>
  <c r="T974" i="10"/>
  <c r="N974" i="10"/>
  <c r="F974" i="10"/>
  <c r="AI973" i="10"/>
  <c r="AD973" i="10"/>
  <c r="AC973" i="10"/>
  <c r="AB973" i="10"/>
  <c r="AA973" i="10"/>
  <c r="Z973" i="10"/>
  <c r="U973" i="10"/>
  <c r="T973" i="10"/>
  <c r="N973" i="10"/>
  <c r="F973" i="10"/>
  <c r="AI972" i="10"/>
  <c r="AD972" i="10"/>
  <c r="AC972" i="10"/>
  <c r="AB972" i="10"/>
  <c r="AA972" i="10"/>
  <c r="Z972" i="10"/>
  <c r="U972" i="10"/>
  <c r="T972" i="10"/>
  <c r="N972" i="10"/>
  <c r="F972" i="10"/>
  <c r="AI971" i="10"/>
  <c r="AD971" i="10"/>
  <c r="AC971" i="10"/>
  <c r="AB971" i="10"/>
  <c r="AA971" i="10"/>
  <c r="Z971" i="10"/>
  <c r="U971" i="10"/>
  <c r="T971" i="10"/>
  <c r="N971" i="10"/>
  <c r="F971" i="10"/>
  <c r="AI970" i="10"/>
  <c r="AD970" i="10"/>
  <c r="AC970" i="10"/>
  <c r="AB970" i="10"/>
  <c r="AA970" i="10"/>
  <c r="Z970" i="10"/>
  <c r="U970" i="10"/>
  <c r="T970" i="10"/>
  <c r="N970" i="10"/>
  <c r="F970" i="10"/>
  <c r="AI969" i="10"/>
  <c r="AD969" i="10"/>
  <c r="AC969" i="10"/>
  <c r="AB969" i="10"/>
  <c r="AA969" i="10"/>
  <c r="Z969" i="10"/>
  <c r="U969" i="10"/>
  <c r="T969" i="10"/>
  <c r="N969" i="10"/>
  <c r="F969" i="10"/>
  <c r="AI968" i="10"/>
  <c r="AD968" i="10"/>
  <c r="AC968" i="10"/>
  <c r="AB968" i="10"/>
  <c r="AA968" i="10"/>
  <c r="Z968" i="10"/>
  <c r="U968" i="10"/>
  <c r="T968" i="10"/>
  <c r="N968" i="10"/>
  <c r="F968" i="10"/>
  <c r="AI967" i="10"/>
  <c r="AD967" i="10"/>
  <c r="AC967" i="10"/>
  <c r="AB967" i="10"/>
  <c r="AA967" i="10"/>
  <c r="Z967" i="10"/>
  <c r="U967" i="10"/>
  <c r="T967" i="10"/>
  <c r="N967" i="10"/>
  <c r="F967" i="10"/>
  <c r="AI966" i="10"/>
  <c r="AD966" i="10"/>
  <c r="AC966" i="10"/>
  <c r="AB966" i="10"/>
  <c r="AA966" i="10"/>
  <c r="Z966" i="10"/>
  <c r="U966" i="10"/>
  <c r="T966" i="10"/>
  <c r="N966" i="10"/>
  <c r="F966" i="10"/>
  <c r="AI965" i="10"/>
  <c r="AD965" i="10"/>
  <c r="AC965" i="10"/>
  <c r="AB965" i="10"/>
  <c r="AA965" i="10"/>
  <c r="Z965" i="10"/>
  <c r="U965" i="10"/>
  <c r="T965" i="10"/>
  <c r="N965" i="10"/>
  <c r="F965" i="10"/>
  <c r="AI964" i="10"/>
  <c r="AD964" i="10"/>
  <c r="AC964" i="10"/>
  <c r="AB964" i="10"/>
  <c r="AA964" i="10"/>
  <c r="Z964" i="10"/>
  <c r="U964" i="10"/>
  <c r="T964" i="10"/>
  <c r="N964" i="10"/>
  <c r="F964" i="10"/>
  <c r="AI963" i="10"/>
  <c r="AD963" i="10"/>
  <c r="AC963" i="10"/>
  <c r="AB963" i="10"/>
  <c r="AA963" i="10"/>
  <c r="Z963" i="10"/>
  <c r="U963" i="10"/>
  <c r="T963" i="10"/>
  <c r="N963" i="10"/>
  <c r="F963" i="10"/>
  <c r="AI962" i="10"/>
  <c r="AD962" i="10"/>
  <c r="AC962" i="10"/>
  <c r="AB962" i="10"/>
  <c r="AA962" i="10"/>
  <c r="Z962" i="10"/>
  <c r="U962" i="10"/>
  <c r="T962" i="10"/>
  <c r="N962" i="10"/>
  <c r="F962" i="10"/>
  <c r="AI961" i="10"/>
  <c r="AD961" i="10"/>
  <c r="AC961" i="10"/>
  <c r="AB961" i="10"/>
  <c r="AA961" i="10"/>
  <c r="Z961" i="10"/>
  <c r="U961" i="10"/>
  <c r="T961" i="10"/>
  <c r="N961" i="10"/>
  <c r="F961" i="10"/>
  <c r="AI960" i="10"/>
  <c r="AD960" i="10"/>
  <c r="AC960" i="10"/>
  <c r="AB960" i="10"/>
  <c r="AA960" i="10"/>
  <c r="Z960" i="10"/>
  <c r="U960" i="10"/>
  <c r="T960" i="10"/>
  <c r="N960" i="10"/>
  <c r="F960" i="10"/>
  <c r="AI959" i="10"/>
  <c r="AD959" i="10"/>
  <c r="AC959" i="10"/>
  <c r="AB959" i="10"/>
  <c r="AA959" i="10"/>
  <c r="Z959" i="10"/>
  <c r="U959" i="10"/>
  <c r="T959" i="10"/>
  <c r="N959" i="10"/>
  <c r="F959" i="10"/>
  <c r="AI958" i="10"/>
  <c r="AD958" i="10"/>
  <c r="AC958" i="10"/>
  <c r="AB958" i="10"/>
  <c r="AA958" i="10"/>
  <c r="Z958" i="10"/>
  <c r="U958" i="10"/>
  <c r="T958" i="10"/>
  <c r="N958" i="10"/>
  <c r="F958" i="10"/>
  <c r="AI957" i="10"/>
  <c r="AD957" i="10"/>
  <c r="AC957" i="10"/>
  <c r="AB957" i="10"/>
  <c r="AA957" i="10"/>
  <c r="Z957" i="10"/>
  <c r="U957" i="10"/>
  <c r="T957" i="10"/>
  <c r="N957" i="10"/>
  <c r="F957" i="10"/>
  <c r="AI956" i="10"/>
  <c r="AD956" i="10"/>
  <c r="AC956" i="10"/>
  <c r="AB956" i="10"/>
  <c r="AA956" i="10"/>
  <c r="Z956" i="10"/>
  <c r="U956" i="10"/>
  <c r="T956" i="10"/>
  <c r="N956" i="10"/>
  <c r="F956" i="10"/>
  <c r="AI955" i="10"/>
  <c r="AD955" i="10"/>
  <c r="AC955" i="10"/>
  <c r="AB955" i="10"/>
  <c r="AA955" i="10"/>
  <c r="Z955" i="10"/>
  <c r="U955" i="10"/>
  <c r="T955" i="10"/>
  <c r="N955" i="10"/>
  <c r="F955" i="10"/>
  <c r="AI954" i="10"/>
  <c r="AD954" i="10"/>
  <c r="AC954" i="10"/>
  <c r="AB954" i="10"/>
  <c r="AA954" i="10"/>
  <c r="Z954" i="10"/>
  <c r="U954" i="10"/>
  <c r="T954" i="10"/>
  <c r="N954" i="10"/>
  <c r="F954" i="10"/>
  <c r="AI953" i="10"/>
  <c r="AD953" i="10"/>
  <c r="AC953" i="10"/>
  <c r="AB953" i="10"/>
  <c r="AA953" i="10"/>
  <c r="Z953" i="10"/>
  <c r="U953" i="10"/>
  <c r="T953" i="10"/>
  <c r="N953" i="10"/>
  <c r="F953" i="10"/>
  <c r="AI952" i="10"/>
  <c r="AD952" i="10"/>
  <c r="AC952" i="10"/>
  <c r="AB952" i="10"/>
  <c r="AA952" i="10"/>
  <c r="Z952" i="10"/>
  <c r="U952" i="10"/>
  <c r="T952" i="10"/>
  <c r="N952" i="10"/>
  <c r="F952" i="10"/>
  <c r="AI951" i="10"/>
  <c r="AD951" i="10"/>
  <c r="AC951" i="10"/>
  <c r="AB951" i="10"/>
  <c r="AA951" i="10"/>
  <c r="Z951" i="10"/>
  <c r="U951" i="10"/>
  <c r="T951" i="10"/>
  <c r="N951" i="10"/>
  <c r="F951" i="10"/>
  <c r="AI950" i="10"/>
  <c r="AD950" i="10"/>
  <c r="AC950" i="10"/>
  <c r="AB950" i="10"/>
  <c r="AA950" i="10"/>
  <c r="Z950" i="10"/>
  <c r="U950" i="10"/>
  <c r="T950" i="10"/>
  <c r="N950" i="10"/>
  <c r="F950" i="10"/>
  <c r="AI949" i="10"/>
  <c r="AD949" i="10"/>
  <c r="AC949" i="10"/>
  <c r="AB949" i="10"/>
  <c r="AA949" i="10"/>
  <c r="Z949" i="10"/>
  <c r="U949" i="10"/>
  <c r="T949" i="10"/>
  <c r="N949" i="10"/>
  <c r="F949" i="10"/>
  <c r="AI948" i="10"/>
  <c r="AD948" i="10"/>
  <c r="AC948" i="10"/>
  <c r="AB948" i="10"/>
  <c r="AA948" i="10"/>
  <c r="Z948" i="10"/>
  <c r="U948" i="10"/>
  <c r="T948" i="10"/>
  <c r="N948" i="10"/>
  <c r="F948" i="10"/>
  <c r="AI947" i="10"/>
  <c r="AD947" i="10"/>
  <c r="AC947" i="10"/>
  <c r="AB947" i="10"/>
  <c r="AA947" i="10"/>
  <c r="Z947" i="10"/>
  <c r="U947" i="10"/>
  <c r="T947" i="10"/>
  <c r="N947" i="10"/>
  <c r="F947" i="10"/>
  <c r="AI946" i="10"/>
  <c r="AD946" i="10"/>
  <c r="AC946" i="10"/>
  <c r="AB946" i="10"/>
  <c r="AA946" i="10"/>
  <c r="Z946" i="10"/>
  <c r="U946" i="10"/>
  <c r="T946" i="10"/>
  <c r="N946" i="10"/>
  <c r="F946" i="10"/>
  <c r="AI945" i="10"/>
  <c r="AD945" i="10"/>
  <c r="AC945" i="10"/>
  <c r="AB945" i="10"/>
  <c r="AA945" i="10"/>
  <c r="Z945" i="10"/>
  <c r="U945" i="10"/>
  <c r="T945" i="10"/>
  <c r="N945" i="10"/>
  <c r="F945" i="10"/>
  <c r="AI944" i="10"/>
  <c r="AD944" i="10"/>
  <c r="AC944" i="10"/>
  <c r="AB944" i="10"/>
  <c r="AA944" i="10"/>
  <c r="Z944" i="10"/>
  <c r="U944" i="10"/>
  <c r="T944" i="10"/>
  <c r="N944" i="10"/>
  <c r="F944" i="10"/>
  <c r="AI943" i="10"/>
  <c r="AD943" i="10"/>
  <c r="AC943" i="10"/>
  <c r="AB943" i="10"/>
  <c r="AA943" i="10"/>
  <c r="Z943" i="10"/>
  <c r="U943" i="10"/>
  <c r="T943" i="10"/>
  <c r="N943" i="10"/>
  <c r="F943" i="10"/>
  <c r="AI942" i="10"/>
  <c r="AD942" i="10"/>
  <c r="AC942" i="10"/>
  <c r="AB942" i="10"/>
  <c r="AA942" i="10"/>
  <c r="Z942" i="10"/>
  <c r="U942" i="10"/>
  <c r="T942" i="10"/>
  <c r="N942" i="10"/>
  <c r="F942" i="10"/>
  <c r="AI941" i="10"/>
  <c r="AD941" i="10"/>
  <c r="AC941" i="10"/>
  <c r="AB941" i="10"/>
  <c r="AA941" i="10"/>
  <c r="Z941" i="10"/>
  <c r="U941" i="10"/>
  <c r="T941" i="10"/>
  <c r="N941" i="10"/>
  <c r="F941" i="10"/>
  <c r="AI940" i="10"/>
  <c r="AD940" i="10"/>
  <c r="AC940" i="10"/>
  <c r="AB940" i="10"/>
  <c r="AA940" i="10"/>
  <c r="Z940" i="10"/>
  <c r="U940" i="10"/>
  <c r="T940" i="10"/>
  <c r="N940" i="10"/>
  <c r="F940" i="10"/>
  <c r="AI939" i="10"/>
  <c r="AD939" i="10"/>
  <c r="AC939" i="10"/>
  <c r="AB939" i="10"/>
  <c r="AA939" i="10"/>
  <c r="Z939" i="10"/>
  <c r="U939" i="10"/>
  <c r="T939" i="10"/>
  <c r="N939" i="10"/>
  <c r="F939" i="10"/>
  <c r="AI938" i="10"/>
  <c r="AD938" i="10"/>
  <c r="AC938" i="10"/>
  <c r="AB938" i="10"/>
  <c r="AA938" i="10"/>
  <c r="Z938" i="10"/>
  <c r="U938" i="10"/>
  <c r="T938" i="10"/>
  <c r="N938" i="10"/>
  <c r="F938" i="10"/>
  <c r="AI937" i="10"/>
  <c r="AD937" i="10"/>
  <c r="AC937" i="10"/>
  <c r="AB937" i="10"/>
  <c r="AA937" i="10"/>
  <c r="Z937" i="10"/>
  <c r="U937" i="10"/>
  <c r="T937" i="10"/>
  <c r="N937" i="10"/>
  <c r="F937" i="10"/>
  <c r="AI936" i="10"/>
  <c r="AD936" i="10"/>
  <c r="AC936" i="10"/>
  <c r="AB936" i="10"/>
  <c r="AA936" i="10"/>
  <c r="Z936" i="10"/>
  <c r="U936" i="10"/>
  <c r="T936" i="10"/>
  <c r="N936" i="10"/>
  <c r="F936" i="10"/>
  <c r="AI935" i="10"/>
  <c r="AD935" i="10"/>
  <c r="AC935" i="10"/>
  <c r="AB935" i="10"/>
  <c r="AA935" i="10"/>
  <c r="Z935" i="10"/>
  <c r="U935" i="10"/>
  <c r="T935" i="10"/>
  <c r="N935" i="10"/>
  <c r="F935" i="10"/>
  <c r="AI934" i="10"/>
  <c r="AD934" i="10"/>
  <c r="AC934" i="10"/>
  <c r="AB934" i="10"/>
  <c r="AA934" i="10"/>
  <c r="Z934" i="10"/>
  <c r="U934" i="10"/>
  <c r="T934" i="10"/>
  <c r="N934" i="10"/>
  <c r="F934" i="10"/>
  <c r="AI933" i="10"/>
  <c r="AD933" i="10"/>
  <c r="AC933" i="10"/>
  <c r="AB933" i="10"/>
  <c r="AA933" i="10"/>
  <c r="Z933" i="10"/>
  <c r="U933" i="10"/>
  <c r="T933" i="10"/>
  <c r="N933" i="10"/>
  <c r="F933" i="10"/>
  <c r="AI932" i="10"/>
  <c r="AD932" i="10"/>
  <c r="AC932" i="10"/>
  <c r="AB932" i="10"/>
  <c r="AA932" i="10"/>
  <c r="Z932" i="10"/>
  <c r="U932" i="10"/>
  <c r="T932" i="10"/>
  <c r="N932" i="10"/>
  <c r="F932" i="10"/>
  <c r="AI931" i="10"/>
  <c r="AD931" i="10"/>
  <c r="AC931" i="10"/>
  <c r="AB931" i="10"/>
  <c r="AA931" i="10"/>
  <c r="Z931" i="10"/>
  <c r="U931" i="10"/>
  <c r="T931" i="10"/>
  <c r="N931" i="10"/>
  <c r="F931" i="10"/>
  <c r="AI930" i="10"/>
  <c r="AD930" i="10"/>
  <c r="AC930" i="10"/>
  <c r="AB930" i="10"/>
  <c r="AA930" i="10"/>
  <c r="Z930" i="10"/>
  <c r="U930" i="10"/>
  <c r="T930" i="10"/>
  <c r="N930" i="10"/>
  <c r="F930" i="10"/>
  <c r="AI929" i="10"/>
  <c r="AD929" i="10"/>
  <c r="AC929" i="10"/>
  <c r="AB929" i="10"/>
  <c r="AA929" i="10"/>
  <c r="Z929" i="10"/>
  <c r="U929" i="10"/>
  <c r="T929" i="10"/>
  <c r="N929" i="10"/>
  <c r="F929" i="10"/>
  <c r="AI928" i="10"/>
  <c r="AD928" i="10"/>
  <c r="AC928" i="10"/>
  <c r="AB928" i="10"/>
  <c r="AA928" i="10"/>
  <c r="Z928" i="10"/>
  <c r="U928" i="10"/>
  <c r="T928" i="10"/>
  <c r="N928" i="10"/>
  <c r="F928" i="10"/>
  <c r="AI927" i="10"/>
  <c r="AD927" i="10"/>
  <c r="AC927" i="10"/>
  <c r="AB927" i="10"/>
  <c r="AA927" i="10"/>
  <c r="Z927" i="10"/>
  <c r="U927" i="10"/>
  <c r="T927" i="10"/>
  <c r="N927" i="10"/>
  <c r="F927" i="10"/>
  <c r="AI926" i="10"/>
  <c r="AD926" i="10"/>
  <c r="AC926" i="10"/>
  <c r="AB926" i="10"/>
  <c r="AA926" i="10"/>
  <c r="Z926" i="10"/>
  <c r="U926" i="10"/>
  <c r="T926" i="10"/>
  <c r="N926" i="10"/>
  <c r="F926" i="10"/>
  <c r="AI925" i="10"/>
  <c r="AD925" i="10"/>
  <c r="AC925" i="10"/>
  <c r="AB925" i="10"/>
  <c r="AA925" i="10"/>
  <c r="Z925" i="10"/>
  <c r="U925" i="10"/>
  <c r="T925" i="10"/>
  <c r="N925" i="10"/>
  <c r="F925" i="10"/>
  <c r="AI924" i="10"/>
  <c r="AD924" i="10"/>
  <c r="AC924" i="10"/>
  <c r="AB924" i="10"/>
  <c r="AA924" i="10"/>
  <c r="Z924" i="10"/>
  <c r="U924" i="10"/>
  <c r="T924" i="10"/>
  <c r="N924" i="10"/>
  <c r="F924" i="10"/>
  <c r="AI923" i="10"/>
  <c r="AD923" i="10"/>
  <c r="AC923" i="10"/>
  <c r="AB923" i="10"/>
  <c r="AA923" i="10"/>
  <c r="Z923" i="10"/>
  <c r="U923" i="10"/>
  <c r="T923" i="10"/>
  <c r="N923" i="10"/>
  <c r="F923" i="10"/>
  <c r="AI922" i="10"/>
  <c r="AD922" i="10"/>
  <c r="AC922" i="10"/>
  <c r="AB922" i="10"/>
  <c r="AA922" i="10"/>
  <c r="Z922" i="10"/>
  <c r="U922" i="10"/>
  <c r="T922" i="10"/>
  <c r="N922" i="10"/>
  <c r="F922" i="10"/>
  <c r="AI921" i="10"/>
  <c r="AD921" i="10"/>
  <c r="AC921" i="10"/>
  <c r="AB921" i="10"/>
  <c r="AA921" i="10"/>
  <c r="Z921" i="10"/>
  <c r="U921" i="10"/>
  <c r="T921" i="10"/>
  <c r="N921" i="10"/>
  <c r="F921" i="10"/>
  <c r="AI920" i="10"/>
  <c r="AD920" i="10"/>
  <c r="AC920" i="10"/>
  <c r="AB920" i="10"/>
  <c r="AA920" i="10"/>
  <c r="Z920" i="10"/>
  <c r="U920" i="10"/>
  <c r="T920" i="10"/>
  <c r="N920" i="10"/>
  <c r="F920" i="10"/>
  <c r="AI919" i="10"/>
  <c r="AD919" i="10"/>
  <c r="AC919" i="10"/>
  <c r="AB919" i="10"/>
  <c r="AA919" i="10"/>
  <c r="Z919" i="10"/>
  <c r="U919" i="10"/>
  <c r="T919" i="10"/>
  <c r="N919" i="10"/>
  <c r="F919" i="10"/>
  <c r="AI918" i="10"/>
  <c r="AD918" i="10"/>
  <c r="AC918" i="10"/>
  <c r="AB918" i="10"/>
  <c r="AA918" i="10"/>
  <c r="Z918" i="10"/>
  <c r="U918" i="10"/>
  <c r="T918" i="10"/>
  <c r="N918" i="10"/>
  <c r="F918" i="10"/>
  <c r="AI917" i="10"/>
  <c r="AD917" i="10"/>
  <c r="AC917" i="10"/>
  <c r="AB917" i="10"/>
  <c r="AA917" i="10"/>
  <c r="Z917" i="10"/>
  <c r="U917" i="10"/>
  <c r="T917" i="10"/>
  <c r="N917" i="10"/>
  <c r="F917" i="10"/>
  <c r="AI916" i="10"/>
  <c r="AD916" i="10"/>
  <c r="AC916" i="10"/>
  <c r="AB916" i="10"/>
  <c r="AA916" i="10"/>
  <c r="Z916" i="10"/>
  <c r="U916" i="10"/>
  <c r="T916" i="10"/>
  <c r="N916" i="10"/>
  <c r="F916" i="10"/>
  <c r="AI915" i="10"/>
  <c r="AD915" i="10"/>
  <c r="AC915" i="10"/>
  <c r="AB915" i="10"/>
  <c r="AA915" i="10"/>
  <c r="Z915" i="10"/>
  <c r="U915" i="10"/>
  <c r="T915" i="10"/>
  <c r="N915" i="10"/>
  <c r="F915" i="10"/>
  <c r="AI914" i="10"/>
  <c r="AD914" i="10"/>
  <c r="AC914" i="10"/>
  <c r="AB914" i="10"/>
  <c r="AA914" i="10"/>
  <c r="Z914" i="10"/>
  <c r="U914" i="10"/>
  <c r="T914" i="10"/>
  <c r="N914" i="10"/>
  <c r="F914" i="10"/>
  <c r="AI913" i="10"/>
  <c r="AD913" i="10"/>
  <c r="AC913" i="10"/>
  <c r="AB913" i="10"/>
  <c r="AA913" i="10"/>
  <c r="Z913" i="10"/>
  <c r="U913" i="10"/>
  <c r="T913" i="10"/>
  <c r="N913" i="10"/>
  <c r="F913" i="10"/>
  <c r="AI912" i="10"/>
  <c r="AD912" i="10"/>
  <c r="AC912" i="10"/>
  <c r="AB912" i="10"/>
  <c r="AA912" i="10"/>
  <c r="Z912" i="10"/>
  <c r="U912" i="10"/>
  <c r="T912" i="10"/>
  <c r="N912" i="10"/>
  <c r="F912" i="10"/>
  <c r="AI911" i="10"/>
  <c r="AD911" i="10"/>
  <c r="AC911" i="10"/>
  <c r="AB911" i="10"/>
  <c r="AA911" i="10"/>
  <c r="Z911" i="10"/>
  <c r="U911" i="10"/>
  <c r="T911" i="10"/>
  <c r="N911" i="10"/>
  <c r="F911" i="10"/>
  <c r="AI910" i="10"/>
  <c r="AD910" i="10"/>
  <c r="AC910" i="10"/>
  <c r="AB910" i="10"/>
  <c r="AA910" i="10"/>
  <c r="Z910" i="10"/>
  <c r="U910" i="10"/>
  <c r="T910" i="10"/>
  <c r="N910" i="10"/>
  <c r="F910" i="10"/>
  <c r="AI909" i="10"/>
  <c r="AD909" i="10"/>
  <c r="AC909" i="10"/>
  <c r="AB909" i="10"/>
  <c r="AA909" i="10"/>
  <c r="Z909" i="10"/>
  <c r="U909" i="10"/>
  <c r="T909" i="10"/>
  <c r="N909" i="10"/>
  <c r="F909" i="10"/>
  <c r="AI908" i="10"/>
  <c r="AD908" i="10"/>
  <c r="AC908" i="10"/>
  <c r="AB908" i="10"/>
  <c r="AA908" i="10"/>
  <c r="Z908" i="10"/>
  <c r="U908" i="10"/>
  <c r="T908" i="10"/>
  <c r="N908" i="10"/>
  <c r="F908" i="10"/>
  <c r="AI907" i="10"/>
  <c r="AD907" i="10"/>
  <c r="AC907" i="10"/>
  <c r="AB907" i="10"/>
  <c r="AA907" i="10"/>
  <c r="Z907" i="10"/>
  <c r="U907" i="10"/>
  <c r="T907" i="10"/>
  <c r="N907" i="10"/>
  <c r="F907" i="10"/>
  <c r="AI906" i="10"/>
  <c r="AD906" i="10"/>
  <c r="AC906" i="10"/>
  <c r="AB906" i="10"/>
  <c r="AA906" i="10"/>
  <c r="Z906" i="10"/>
  <c r="U906" i="10"/>
  <c r="T906" i="10"/>
  <c r="N906" i="10"/>
  <c r="F906" i="10"/>
  <c r="AI905" i="10"/>
  <c r="AD905" i="10"/>
  <c r="AC905" i="10"/>
  <c r="AB905" i="10"/>
  <c r="AA905" i="10"/>
  <c r="Z905" i="10"/>
  <c r="U905" i="10"/>
  <c r="T905" i="10"/>
  <c r="N905" i="10"/>
  <c r="F905" i="10"/>
  <c r="AI904" i="10"/>
  <c r="AD904" i="10"/>
  <c r="AC904" i="10"/>
  <c r="AB904" i="10"/>
  <c r="AA904" i="10"/>
  <c r="Z904" i="10"/>
  <c r="U904" i="10"/>
  <c r="T904" i="10"/>
  <c r="N904" i="10"/>
  <c r="F904" i="10"/>
  <c r="AI903" i="10"/>
  <c r="AD903" i="10"/>
  <c r="AC903" i="10"/>
  <c r="AB903" i="10"/>
  <c r="AA903" i="10"/>
  <c r="Z903" i="10"/>
  <c r="U903" i="10"/>
  <c r="T903" i="10"/>
  <c r="N903" i="10"/>
  <c r="F903" i="10"/>
  <c r="AI902" i="10"/>
  <c r="AD902" i="10"/>
  <c r="AC902" i="10"/>
  <c r="AB902" i="10"/>
  <c r="AA902" i="10"/>
  <c r="Z902" i="10"/>
  <c r="U902" i="10"/>
  <c r="T902" i="10"/>
  <c r="N902" i="10"/>
  <c r="F902" i="10"/>
  <c r="AI901" i="10"/>
  <c r="AD901" i="10"/>
  <c r="AC901" i="10"/>
  <c r="AB901" i="10"/>
  <c r="AA901" i="10"/>
  <c r="Z901" i="10"/>
  <c r="U901" i="10"/>
  <c r="T901" i="10"/>
  <c r="N901" i="10"/>
  <c r="F901" i="10"/>
  <c r="AI900" i="10"/>
  <c r="AD900" i="10"/>
  <c r="AC900" i="10"/>
  <c r="AB900" i="10"/>
  <c r="AA900" i="10"/>
  <c r="Z900" i="10"/>
  <c r="U900" i="10"/>
  <c r="T900" i="10"/>
  <c r="N900" i="10"/>
  <c r="F900" i="10"/>
  <c r="AI899" i="10"/>
  <c r="AD899" i="10"/>
  <c r="AC899" i="10"/>
  <c r="AB899" i="10"/>
  <c r="AA899" i="10"/>
  <c r="Z899" i="10"/>
  <c r="U899" i="10"/>
  <c r="T899" i="10"/>
  <c r="N899" i="10"/>
  <c r="F899" i="10"/>
  <c r="AI898" i="10"/>
  <c r="AD898" i="10"/>
  <c r="AC898" i="10"/>
  <c r="AB898" i="10"/>
  <c r="AA898" i="10"/>
  <c r="Z898" i="10"/>
  <c r="U898" i="10"/>
  <c r="T898" i="10"/>
  <c r="N898" i="10"/>
  <c r="F898" i="10"/>
  <c r="AI897" i="10"/>
  <c r="AD897" i="10"/>
  <c r="AC897" i="10"/>
  <c r="AB897" i="10"/>
  <c r="AA897" i="10"/>
  <c r="Z897" i="10"/>
  <c r="U897" i="10"/>
  <c r="T897" i="10"/>
  <c r="N897" i="10"/>
  <c r="F897" i="10"/>
  <c r="AI896" i="10"/>
  <c r="AD896" i="10"/>
  <c r="AC896" i="10"/>
  <c r="AB896" i="10"/>
  <c r="AA896" i="10"/>
  <c r="Z896" i="10"/>
  <c r="U896" i="10"/>
  <c r="T896" i="10"/>
  <c r="N896" i="10"/>
  <c r="F896" i="10"/>
  <c r="AI895" i="10"/>
  <c r="AD895" i="10"/>
  <c r="AC895" i="10"/>
  <c r="AB895" i="10"/>
  <c r="AA895" i="10"/>
  <c r="Z895" i="10"/>
  <c r="U895" i="10"/>
  <c r="T895" i="10"/>
  <c r="N895" i="10"/>
  <c r="F895" i="10"/>
  <c r="AI894" i="10"/>
  <c r="AD894" i="10"/>
  <c r="AC894" i="10"/>
  <c r="AB894" i="10"/>
  <c r="AA894" i="10"/>
  <c r="Z894" i="10"/>
  <c r="U894" i="10"/>
  <c r="T894" i="10"/>
  <c r="N894" i="10"/>
  <c r="F894" i="10"/>
  <c r="AI893" i="10"/>
  <c r="AD893" i="10"/>
  <c r="AC893" i="10"/>
  <c r="AB893" i="10"/>
  <c r="AA893" i="10"/>
  <c r="Z893" i="10"/>
  <c r="U893" i="10"/>
  <c r="T893" i="10"/>
  <c r="N893" i="10"/>
  <c r="F893" i="10"/>
  <c r="AI892" i="10"/>
  <c r="AD892" i="10"/>
  <c r="AC892" i="10"/>
  <c r="AB892" i="10"/>
  <c r="AA892" i="10"/>
  <c r="Z892" i="10"/>
  <c r="U892" i="10"/>
  <c r="T892" i="10"/>
  <c r="N892" i="10"/>
  <c r="F892" i="10"/>
  <c r="AI891" i="10"/>
  <c r="AD891" i="10"/>
  <c r="AC891" i="10"/>
  <c r="AB891" i="10"/>
  <c r="AA891" i="10"/>
  <c r="Z891" i="10"/>
  <c r="U891" i="10"/>
  <c r="T891" i="10"/>
  <c r="N891" i="10"/>
  <c r="F891" i="10"/>
  <c r="AI890" i="10"/>
  <c r="AD890" i="10"/>
  <c r="AC890" i="10"/>
  <c r="AB890" i="10"/>
  <c r="AA890" i="10"/>
  <c r="Z890" i="10"/>
  <c r="U890" i="10"/>
  <c r="T890" i="10"/>
  <c r="N890" i="10"/>
  <c r="F890" i="10"/>
  <c r="AI889" i="10"/>
  <c r="AD889" i="10"/>
  <c r="AC889" i="10"/>
  <c r="AB889" i="10"/>
  <c r="AA889" i="10"/>
  <c r="Z889" i="10"/>
  <c r="U889" i="10"/>
  <c r="T889" i="10"/>
  <c r="N889" i="10"/>
  <c r="F889" i="10"/>
  <c r="AI888" i="10"/>
  <c r="AD888" i="10"/>
  <c r="AC888" i="10"/>
  <c r="AB888" i="10"/>
  <c r="AA888" i="10"/>
  <c r="Z888" i="10"/>
  <c r="U888" i="10"/>
  <c r="T888" i="10"/>
  <c r="N888" i="10"/>
  <c r="F888" i="10"/>
  <c r="AI887" i="10"/>
  <c r="AD887" i="10"/>
  <c r="AC887" i="10"/>
  <c r="AB887" i="10"/>
  <c r="AA887" i="10"/>
  <c r="Z887" i="10"/>
  <c r="U887" i="10"/>
  <c r="T887" i="10"/>
  <c r="N887" i="10"/>
  <c r="F887" i="10"/>
  <c r="AI886" i="10"/>
  <c r="AD886" i="10"/>
  <c r="AC886" i="10"/>
  <c r="AB886" i="10"/>
  <c r="AA886" i="10"/>
  <c r="Z886" i="10"/>
  <c r="U886" i="10"/>
  <c r="T886" i="10"/>
  <c r="N886" i="10"/>
  <c r="F886" i="10"/>
  <c r="AI885" i="10"/>
  <c r="AD885" i="10"/>
  <c r="AC885" i="10"/>
  <c r="AB885" i="10"/>
  <c r="AA885" i="10"/>
  <c r="Z885" i="10"/>
  <c r="U885" i="10"/>
  <c r="T885" i="10"/>
  <c r="N885" i="10"/>
  <c r="F885" i="10"/>
  <c r="AI884" i="10"/>
  <c r="AD884" i="10"/>
  <c r="AC884" i="10"/>
  <c r="AB884" i="10"/>
  <c r="AA884" i="10"/>
  <c r="Z884" i="10"/>
  <c r="U884" i="10"/>
  <c r="T884" i="10"/>
  <c r="N884" i="10"/>
  <c r="F884" i="10"/>
  <c r="AI883" i="10"/>
  <c r="AD883" i="10"/>
  <c r="AC883" i="10"/>
  <c r="AB883" i="10"/>
  <c r="AA883" i="10"/>
  <c r="Z883" i="10"/>
  <c r="U883" i="10"/>
  <c r="T883" i="10"/>
  <c r="N883" i="10"/>
  <c r="F883" i="10"/>
  <c r="AI882" i="10"/>
  <c r="AD882" i="10"/>
  <c r="AC882" i="10"/>
  <c r="AB882" i="10"/>
  <c r="AA882" i="10"/>
  <c r="Z882" i="10"/>
  <c r="U882" i="10"/>
  <c r="T882" i="10"/>
  <c r="N882" i="10"/>
  <c r="F882" i="10"/>
  <c r="AI881" i="10"/>
  <c r="AD881" i="10"/>
  <c r="AC881" i="10"/>
  <c r="AB881" i="10"/>
  <c r="AA881" i="10"/>
  <c r="Z881" i="10"/>
  <c r="U881" i="10"/>
  <c r="T881" i="10"/>
  <c r="N881" i="10"/>
  <c r="F881" i="10"/>
  <c r="AI880" i="10"/>
  <c r="AD880" i="10"/>
  <c r="AC880" i="10"/>
  <c r="AB880" i="10"/>
  <c r="AA880" i="10"/>
  <c r="Z880" i="10"/>
  <c r="U880" i="10"/>
  <c r="T880" i="10"/>
  <c r="N880" i="10"/>
  <c r="F880" i="10"/>
  <c r="AI879" i="10"/>
  <c r="AD879" i="10"/>
  <c r="AC879" i="10"/>
  <c r="AB879" i="10"/>
  <c r="AA879" i="10"/>
  <c r="Z879" i="10"/>
  <c r="U879" i="10"/>
  <c r="T879" i="10"/>
  <c r="N879" i="10"/>
  <c r="F879" i="10"/>
  <c r="AI878" i="10"/>
  <c r="AD878" i="10"/>
  <c r="AC878" i="10"/>
  <c r="AB878" i="10"/>
  <c r="AA878" i="10"/>
  <c r="Z878" i="10"/>
  <c r="U878" i="10"/>
  <c r="T878" i="10"/>
  <c r="N878" i="10"/>
  <c r="F878" i="10"/>
  <c r="AI877" i="10"/>
  <c r="AD877" i="10"/>
  <c r="AC877" i="10"/>
  <c r="AB877" i="10"/>
  <c r="AA877" i="10"/>
  <c r="Z877" i="10"/>
  <c r="U877" i="10"/>
  <c r="T877" i="10"/>
  <c r="N877" i="10"/>
  <c r="F877" i="10"/>
  <c r="AI876" i="10"/>
  <c r="AD876" i="10"/>
  <c r="AC876" i="10"/>
  <c r="AB876" i="10"/>
  <c r="AA876" i="10"/>
  <c r="Z876" i="10"/>
  <c r="U876" i="10"/>
  <c r="T876" i="10"/>
  <c r="N876" i="10"/>
  <c r="F876" i="10"/>
  <c r="AI875" i="10"/>
  <c r="AD875" i="10"/>
  <c r="AC875" i="10"/>
  <c r="AB875" i="10"/>
  <c r="AA875" i="10"/>
  <c r="Z875" i="10"/>
  <c r="U875" i="10"/>
  <c r="T875" i="10"/>
  <c r="N875" i="10"/>
  <c r="F875" i="10"/>
  <c r="AI874" i="10"/>
  <c r="AD874" i="10"/>
  <c r="AC874" i="10"/>
  <c r="AB874" i="10"/>
  <c r="AA874" i="10"/>
  <c r="Z874" i="10"/>
  <c r="U874" i="10"/>
  <c r="T874" i="10"/>
  <c r="N874" i="10"/>
  <c r="F874" i="10"/>
  <c r="AI873" i="10"/>
  <c r="AD873" i="10"/>
  <c r="AC873" i="10"/>
  <c r="AB873" i="10"/>
  <c r="AA873" i="10"/>
  <c r="Z873" i="10"/>
  <c r="U873" i="10"/>
  <c r="T873" i="10"/>
  <c r="N873" i="10"/>
  <c r="F873" i="10"/>
  <c r="AI872" i="10"/>
  <c r="AD872" i="10"/>
  <c r="AC872" i="10"/>
  <c r="AB872" i="10"/>
  <c r="AA872" i="10"/>
  <c r="Z872" i="10"/>
  <c r="U872" i="10"/>
  <c r="T872" i="10"/>
  <c r="N872" i="10"/>
  <c r="F872" i="10"/>
  <c r="AI871" i="10"/>
  <c r="AD871" i="10"/>
  <c r="AC871" i="10"/>
  <c r="AB871" i="10"/>
  <c r="AA871" i="10"/>
  <c r="Z871" i="10"/>
  <c r="U871" i="10"/>
  <c r="T871" i="10"/>
  <c r="N871" i="10"/>
  <c r="F871" i="10"/>
  <c r="AI870" i="10"/>
  <c r="AD870" i="10"/>
  <c r="AC870" i="10"/>
  <c r="AB870" i="10"/>
  <c r="AA870" i="10"/>
  <c r="Z870" i="10"/>
  <c r="U870" i="10"/>
  <c r="T870" i="10"/>
  <c r="N870" i="10"/>
  <c r="F870" i="10"/>
  <c r="AI869" i="10"/>
  <c r="AD869" i="10"/>
  <c r="AC869" i="10"/>
  <c r="AB869" i="10"/>
  <c r="AA869" i="10"/>
  <c r="Z869" i="10"/>
  <c r="U869" i="10"/>
  <c r="T869" i="10"/>
  <c r="N869" i="10"/>
  <c r="F869" i="10"/>
  <c r="AI868" i="10"/>
  <c r="AD868" i="10"/>
  <c r="AC868" i="10"/>
  <c r="AB868" i="10"/>
  <c r="AA868" i="10"/>
  <c r="Z868" i="10"/>
  <c r="U868" i="10"/>
  <c r="T868" i="10"/>
  <c r="N868" i="10"/>
  <c r="F868" i="10"/>
  <c r="AI867" i="10"/>
  <c r="AD867" i="10"/>
  <c r="AC867" i="10"/>
  <c r="AB867" i="10"/>
  <c r="AA867" i="10"/>
  <c r="Z867" i="10"/>
  <c r="U867" i="10"/>
  <c r="T867" i="10"/>
  <c r="N867" i="10"/>
  <c r="F867" i="10"/>
  <c r="AI866" i="10"/>
  <c r="AD866" i="10"/>
  <c r="AC866" i="10"/>
  <c r="AB866" i="10"/>
  <c r="AA866" i="10"/>
  <c r="Z866" i="10"/>
  <c r="U866" i="10"/>
  <c r="T866" i="10"/>
  <c r="N866" i="10"/>
  <c r="F866" i="10"/>
  <c r="AI865" i="10"/>
  <c r="AD865" i="10"/>
  <c r="AC865" i="10"/>
  <c r="AB865" i="10"/>
  <c r="AA865" i="10"/>
  <c r="Z865" i="10"/>
  <c r="U865" i="10"/>
  <c r="T865" i="10"/>
  <c r="N865" i="10"/>
  <c r="F865" i="10"/>
  <c r="AI864" i="10"/>
  <c r="AD864" i="10"/>
  <c r="AC864" i="10"/>
  <c r="AB864" i="10"/>
  <c r="AA864" i="10"/>
  <c r="Z864" i="10"/>
  <c r="U864" i="10"/>
  <c r="T864" i="10"/>
  <c r="N864" i="10"/>
  <c r="F864" i="10"/>
  <c r="AI863" i="10"/>
  <c r="AD863" i="10"/>
  <c r="AC863" i="10"/>
  <c r="AB863" i="10"/>
  <c r="AA863" i="10"/>
  <c r="Z863" i="10"/>
  <c r="U863" i="10"/>
  <c r="T863" i="10"/>
  <c r="N863" i="10"/>
  <c r="F863" i="10"/>
  <c r="AI862" i="10"/>
  <c r="AD862" i="10"/>
  <c r="AC862" i="10"/>
  <c r="AB862" i="10"/>
  <c r="AA862" i="10"/>
  <c r="Z862" i="10"/>
  <c r="U862" i="10"/>
  <c r="T862" i="10"/>
  <c r="N862" i="10"/>
  <c r="F862" i="10"/>
  <c r="AI861" i="10"/>
  <c r="AD861" i="10"/>
  <c r="AC861" i="10"/>
  <c r="AB861" i="10"/>
  <c r="AA861" i="10"/>
  <c r="Z861" i="10"/>
  <c r="U861" i="10"/>
  <c r="T861" i="10"/>
  <c r="N861" i="10"/>
  <c r="F861" i="10"/>
  <c r="AI860" i="10"/>
  <c r="AD860" i="10"/>
  <c r="AC860" i="10"/>
  <c r="AB860" i="10"/>
  <c r="AA860" i="10"/>
  <c r="Z860" i="10"/>
  <c r="U860" i="10"/>
  <c r="T860" i="10"/>
  <c r="N860" i="10"/>
  <c r="F860" i="10"/>
  <c r="AI859" i="10"/>
  <c r="AD859" i="10"/>
  <c r="AC859" i="10"/>
  <c r="AB859" i="10"/>
  <c r="AA859" i="10"/>
  <c r="Z859" i="10"/>
  <c r="U859" i="10"/>
  <c r="T859" i="10"/>
  <c r="N859" i="10"/>
  <c r="F859" i="10"/>
  <c r="AI858" i="10"/>
  <c r="AD858" i="10"/>
  <c r="AC858" i="10"/>
  <c r="AB858" i="10"/>
  <c r="AA858" i="10"/>
  <c r="Z858" i="10"/>
  <c r="U858" i="10"/>
  <c r="T858" i="10"/>
  <c r="N858" i="10"/>
  <c r="F858" i="10"/>
  <c r="AI857" i="10"/>
  <c r="AD857" i="10"/>
  <c r="AC857" i="10"/>
  <c r="AB857" i="10"/>
  <c r="AA857" i="10"/>
  <c r="Z857" i="10"/>
  <c r="U857" i="10"/>
  <c r="T857" i="10"/>
  <c r="N857" i="10"/>
  <c r="F857" i="10"/>
  <c r="AI856" i="10"/>
  <c r="AD856" i="10"/>
  <c r="AC856" i="10"/>
  <c r="AB856" i="10"/>
  <c r="AA856" i="10"/>
  <c r="Z856" i="10"/>
  <c r="U856" i="10"/>
  <c r="T856" i="10"/>
  <c r="N856" i="10"/>
  <c r="F856" i="10"/>
  <c r="AI855" i="10"/>
  <c r="AD855" i="10"/>
  <c r="AC855" i="10"/>
  <c r="AB855" i="10"/>
  <c r="AA855" i="10"/>
  <c r="Z855" i="10"/>
  <c r="U855" i="10"/>
  <c r="T855" i="10"/>
  <c r="N855" i="10"/>
  <c r="F855" i="10"/>
  <c r="AI854" i="10"/>
  <c r="AD854" i="10"/>
  <c r="AC854" i="10"/>
  <c r="AB854" i="10"/>
  <c r="AA854" i="10"/>
  <c r="Z854" i="10"/>
  <c r="U854" i="10"/>
  <c r="T854" i="10"/>
  <c r="N854" i="10"/>
  <c r="F854" i="10"/>
  <c r="AI853" i="10"/>
  <c r="AD853" i="10"/>
  <c r="AC853" i="10"/>
  <c r="AB853" i="10"/>
  <c r="AA853" i="10"/>
  <c r="Z853" i="10"/>
  <c r="U853" i="10"/>
  <c r="T853" i="10"/>
  <c r="N853" i="10"/>
  <c r="F853" i="10"/>
  <c r="AI852" i="10"/>
  <c r="AD852" i="10"/>
  <c r="AC852" i="10"/>
  <c r="AB852" i="10"/>
  <c r="AA852" i="10"/>
  <c r="Z852" i="10"/>
  <c r="U852" i="10"/>
  <c r="T852" i="10"/>
  <c r="N852" i="10"/>
  <c r="F852" i="10"/>
  <c r="AI851" i="10"/>
  <c r="AD851" i="10"/>
  <c r="AC851" i="10"/>
  <c r="AB851" i="10"/>
  <c r="AA851" i="10"/>
  <c r="Z851" i="10"/>
  <c r="U851" i="10"/>
  <c r="T851" i="10"/>
  <c r="N851" i="10"/>
  <c r="F851" i="10"/>
  <c r="AI850" i="10"/>
  <c r="AD850" i="10"/>
  <c r="AC850" i="10"/>
  <c r="AB850" i="10"/>
  <c r="AA850" i="10"/>
  <c r="Z850" i="10"/>
  <c r="U850" i="10"/>
  <c r="T850" i="10"/>
  <c r="N850" i="10"/>
  <c r="F850" i="10"/>
  <c r="AI849" i="10"/>
  <c r="AD849" i="10"/>
  <c r="AC849" i="10"/>
  <c r="AB849" i="10"/>
  <c r="AA849" i="10"/>
  <c r="Z849" i="10"/>
  <c r="U849" i="10"/>
  <c r="T849" i="10"/>
  <c r="N849" i="10"/>
  <c r="F849" i="10"/>
  <c r="AI848" i="10"/>
  <c r="AD848" i="10"/>
  <c r="AC848" i="10"/>
  <c r="AB848" i="10"/>
  <c r="AA848" i="10"/>
  <c r="Z848" i="10"/>
  <c r="U848" i="10"/>
  <c r="T848" i="10"/>
  <c r="N848" i="10"/>
  <c r="F848" i="10"/>
  <c r="AI847" i="10"/>
  <c r="AD847" i="10"/>
  <c r="AC847" i="10"/>
  <c r="AB847" i="10"/>
  <c r="AA847" i="10"/>
  <c r="Z847" i="10"/>
  <c r="U847" i="10"/>
  <c r="T847" i="10"/>
  <c r="N847" i="10"/>
  <c r="F847" i="10"/>
  <c r="AI846" i="10"/>
  <c r="AD846" i="10"/>
  <c r="AC846" i="10"/>
  <c r="AB846" i="10"/>
  <c r="AA846" i="10"/>
  <c r="Z846" i="10"/>
  <c r="U846" i="10"/>
  <c r="T846" i="10"/>
  <c r="N846" i="10"/>
  <c r="F846" i="10"/>
  <c r="AI845" i="10"/>
  <c r="AD845" i="10"/>
  <c r="AC845" i="10"/>
  <c r="AB845" i="10"/>
  <c r="AA845" i="10"/>
  <c r="Z845" i="10"/>
  <c r="U845" i="10"/>
  <c r="T845" i="10"/>
  <c r="N845" i="10"/>
  <c r="F845" i="10"/>
  <c r="AI844" i="10"/>
  <c r="AD844" i="10"/>
  <c r="AC844" i="10"/>
  <c r="AB844" i="10"/>
  <c r="AA844" i="10"/>
  <c r="Z844" i="10"/>
  <c r="U844" i="10"/>
  <c r="T844" i="10"/>
  <c r="N844" i="10"/>
  <c r="F844" i="10"/>
  <c r="AI843" i="10"/>
  <c r="AD843" i="10"/>
  <c r="AC843" i="10"/>
  <c r="AB843" i="10"/>
  <c r="AA843" i="10"/>
  <c r="Z843" i="10"/>
  <c r="U843" i="10"/>
  <c r="T843" i="10"/>
  <c r="N843" i="10"/>
  <c r="F843" i="10"/>
  <c r="AI842" i="10"/>
  <c r="AD842" i="10"/>
  <c r="AC842" i="10"/>
  <c r="AB842" i="10"/>
  <c r="AA842" i="10"/>
  <c r="Z842" i="10"/>
  <c r="U842" i="10"/>
  <c r="T842" i="10"/>
  <c r="N842" i="10"/>
  <c r="F842" i="10"/>
  <c r="AI841" i="10"/>
  <c r="AD841" i="10"/>
  <c r="AC841" i="10"/>
  <c r="AB841" i="10"/>
  <c r="AA841" i="10"/>
  <c r="Z841" i="10"/>
  <c r="U841" i="10"/>
  <c r="T841" i="10"/>
  <c r="N841" i="10"/>
  <c r="F841" i="10"/>
  <c r="AI840" i="10"/>
  <c r="AD840" i="10"/>
  <c r="AC840" i="10"/>
  <c r="AB840" i="10"/>
  <c r="AA840" i="10"/>
  <c r="Z840" i="10"/>
  <c r="U840" i="10"/>
  <c r="T840" i="10"/>
  <c r="N840" i="10"/>
  <c r="F840" i="10"/>
  <c r="AI839" i="10"/>
  <c r="AD839" i="10"/>
  <c r="AC839" i="10"/>
  <c r="AB839" i="10"/>
  <c r="AA839" i="10"/>
  <c r="Z839" i="10"/>
  <c r="U839" i="10"/>
  <c r="T839" i="10"/>
  <c r="N839" i="10"/>
  <c r="F839" i="10"/>
  <c r="AI838" i="10"/>
  <c r="AD838" i="10"/>
  <c r="AC838" i="10"/>
  <c r="AB838" i="10"/>
  <c r="AA838" i="10"/>
  <c r="Z838" i="10"/>
  <c r="U838" i="10"/>
  <c r="T838" i="10"/>
  <c r="N838" i="10"/>
  <c r="F838" i="10"/>
  <c r="AI837" i="10"/>
  <c r="AD837" i="10"/>
  <c r="AC837" i="10"/>
  <c r="AB837" i="10"/>
  <c r="AA837" i="10"/>
  <c r="Z837" i="10"/>
  <c r="U837" i="10"/>
  <c r="T837" i="10"/>
  <c r="N837" i="10"/>
  <c r="F837" i="10"/>
  <c r="AI836" i="10"/>
  <c r="AD836" i="10"/>
  <c r="AC836" i="10"/>
  <c r="AB836" i="10"/>
  <c r="AA836" i="10"/>
  <c r="Z836" i="10"/>
  <c r="U836" i="10"/>
  <c r="T836" i="10"/>
  <c r="N836" i="10"/>
  <c r="F836" i="10"/>
  <c r="AI835" i="10"/>
  <c r="AD835" i="10"/>
  <c r="AC835" i="10"/>
  <c r="AB835" i="10"/>
  <c r="AA835" i="10"/>
  <c r="Z835" i="10"/>
  <c r="U835" i="10"/>
  <c r="T835" i="10"/>
  <c r="N835" i="10"/>
  <c r="F835" i="10"/>
  <c r="AI834" i="10"/>
  <c r="AD834" i="10"/>
  <c r="AC834" i="10"/>
  <c r="AB834" i="10"/>
  <c r="AA834" i="10"/>
  <c r="Z834" i="10"/>
  <c r="U834" i="10"/>
  <c r="T834" i="10"/>
  <c r="N834" i="10"/>
  <c r="F834" i="10"/>
  <c r="AI833" i="10"/>
  <c r="AD833" i="10"/>
  <c r="AC833" i="10"/>
  <c r="AB833" i="10"/>
  <c r="AA833" i="10"/>
  <c r="Z833" i="10"/>
  <c r="U833" i="10"/>
  <c r="T833" i="10"/>
  <c r="N833" i="10"/>
  <c r="F833" i="10"/>
  <c r="AI832" i="10"/>
  <c r="AD832" i="10"/>
  <c r="AC832" i="10"/>
  <c r="AB832" i="10"/>
  <c r="AA832" i="10"/>
  <c r="Z832" i="10"/>
  <c r="U832" i="10"/>
  <c r="T832" i="10"/>
  <c r="N832" i="10"/>
  <c r="F832" i="10"/>
  <c r="AI831" i="10"/>
  <c r="AD831" i="10"/>
  <c r="AC831" i="10"/>
  <c r="AB831" i="10"/>
  <c r="AA831" i="10"/>
  <c r="Z831" i="10"/>
  <c r="U831" i="10"/>
  <c r="T831" i="10"/>
  <c r="N831" i="10"/>
  <c r="F831" i="10"/>
  <c r="AI830" i="10"/>
  <c r="AD830" i="10"/>
  <c r="AC830" i="10"/>
  <c r="AB830" i="10"/>
  <c r="AA830" i="10"/>
  <c r="Z830" i="10"/>
  <c r="U830" i="10"/>
  <c r="T830" i="10"/>
  <c r="N830" i="10"/>
  <c r="F830" i="10"/>
  <c r="AI829" i="10"/>
  <c r="AD829" i="10"/>
  <c r="AC829" i="10"/>
  <c r="AB829" i="10"/>
  <c r="AA829" i="10"/>
  <c r="Z829" i="10"/>
  <c r="U829" i="10"/>
  <c r="T829" i="10"/>
  <c r="N829" i="10"/>
  <c r="F829" i="10"/>
  <c r="AI828" i="10"/>
  <c r="AD828" i="10"/>
  <c r="AC828" i="10"/>
  <c r="AB828" i="10"/>
  <c r="AA828" i="10"/>
  <c r="Z828" i="10"/>
  <c r="U828" i="10"/>
  <c r="T828" i="10"/>
  <c r="N828" i="10"/>
  <c r="F828" i="10"/>
  <c r="AI827" i="10"/>
  <c r="AD827" i="10"/>
  <c r="AC827" i="10"/>
  <c r="AB827" i="10"/>
  <c r="AA827" i="10"/>
  <c r="Z827" i="10"/>
  <c r="U827" i="10"/>
  <c r="T827" i="10"/>
  <c r="N827" i="10"/>
  <c r="F827" i="10"/>
  <c r="AI826" i="10"/>
  <c r="AD826" i="10"/>
  <c r="AC826" i="10"/>
  <c r="AB826" i="10"/>
  <c r="AA826" i="10"/>
  <c r="Z826" i="10"/>
  <c r="U826" i="10"/>
  <c r="T826" i="10"/>
  <c r="N826" i="10"/>
  <c r="F826" i="10"/>
  <c r="AI825" i="10"/>
  <c r="AD825" i="10"/>
  <c r="AC825" i="10"/>
  <c r="AB825" i="10"/>
  <c r="AA825" i="10"/>
  <c r="Z825" i="10"/>
  <c r="U825" i="10"/>
  <c r="T825" i="10"/>
  <c r="N825" i="10"/>
  <c r="F825" i="10"/>
  <c r="AI824" i="10"/>
  <c r="AD824" i="10"/>
  <c r="AC824" i="10"/>
  <c r="AB824" i="10"/>
  <c r="AA824" i="10"/>
  <c r="Z824" i="10"/>
  <c r="U824" i="10"/>
  <c r="T824" i="10"/>
  <c r="N824" i="10"/>
  <c r="F824" i="10"/>
  <c r="AI823" i="10"/>
  <c r="AD823" i="10"/>
  <c r="AC823" i="10"/>
  <c r="AB823" i="10"/>
  <c r="AA823" i="10"/>
  <c r="Z823" i="10"/>
  <c r="U823" i="10"/>
  <c r="T823" i="10"/>
  <c r="N823" i="10"/>
  <c r="F823" i="10"/>
  <c r="AI822" i="10"/>
  <c r="AD822" i="10"/>
  <c r="AC822" i="10"/>
  <c r="AB822" i="10"/>
  <c r="AA822" i="10"/>
  <c r="Z822" i="10"/>
  <c r="U822" i="10"/>
  <c r="T822" i="10"/>
  <c r="N822" i="10"/>
  <c r="F822" i="10"/>
  <c r="AI821" i="10"/>
  <c r="AD821" i="10"/>
  <c r="AC821" i="10"/>
  <c r="AB821" i="10"/>
  <c r="AA821" i="10"/>
  <c r="Z821" i="10"/>
  <c r="U821" i="10"/>
  <c r="T821" i="10"/>
  <c r="N821" i="10"/>
  <c r="F821" i="10"/>
  <c r="AI820" i="10"/>
  <c r="AD820" i="10"/>
  <c r="AC820" i="10"/>
  <c r="AB820" i="10"/>
  <c r="AA820" i="10"/>
  <c r="Z820" i="10"/>
  <c r="U820" i="10"/>
  <c r="T820" i="10"/>
  <c r="N820" i="10"/>
  <c r="F820" i="10"/>
  <c r="AI819" i="10"/>
  <c r="AD819" i="10"/>
  <c r="AC819" i="10"/>
  <c r="AB819" i="10"/>
  <c r="AA819" i="10"/>
  <c r="Z819" i="10"/>
  <c r="U819" i="10"/>
  <c r="T819" i="10"/>
  <c r="N819" i="10"/>
  <c r="F819" i="10"/>
  <c r="AI818" i="10"/>
  <c r="AD818" i="10"/>
  <c r="AC818" i="10"/>
  <c r="AB818" i="10"/>
  <c r="AA818" i="10"/>
  <c r="Z818" i="10"/>
  <c r="U818" i="10"/>
  <c r="T818" i="10"/>
  <c r="N818" i="10"/>
  <c r="F818" i="10"/>
  <c r="AI817" i="10"/>
  <c r="AD817" i="10"/>
  <c r="AC817" i="10"/>
  <c r="AB817" i="10"/>
  <c r="AA817" i="10"/>
  <c r="Z817" i="10"/>
  <c r="U817" i="10"/>
  <c r="T817" i="10"/>
  <c r="N817" i="10"/>
  <c r="F817" i="10"/>
  <c r="AI816" i="10"/>
  <c r="AD816" i="10"/>
  <c r="AC816" i="10"/>
  <c r="AB816" i="10"/>
  <c r="AA816" i="10"/>
  <c r="Z816" i="10"/>
  <c r="U816" i="10"/>
  <c r="T816" i="10"/>
  <c r="N816" i="10"/>
  <c r="F816" i="10"/>
  <c r="AI815" i="10"/>
  <c r="AD815" i="10"/>
  <c r="AC815" i="10"/>
  <c r="AB815" i="10"/>
  <c r="AA815" i="10"/>
  <c r="Z815" i="10"/>
  <c r="U815" i="10"/>
  <c r="T815" i="10"/>
  <c r="N815" i="10"/>
  <c r="F815" i="10"/>
  <c r="AI814" i="10"/>
  <c r="AD814" i="10"/>
  <c r="AC814" i="10"/>
  <c r="AB814" i="10"/>
  <c r="AA814" i="10"/>
  <c r="Z814" i="10"/>
  <c r="U814" i="10"/>
  <c r="T814" i="10"/>
  <c r="N814" i="10"/>
  <c r="F814" i="10"/>
  <c r="AI813" i="10"/>
  <c r="AD813" i="10"/>
  <c r="AC813" i="10"/>
  <c r="AB813" i="10"/>
  <c r="AA813" i="10"/>
  <c r="Z813" i="10"/>
  <c r="U813" i="10"/>
  <c r="T813" i="10"/>
  <c r="N813" i="10"/>
  <c r="F813" i="10"/>
  <c r="AI812" i="10"/>
  <c r="AD812" i="10"/>
  <c r="AC812" i="10"/>
  <c r="AB812" i="10"/>
  <c r="AA812" i="10"/>
  <c r="Z812" i="10"/>
  <c r="U812" i="10"/>
  <c r="T812" i="10"/>
  <c r="N812" i="10"/>
  <c r="F812" i="10"/>
  <c r="AI811" i="10"/>
  <c r="AD811" i="10"/>
  <c r="AC811" i="10"/>
  <c r="AB811" i="10"/>
  <c r="AA811" i="10"/>
  <c r="Z811" i="10"/>
  <c r="U811" i="10"/>
  <c r="T811" i="10"/>
  <c r="N811" i="10"/>
  <c r="F811" i="10"/>
  <c r="AI810" i="10"/>
  <c r="AD810" i="10"/>
  <c r="AC810" i="10"/>
  <c r="AB810" i="10"/>
  <c r="AA810" i="10"/>
  <c r="Z810" i="10"/>
  <c r="U810" i="10"/>
  <c r="T810" i="10"/>
  <c r="N810" i="10"/>
  <c r="F810" i="10"/>
  <c r="AI809" i="10"/>
  <c r="AD809" i="10"/>
  <c r="AC809" i="10"/>
  <c r="AB809" i="10"/>
  <c r="AA809" i="10"/>
  <c r="Z809" i="10"/>
  <c r="U809" i="10"/>
  <c r="T809" i="10"/>
  <c r="N809" i="10"/>
  <c r="F809" i="10"/>
  <c r="AI808" i="10"/>
  <c r="AD808" i="10"/>
  <c r="AC808" i="10"/>
  <c r="AB808" i="10"/>
  <c r="AA808" i="10"/>
  <c r="Z808" i="10"/>
  <c r="U808" i="10"/>
  <c r="T808" i="10"/>
  <c r="N808" i="10"/>
  <c r="F808" i="10"/>
  <c r="AI807" i="10"/>
  <c r="AD807" i="10"/>
  <c r="AC807" i="10"/>
  <c r="AB807" i="10"/>
  <c r="AA807" i="10"/>
  <c r="Z807" i="10"/>
  <c r="U807" i="10"/>
  <c r="T807" i="10"/>
  <c r="N807" i="10"/>
  <c r="F807" i="10"/>
  <c r="AI806" i="10"/>
  <c r="AD806" i="10"/>
  <c r="AC806" i="10"/>
  <c r="AB806" i="10"/>
  <c r="AA806" i="10"/>
  <c r="Z806" i="10"/>
  <c r="U806" i="10"/>
  <c r="T806" i="10"/>
  <c r="N806" i="10"/>
  <c r="F806" i="10"/>
  <c r="AI805" i="10"/>
  <c r="AD805" i="10"/>
  <c r="AC805" i="10"/>
  <c r="AB805" i="10"/>
  <c r="AA805" i="10"/>
  <c r="Z805" i="10"/>
  <c r="U805" i="10"/>
  <c r="T805" i="10"/>
  <c r="N805" i="10"/>
  <c r="F805" i="10"/>
  <c r="AI804" i="10"/>
  <c r="AD804" i="10"/>
  <c r="AC804" i="10"/>
  <c r="AB804" i="10"/>
  <c r="AA804" i="10"/>
  <c r="Z804" i="10"/>
  <c r="U804" i="10"/>
  <c r="T804" i="10"/>
  <c r="N804" i="10"/>
  <c r="F804" i="10"/>
  <c r="AI803" i="10"/>
  <c r="AD803" i="10"/>
  <c r="AC803" i="10"/>
  <c r="AB803" i="10"/>
  <c r="AA803" i="10"/>
  <c r="Z803" i="10"/>
  <c r="U803" i="10"/>
  <c r="T803" i="10"/>
  <c r="N803" i="10"/>
  <c r="F803" i="10"/>
  <c r="AI802" i="10"/>
  <c r="AD802" i="10"/>
  <c r="AC802" i="10"/>
  <c r="AB802" i="10"/>
  <c r="AA802" i="10"/>
  <c r="Z802" i="10"/>
  <c r="U802" i="10"/>
  <c r="T802" i="10"/>
  <c r="N802" i="10"/>
  <c r="F802" i="10"/>
  <c r="AI801" i="10"/>
  <c r="AD801" i="10"/>
  <c r="AC801" i="10"/>
  <c r="AB801" i="10"/>
  <c r="AA801" i="10"/>
  <c r="Z801" i="10"/>
  <c r="U801" i="10"/>
  <c r="T801" i="10"/>
  <c r="N801" i="10"/>
  <c r="F801" i="10"/>
  <c r="AI800" i="10"/>
  <c r="AD800" i="10"/>
  <c r="AC800" i="10"/>
  <c r="AB800" i="10"/>
  <c r="AA800" i="10"/>
  <c r="Z800" i="10"/>
  <c r="U800" i="10"/>
  <c r="T800" i="10"/>
  <c r="N800" i="10"/>
  <c r="F800" i="10"/>
  <c r="AI799" i="10"/>
  <c r="AD799" i="10"/>
  <c r="AC799" i="10"/>
  <c r="AB799" i="10"/>
  <c r="AA799" i="10"/>
  <c r="Z799" i="10"/>
  <c r="U799" i="10"/>
  <c r="T799" i="10"/>
  <c r="N799" i="10"/>
  <c r="F799" i="10"/>
  <c r="AI798" i="10"/>
  <c r="AD798" i="10"/>
  <c r="AC798" i="10"/>
  <c r="AB798" i="10"/>
  <c r="AA798" i="10"/>
  <c r="Z798" i="10"/>
  <c r="U798" i="10"/>
  <c r="T798" i="10"/>
  <c r="N798" i="10"/>
  <c r="F798" i="10"/>
  <c r="AI797" i="10"/>
  <c r="AD797" i="10"/>
  <c r="AC797" i="10"/>
  <c r="AB797" i="10"/>
  <c r="AA797" i="10"/>
  <c r="Z797" i="10"/>
  <c r="U797" i="10"/>
  <c r="T797" i="10"/>
  <c r="N797" i="10"/>
  <c r="F797" i="10"/>
  <c r="AI796" i="10"/>
  <c r="AD796" i="10"/>
  <c r="AC796" i="10"/>
  <c r="AB796" i="10"/>
  <c r="AA796" i="10"/>
  <c r="Z796" i="10"/>
  <c r="U796" i="10"/>
  <c r="T796" i="10"/>
  <c r="N796" i="10"/>
  <c r="F796" i="10"/>
  <c r="AI795" i="10"/>
  <c r="AD795" i="10"/>
  <c r="AC795" i="10"/>
  <c r="AB795" i="10"/>
  <c r="AA795" i="10"/>
  <c r="Z795" i="10"/>
  <c r="U795" i="10"/>
  <c r="T795" i="10"/>
  <c r="N795" i="10"/>
  <c r="F795" i="10"/>
  <c r="AI794" i="10"/>
  <c r="AD794" i="10"/>
  <c r="AC794" i="10"/>
  <c r="AB794" i="10"/>
  <c r="AA794" i="10"/>
  <c r="Z794" i="10"/>
  <c r="U794" i="10"/>
  <c r="T794" i="10"/>
  <c r="N794" i="10"/>
  <c r="F794" i="10"/>
  <c r="AI793" i="10"/>
  <c r="AD793" i="10"/>
  <c r="AC793" i="10"/>
  <c r="AB793" i="10"/>
  <c r="AA793" i="10"/>
  <c r="Z793" i="10"/>
  <c r="U793" i="10"/>
  <c r="T793" i="10"/>
  <c r="N793" i="10"/>
  <c r="F793" i="10"/>
  <c r="AI792" i="10"/>
  <c r="AD792" i="10"/>
  <c r="AC792" i="10"/>
  <c r="AB792" i="10"/>
  <c r="AA792" i="10"/>
  <c r="Z792" i="10"/>
  <c r="U792" i="10"/>
  <c r="T792" i="10"/>
  <c r="N792" i="10"/>
  <c r="F792" i="10"/>
  <c r="AI791" i="10"/>
  <c r="AD791" i="10"/>
  <c r="AC791" i="10"/>
  <c r="AB791" i="10"/>
  <c r="AA791" i="10"/>
  <c r="Z791" i="10"/>
  <c r="U791" i="10"/>
  <c r="T791" i="10"/>
  <c r="N791" i="10"/>
  <c r="F791" i="10"/>
  <c r="AI790" i="10"/>
  <c r="AD790" i="10"/>
  <c r="AC790" i="10"/>
  <c r="AB790" i="10"/>
  <c r="AA790" i="10"/>
  <c r="Z790" i="10"/>
  <c r="U790" i="10"/>
  <c r="T790" i="10"/>
  <c r="N790" i="10"/>
  <c r="F790" i="10"/>
  <c r="AI789" i="10"/>
  <c r="AD789" i="10"/>
  <c r="AC789" i="10"/>
  <c r="AB789" i="10"/>
  <c r="AA789" i="10"/>
  <c r="Z789" i="10"/>
  <c r="U789" i="10"/>
  <c r="T789" i="10"/>
  <c r="N789" i="10"/>
  <c r="F789" i="10"/>
  <c r="AI788" i="10"/>
  <c r="AD788" i="10"/>
  <c r="AC788" i="10"/>
  <c r="AB788" i="10"/>
  <c r="AA788" i="10"/>
  <c r="Z788" i="10"/>
  <c r="U788" i="10"/>
  <c r="T788" i="10"/>
  <c r="N788" i="10"/>
  <c r="F788" i="10"/>
  <c r="AI787" i="10"/>
  <c r="AD787" i="10"/>
  <c r="AC787" i="10"/>
  <c r="AB787" i="10"/>
  <c r="AA787" i="10"/>
  <c r="Z787" i="10"/>
  <c r="U787" i="10"/>
  <c r="T787" i="10"/>
  <c r="N787" i="10"/>
  <c r="F787" i="10"/>
  <c r="AI786" i="10"/>
  <c r="AD786" i="10"/>
  <c r="AC786" i="10"/>
  <c r="AB786" i="10"/>
  <c r="AA786" i="10"/>
  <c r="Z786" i="10"/>
  <c r="U786" i="10"/>
  <c r="T786" i="10"/>
  <c r="N786" i="10"/>
  <c r="F786" i="10"/>
  <c r="AI785" i="10"/>
  <c r="AD785" i="10"/>
  <c r="AC785" i="10"/>
  <c r="AB785" i="10"/>
  <c r="AA785" i="10"/>
  <c r="Z785" i="10"/>
  <c r="U785" i="10"/>
  <c r="T785" i="10"/>
  <c r="N785" i="10"/>
  <c r="F785" i="10"/>
  <c r="AI784" i="10"/>
  <c r="AD784" i="10"/>
  <c r="AC784" i="10"/>
  <c r="AB784" i="10"/>
  <c r="AA784" i="10"/>
  <c r="Z784" i="10"/>
  <c r="U784" i="10"/>
  <c r="T784" i="10"/>
  <c r="N784" i="10"/>
  <c r="F784" i="10"/>
  <c r="AI783" i="10"/>
  <c r="AD783" i="10"/>
  <c r="AC783" i="10"/>
  <c r="AB783" i="10"/>
  <c r="AA783" i="10"/>
  <c r="Z783" i="10"/>
  <c r="U783" i="10"/>
  <c r="T783" i="10"/>
  <c r="N783" i="10"/>
  <c r="F783" i="10"/>
  <c r="AI782" i="10"/>
  <c r="AD782" i="10"/>
  <c r="AC782" i="10"/>
  <c r="AB782" i="10"/>
  <c r="AA782" i="10"/>
  <c r="Z782" i="10"/>
  <c r="U782" i="10"/>
  <c r="T782" i="10"/>
  <c r="N782" i="10"/>
  <c r="F782" i="10"/>
  <c r="AI781" i="10"/>
  <c r="AD781" i="10"/>
  <c r="AC781" i="10"/>
  <c r="AB781" i="10"/>
  <c r="AA781" i="10"/>
  <c r="Z781" i="10"/>
  <c r="U781" i="10"/>
  <c r="T781" i="10"/>
  <c r="N781" i="10"/>
  <c r="F781" i="10"/>
  <c r="AI780" i="10"/>
  <c r="AD780" i="10"/>
  <c r="AC780" i="10"/>
  <c r="AB780" i="10"/>
  <c r="AA780" i="10"/>
  <c r="Z780" i="10"/>
  <c r="U780" i="10"/>
  <c r="T780" i="10"/>
  <c r="N780" i="10"/>
  <c r="F780" i="10"/>
  <c r="AI779" i="10"/>
  <c r="AD779" i="10"/>
  <c r="AC779" i="10"/>
  <c r="AB779" i="10"/>
  <c r="AA779" i="10"/>
  <c r="Z779" i="10"/>
  <c r="U779" i="10"/>
  <c r="T779" i="10"/>
  <c r="N779" i="10"/>
  <c r="F779" i="10"/>
  <c r="AI778" i="10"/>
  <c r="AD778" i="10"/>
  <c r="AC778" i="10"/>
  <c r="AB778" i="10"/>
  <c r="AA778" i="10"/>
  <c r="Z778" i="10"/>
  <c r="U778" i="10"/>
  <c r="T778" i="10"/>
  <c r="N778" i="10"/>
  <c r="F778" i="10"/>
  <c r="AI777" i="10"/>
  <c r="AD777" i="10"/>
  <c r="AC777" i="10"/>
  <c r="AB777" i="10"/>
  <c r="AA777" i="10"/>
  <c r="Z777" i="10"/>
  <c r="U777" i="10"/>
  <c r="T777" i="10"/>
  <c r="N777" i="10"/>
  <c r="F777" i="10"/>
  <c r="AI776" i="10"/>
  <c r="AD776" i="10"/>
  <c r="AC776" i="10"/>
  <c r="AB776" i="10"/>
  <c r="AA776" i="10"/>
  <c r="Z776" i="10"/>
  <c r="U776" i="10"/>
  <c r="T776" i="10"/>
  <c r="N776" i="10"/>
  <c r="F776" i="10"/>
  <c r="AI775" i="10"/>
  <c r="AD775" i="10"/>
  <c r="AC775" i="10"/>
  <c r="AB775" i="10"/>
  <c r="AA775" i="10"/>
  <c r="Z775" i="10"/>
  <c r="U775" i="10"/>
  <c r="T775" i="10"/>
  <c r="N775" i="10"/>
  <c r="F775" i="10"/>
  <c r="AI774" i="10"/>
  <c r="AD774" i="10"/>
  <c r="AC774" i="10"/>
  <c r="AB774" i="10"/>
  <c r="AA774" i="10"/>
  <c r="Z774" i="10"/>
  <c r="U774" i="10"/>
  <c r="T774" i="10"/>
  <c r="N774" i="10"/>
  <c r="F774" i="10"/>
  <c r="AI773" i="10"/>
  <c r="AD773" i="10"/>
  <c r="AC773" i="10"/>
  <c r="AB773" i="10"/>
  <c r="AA773" i="10"/>
  <c r="Z773" i="10"/>
  <c r="U773" i="10"/>
  <c r="T773" i="10"/>
  <c r="N773" i="10"/>
  <c r="F773" i="10"/>
  <c r="AI772" i="10"/>
  <c r="AD772" i="10"/>
  <c r="AC772" i="10"/>
  <c r="AB772" i="10"/>
  <c r="AA772" i="10"/>
  <c r="Z772" i="10"/>
  <c r="U772" i="10"/>
  <c r="T772" i="10"/>
  <c r="N772" i="10"/>
  <c r="F772" i="10"/>
  <c r="AI771" i="10"/>
  <c r="AD771" i="10"/>
  <c r="AC771" i="10"/>
  <c r="AB771" i="10"/>
  <c r="AA771" i="10"/>
  <c r="Z771" i="10"/>
  <c r="U771" i="10"/>
  <c r="T771" i="10"/>
  <c r="N771" i="10"/>
  <c r="F771" i="10"/>
  <c r="AI770" i="10"/>
  <c r="AD770" i="10"/>
  <c r="AC770" i="10"/>
  <c r="AB770" i="10"/>
  <c r="AA770" i="10"/>
  <c r="Z770" i="10"/>
  <c r="U770" i="10"/>
  <c r="T770" i="10"/>
  <c r="N770" i="10"/>
  <c r="F770" i="10"/>
  <c r="AI769" i="10"/>
  <c r="AD769" i="10"/>
  <c r="AC769" i="10"/>
  <c r="AB769" i="10"/>
  <c r="AA769" i="10"/>
  <c r="Z769" i="10"/>
  <c r="U769" i="10"/>
  <c r="T769" i="10"/>
  <c r="N769" i="10"/>
  <c r="F769" i="10"/>
  <c r="AI768" i="10"/>
  <c r="AD768" i="10"/>
  <c r="AC768" i="10"/>
  <c r="AB768" i="10"/>
  <c r="AA768" i="10"/>
  <c r="Z768" i="10"/>
  <c r="U768" i="10"/>
  <c r="T768" i="10"/>
  <c r="N768" i="10"/>
  <c r="F768" i="10"/>
  <c r="AI767" i="10"/>
  <c r="AD767" i="10"/>
  <c r="AC767" i="10"/>
  <c r="AB767" i="10"/>
  <c r="AA767" i="10"/>
  <c r="Z767" i="10"/>
  <c r="U767" i="10"/>
  <c r="T767" i="10"/>
  <c r="N767" i="10"/>
  <c r="F767" i="10"/>
  <c r="AI766" i="10"/>
  <c r="AD766" i="10"/>
  <c r="AC766" i="10"/>
  <c r="AB766" i="10"/>
  <c r="AA766" i="10"/>
  <c r="Z766" i="10"/>
  <c r="U766" i="10"/>
  <c r="T766" i="10"/>
  <c r="N766" i="10"/>
  <c r="F766" i="10"/>
  <c r="AI765" i="10"/>
  <c r="AD765" i="10"/>
  <c r="AC765" i="10"/>
  <c r="AB765" i="10"/>
  <c r="AA765" i="10"/>
  <c r="Z765" i="10"/>
  <c r="U765" i="10"/>
  <c r="T765" i="10"/>
  <c r="N765" i="10"/>
  <c r="F765" i="10"/>
  <c r="AI764" i="10"/>
  <c r="AD764" i="10"/>
  <c r="AC764" i="10"/>
  <c r="AB764" i="10"/>
  <c r="AA764" i="10"/>
  <c r="Z764" i="10"/>
  <c r="U764" i="10"/>
  <c r="T764" i="10"/>
  <c r="N764" i="10"/>
  <c r="F764" i="10"/>
  <c r="AI763" i="10"/>
  <c r="AD763" i="10"/>
  <c r="AC763" i="10"/>
  <c r="AB763" i="10"/>
  <c r="AA763" i="10"/>
  <c r="Z763" i="10"/>
  <c r="U763" i="10"/>
  <c r="T763" i="10"/>
  <c r="N763" i="10"/>
  <c r="F763" i="10"/>
  <c r="AI762" i="10"/>
  <c r="AD762" i="10"/>
  <c r="AC762" i="10"/>
  <c r="AB762" i="10"/>
  <c r="AA762" i="10"/>
  <c r="Z762" i="10"/>
  <c r="U762" i="10"/>
  <c r="T762" i="10"/>
  <c r="N762" i="10"/>
  <c r="F762" i="10"/>
  <c r="AI761" i="10"/>
  <c r="AD761" i="10"/>
  <c r="AC761" i="10"/>
  <c r="AB761" i="10"/>
  <c r="AA761" i="10"/>
  <c r="Z761" i="10"/>
  <c r="U761" i="10"/>
  <c r="T761" i="10"/>
  <c r="N761" i="10"/>
  <c r="F761" i="10"/>
  <c r="AI760" i="10"/>
  <c r="AD760" i="10"/>
  <c r="AC760" i="10"/>
  <c r="AB760" i="10"/>
  <c r="AA760" i="10"/>
  <c r="Z760" i="10"/>
  <c r="U760" i="10"/>
  <c r="T760" i="10"/>
  <c r="N760" i="10"/>
  <c r="F760" i="10"/>
  <c r="AI759" i="10"/>
  <c r="AD759" i="10"/>
  <c r="AC759" i="10"/>
  <c r="AB759" i="10"/>
  <c r="AA759" i="10"/>
  <c r="Z759" i="10"/>
  <c r="U759" i="10"/>
  <c r="T759" i="10"/>
  <c r="N759" i="10"/>
  <c r="F759" i="10"/>
  <c r="AI758" i="10"/>
  <c r="AD758" i="10"/>
  <c r="AC758" i="10"/>
  <c r="AB758" i="10"/>
  <c r="AA758" i="10"/>
  <c r="Z758" i="10"/>
  <c r="U758" i="10"/>
  <c r="T758" i="10"/>
  <c r="N758" i="10"/>
  <c r="F758" i="10"/>
  <c r="AI757" i="10"/>
  <c r="AD757" i="10"/>
  <c r="AC757" i="10"/>
  <c r="AB757" i="10"/>
  <c r="AA757" i="10"/>
  <c r="Z757" i="10"/>
  <c r="U757" i="10"/>
  <c r="T757" i="10"/>
  <c r="N757" i="10"/>
  <c r="F757" i="10"/>
  <c r="AI756" i="10"/>
  <c r="AD756" i="10"/>
  <c r="AC756" i="10"/>
  <c r="AB756" i="10"/>
  <c r="AA756" i="10"/>
  <c r="Z756" i="10"/>
  <c r="U756" i="10"/>
  <c r="T756" i="10"/>
  <c r="N756" i="10"/>
  <c r="F756" i="10"/>
  <c r="AI755" i="10"/>
  <c r="AD755" i="10"/>
  <c r="AC755" i="10"/>
  <c r="AB755" i="10"/>
  <c r="AA755" i="10"/>
  <c r="Z755" i="10"/>
  <c r="U755" i="10"/>
  <c r="T755" i="10"/>
  <c r="N755" i="10"/>
  <c r="F755" i="10"/>
  <c r="AI754" i="10"/>
  <c r="AD754" i="10"/>
  <c r="AC754" i="10"/>
  <c r="AB754" i="10"/>
  <c r="AA754" i="10"/>
  <c r="Z754" i="10"/>
  <c r="U754" i="10"/>
  <c r="T754" i="10"/>
  <c r="N754" i="10"/>
  <c r="F754" i="10"/>
  <c r="AI753" i="10"/>
  <c r="AD753" i="10"/>
  <c r="AC753" i="10"/>
  <c r="AB753" i="10"/>
  <c r="AA753" i="10"/>
  <c r="Z753" i="10"/>
  <c r="U753" i="10"/>
  <c r="T753" i="10"/>
  <c r="N753" i="10"/>
  <c r="F753" i="10"/>
  <c r="AI752" i="10"/>
  <c r="AD752" i="10"/>
  <c r="AC752" i="10"/>
  <c r="AB752" i="10"/>
  <c r="AA752" i="10"/>
  <c r="Z752" i="10"/>
  <c r="U752" i="10"/>
  <c r="T752" i="10"/>
  <c r="N752" i="10"/>
  <c r="F752" i="10"/>
  <c r="AI751" i="10"/>
  <c r="AD751" i="10"/>
  <c r="AC751" i="10"/>
  <c r="AB751" i="10"/>
  <c r="AA751" i="10"/>
  <c r="Z751" i="10"/>
  <c r="U751" i="10"/>
  <c r="T751" i="10"/>
  <c r="N751" i="10"/>
  <c r="F751" i="10"/>
  <c r="AI750" i="10"/>
  <c r="AD750" i="10"/>
  <c r="AC750" i="10"/>
  <c r="AB750" i="10"/>
  <c r="AA750" i="10"/>
  <c r="Z750" i="10"/>
  <c r="U750" i="10"/>
  <c r="T750" i="10"/>
  <c r="N750" i="10"/>
  <c r="F750" i="10"/>
  <c r="AI749" i="10"/>
  <c r="AD749" i="10"/>
  <c r="AC749" i="10"/>
  <c r="AB749" i="10"/>
  <c r="AA749" i="10"/>
  <c r="Z749" i="10"/>
  <c r="U749" i="10"/>
  <c r="T749" i="10"/>
  <c r="N749" i="10"/>
  <c r="F749" i="10"/>
  <c r="AI748" i="10"/>
  <c r="AD748" i="10"/>
  <c r="AC748" i="10"/>
  <c r="AB748" i="10"/>
  <c r="AA748" i="10"/>
  <c r="Z748" i="10"/>
  <c r="U748" i="10"/>
  <c r="T748" i="10"/>
  <c r="N748" i="10"/>
  <c r="F748" i="10"/>
  <c r="AI747" i="10"/>
  <c r="AD747" i="10"/>
  <c r="AC747" i="10"/>
  <c r="AB747" i="10"/>
  <c r="AA747" i="10"/>
  <c r="Z747" i="10"/>
  <c r="U747" i="10"/>
  <c r="T747" i="10"/>
  <c r="N747" i="10"/>
  <c r="F747" i="10"/>
  <c r="AI746" i="10"/>
  <c r="AD746" i="10"/>
  <c r="AC746" i="10"/>
  <c r="AB746" i="10"/>
  <c r="AA746" i="10"/>
  <c r="Z746" i="10"/>
  <c r="U746" i="10"/>
  <c r="T746" i="10"/>
  <c r="N746" i="10"/>
  <c r="F746" i="10"/>
  <c r="AI745" i="10"/>
  <c r="AD745" i="10"/>
  <c r="AC745" i="10"/>
  <c r="AB745" i="10"/>
  <c r="AA745" i="10"/>
  <c r="Z745" i="10"/>
  <c r="U745" i="10"/>
  <c r="T745" i="10"/>
  <c r="N745" i="10"/>
  <c r="F745" i="10"/>
  <c r="AI744" i="10"/>
  <c r="AD744" i="10"/>
  <c r="AC744" i="10"/>
  <c r="AB744" i="10"/>
  <c r="AA744" i="10"/>
  <c r="Z744" i="10"/>
  <c r="U744" i="10"/>
  <c r="T744" i="10"/>
  <c r="N744" i="10"/>
  <c r="F744" i="10"/>
  <c r="AI743" i="10"/>
  <c r="AD743" i="10"/>
  <c r="AC743" i="10"/>
  <c r="AB743" i="10"/>
  <c r="AA743" i="10"/>
  <c r="Z743" i="10"/>
  <c r="U743" i="10"/>
  <c r="T743" i="10"/>
  <c r="N743" i="10"/>
  <c r="F743" i="10"/>
  <c r="AI742" i="10"/>
  <c r="AD742" i="10"/>
  <c r="AC742" i="10"/>
  <c r="AB742" i="10"/>
  <c r="AA742" i="10"/>
  <c r="Z742" i="10"/>
  <c r="U742" i="10"/>
  <c r="T742" i="10"/>
  <c r="N742" i="10"/>
  <c r="F742" i="10"/>
  <c r="AI741" i="10"/>
  <c r="AD741" i="10"/>
  <c r="AC741" i="10"/>
  <c r="AB741" i="10"/>
  <c r="AA741" i="10"/>
  <c r="Z741" i="10"/>
  <c r="U741" i="10"/>
  <c r="T741" i="10"/>
  <c r="N741" i="10"/>
  <c r="F741" i="10"/>
  <c r="AI740" i="10"/>
  <c r="AD740" i="10"/>
  <c r="AC740" i="10"/>
  <c r="AB740" i="10"/>
  <c r="AA740" i="10"/>
  <c r="Z740" i="10"/>
  <c r="U740" i="10"/>
  <c r="T740" i="10"/>
  <c r="N740" i="10"/>
  <c r="F740" i="10"/>
  <c r="AI739" i="10"/>
  <c r="AD739" i="10"/>
  <c r="AC739" i="10"/>
  <c r="AB739" i="10"/>
  <c r="AA739" i="10"/>
  <c r="Z739" i="10"/>
  <c r="U739" i="10"/>
  <c r="T739" i="10"/>
  <c r="N739" i="10"/>
  <c r="F739" i="10"/>
  <c r="AI738" i="10"/>
  <c r="AD738" i="10"/>
  <c r="AC738" i="10"/>
  <c r="AB738" i="10"/>
  <c r="AA738" i="10"/>
  <c r="Z738" i="10"/>
  <c r="U738" i="10"/>
  <c r="T738" i="10"/>
  <c r="N738" i="10"/>
  <c r="F738" i="10"/>
  <c r="AI737" i="10"/>
  <c r="AD737" i="10"/>
  <c r="AC737" i="10"/>
  <c r="AB737" i="10"/>
  <c r="AA737" i="10"/>
  <c r="Z737" i="10"/>
  <c r="U737" i="10"/>
  <c r="T737" i="10"/>
  <c r="N737" i="10"/>
  <c r="F737" i="10"/>
  <c r="AI736" i="10"/>
  <c r="AD736" i="10"/>
  <c r="AC736" i="10"/>
  <c r="AB736" i="10"/>
  <c r="AA736" i="10"/>
  <c r="Z736" i="10"/>
  <c r="U736" i="10"/>
  <c r="T736" i="10"/>
  <c r="N736" i="10"/>
  <c r="F736" i="10"/>
  <c r="AI735" i="10"/>
  <c r="AD735" i="10"/>
  <c r="AC735" i="10"/>
  <c r="AB735" i="10"/>
  <c r="AA735" i="10"/>
  <c r="Z735" i="10"/>
  <c r="U735" i="10"/>
  <c r="T735" i="10"/>
  <c r="N735" i="10"/>
  <c r="F735" i="10"/>
  <c r="AI734" i="10"/>
  <c r="AD734" i="10"/>
  <c r="AC734" i="10"/>
  <c r="AB734" i="10"/>
  <c r="AA734" i="10"/>
  <c r="Z734" i="10"/>
  <c r="U734" i="10"/>
  <c r="T734" i="10"/>
  <c r="N734" i="10"/>
  <c r="F734" i="10"/>
  <c r="AI733" i="10"/>
  <c r="AD733" i="10"/>
  <c r="AC733" i="10"/>
  <c r="AB733" i="10"/>
  <c r="AA733" i="10"/>
  <c r="Z733" i="10"/>
  <c r="U733" i="10"/>
  <c r="T733" i="10"/>
  <c r="N733" i="10"/>
  <c r="F733" i="10"/>
  <c r="AI732" i="10"/>
  <c r="AD732" i="10"/>
  <c r="AC732" i="10"/>
  <c r="AB732" i="10"/>
  <c r="AA732" i="10"/>
  <c r="Z732" i="10"/>
  <c r="U732" i="10"/>
  <c r="T732" i="10"/>
  <c r="N732" i="10"/>
  <c r="F732" i="10"/>
  <c r="AI731" i="10"/>
  <c r="AD731" i="10"/>
  <c r="AC731" i="10"/>
  <c r="AB731" i="10"/>
  <c r="AA731" i="10"/>
  <c r="Z731" i="10"/>
  <c r="U731" i="10"/>
  <c r="T731" i="10"/>
  <c r="N731" i="10"/>
  <c r="F731" i="10"/>
  <c r="AI730" i="10"/>
  <c r="AD730" i="10"/>
  <c r="AC730" i="10"/>
  <c r="AB730" i="10"/>
  <c r="AA730" i="10"/>
  <c r="Z730" i="10"/>
  <c r="U730" i="10"/>
  <c r="T730" i="10"/>
  <c r="N730" i="10"/>
  <c r="F730" i="10"/>
  <c r="AI729" i="10"/>
  <c r="AD729" i="10"/>
  <c r="AC729" i="10"/>
  <c r="AB729" i="10"/>
  <c r="AA729" i="10"/>
  <c r="Z729" i="10"/>
  <c r="U729" i="10"/>
  <c r="T729" i="10"/>
  <c r="N729" i="10"/>
  <c r="F729" i="10"/>
  <c r="AI728" i="10"/>
  <c r="AD728" i="10"/>
  <c r="AC728" i="10"/>
  <c r="AB728" i="10"/>
  <c r="AA728" i="10"/>
  <c r="Z728" i="10"/>
  <c r="U728" i="10"/>
  <c r="T728" i="10"/>
  <c r="N728" i="10"/>
  <c r="F728" i="10"/>
  <c r="AI727" i="10"/>
  <c r="AD727" i="10"/>
  <c r="AC727" i="10"/>
  <c r="AB727" i="10"/>
  <c r="AA727" i="10"/>
  <c r="Z727" i="10"/>
  <c r="U727" i="10"/>
  <c r="T727" i="10"/>
  <c r="N727" i="10"/>
  <c r="F727" i="10"/>
  <c r="AI726" i="10"/>
  <c r="AD726" i="10"/>
  <c r="AC726" i="10"/>
  <c r="AB726" i="10"/>
  <c r="AA726" i="10"/>
  <c r="Z726" i="10"/>
  <c r="U726" i="10"/>
  <c r="T726" i="10"/>
  <c r="N726" i="10"/>
  <c r="F726" i="10"/>
  <c r="AI725" i="10"/>
  <c r="AD725" i="10"/>
  <c r="AC725" i="10"/>
  <c r="AB725" i="10"/>
  <c r="AA725" i="10"/>
  <c r="Z725" i="10"/>
  <c r="U725" i="10"/>
  <c r="T725" i="10"/>
  <c r="N725" i="10"/>
  <c r="F725" i="10"/>
  <c r="AI724" i="10"/>
  <c r="AD724" i="10"/>
  <c r="AC724" i="10"/>
  <c r="AB724" i="10"/>
  <c r="AA724" i="10"/>
  <c r="Z724" i="10"/>
  <c r="U724" i="10"/>
  <c r="T724" i="10"/>
  <c r="N724" i="10"/>
  <c r="F724" i="10"/>
  <c r="AI723" i="10"/>
  <c r="AD723" i="10"/>
  <c r="AC723" i="10"/>
  <c r="AB723" i="10"/>
  <c r="AA723" i="10"/>
  <c r="Z723" i="10"/>
  <c r="U723" i="10"/>
  <c r="T723" i="10"/>
  <c r="N723" i="10"/>
  <c r="F723" i="10"/>
  <c r="AI722" i="10"/>
  <c r="AD722" i="10"/>
  <c r="AC722" i="10"/>
  <c r="AB722" i="10"/>
  <c r="AA722" i="10"/>
  <c r="Z722" i="10"/>
  <c r="U722" i="10"/>
  <c r="T722" i="10"/>
  <c r="N722" i="10"/>
  <c r="F722" i="10"/>
  <c r="AI721" i="10"/>
  <c r="AD721" i="10"/>
  <c r="AC721" i="10"/>
  <c r="AB721" i="10"/>
  <c r="AA721" i="10"/>
  <c r="Z721" i="10"/>
  <c r="U721" i="10"/>
  <c r="T721" i="10"/>
  <c r="N721" i="10"/>
  <c r="F721" i="10"/>
  <c r="AI720" i="10"/>
  <c r="AD720" i="10"/>
  <c r="AC720" i="10"/>
  <c r="AB720" i="10"/>
  <c r="AA720" i="10"/>
  <c r="Z720" i="10"/>
  <c r="U720" i="10"/>
  <c r="T720" i="10"/>
  <c r="N720" i="10"/>
  <c r="F720" i="10"/>
  <c r="AI719" i="10"/>
  <c r="AD719" i="10"/>
  <c r="AC719" i="10"/>
  <c r="AB719" i="10"/>
  <c r="AA719" i="10"/>
  <c r="Z719" i="10"/>
  <c r="U719" i="10"/>
  <c r="T719" i="10"/>
  <c r="N719" i="10"/>
  <c r="F719" i="10"/>
  <c r="AI718" i="10"/>
  <c r="AD718" i="10"/>
  <c r="AC718" i="10"/>
  <c r="AB718" i="10"/>
  <c r="AA718" i="10"/>
  <c r="Z718" i="10"/>
  <c r="U718" i="10"/>
  <c r="T718" i="10"/>
  <c r="N718" i="10"/>
  <c r="F718" i="10"/>
  <c r="AI717" i="10"/>
  <c r="AD717" i="10"/>
  <c r="AC717" i="10"/>
  <c r="AB717" i="10"/>
  <c r="AA717" i="10"/>
  <c r="Z717" i="10"/>
  <c r="U717" i="10"/>
  <c r="T717" i="10"/>
  <c r="N717" i="10"/>
  <c r="F717" i="10"/>
  <c r="AI716" i="10"/>
  <c r="AD716" i="10"/>
  <c r="AC716" i="10"/>
  <c r="AB716" i="10"/>
  <c r="AA716" i="10"/>
  <c r="Z716" i="10"/>
  <c r="U716" i="10"/>
  <c r="T716" i="10"/>
  <c r="N716" i="10"/>
  <c r="F716" i="10"/>
  <c r="AI715" i="10"/>
  <c r="AD715" i="10"/>
  <c r="AC715" i="10"/>
  <c r="AB715" i="10"/>
  <c r="AA715" i="10"/>
  <c r="Z715" i="10"/>
  <c r="U715" i="10"/>
  <c r="T715" i="10"/>
  <c r="N715" i="10"/>
  <c r="F715" i="10"/>
  <c r="AI714" i="10"/>
  <c r="AD714" i="10"/>
  <c r="AC714" i="10"/>
  <c r="AB714" i="10"/>
  <c r="AA714" i="10"/>
  <c r="Z714" i="10"/>
  <c r="U714" i="10"/>
  <c r="T714" i="10"/>
  <c r="N714" i="10"/>
  <c r="F714" i="10"/>
  <c r="AI713" i="10"/>
  <c r="AD713" i="10"/>
  <c r="AC713" i="10"/>
  <c r="AB713" i="10"/>
  <c r="AA713" i="10"/>
  <c r="Z713" i="10"/>
  <c r="U713" i="10"/>
  <c r="T713" i="10"/>
  <c r="N713" i="10"/>
  <c r="F713" i="10"/>
  <c r="AI712" i="10"/>
  <c r="AD712" i="10"/>
  <c r="AC712" i="10"/>
  <c r="AB712" i="10"/>
  <c r="AA712" i="10"/>
  <c r="Z712" i="10"/>
  <c r="U712" i="10"/>
  <c r="T712" i="10"/>
  <c r="N712" i="10"/>
  <c r="F712" i="10"/>
  <c r="AI711" i="10"/>
  <c r="AD711" i="10"/>
  <c r="AC711" i="10"/>
  <c r="AB711" i="10"/>
  <c r="AA711" i="10"/>
  <c r="Z711" i="10"/>
  <c r="U711" i="10"/>
  <c r="T711" i="10"/>
  <c r="N711" i="10"/>
  <c r="F711" i="10"/>
  <c r="AI710" i="10"/>
  <c r="AD710" i="10"/>
  <c r="AC710" i="10"/>
  <c r="AB710" i="10"/>
  <c r="AA710" i="10"/>
  <c r="Z710" i="10"/>
  <c r="U710" i="10"/>
  <c r="T710" i="10"/>
  <c r="N710" i="10"/>
  <c r="F710" i="10"/>
  <c r="AI709" i="10"/>
  <c r="AD709" i="10"/>
  <c r="AC709" i="10"/>
  <c r="AB709" i="10"/>
  <c r="AA709" i="10"/>
  <c r="Z709" i="10"/>
  <c r="U709" i="10"/>
  <c r="T709" i="10"/>
  <c r="N709" i="10"/>
  <c r="F709" i="10"/>
  <c r="AI708" i="10"/>
  <c r="AD708" i="10"/>
  <c r="AC708" i="10"/>
  <c r="AB708" i="10"/>
  <c r="AA708" i="10"/>
  <c r="Z708" i="10"/>
  <c r="U708" i="10"/>
  <c r="T708" i="10"/>
  <c r="N708" i="10"/>
  <c r="F708" i="10"/>
  <c r="AI707" i="10"/>
  <c r="AD707" i="10"/>
  <c r="AC707" i="10"/>
  <c r="AB707" i="10"/>
  <c r="AA707" i="10"/>
  <c r="Z707" i="10"/>
  <c r="U707" i="10"/>
  <c r="T707" i="10"/>
  <c r="N707" i="10"/>
  <c r="F707" i="10"/>
  <c r="AI706" i="10"/>
  <c r="AD706" i="10"/>
  <c r="AC706" i="10"/>
  <c r="AB706" i="10"/>
  <c r="AA706" i="10"/>
  <c r="Z706" i="10"/>
  <c r="U706" i="10"/>
  <c r="T706" i="10"/>
  <c r="N706" i="10"/>
  <c r="F706" i="10"/>
  <c r="AI705" i="10"/>
  <c r="AD705" i="10"/>
  <c r="AC705" i="10"/>
  <c r="AB705" i="10"/>
  <c r="AA705" i="10"/>
  <c r="Z705" i="10"/>
  <c r="U705" i="10"/>
  <c r="T705" i="10"/>
  <c r="N705" i="10"/>
  <c r="F705" i="10"/>
  <c r="AI704" i="10"/>
  <c r="AD704" i="10"/>
  <c r="AC704" i="10"/>
  <c r="AB704" i="10"/>
  <c r="AA704" i="10"/>
  <c r="Z704" i="10"/>
  <c r="U704" i="10"/>
  <c r="T704" i="10"/>
  <c r="N704" i="10"/>
  <c r="F704" i="10"/>
  <c r="AI703" i="10"/>
  <c r="AD703" i="10"/>
  <c r="AC703" i="10"/>
  <c r="AB703" i="10"/>
  <c r="AA703" i="10"/>
  <c r="Z703" i="10"/>
  <c r="U703" i="10"/>
  <c r="T703" i="10"/>
  <c r="N703" i="10"/>
  <c r="F703" i="10"/>
  <c r="AI702" i="10"/>
  <c r="AD702" i="10"/>
  <c r="AC702" i="10"/>
  <c r="AB702" i="10"/>
  <c r="AA702" i="10"/>
  <c r="Z702" i="10"/>
  <c r="U702" i="10"/>
  <c r="T702" i="10"/>
  <c r="N702" i="10"/>
  <c r="F702" i="10"/>
  <c r="AI701" i="10"/>
  <c r="AD701" i="10"/>
  <c r="AC701" i="10"/>
  <c r="AB701" i="10"/>
  <c r="AA701" i="10"/>
  <c r="Z701" i="10"/>
  <c r="U701" i="10"/>
  <c r="T701" i="10"/>
  <c r="N701" i="10"/>
  <c r="F701" i="10"/>
  <c r="AI700" i="10"/>
  <c r="AD700" i="10"/>
  <c r="AC700" i="10"/>
  <c r="AB700" i="10"/>
  <c r="AA700" i="10"/>
  <c r="Z700" i="10"/>
  <c r="U700" i="10"/>
  <c r="T700" i="10"/>
  <c r="N700" i="10"/>
  <c r="F700" i="10"/>
  <c r="AI699" i="10"/>
  <c r="AD699" i="10"/>
  <c r="AC699" i="10"/>
  <c r="AB699" i="10"/>
  <c r="AA699" i="10"/>
  <c r="Z699" i="10"/>
  <c r="U699" i="10"/>
  <c r="T699" i="10"/>
  <c r="N699" i="10"/>
  <c r="F699" i="10"/>
  <c r="AI698" i="10"/>
  <c r="AD698" i="10"/>
  <c r="AC698" i="10"/>
  <c r="AB698" i="10"/>
  <c r="AA698" i="10"/>
  <c r="Z698" i="10"/>
  <c r="U698" i="10"/>
  <c r="T698" i="10"/>
  <c r="N698" i="10"/>
  <c r="F698" i="10"/>
  <c r="AI697" i="10"/>
  <c r="AD697" i="10"/>
  <c r="AC697" i="10"/>
  <c r="AB697" i="10"/>
  <c r="AA697" i="10"/>
  <c r="Z697" i="10"/>
  <c r="U697" i="10"/>
  <c r="T697" i="10"/>
  <c r="N697" i="10"/>
  <c r="F697" i="10"/>
  <c r="AI696" i="10"/>
  <c r="AD696" i="10"/>
  <c r="AC696" i="10"/>
  <c r="AB696" i="10"/>
  <c r="AA696" i="10"/>
  <c r="Z696" i="10"/>
  <c r="U696" i="10"/>
  <c r="T696" i="10"/>
  <c r="N696" i="10"/>
  <c r="F696" i="10"/>
  <c r="AI695" i="10"/>
  <c r="AD695" i="10"/>
  <c r="AC695" i="10"/>
  <c r="AB695" i="10"/>
  <c r="AA695" i="10"/>
  <c r="Z695" i="10"/>
  <c r="U695" i="10"/>
  <c r="T695" i="10"/>
  <c r="N695" i="10"/>
  <c r="F695" i="10"/>
  <c r="AI694" i="10"/>
  <c r="AD694" i="10"/>
  <c r="AC694" i="10"/>
  <c r="AB694" i="10"/>
  <c r="AA694" i="10"/>
  <c r="Z694" i="10"/>
  <c r="U694" i="10"/>
  <c r="T694" i="10"/>
  <c r="N694" i="10"/>
  <c r="F694" i="10"/>
  <c r="AI693" i="10"/>
  <c r="AD693" i="10"/>
  <c r="AC693" i="10"/>
  <c r="AB693" i="10"/>
  <c r="AA693" i="10"/>
  <c r="Z693" i="10"/>
  <c r="U693" i="10"/>
  <c r="T693" i="10"/>
  <c r="N693" i="10"/>
  <c r="F693" i="10"/>
  <c r="AI692" i="10"/>
  <c r="AD692" i="10"/>
  <c r="AC692" i="10"/>
  <c r="AB692" i="10"/>
  <c r="AA692" i="10"/>
  <c r="Z692" i="10"/>
  <c r="U692" i="10"/>
  <c r="T692" i="10"/>
  <c r="N692" i="10"/>
  <c r="F692" i="10"/>
  <c r="AI691" i="10"/>
  <c r="AD691" i="10"/>
  <c r="AC691" i="10"/>
  <c r="AB691" i="10"/>
  <c r="AA691" i="10"/>
  <c r="Z691" i="10"/>
  <c r="U691" i="10"/>
  <c r="T691" i="10"/>
  <c r="N691" i="10"/>
  <c r="F691" i="10"/>
  <c r="AI690" i="10"/>
  <c r="AD690" i="10"/>
  <c r="AC690" i="10"/>
  <c r="AB690" i="10"/>
  <c r="AA690" i="10"/>
  <c r="Z690" i="10"/>
  <c r="U690" i="10"/>
  <c r="T690" i="10"/>
  <c r="N690" i="10"/>
  <c r="F690" i="10"/>
  <c r="AI689" i="10"/>
  <c r="AD689" i="10"/>
  <c r="AC689" i="10"/>
  <c r="AB689" i="10"/>
  <c r="AA689" i="10"/>
  <c r="Z689" i="10"/>
  <c r="U689" i="10"/>
  <c r="T689" i="10"/>
  <c r="N689" i="10"/>
  <c r="F689" i="10"/>
  <c r="AI688" i="10"/>
  <c r="AD688" i="10"/>
  <c r="AC688" i="10"/>
  <c r="AB688" i="10"/>
  <c r="AA688" i="10"/>
  <c r="Z688" i="10"/>
  <c r="U688" i="10"/>
  <c r="T688" i="10"/>
  <c r="N688" i="10"/>
  <c r="F688" i="10"/>
  <c r="AI687" i="10"/>
  <c r="AD687" i="10"/>
  <c r="AC687" i="10"/>
  <c r="AB687" i="10"/>
  <c r="AA687" i="10"/>
  <c r="Z687" i="10"/>
  <c r="U687" i="10"/>
  <c r="T687" i="10"/>
  <c r="N687" i="10"/>
  <c r="F687" i="10"/>
  <c r="AI686" i="10"/>
  <c r="AD686" i="10"/>
  <c r="AC686" i="10"/>
  <c r="AB686" i="10"/>
  <c r="AA686" i="10"/>
  <c r="Z686" i="10"/>
  <c r="U686" i="10"/>
  <c r="T686" i="10"/>
  <c r="N686" i="10"/>
  <c r="F686" i="10"/>
  <c r="AI685" i="10"/>
  <c r="AD685" i="10"/>
  <c r="AC685" i="10"/>
  <c r="AB685" i="10"/>
  <c r="AA685" i="10"/>
  <c r="Z685" i="10"/>
  <c r="U685" i="10"/>
  <c r="T685" i="10"/>
  <c r="N685" i="10"/>
  <c r="F685" i="10"/>
  <c r="AI684" i="10"/>
  <c r="AD684" i="10"/>
  <c r="AC684" i="10"/>
  <c r="AB684" i="10"/>
  <c r="AA684" i="10"/>
  <c r="Z684" i="10"/>
  <c r="U684" i="10"/>
  <c r="T684" i="10"/>
  <c r="N684" i="10"/>
  <c r="F684" i="10"/>
  <c r="AI683" i="10"/>
  <c r="AD683" i="10"/>
  <c r="AC683" i="10"/>
  <c r="AB683" i="10"/>
  <c r="AA683" i="10"/>
  <c r="Z683" i="10"/>
  <c r="U683" i="10"/>
  <c r="T683" i="10"/>
  <c r="N683" i="10"/>
  <c r="F683" i="10"/>
  <c r="AI682" i="10"/>
  <c r="AD682" i="10"/>
  <c r="AC682" i="10"/>
  <c r="AB682" i="10"/>
  <c r="AA682" i="10"/>
  <c r="Z682" i="10"/>
  <c r="U682" i="10"/>
  <c r="T682" i="10"/>
  <c r="N682" i="10"/>
  <c r="F682" i="10"/>
  <c r="AI681" i="10"/>
  <c r="AD681" i="10"/>
  <c r="AC681" i="10"/>
  <c r="AB681" i="10"/>
  <c r="AA681" i="10"/>
  <c r="Z681" i="10"/>
  <c r="U681" i="10"/>
  <c r="T681" i="10"/>
  <c r="N681" i="10"/>
  <c r="F681" i="10"/>
  <c r="AI680" i="10"/>
  <c r="AD680" i="10"/>
  <c r="AC680" i="10"/>
  <c r="AB680" i="10"/>
  <c r="AA680" i="10"/>
  <c r="Z680" i="10"/>
  <c r="U680" i="10"/>
  <c r="T680" i="10"/>
  <c r="N680" i="10"/>
  <c r="F680" i="10"/>
  <c r="AI679" i="10"/>
  <c r="AD679" i="10"/>
  <c r="AC679" i="10"/>
  <c r="AB679" i="10"/>
  <c r="AA679" i="10"/>
  <c r="Z679" i="10"/>
  <c r="U679" i="10"/>
  <c r="T679" i="10"/>
  <c r="N679" i="10"/>
  <c r="F679" i="10"/>
  <c r="AI678" i="10"/>
  <c r="AD678" i="10"/>
  <c r="AC678" i="10"/>
  <c r="AB678" i="10"/>
  <c r="AA678" i="10"/>
  <c r="Z678" i="10"/>
  <c r="U678" i="10"/>
  <c r="T678" i="10"/>
  <c r="N678" i="10"/>
  <c r="F678" i="10"/>
  <c r="AI677" i="10"/>
  <c r="AD677" i="10"/>
  <c r="AC677" i="10"/>
  <c r="AB677" i="10"/>
  <c r="AA677" i="10"/>
  <c r="Z677" i="10"/>
  <c r="U677" i="10"/>
  <c r="T677" i="10"/>
  <c r="N677" i="10"/>
  <c r="F677" i="10"/>
  <c r="AI676" i="10"/>
  <c r="AD676" i="10"/>
  <c r="AC676" i="10"/>
  <c r="AB676" i="10"/>
  <c r="AA676" i="10"/>
  <c r="Z676" i="10"/>
  <c r="U676" i="10"/>
  <c r="T676" i="10"/>
  <c r="N676" i="10"/>
  <c r="F676" i="10"/>
  <c r="AI675" i="10"/>
  <c r="AD675" i="10"/>
  <c r="AC675" i="10"/>
  <c r="AB675" i="10"/>
  <c r="AA675" i="10"/>
  <c r="Z675" i="10"/>
  <c r="U675" i="10"/>
  <c r="T675" i="10"/>
  <c r="N675" i="10"/>
  <c r="F675" i="10"/>
  <c r="AI674" i="10"/>
  <c r="AD674" i="10"/>
  <c r="AC674" i="10"/>
  <c r="AB674" i="10"/>
  <c r="AA674" i="10"/>
  <c r="Z674" i="10"/>
  <c r="U674" i="10"/>
  <c r="T674" i="10"/>
  <c r="N674" i="10"/>
  <c r="F674" i="10"/>
  <c r="AI673" i="10"/>
  <c r="AD673" i="10"/>
  <c r="AC673" i="10"/>
  <c r="AB673" i="10"/>
  <c r="AA673" i="10"/>
  <c r="Z673" i="10"/>
  <c r="U673" i="10"/>
  <c r="T673" i="10"/>
  <c r="N673" i="10"/>
  <c r="F673" i="10"/>
  <c r="AI672" i="10"/>
  <c r="AD672" i="10"/>
  <c r="AC672" i="10"/>
  <c r="AB672" i="10"/>
  <c r="AA672" i="10"/>
  <c r="Z672" i="10"/>
  <c r="U672" i="10"/>
  <c r="T672" i="10"/>
  <c r="N672" i="10"/>
  <c r="F672" i="10"/>
  <c r="AI671" i="10"/>
  <c r="AD671" i="10"/>
  <c r="AC671" i="10"/>
  <c r="AB671" i="10"/>
  <c r="AA671" i="10"/>
  <c r="Z671" i="10"/>
  <c r="U671" i="10"/>
  <c r="T671" i="10"/>
  <c r="N671" i="10"/>
  <c r="F671" i="10"/>
  <c r="AI670" i="10"/>
  <c r="AD670" i="10"/>
  <c r="AC670" i="10"/>
  <c r="AB670" i="10"/>
  <c r="AA670" i="10"/>
  <c r="Z670" i="10"/>
  <c r="U670" i="10"/>
  <c r="T670" i="10"/>
  <c r="N670" i="10"/>
  <c r="F670" i="10"/>
  <c r="AI669" i="10"/>
  <c r="AD669" i="10"/>
  <c r="AC669" i="10"/>
  <c r="AB669" i="10"/>
  <c r="AA669" i="10"/>
  <c r="Z669" i="10"/>
  <c r="U669" i="10"/>
  <c r="T669" i="10"/>
  <c r="N669" i="10"/>
  <c r="F669" i="10"/>
  <c r="AI668" i="10"/>
  <c r="AD668" i="10"/>
  <c r="AC668" i="10"/>
  <c r="AB668" i="10"/>
  <c r="AA668" i="10"/>
  <c r="Z668" i="10"/>
  <c r="U668" i="10"/>
  <c r="T668" i="10"/>
  <c r="N668" i="10"/>
  <c r="F668" i="10"/>
  <c r="AI667" i="10"/>
  <c r="AD667" i="10"/>
  <c r="AC667" i="10"/>
  <c r="AB667" i="10"/>
  <c r="AA667" i="10"/>
  <c r="Z667" i="10"/>
  <c r="U667" i="10"/>
  <c r="T667" i="10"/>
  <c r="N667" i="10"/>
  <c r="F667" i="10"/>
  <c r="AI666" i="10"/>
  <c r="AD666" i="10"/>
  <c r="AC666" i="10"/>
  <c r="AB666" i="10"/>
  <c r="AA666" i="10"/>
  <c r="Z666" i="10"/>
  <c r="U666" i="10"/>
  <c r="T666" i="10"/>
  <c r="N666" i="10"/>
  <c r="F666" i="10"/>
  <c r="AI665" i="10"/>
  <c r="AD665" i="10"/>
  <c r="AC665" i="10"/>
  <c r="AB665" i="10"/>
  <c r="AA665" i="10"/>
  <c r="Z665" i="10"/>
  <c r="U665" i="10"/>
  <c r="T665" i="10"/>
  <c r="N665" i="10"/>
  <c r="F665" i="10"/>
  <c r="AI664" i="10"/>
  <c r="AD664" i="10"/>
  <c r="AC664" i="10"/>
  <c r="AB664" i="10"/>
  <c r="AA664" i="10"/>
  <c r="Z664" i="10"/>
  <c r="U664" i="10"/>
  <c r="T664" i="10"/>
  <c r="N664" i="10"/>
  <c r="F664" i="10"/>
  <c r="AI663" i="10"/>
  <c r="AD663" i="10"/>
  <c r="AC663" i="10"/>
  <c r="AB663" i="10"/>
  <c r="AA663" i="10"/>
  <c r="Z663" i="10"/>
  <c r="U663" i="10"/>
  <c r="T663" i="10"/>
  <c r="N663" i="10"/>
  <c r="F663" i="10"/>
  <c r="AI662" i="10"/>
  <c r="AD662" i="10"/>
  <c r="AC662" i="10"/>
  <c r="AB662" i="10"/>
  <c r="AA662" i="10"/>
  <c r="Z662" i="10"/>
  <c r="U662" i="10"/>
  <c r="T662" i="10"/>
  <c r="N662" i="10"/>
  <c r="F662" i="10"/>
  <c r="AI661" i="10"/>
  <c r="AD661" i="10"/>
  <c r="AC661" i="10"/>
  <c r="AB661" i="10"/>
  <c r="AA661" i="10"/>
  <c r="Z661" i="10"/>
  <c r="U661" i="10"/>
  <c r="T661" i="10"/>
  <c r="N661" i="10"/>
  <c r="F661" i="10"/>
  <c r="AI660" i="10"/>
  <c r="AD660" i="10"/>
  <c r="AC660" i="10"/>
  <c r="AB660" i="10"/>
  <c r="AA660" i="10"/>
  <c r="Z660" i="10"/>
  <c r="U660" i="10"/>
  <c r="T660" i="10"/>
  <c r="N660" i="10"/>
  <c r="F660" i="10"/>
  <c r="AI659" i="10"/>
  <c r="AD659" i="10"/>
  <c r="AC659" i="10"/>
  <c r="AB659" i="10"/>
  <c r="AA659" i="10"/>
  <c r="Z659" i="10"/>
  <c r="U659" i="10"/>
  <c r="T659" i="10"/>
  <c r="N659" i="10"/>
  <c r="F659" i="10"/>
  <c r="AI658" i="10"/>
  <c r="AD658" i="10"/>
  <c r="AC658" i="10"/>
  <c r="AB658" i="10"/>
  <c r="AA658" i="10"/>
  <c r="Z658" i="10"/>
  <c r="U658" i="10"/>
  <c r="T658" i="10"/>
  <c r="N658" i="10"/>
  <c r="F658" i="10"/>
  <c r="AI657" i="10"/>
  <c r="AD657" i="10"/>
  <c r="AC657" i="10"/>
  <c r="AB657" i="10"/>
  <c r="AA657" i="10"/>
  <c r="Z657" i="10"/>
  <c r="U657" i="10"/>
  <c r="T657" i="10"/>
  <c r="N657" i="10"/>
  <c r="F657" i="10"/>
  <c r="AI656" i="10"/>
  <c r="AD656" i="10"/>
  <c r="AC656" i="10"/>
  <c r="AB656" i="10"/>
  <c r="AA656" i="10"/>
  <c r="Z656" i="10"/>
  <c r="U656" i="10"/>
  <c r="T656" i="10"/>
  <c r="N656" i="10"/>
  <c r="F656" i="10"/>
  <c r="AI655" i="10"/>
  <c r="AD655" i="10"/>
  <c r="AC655" i="10"/>
  <c r="AB655" i="10"/>
  <c r="AA655" i="10"/>
  <c r="Z655" i="10"/>
  <c r="U655" i="10"/>
  <c r="T655" i="10"/>
  <c r="N655" i="10"/>
  <c r="F655" i="10"/>
  <c r="AI654" i="10"/>
  <c r="AD654" i="10"/>
  <c r="AC654" i="10"/>
  <c r="AB654" i="10"/>
  <c r="AA654" i="10"/>
  <c r="Z654" i="10"/>
  <c r="U654" i="10"/>
  <c r="T654" i="10"/>
  <c r="N654" i="10"/>
  <c r="F654" i="10"/>
  <c r="AI653" i="10"/>
  <c r="AD653" i="10"/>
  <c r="AC653" i="10"/>
  <c r="AB653" i="10"/>
  <c r="AA653" i="10"/>
  <c r="Z653" i="10"/>
  <c r="U653" i="10"/>
  <c r="T653" i="10"/>
  <c r="N653" i="10"/>
  <c r="F653" i="10"/>
  <c r="AI652" i="10"/>
  <c r="AD652" i="10"/>
  <c r="AC652" i="10"/>
  <c r="AB652" i="10"/>
  <c r="AA652" i="10"/>
  <c r="Z652" i="10"/>
  <c r="U652" i="10"/>
  <c r="T652" i="10"/>
  <c r="N652" i="10"/>
  <c r="F652" i="10"/>
  <c r="AI651" i="10"/>
  <c r="AD651" i="10"/>
  <c r="AC651" i="10"/>
  <c r="AB651" i="10"/>
  <c r="AA651" i="10"/>
  <c r="Z651" i="10"/>
  <c r="U651" i="10"/>
  <c r="T651" i="10"/>
  <c r="N651" i="10"/>
  <c r="F651" i="10"/>
  <c r="AI650" i="10"/>
  <c r="AD650" i="10"/>
  <c r="AC650" i="10"/>
  <c r="AB650" i="10"/>
  <c r="AA650" i="10"/>
  <c r="Z650" i="10"/>
  <c r="U650" i="10"/>
  <c r="T650" i="10"/>
  <c r="N650" i="10"/>
  <c r="F650" i="10"/>
  <c r="AI649" i="10"/>
  <c r="AD649" i="10"/>
  <c r="AC649" i="10"/>
  <c r="AB649" i="10"/>
  <c r="AA649" i="10"/>
  <c r="Z649" i="10"/>
  <c r="U649" i="10"/>
  <c r="T649" i="10"/>
  <c r="N649" i="10"/>
  <c r="F649" i="10"/>
  <c r="AI648" i="10"/>
  <c r="AD648" i="10"/>
  <c r="AC648" i="10"/>
  <c r="AB648" i="10"/>
  <c r="AA648" i="10"/>
  <c r="Z648" i="10"/>
  <c r="U648" i="10"/>
  <c r="T648" i="10"/>
  <c r="N648" i="10"/>
  <c r="F648" i="10"/>
  <c r="AI647" i="10"/>
  <c r="AD647" i="10"/>
  <c r="AC647" i="10"/>
  <c r="AB647" i="10"/>
  <c r="AA647" i="10"/>
  <c r="Z647" i="10"/>
  <c r="U647" i="10"/>
  <c r="T647" i="10"/>
  <c r="N647" i="10"/>
  <c r="F647" i="10"/>
  <c r="AI646" i="10"/>
  <c r="AD646" i="10"/>
  <c r="AC646" i="10"/>
  <c r="AB646" i="10"/>
  <c r="AA646" i="10"/>
  <c r="Z646" i="10"/>
  <c r="U646" i="10"/>
  <c r="T646" i="10"/>
  <c r="N646" i="10"/>
  <c r="F646" i="10"/>
  <c r="AI645" i="10"/>
  <c r="AD645" i="10"/>
  <c r="AC645" i="10"/>
  <c r="AB645" i="10"/>
  <c r="AA645" i="10"/>
  <c r="Z645" i="10"/>
  <c r="U645" i="10"/>
  <c r="T645" i="10"/>
  <c r="N645" i="10"/>
  <c r="F645" i="10"/>
  <c r="AI644" i="10"/>
  <c r="AD644" i="10"/>
  <c r="AC644" i="10"/>
  <c r="AB644" i="10"/>
  <c r="AA644" i="10"/>
  <c r="Z644" i="10"/>
  <c r="U644" i="10"/>
  <c r="T644" i="10"/>
  <c r="N644" i="10"/>
  <c r="F644" i="10"/>
  <c r="AI643" i="10"/>
  <c r="AD643" i="10"/>
  <c r="AC643" i="10"/>
  <c r="AB643" i="10"/>
  <c r="AA643" i="10"/>
  <c r="Z643" i="10"/>
  <c r="U643" i="10"/>
  <c r="T643" i="10"/>
  <c r="N643" i="10"/>
  <c r="F643" i="10"/>
  <c r="AI642" i="10"/>
  <c r="AD642" i="10"/>
  <c r="AC642" i="10"/>
  <c r="AB642" i="10"/>
  <c r="AA642" i="10"/>
  <c r="Z642" i="10"/>
  <c r="U642" i="10"/>
  <c r="T642" i="10"/>
  <c r="N642" i="10"/>
  <c r="F642" i="10"/>
  <c r="AI641" i="10"/>
  <c r="AD641" i="10"/>
  <c r="AC641" i="10"/>
  <c r="AB641" i="10"/>
  <c r="AA641" i="10"/>
  <c r="Z641" i="10"/>
  <c r="U641" i="10"/>
  <c r="T641" i="10"/>
  <c r="N641" i="10"/>
  <c r="F641" i="10"/>
  <c r="AI640" i="10"/>
  <c r="AD640" i="10"/>
  <c r="AC640" i="10"/>
  <c r="AB640" i="10"/>
  <c r="AA640" i="10"/>
  <c r="Z640" i="10"/>
  <c r="U640" i="10"/>
  <c r="T640" i="10"/>
  <c r="N640" i="10"/>
  <c r="F640" i="10"/>
  <c r="AI639" i="10"/>
  <c r="AD639" i="10"/>
  <c r="AC639" i="10"/>
  <c r="AB639" i="10"/>
  <c r="AA639" i="10"/>
  <c r="Z639" i="10"/>
  <c r="U639" i="10"/>
  <c r="T639" i="10"/>
  <c r="N639" i="10"/>
  <c r="F639" i="10"/>
  <c r="AI638" i="10"/>
  <c r="AD638" i="10"/>
  <c r="AC638" i="10"/>
  <c r="AB638" i="10"/>
  <c r="AA638" i="10"/>
  <c r="Z638" i="10"/>
  <c r="U638" i="10"/>
  <c r="T638" i="10"/>
  <c r="N638" i="10"/>
  <c r="F638" i="10"/>
  <c r="AI637" i="10"/>
  <c r="AD637" i="10"/>
  <c r="AC637" i="10"/>
  <c r="AB637" i="10"/>
  <c r="AA637" i="10"/>
  <c r="Z637" i="10"/>
  <c r="U637" i="10"/>
  <c r="T637" i="10"/>
  <c r="N637" i="10"/>
  <c r="F637" i="10"/>
  <c r="AI636" i="10"/>
  <c r="AD636" i="10"/>
  <c r="AC636" i="10"/>
  <c r="AB636" i="10"/>
  <c r="AA636" i="10"/>
  <c r="Z636" i="10"/>
  <c r="U636" i="10"/>
  <c r="T636" i="10"/>
  <c r="N636" i="10"/>
  <c r="F636" i="10"/>
  <c r="AI635" i="10"/>
  <c r="AD635" i="10"/>
  <c r="AC635" i="10"/>
  <c r="AB635" i="10"/>
  <c r="AA635" i="10"/>
  <c r="Z635" i="10"/>
  <c r="U635" i="10"/>
  <c r="T635" i="10"/>
  <c r="N635" i="10"/>
  <c r="F635" i="10"/>
  <c r="AI634" i="10"/>
  <c r="AD634" i="10"/>
  <c r="AC634" i="10"/>
  <c r="AB634" i="10"/>
  <c r="AA634" i="10"/>
  <c r="Z634" i="10"/>
  <c r="U634" i="10"/>
  <c r="T634" i="10"/>
  <c r="N634" i="10"/>
  <c r="F634" i="10"/>
  <c r="AI633" i="10"/>
  <c r="AD633" i="10"/>
  <c r="AC633" i="10"/>
  <c r="AB633" i="10"/>
  <c r="AA633" i="10"/>
  <c r="Z633" i="10"/>
  <c r="U633" i="10"/>
  <c r="T633" i="10"/>
  <c r="N633" i="10"/>
  <c r="F633" i="10"/>
  <c r="AI632" i="10"/>
  <c r="AD632" i="10"/>
  <c r="AC632" i="10"/>
  <c r="AB632" i="10"/>
  <c r="AA632" i="10"/>
  <c r="Z632" i="10"/>
  <c r="U632" i="10"/>
  <c r="T632" i="10"/>
  <c r="N632" i="10"/>
  <c r="F632" i="10"/>
  <c r="AI631" i="10"/>
  <c r="AD631" i="10"/>
  <c r="AC631" i="10"/>
  <c r="AB631" i="10"/>
  <c r="AA631" i="10"/>
  <c r="Z631" i="10"/>
  <c r="U631" i="10"/>
  <c r="T631" i="10"/>
  <c r="N631" i="10"/>
  <c r="F631" i="10"/>
  <c r="AI630" i="10"/>
  <c r="AD630" i="10"/>
  <c r="AC630" i="10"/>
  <c r="AB630" i="10"/>
  <c r="AA630" i="10"/>
  <c r="Z630" i="10"/>
  <c r="U630" i="10"/>
  <c r="T630" i="10"/>
  <c r="N630" i="10"/>
  <c r="F630" i="10"/>
  <c r="AI629" i="10"/>
  <c r="AD629" i="10"/>
  <c r="AC629" i="10"/>
  <c r="AB629" i="10"/>
  <c r="AA629" i="10"/>
  <c r="Z629" i="10"/>
  <c r="U629" i="10"/>
  <c r="T629" i="10"/>
  <c r="N629" i="10"/>
  <c r="F629" i="10"/>
  <c r="AI628" i="10"/>
  <c r="AD628" i="10"/>
  <c r="AC628" i="10"/>
  <c r="AB628" i="10"/>
  <c r="AA628" i="10"/>
  <c r="Z628" i="10"/>
  <c r="U628" i="10"/>
  <c r="T628" i="10"/>
  <c r="N628" i="10"/>
  <c r="F628" i="10"/>
  <c r="AI627" i="10"/>
  <c r="AD627" i="10"/>
  <c r="AC627" i="10"/>
  <c r="AB627" i="10"/>
  <c r="AA627" i="10"/>
  <c r="Z627" i="10"/>
  <c r="U627" i="10"/>
  <c r="T627" i="10"/>
  <c r="N627" i="10"/>
  <c r="F627" i="10"/>
  <c r="AI626" i="10"/>
  <c r="AD626" i="10"/>
  <c r="AC626" i="10"/>
  <c r="AB626" i="10"/>
  <c r="AA626" i="10"/>
  <c r="Z626" i="10"/>
  <c r="U626" i="10"/>
  <c r="T626" i="10"/>
  <c r="N626" i="10"/>
  <c r="F626" i="10"/>
  <c r="AI625" i="10"/>
  <c r="AD625" i="10"/>
  <c r="AC625" i="10"/>
  <c r="AB625" i="10"/>
  <c r="AA625" i="10"/>
  <c r="Z625" i="10"/>
  <c r="U625" i="10"/>
  <c r="T625" i="10"/>
  <c r="N625" i="10"/>
  <c r="F625" i="10"/>
  <c r="AI624" i="10"/>
  <c r="AD624" i="10"/>
  <c r="AC624" i="10"/>
  <c r="AB624" i="10"/>
  <c r="AA624" i="10"/>
  <c r="Z624" i="10"/>
  <c r="U624" i="10"/>
  <c r="T624" i="10"/>
  <c r="N624" i="10"/>
  <c r="F624" i="10"/>
  <c r="AI623" i="10"/>
  <c r="AD623" i="10"/>
  <c r="AC623" i="10"/>
  <c r="AB623" i="10"/>
  <c r="AA623" i="10"/>
  <c r="Z623" i="10"/>
  <c r="U623" i="10"/>
  <c r="T623" i="10"/>
  <c r="N623" i="10"/>
  <c r="F623" i="10"/>
  <c r="AI622" i="10"/>
  <c r="AD622" i="10"/>
  <c r="AC622" i="10"/>
  <c r="AB622" i="10"/>
  <c r="AA622" i="10"/>
  <c r="Z622" i="10"/>
  <c r="U622" i="10"/>
  <c r="T622" i="10"/>
  <c r="N622" i="10"/>
  <c r="F622" i="10"/>
  <c r="AI621" i="10"/>
  <c r="AD621" i="10"/>
  <c r="AC621" i="10"/>
  <c r="AB621" i="10"/>
  <c r="AA621" i="10"/>
  <c r="Z621" i="10"/>
  <c r="U621" i="10"/>
  <c r="T621" i="10"/>
  <c r="N621" i="10"/>
  <c r="F621" i="10"/>
  <c r="AI620" i="10"/>
  <c r="AD620" i="10"/>
  <c r="AC620" i="10"/>
  <c r="AB620" i="10"/>
  <c r="AA620" i="10"/>
  <c r="Z620" i="10"/>
  <c r="U620" i="10"/>
  <c r="T620" i="10"/>
  <c r="N620" i="10"/>
  <c r="F620" i="10"/>
  <c r="AI619" i="10"/>
  <c r="AD619" i="10"/>
  <c r="AC619" i="10"/>
  <c r="AB619" i="10"/>
  <c r="AA619" i="10"/>
  <c r="Z619" i="10"/>
  <c r="U619" i="10"/>
  <c r="T619" i="10"/>
  <c r="N619" i="10"/>
  <c r="F619" i="10"/>
  <c r="AI618" i="10"/>
  <c r="AD618" i="10"/>
  <c r="AC618" i="10"/>
  <c r="AB618" i="10"/>
  <c r="AA618" i="10"/>
  <c r="Z618" i="10"/>
  <c r="U618" i="10"/>
  <c r="T618" i="10"/>
  <c r="N618" i="10"/>
  <c r="F618" i="10"/>
  <c r="AI617" i="10"/>
  <c r="AD617" i="10"/>
  <c r="AC617" i="10"/>
  <c r="AB617" i="10"/>
  <c r="AA617" i="10"/>
  <c r="Z617" i="10"/>
  <c r="U617" i="10"/>
  <c r="T617" i="10"/>
  <c r="N617" i="10"/>
  <c r="F617" i="10"/>
  <c r="AI616" i="10"/>
  <c r="AD616" i="10"/>
  <c r="AC616" i="10"/>
  <c r="AB616" i="10"/>
  <c r="AA616" i="10"/>
  <c r="Z616" i="10"/>
  <c r="U616" i="10"/>
  <c r="T616" i="10"/>
  <c r="N616" i="10"/>
  <c r="F616" i="10"/>
  <c r="AI615" i="10"/>
  <c r="AD615" i="10"/>
  <c r="AC615" i="10"/>
  <c r="AB615" i="10"/>
  <c r="AA615" i="10"/>
  <c r="Z615" i="10"/>
  <c r="U615" i="10"/>
  <c r="T615" i="10"/>
  <c r="N615" i="10"/>
  <c r="F615" i="10"/>
  <c r="AI614" i="10"/>
  <c r="AD614" i="10"/>
  <c r="AC614" i="10"/>
  <c r="AB614" i="10"/>
  <c r="AA614" i="10"/>
  <c r="Z614" i="10"/>
  <c r="U614" i="10"/>
  <c r="T614" i="10"/>
  <c r="N614" i="10"/>
  <c r="F614" i="10"/>
  <c r="AI613" i="10"/>
  <c r="AD613" i="10"/>
  <c r="AC613" i="10"/>
  <c r="AB613" i="10"/>
  <c r="AA613" i="10"/>
  <c r="Z613" i="10"/>
  <c r="U613" i="10"/>
  <c r="T613" i="10"/>
  <c r="N613" i="10"/>
  <c r="F613" i="10"/>
  <c r="AI612" i="10"/>
  <c r="AD612" i="10"/>
  <c r="AC612" i="10"/>
  <c r="AB612" i="10"/>
  <c r="AA612" i="10"/>
  <c r="Z612" i="10"/>
  <c r="U612" i="10"/>
  <c r="T612" i="10"/>
  <c r="N612" i="10"/>
  <c r="F612" i="10"/>
  <c r="AI611" i="10"/>
  <c r="AD611" i="10"/>
  <c r="AC611" i="10"/>
  <c r="AB611" i="10"/>
  <c r="AA611" i="10"/>
  <c r="Z611" i="10"/>
  <c r="U611" i="10"/>
  <c r="T611" i="10"/>
  <c r="N611" i="10"/>
  <c r="F611" i="10"/>
  <c r="AI610" i="10"/>
  <c r="AD610" i="10"/>
  <c r="AC610" i="10"/>
  <c r="AB610" i="10"/>
  <c r="AA610" i="10"/>
  <c r="Z610" i="10"/>
  <c r="U610" i="10"/>
  <c r="T610" i="10"/>
  <c r="N610" i="10"/>
  <c r="F610" i="10"/>
  <c r="AI609" i="10"/>
  <c r="AD609" i="10"/>
  <c r="AC609" i="10"/>
  <c r="AB609" i="10"/>
  <c r="AA609" i="10"/>
  <c r="Z609" i="10"/>
  <c r="U609" i="10"/>
  <c r="T609" i="10"/>
  <c r="N609" i="10"/>
  <c r="F609" i="10"/>
  <c r="AI608" i="10"/>
  <c r="AD608" i="10"/>
  <c r="AC608" i="10"/>
  <c r="AB608" i="10"/>
  <c r="AA608" i="10"/>
  <c r="Z608" i="10"/>
  <c r="U608" i="10"/>
  <c r="T608" i="10"/>
  <c r="N608" i="10"/>
  <c r="F608" i="10"/>
  <c r="AI607" i="10"/>
  <c r="AD607" i="10"/>
  <c r="AC607" i="10"/>
  <c r="AB607" i="10"/>
  <c r="AA607" i="10"/>
  <c r="Z607" i="10"/>
  <c r="U607" i="10"/>
  <c r="T607" i="10"/>
  <c r="N607" i="10"/>
  <c r="F607" i="10"/>
  <c r="AI606" i="10"/>
  <c r="AD606" i="10"/>
  <c r="AC606" i="10"/>
  <c r="AB606" i="10"/>
  <c r="AA606" i="10"/>
  <c r="Z606" i="10"/>
  <c r="U606" i="10"/>
  <c r="T606" i="10"/>
  <c r="N606" i="10"/>
  <c r="F606" i="10"/>
  <c r="AI605" i="10"/>
  <c r="AD605" i="10"/>
  <c r="AC605" i="10"/>
  <c r="AB605" i="10"/>
  <c r="AA605" i="10"/>
  <c r="Z605" i="10"/>
  <c r="U605" i="10"/>
  <c r="T605" i="10"/>
  <c r="N605" i="10"/>
  <c r="F605" i="10"/>
  <c r="AI604" i="10"/>
  <c r="AD604" i="10"/>
  <c r="AC604" i="10"/>
  <c r="AB604" i="10"/>
  <c r="AA604" i="10"/>
  <c r="Z604" i="10"/>
  <c r="U604" i="10"/>
  <c r="T604" i="10"/>
  <c r="N604" i="10"/>
  <c r="F604" i="10"/>
  <c r="AI603" i="10"/>
  <c r="AD603" i="10"/>
  <c r="AC603" i="10"/>
  <c r="AB603" i="10"/>
  <c r="AA603" i="10"/>
  <c r="Z603" i="10"/>
  <c r="U603" i="10"/>
  <c r="T603" i="10"/>
  <c r="N603" i="10"/>
  <c r="F603" i="10"/>
  <c r="AI602" i="10"/>
  <c r="AD602" i="10"/>
  <c r="AC602" i="10"/>
  <c r="AB602" i="10"/>
  <c r="AA602" i="10"/>
  <c r="Z602" i="10"/>
  <c r="U602" i="10"/>
  <c r="T602" i="10"/>
  <c r="N602" i="10"/>
  <c r="F602" i="10"/>
  <c r="AI601" i="10"/>
  <c r="AD601" i="10"/>
  <c r="AC601" i="10"/>
  <c r="AB601" i="10"/>
  <c r="AA601" i="10"/>
  <c r="Z601" i="10"/>
  <c r="U601" i="10"/>
  <c r="T601" i="10"/>
  <c r="N601" i="10"/>
  <c r="F601" i="10"/>
  <c r="AI600" i="10"/>
  <c r="AD600" i="10"/>
  <c r="AC600" i="10"/>
  <c r="AB600" i="10"/>
  <c r="AA600" i="10"/>
  <c r="Z600" i="10"/>
  <c r="U600" i="10"/>
  <c r="T600" i="10"/>
  <c r="N600" i="10"/>
  <c r="F600" i="10"/>
  <c r="AI599" i="10"/>
  <c r="AD599" i="10"/>
  <c r="AC599" i="10"/>
  <c r="AB599" i="10"/>
  <c r="AA599" i="10"/>
  <c r="Z599" i="10"/>
  <c r="U599" i="10"/>
  <c r="T599" i="10"/>
  <c r="N599" i="10"/>
  <c r="F599" i="10"/>
  <c r="AI598" i="10"/>
  <c r="AD598" i="10"/>
  <c r="AC598" i="10"/>
  <c r="AB598" i="10"/>
  <c r="AA598" i="10"/>
  <c r="Z598" i="10"/>
  <c r="U598" i="10"/>
  <c r="T598" i="10"/>
  <c r="N598" i="10"/>
  <c r="F598" i="10"/>
  <c r="AI597" i="10"/>
  <c r="AD597" i="10"/>
  <c r="AC597" i="10"/>
  <c r="AB597" i="10"/>
  <c r="AA597" i="10"/>
  <c r="Z597" i="10"/>
  <c r="U597" i="10"/>
  <c r="T597" i="10"/>
  <c r="N597" i="10"/>
  <c r="F597" i="10"/>
  <c r="AI596" i="10"/>
  <c r="AD596" i="10"/>
  <c r="AC596" i="10"/>
  <c r="AB596" i="10"/>
  <c r="AA596" i="10"/>
  <c r="Z596" i="10"/>
  <c r="U596" i="10"/>
  <c r="T596" i="10"/>
  <c r="N596" i="10"/>
  <c r="F596" i="10"/>
  <c r="AI595" i="10"/>
  <c r="AD595" i="10"/>
  <c r="AC595" i="10"/>
  <c r="AB595" i="10"/>
  <c r="AA595" i="10"/>
  <c r="Z595" i="10"/>
  <c r="U595" i="10"/>
  <c r="T595" i="10"/>
  <c r="N595" i="10"/>
  <c r="F595" i="10"/>
  <c r="AI594" i="10"/>
  <c r="AD594" i="10"/>
  <c r="AC594" i="10"/>
  <c r="AB594" i="10"/>
  <c r="AA594" i="10"/>
  <c r="Z594" i="10"/>
  <c r="U594" i="10"/>
  <c r="T594" i="10"/>
  <c r="N594" i="10"/>
  <c r="F594" i="10"/>
  <c r="AI593" i="10"/>
  <c r="AD593" i="10"/>
  <c r="AC593" i="10"/>
  <c r="AB593" i="10"/>
  <c r="AA593" i="10"/>
  <c r="Z593" i="10"/>
  <c r="U593" i="10"/>
  <c r="T593" i="10"/>
  <c r="N593" i="10"/>
  <c r="F593" i="10"/>
  <c r="AI592" i="10"/>
  <c r="AD592" i="10"/>
  <c r="AC592" i="10"/>
  <c r="AB592" i="10"/>
  <c r="AA592" i="10"/>
  <c r="Z592" i="10"/>
  <c r="U592" i="10"/>
  <c r="T592" i="10"/>
  <c r="N592" i="10"/>
  <c r="F592" i="10"/>
  <c r="AI591" i="10"/>
  <c r="AD591" i="10"/>
  <c r="AC591" i="10"/>
  <c r="AB591" i="10"/>
  <c r="AA591" i="10"/>
  <c r="Z591" i="10"/>
  <c r="U591" i="10"/>
  <c r="T591" i="10"/>
  <c r="N591" i="10"/>
  <c r="F591" i="10"/>
  <c r="AI590" i="10"/>
  <c r="AD590" i="10"/>
  <c r="AC590" i="10"/>
  <c r="AB590" i="10"/>
  <c r="AA590" i="10"/>
  <c r="Z590" i="10"/>
  <c r="U590" i="10"/>
  <c r="T590" i="10"/>
  <c r="N590" i="10"/>
  <c r="F590" i="10"/>
  <c r="AI589" i="10"/>
  <c r="AD589" i="10"/>
  <c r="AC589" i="10"/>
  <c r="AB589" i="10"/>
  <c r="AA589" i="10"/>
  <c r="Z589" i="10"/>
  <c r="U589" i="10"/>
  <c r="T589" i="10"/>
  <c r="N589" i="10"/>
  <c r="F589" i="10"/>
  <c r="AI588" i="10"/>
  <c r="AD588" i="10"/>
  <c r="AC588" i="10"/>
  <c r="AB588" i="10"/>
  <c r="AA588" i="10"/>
  <c r="Z588" i="10"/>
  <c r="U588" i="10"/>
  <c r="T588" i="10"/>
  <c r="N588" i="10"/>
  <c r="F588" i="10"/>
  <c r="AI587" i="10"/>
  <c r="AD587" i="10"/>
  <c r="AC587" i="10"/>
  <c r="AB587" i="10"/>
  <c r="AA587" i="10"/>
  <c r="Z587" i="10"/>
  <c r="U587" i="10"/>
  <c r="T587" i="10"/>
  <c r="N587" i="10"/>
  <c r="F587" i="10"/>
  <c r="AI586" i="10"/>
  <c r="AD586" i="10"/>
  <c r="AC586" i="10"/>
  <c r="AB586" i="10"/>
  <c r="AA586" i="10"/>
  <c r="Z586" i="10"/>
  <c r="U586" i="10"/>
  <c r="T586" i="10"/>
  <c r="N586" i="10"/>
  <c r="F586" i="10"/>
  <c r="AI585" i="10"/>
  <c r="AD585" i="10"/>
  <c r="AC585" i="10"/>
  <c r="AB585" i="10"/>
  <c r="AA585" i="10"/>
  <c r="Z585" i="10"/>
  <c r="U585" i="10"/>
  <c r="T585" i="10"/>
  <c r="N585" i="10"/>
  <c r="F585" i="10"/>
  <c r="AI584" i="10"/>
  <c r="AD584" i="10"/>
  <c r="AC584" i="10"/>
  <c r="AB584" i="10"/>
  <c r="AA584" i="10"/>
  <c r="Z584" i="10"/>
  <c r="U584" i="10"/>
  <c r="T584" i="10"/>
  <c r="N584" i="10"/>
  <c r="F584" i="10"/>
  <c r="AI583" i="10"/>
  <c r="AD583" i="10"/>
  <c r="AC583" i="10"/>
  <c r="AB583" i="10"/>
  <c r="AA583" i="10"/>
  <c r="Z583" i="10"/>
  <c r="U583" i="10"/>
  <c r="T583" i="10"/>
  <c r="N583" i="10"/>
  <c r="F583" i="10"/>
  <c r="AI582" i="10"/>
  <c r="AD582" i="10"/>
  <c r="AC582" i="10"/>
  <c r="AB582" i="10"/>
  <c r="AA582" i="10"/>
  <c r="Z582" i="10"/>
  <c r="U582" i="10"/>
  <c r="T582" i="10"/>
  <c r="N582" i="10"/>
  <c r="F582" i="10"/>
  <c r="AI581" i="10"/>
  <c r="AD581" i="10"/>
  <c r="AC581" i="10"/>
  <c r="AB581" i="10"/>
  <c r="AA581" i="10"/>
  <c r="Z581" i="10"/>
  <c r="U581" i="10"/>
  <c r="T581" i="10"/>
  <c r="N581" i="10"/>
  <c r="F581" i="10"/>
  <c r="AI580" i="10"/>
  <c r="AD580" i="10"/>
  <c r="AC580" i="10"/>
  <c r="AB580" i="10"/>
  <c r="AA580" i="10"/>
  <c r="Z580" i="10"/>
  <c r="U580" i="10"/>
  <c r="T580" i="10"/>
  <c r="N580" i="10"/>
  <c r="F580" i="10"/>
  <c r="AI579" i="10"/>
  <c r="AD579" i="10"/>
  <c r="AC579" i="10"/>
  <c r="AB579" i="10"/>
  <c r="AA579" i="10"/>
  <c r="Z579" i="10"/>
  <c r="U579" i="10"/>
  <c r="T579" i="10"/>
  <c r="N579" i="10"/>
  <c r="F579" i="10"/>
  <c r="AI578" i="10"/>
  <c r="AD578" i="10"/>
  <c r="AC578" i="10"/>
  <c r="AB578" i="10"/>
  <c r="AA578" i="10"/>
  <c r="Z578" i="10"/>
  <c r="U578" i="10"/>
  <c r="T578" i="10"/>
  <c r="N578" i="10"/>
  <c r="F578" i="10"/>
  <c r="AI577" i="10"/>
  <c r="AD577" i="10"/>
  <c r="AC577" i="10"/>
  <c r="AB577" i="10"/>
  <c r="AA577" i="10"/>
  <c r="Z577" i="10"/>
  <c r="U577" i="10"/>
  <c r="T577" i="10"/>
  <c r="N577" i="10"/>
  <c r="F577" i="10"/>
  <c r="AI576" i="10"/>
  <c r="AD576" i="10"/>
  <c r="AC576" i="10"/>
  <c r="AB576" i="10"/>
  <c r="AA576" i="10"/>
  <c r="Z576" i="10"/>
  <c r="U576" i="10"/>
  <c r="T576" i="10"/>
  <c r="N576" i="10"/>
  <c r="F576" i="10"/>
  <c r="AI575" i="10"/>
  <c r="AD575" i="10"/>
  <c r="AC575" i="10"/>
  <c r="AB575" i="10"/>
  <c r="AA575" i="10"/>
  <c r="Z575" i="10"/>
  <c r="U575" i="10"/>
  <c r="T575" i="10"/>
  <c r="N575" i="10"/>
  <c r="F575" i="10"/>
  <c r="AI574" i="10"/>
  <c r="AD574" i="10"/>
  <c r="AC574" i="10"/>
  <c r="AB574" i="10"/>
  <c r="AA574" i="10"/>
  <c r="Z574" i="10"/>
  <c r="U574" i="10"/>
  <c r="T574" i="10"/>
  <c r="N574" i="10"/>
  <c r="F574" i="10"/>
  <c r="AI573" i="10"/>
  <c r="AD573" i="10"/>
  <c r="AC573" i="10"/>
  <c r="AB573" i="10"/>
  <c r="AA573" i="10"/>
  <c r="Z573" i="10"/>
  <c r="U573" i="10"/>
  <c r="T573" i="10"/>
  <c r="N573" i="10"/>
  <c r="F573" i="10"/>
  <c r="AI572" i="10"/>
  <c r="AD572" i="10"/>
  <c r="AC572" i="10"/>
  <c r="AB572" i="10"/>
  <c r="AA572" i="10"/>
  <c r="Z572" i="10"/>
  <c r="U572" i="10"/>
  <c r="T572" i="10"/>
  <c r="N572" i="10"/>
  <c r="F572" i="10"/>
  <c r="AI571" i="10"/>
  <c r="AD571" i="10"/>
  <c r="AC571" i="10"/>
  <c r="AB571" i="10"/>
  <c r="AA571" i="10"/>
  <c r="Z571" i="10"/>
  <c r="U571" i="10"/>
  <c r="T571" i="10"/>
  <c r="N571" i="10"/>
  <c r="F571" i="10"/>
  <c r="AI570" i="10"/>
  <c r="AD570" i="10"/>
  <c r="AC570" i="10"/>
  <c r="AB570" i="10"/>
  <c r="AA570" i="10"/>
  <c r="Z570" i="10"/>
  <c r="U570" i="10"/>
  <c r="T570" i="10"/>
  <c r="N570" i="10"/>
  <c r="F570" i="10"/>
  <c r="AI569" i="10"/>
  <c r="AD569" i="10"/>
  <c r="AC569" i="10"/>
  <c r="AB569" i="10"/>
  <c r="AA569" i="10"/>
  <c r="Z569" i="10"/>
  <c r="U569" i="10"/>
  <c r="T569" i="10"/>
  <c r="N569" i="10"/>
  <c r="F569" i="10"/>
  <c r="AI568" i="10"/>
  <c r="AD568" i="10"/>
  <c r="AC568" i="10"/>
  <c r="AB568" i="10"/>
  <c r="AA568" i="10"/>
  <c r="Z568" i="10"/>
  <c r="U568" i="10"/>
  <c r="T568" i="10"/>
  <c r="N568" i="10"/>
  <c r="F568" i="10"/>
  <c r="AI567" i="10"/>
  <c r="AD567" i="10"/>
  <c r="AC567" i="10"/>
  <c r="AB567" i="10"/>
  <c r="AA567" i="10"/>
  <c r="Z567" i="10"/>
  <c r="U567" i="10"/>
  <c r="T567" i="10"/>
  <c r="N567" i="10"/>
  <c r="F567" i="10"/>
  <c r="AI566" i="10"/>
  <c r="AD566" i="10"/>
  <c r="AC566" i="10"/>
  <c r="AB566" i="10"/>
  <c r="AA566" i="10"/>
  <c r="Z566" i="10"/>
  <c r="U566" i="10"/>
  <c r="T566" i="10"/>
  <c r="N566" i="10"/>
  <c r="F566" i="10"/>
  <c r="AI565" i="10"/>
  <c r="AD565" i="10"/>
  <c r="AC565" i="10"/>
  <c r="AB565" i="10"/>
  <c r="AA565" i="10"/>
  <c r="Z565" i="10"/>
  <c r="U565" i="10"/>
  <c r="T565" i="10"/>
  <c r="N565" i="10"/>
  <c r="F565" i="10"/>
  <c r="AI564" i="10"/>
  <c r="AD564" i="10"/>
  <c r="AC564" i="10"/>
  <c r="AB564" i="10"/>
  <c r="AA564" i="10"/>
  <c r="Z564" i="10"/>
  <c r="U564" i="10"/>
  <c r="T564" i="10"/>
  <c r="N564" i="10"/>
  <c r="F564" i="10"/>
  <c r="AI563" i="10"/>
  <c r="AD563" i="10"/>
  <c r="AC563" i="10"/>
  <c r="AB563" i="10"/>
  <c r="AA563" i="10"/>
  <c r="Z563" i="10"/>
  <c r="U563" i="10"/>
  <c r="T563" i="10"/>
  <c r="N563" i="10"/>
  <c r="F563" i="10"/>
  <c r="AI562" i="10"/>
  <c r="AD562" i="10"/>
  <c r="AC562" i="10"/>
  <c r="AB562" i="10"/>
  <c r="AA562" i="10"/>
  <c r="Z562" i="10"/>
  <c r="U562" i="10"/>
  <c r="T562" i="10"/>
  <c r="N562" i="10"/>
  <c r="F562" i="10"/>
  <c r="AI561" i="10"/>
  <c r="AD561" i="10"/>
  <c r="AC561" i="10"/>
  <c r="AB561" i="10"/>
  <c r="AA561" i="10"/>
  <c r="Z561" i="10"/>
  <c r="U561" i="10"/>
  <c r="T561" i="10"/>
  <c r="N561" i="10"/>
  <c r="F561" i="10"/>
  <c r="AI560" i="10"/>
  <c r="AD560" i="10"/>
  <c r="AC560" i="10"/>
  <c r="AB560" i="10"/>
  <c r="AA560" i="10"/>
  <c r="Z560" i="10"/>
  <c r="U560" i="10"/>
  <c r="T560" i="10"/>
  <c r="N560" i="10"/>
  <c r="F560" i="10"/>
  <c r="AI559" i="10"/>
  <c r="AD559" i="10"/>
  <c r="AC559" i="10"/>
  <c r="AB559" i="10"/>
  <c r="AA559" i="10"/>
  <c r="Z559" i="10"/>
  <c r="U559" i="10"/>
  <c r="T559" i="10"/>
  <c r="N559" i="10"/>
  <c r="F559" i="10"/>
  <c r="AI558" i="10"/>
  <c r="AD558" i="10"/>
  <c r="AC558" i="10"/>
  <c r="AB558" i="10"/>
  <c r="AA558" i="10"/>
  <c r="Z558" i="10"/>
  <c r="U558" i="10"/>
  <c r="T558" i="10"/>
  <c r="N558" i="10"/>
  <c r="F558" i="10"/>
  <c r="AI557" i="10"/>
  <c r="AD557" i="10"/>
  <c r="AC557" i="10"/>
  <c r="AB557" i="10"/>
  <c r="AA557" i="10"/>
  <c r="Z557" i="10"/>
  <c r="U557" i="10"/>
  <c r="T557" i="10"/>
  <c r="N557" i="10"/>
  <c r="F557" i="10"/>
  <c r="AI556" i="10"/>
  <c r="AD556" i="10"/>
  <c r="AC556" i="10"/>
  <c r="AB556" i="10"/>
  <c r="AA556" i="10"/>
  <c r="Z556" i="10"/>
  <c r="U556" i="10"/>
  <c r="T556" i="10"/>
  <c r="N556" i="10"/>
  <c r="F556" i="10"/>
  <c r="AI555" i="10"/>
  <c r="AD555" i="10"/>
  <c r="AC555" i="10"/>
  <c r="AB555" i="10"/>
  <c r="AA555" i="10"/>
  <c r="Z555" i="10"/>
  <c r="U555" i="10"/>
  <c r="T555" i="10"/>
  <c r="N555" i="10"/>
  <c r="F555" i="10"/>
  <c r="AI554" i="10"/>
  <c r="AD554" i="10"/>
  <c r="AC554" i="10"/>
  <c r="AB554" i="10"/>
  <c r="AA554" i="10"/>
  <c r="Z554" i="10"/>
  <c r="U554" i="10"/>
  <c r="T554" i="10"/>
  <c r="N554" i="10"/>
  <c r="F554" i="10"/>
  <c r="AI553" i="10"/>
  <c r="AD553" i="10"/>
  <c r="AC553" i="10"/>
  <c r="AB553" i="10"/>
  <c r="AA553" i="10"/>
  <c r="Z553" i="10"/>
  <c r="U553" i="10"/>
  <c r="T553" i="10"/>
  <c r="N553" i="10"/>
  <c r="F553" i="10"/>
  <c r="AI552" i="10"/>
  <c r="AD552" i="10"/>
  <c r="AC552" i="10"/>
  <c r="AB552" i="10"/>
  <c r="AA552" i="10"/>
  <c r="Z552" i="10"/>
  <c r="U552" i="10"/>
  <c r="T552" i="10"/>
  <c r="N552" i="10"/>
  <c r="F552" i="10"/>
  <c r="AI551" i="10"/>
  <c r="AD551" i="10"/>
  <c r="AC551" i="10"/>
  <c r="AB551" i="10"/>
  <c r="AA551" i="10"/>
  <c r="Z551" i="10"/>
  <c r="U551" i="10"/>
  <c r="T551" i="10"/>
  <c r="N551" i="10"/>
  <c r="F551" i="10"/>
  <c r="AI550" i="10"/>
  <c r="AD550" i="10"/>
  <c r="AC550" i="10"/>
  <c r="AB550" i="10"/>
  <c r="AA550" i="10"/>
  <c r="Z550" i="10"/>
  <c r="U550" i="10"/>
  <c r="T550" i="10"/>
  <c r="N550" i="10"/>
  <c r="F550" i="10"/>
  <c r="AI549" i="10"/>
  <c r="AD549" i="10"/>
  <c r="AC549" i="10"/>
  <c r="AB549" i="10"/>
  <c r="AA549" i="10"/>
  <c r="Z549" i="10"/>
  <c r="U549" i="10"/>
  <c r="T549" i="10"/>
  <c r="N549" i="10"/>
  <c r="F549" i="10"/>
  <c r="AI548" i="10"/>
  <c r="AD548" i="10"/>
  <c r="AC548" i="10"/>
  <c r="AB548" i="10"/>
  <c r="AA548" i="10"/>
  <c r="Z548" i="10"/>
  <c r="U548" i="10"/>
  <c r="T548" i="10"/>
  <c r="N548" i="10"/>
  <c r="F548" i="10"/>
  <c r="AI547" i="10"/>
  <c r="AD547" i="10"/>
  <c r="AC547" i="10"/>
  <c r="AB547" i="10"/>
  <c r="AA547" i="10"/>
  <c r="Z547" i="10"/>
  <c r="U547" i="10"/>
  <c r="T547" i="10"/>
  <c r="N547" i="10"/>
  <c r="F547" i="10"/>
  <c r="AI546" i="10"/>
  <c r="AD546" i="10"/>
  <c r="AC546" i="10"/>
  <c r="AB546" i="10"/>
  <c r="AA546" i="10"/>
  <c r="Z546" i="10"/>
  <c r="U546" i="10"/>
  <c r="T546" i="10"/>
  <c r="N546" i="10"/>
  <c r="F546" i="10"/>
  <c r="AI545" i="10"/>
  <c r="AD545" i="10"/>
  <c r="AC545" i="10"/>
  <c r="AB545" i="10"/>
  <c r="AA545" i="10"/>
  <c r="Z545" i="10"/>
  <c r="U545" i="10"/>
  <c r="T545" i="10"/>
  <c r="N545" i="10"/>
  <c r="F545" i="10"/>
  <c r="AI544" i="10"/>
  <c r="AD544" i="10"/>
  <c r="AC544" i="10"/>
  <c r="AB544" i="10"/>
  <c r="AA544" i="10"/>
  <c r="Z544" i="10"/>
  <c r="U544" i="10"/>
  <c r="T544" i="10"/>
  <c r="N544" i="10"/>
  <c r="F544" i="10"/>
  <c r="AI543" i="10"/>
  <c r="AD543" i="10"/>
  <c r="AC543" i="10"/>
  <c r="AB543" i="10"/>
  <c r="AA543" i="10"/>
  <c r="Z543" i="10"/>
  <c r="U543" i="10"/>
  <c r="T543" i="10"/>
  <c r="N543" i="10"/>
  <c r="F543" i="10"/>
  <c r="AI542" i="10"/>
  <c r="AD542" i="10"/>
  <c r="AC542" i="10"/>
  <c r="AB542" i="10"/>
  <c r="AA542" i="10"/>
  <c r="Z542" i="10"/>
  <c r="U542" i="10"/>
  <c r="T542" i="10"/>
  <c r="N542" i="10"/>
  <c r="F542" i="10"/>
  <c r="AI541" i="10"/>
  <c r="AD541" i="10"/>
  <c r="AC541" i="10"/>
  <c r="AB541" i="10"/>
  <c r="AA541" i="10"/>
  <c r="Z541" i="10"/>
  <c r="U541" i="10"/>
  <c r="T541" i="10"/>
  <c r="N541" i="10"/>
  <c r="F541" i="10"/>
  <c r="AI540" i="10"/>
  <c r="AD540" i="10"/>
  <c r="AC540" i="10"/>
  <c r="AB540" i="10"/>
  <c r="AA540" i="10"/>
  <c r="Z540" i="10"/>
  <c r="U540" i="10"/>
  <c r="T540" i="10"/>
  <c r="N540" i="10"/>
  <c r="F540" i="10"/>
  <c r="AI539" i="10"/>
  <c r="AD539" i="10"/>
  <c r="AC539" i="10"/>
  <c r="AB539" i="10"/>
  <c r="AA539" i="10"/>
  <c r="Z539" i="10"/>
  <c r="U539" i="10"/>
  <c r="T539" i="10"/>
  <c r="N539" i="10"/>
  <c r="F539" i="10"/>
  <c r="AI538" i="10"/>
  <c r="AD538" i="10"/>
  <c r="AC538" i="10"/>
  <c r="AB538" i="10"/>
  <c r="AA538" i="10"/>
  <c r="Z538" i="10"/>
  <c r="U538" i="10"/>
  <c r="T538" i="10"/>
  <c r="N538" i="10"/>
  <c r="F538" i="10"/>
  <c r="AI537" i="10"/>
  <c r="AD537" i="10"/>
  <c r="AC537" i="10"/>
  <c r="AB537" i="10"/>
  <c r="AA537" i="10"/>
  <c r="Z537" i="10"/>
  <c r="U537" i="10"/>
  <c r="T537" i="10"/>
  <c r="N537" i="10"/>
  <c r="F537" i="10"/>
  <c r="AI536" i="10"/>
  <c r="AD536" i="10"/>
  <c r="AC536" i="10"/>
  <c r="AB536" i="10"/>
  <c r="AA536" i="10"/>
  <c r="Z536" i="10"/>
  <c r="U536" i="10"/>
  <c r="T536" i="10"/>
  <c r="N536" i="10"/>
  <c r="F536" i="10"/>
  <c r="AI535" i="10"/>
  <c r="AD535" i="10"/>
  <c r="AC535" i="10"/>
  <c r="AB535" i="10"/>
  <c r="AA535" i="10"/>
  <c r="Z535" i="10"/>
  <c r="U535" i="10"/>
  <c r="T535" i="10"/>
  <c r="N535" i="10"/>
  <c r="F535" i="10"/>
  <c r="AI534" i="10"/>
  <c r="AD534" i="10"/>
  <c r="AC534" i="10"/>
  <c r="AB534" i="10"/>
  <c r="AA534" i="10"/>
  <c r="Z534" i="10"/>
  <c r="U534" i="10"/>
  <c r="T534" i="10"/>
  <c r="N534" i="10"/>
  <c r="F534" i="10"/>
  <c r="AI533" i="10"/>
  <c r="AD533" i="10"/>
  <c r="AC533" i="10"/>
  <c r="AB533" i="10"/>
  <c r="AA533" i="10"/>
  <c r="Z533" i="10"/>
  <c r="U533" i="10"/>
  <c r="T533" i="10"/>
  <c r="N533" i="10"/>
  <c r="F533" i="10"/>
  <c r="AI532" i="10"/>
  <c r="AD532" i="10"/>
  <c r="AC532" i="10"/>
  <c r="AB532" i="10"/>
  <c r="AA532" i="10"/>
  <c r="Z532" i="10"/>
  <c r="U532" i="10"/>
  <c r="T532" i="10"/>
  <c r="N532" i="10"/>
  <c r="F532" i="10"/>
  <c r="AI531" i="10"/>
  <c r="AD531" i="10"/>
  <c r="AC531" i="10"/>
  <c r="AB531" i="10"/>
  <c r="AA531" i="10"/>
  <c r="Z531" i="10"/>
  <c r="U531" i="10"/>
  <c r="T531" i="10"/>
  <c r="N531" i="10"/>
  <c r="F531" i="10"/>
  <c r="AI530" i="10"/>
  <c r="AD530" i="10"/>
  <c r="AC530" i="10"/>
  <c r="AB530" i="10"/>
  <c r="AA530" i="10"/>
  <c r="Z530" i="10"/>
  <c r="U530" i="10"/>
  <c r="T530" i="10"/>
  <c r="N530" i="10"/>
  <c r="F530" i="10"/>
  <c r="AI529" i="10"/>
  <c r="AD529" i="10"/>
  <c r="AC529" i="10"/>
  <c r="AB529" i="10"/>
  <c r="AA529" i="10"/>
  <c r="Z529" i="10"/>
  <c r="U529" i="10"/>
  <c r="T529" i="10"/>
  <c r="N529" i="10"/>
  <c r="F529" i="10"/>
  <c r="AI528" i="10"/>
  <c r="AD528" i="10"/>
  <c r="AC528" i="10"/>
  <c r="AB528" i="10"/>
  <c r="AA528" i="10"/>
  <c r="Z528" i="10"/>
  <c r="U528" i="10"/>
  <c r="T528" i="10"/>
  <c r="N528" i="10"/>
  <c r="F528" i="10"/>
  <c r="AI527" i="10"/>
  <c r="AD527" i="10"/>
  <c r="AC527" i="10"/>
  <c r="AB527" i="10"/>
  <c r="AA527" i="10"/>
  <c r="Z527" i="10"/>
  <c r="U527" i="10"/>
  <c r="T527" i="10"/>
  <c r="N527" i="10"/>
  <c r="F527" i="10"/>
  <c r="AI526" i="10"/>
  <c r="AD526" i="10"/>
  <c r="AC526" i="10"/>
  <c r="AB526" i="10"/>
  <c r="AA526" i="10"/>
  <c r="Z526" i="10"/>
  <c r="U526" i="10"/>
  <c r="T526" i="10"/>
  <c r="N526" i="10"/>
  <c r="F526" i="10"/>
  <c r="AI525" i="10"/>
  <c r="AD525" i="10"/>
  <c r="AC525" i="10"/>
  <c r="AB525" i="10"/>
  <c r="AA525" i="10"/>
  <c r="Z525" i="10"/>
  <c r="U525" i="10"/>
  <c r="T525" i="10"/>
  <c r="N525" i="10"/>
  <c r="F525" i="10"/>
  <c r="AI524" i="10"/>
  <c r="AD524" i="10"/>
  <c r="AC524" i="10"/>
  <c r="AB524" i="10"/>
  <c r="AA524" i="10"/>
  <c r="Z524" i="10"/>
  <c r="U524" i="10"/>
  <c r="T524" i="10"/>
  <c r="N524" i="10"/>
  <c r="F524" i="10"/>
  <c r="AI523" i="10"/>
  <c r="AD523" i="10"/>
  <c r="AC523" i="10"/>
  <c r="AB523" i="10"/>
  <c r="AA523" i="10"/>
  <c r="Z523" i="10"/>
  <c r="U523" i="10"/>
  <c r="T523" i="10"/>
  <c r="N523" i="10"/>
  <c r="F523" i="10"/>
  <c r="AI522" i="10"/>
  <c r="AD522" i="10"/>
  <c r="AC522" i="10"/>
  <c r="AB522" i="10"/>
  <c r="AA522" i="10"/>
  <c r="Z522" i="10"/>
  <c r="U522" i="10"/>
  <c r="T522" i="10"/>
  <c r="N522" i="10"/>
  <c r="F522" i="10"/>
  <c r="AI521" i="10"/>
  <c r="AD521" i="10"/>
  <c r="AC521" i="10"/>
  <c r="AB521" i="10"/>
  <c r="AA521" i="10"/>
  <c r="Z521" i="10"/>
  <c r="U521" i="10"/>
  <c r="T521" i="10"/>
  <c r="N521" i="10"/>
  <c r="F521" i="10"/>
  <c r="AI520" i="10"/>
  <c r="AD520" i="10"/>
  <c r="AC520" i="10"/>
  <c r="AB520" i="10"/>
  <c r="AA520" i="10"/>
  <c r="Z520" i="10"/>
  <c r="U520" i="10"/>
  <c r="T520" i="10"/>
  <c r="N520" i="10"/>
  <c r="F520" i="10"/>
  <c r="AI519" i="10"/>
  <c r="AD519" i="10"/>
  <c r="AC519" i="10"/>
  <c r="AB519" i="10"/>
  <c r="AA519" i="10"/>
  <c r="Z519" i="10"/>
  <c r="U519" i="10"/>
  <c r="T519" i="10"/>
  <c r="N519" i="10"/>
  <c r="F519" i="10"/>
  <c r="AI518" i="10"/>
  <c r="AD518" i="10"/>
  <c r="AC518" i="10"/>
  <c r="AB518" i="10"/>
  <c r="AA518" i="10"/>
  <c r="Z518" i="10"/>
  <c r="U518" i="10"/>
  <c r="T518" i="10"/>
  <c r="N518" i="10"/>
  <c r="F518" i="10"/>
  <c r="AI517" i="10"/>
  <c r="AD517" i="10"/>
  <c r="AC517" i="10"/>
  <c r="AB517" i="10"/>
  <c r="AA517" i="10"/>
  <c r="Z517" i="10"/>
  <c r="U517" i="10"/>
  <c r="T517" i="10"/>
  <c r="N517" i="10"/>
  <c r="F517" i="10"/>
  <c r="AI516" i="10"/>
  <c r="AD516" i="10"/>
  <c r="AC516" i="10"/>
  <c r="AB516" i="10"/>
  <c r="AA516" i="10"/>
  <c r="Z516" i="10"/>
  <c r="U516" i="10"/>
  <c r="T516" i="10"/>
  <c r="N516" i="10"/>
  <c r="F516" i="10"/>
  <c r="AI515" i="10"/>
  <c r="AD515" i="10"/>
  <c r="AC515" i="10"/>
  <c r="AB515" i="10"/>
  <c r="AA515" i="10"/>
  <c r="Z515" i="10"/>
  <c r="U515" i="10"/>
  <c r="T515" i="10"/>
  <c r="N515" i="10"/>
  <c r="F515" i="10"/>
  <c r="AI514" i="10"/>
  <c r="AD514" i="10"/>
  <c r="AC514" i="10"/>
  <c r="AB514" i="10"/>
  <c r="AA514" i="10"/>
  <c r="Z514" i="10"/>
  <c r="U514" i="10"/>
  <c r="T514" i="10"/>
  <c r="N514" i="10"/>
  <c r="F514" i="10"/>
  <c r="AI513" i="10"/>
  <c r="AD513" i="10"/>
  <c r="AC513" i="10"/>
  <c r="AB513" i="10"/>
  <c r="AA513" i="10"/>
  <c r="Z513" i="10"/>
  <c r="U513" i="10"/>
  <c r="T513" i="10"/>
  <c r="N513" i="10"/>
  <c r="F513" i="10"/>
  <c r="AI512" i="10"/>
  <c r="AD512" i="10"/>
  <c r="AC512" i="10"/>
  <c r="AB512" i="10"/>
  <c r="AA512" i="10"/>
  <c r="Z512" i="10"/>
  <c r="U512" i="10"/>
  <c r="T512" i="10"/>
  <c r="N512" i="10"/>
  <c r="F512" i="10"/>
  <c r="AI511" i="10"/>
  <c r="AD511" i="10"/>
  <c r="AC511" i="10"/>
  <c r="AB511" i="10"/>
  <c r="AA511" i="10"/>
  <c r="Z511" i="10"/>
  <c r="U511" i="10"/>
  <c r="T511" i="10"/>
  <c r="N511" i="10"/>
  <c r="F511" i="10"/>
  <c r="AI510" i="10"/>
  <c r="AD510" i="10"/>
  <c r="AC510" i="10"/>
  <c r="AB510" i="10"/>
  <c r="AA510" i="10"/>
  <c r="Z510" i="10"/>
  <c r="U510" i="10"/>
  <c r="T510" i="10"/>
  <c r="N510" i="10"/>
  <c r="F510" i="10"/>
  <c r="AI509" i="10"/>
  <c r="AD509" i="10"/>
  <c r="AC509" i="10"/>
  <c r="AB509" i="10"/>
  <c r="AA509" i="10"/>
  <c r="Z509" i="10"/>
  <c r="U509" i="10"/>
  <c r="T509" i="10"/>
  <c r="N509" i="10"/>
  <c r="F509" i="10"/>
  <c r="AI508" i="10"/>
  <c r="AD508" i="10"/>
  <c r="AC508" i="10"/>
  <c r="AB508" i="10"/>
  <c r="AA508" i="10"/>
  <c r="Z508" i="10"/>
  <c r="U508" i="10"/>
  <c r="T508" i="10"/>
  <c r="N508" i="10"/>
  <c r="F508" i="10"/>
  <c r="AI507" i="10"/>
  <c r="AD507" i="10"/>
  <c r="AC507" i="10"/>
  <c r="AB507" i="10"/>
  <c r="AA507" i="10"/>
  <c r="Z507" i="10"/>
  <c r="U507" i="10"/>
  <c r="T507" i="10"/>
  <c r="N507" i="10"/>
  <c r="F507" i="10"/>
  <c r="AI506" i="10"/>
  <c r="AD506" i="10"/>
  <c r="AC506" i="10"/>
  <c r="AB506" i="10"/>
  <c r="AA506" i="10"/>
  <c r="Z506" i="10"/>
  <c r="U506" i="10"/>
  <c r="T506" i="10"/>
  <c r="N506" i="10"/>
  <c r="F506" i="10"/>
  <c r="AI505" i="10"/>
  <c r="AD505" i="10"/>
  <c r="AC505" i="10"/>
  <c r="AB505" i="10"/>
  <c r="AA505" i="10"/>
  <c r="Z505" i="10"/>
  <c r="U505" i="10"/>
  <c r="T505" i="10"/>
  <c r="N505" i="10"/>
  <c r="F505" i="10"/>
  <c r="AI504" i="10"/>
  <c r="AD504" i="10"/>
  <c r="AC504" i="10"/>
  <c r="AB504" i="10"/>
  <c r="AA504" i="10"/>
  <c r="Z504" i="10"/>
  <c r="U504" i="10"/>
  <c r="T504" i="10"/>
  <c r="N504" i="10"/>
  <c r="F504" i="10"/>
  <c r="AI503" i="10"/>
  <c r="AD503" i="10"/>
  <c r="AC503" i="10"/>
  <c r="AB503" i="10"/>
  <c r="AA503" i="10"/>
  <c r="Z503" i="10"/>
  <c r="U503" i="10"/>
  <c r="T503" i="10"/>
  <c r="N503" i="10"/>
  <c r="F503" i="10"/>
  <c r="AI502" i="10"/>
  <c r="AD502" i="10"/>
  <c r="AC502" i="10"/>
  <c r="AB502" i="10"/>
  <c r="AA502" i="10"/>
  <c r="Z502" i="10"/>
  <c r="U502" i="10"/>
  <c r="T502" i="10"/>
  <c r="N502" i="10"/>
  <c r="F502" i="10"/>
  <c r="AI501" i="10"/>
  <c r="AD501" i="10"/>
  <c r="AC501" i="10"/>
  <c r="AB501" i="10"/>
  <c r="AA501" i="10"/>
  <c r="Z501" i="10"/>
  <c r="U501" i="10"/>
  <c r="T501" i="10"/>
  <c r="N501" i="10"/>
  <c r="F501" i="10"/>
  <c r="AI500" i="10"/>
  <c r="AD500" i="10"/>
  <c r="AC500" i="10"/>
  <c r="AB500" i="10"/>
  <c r="AA500" i="10"/>
  <c r="Z500" i="10"/>
  <c r="U500" i="10"/>
  <c r="T500" i="10"/>
  <c r="N500" i="10"/>
  <c r="F500" i="10"/>
  <c r="AI499" i="10"/>
  <c r="AD499" i="10"/>
  <c r="AC499" i="10"/>
  <c r="AB499" i="10"/>
  <c r="AA499" i="10"/>
  <c r="Z499" i="10"/>
  <c r="U499" i="10"/>
  <c r="T499" i="10"/>
  <c r="N499" i="10"/>
  <c r="F499" i="10"/>
  <c r="AI498" i="10"/>
  <c r="AD498" i="10"/>
  <c r="AC498" i="10"/>
  <c r="AB498" i="10"/>
  <c r="AA498" i="10"/>
  <c r="Z498" i="10"/>
  <c r="U498" i="10"/>
  <c r="T498" i="10"/>
  <c r="N498" i="10"/>
  <c r="F498" i="10"/>
  <c r="AI497" i="10"/>
  <c r="AD497" i="10"/>
  <c r="AC497" i="10"/>
  <c r="AB497" i="10"/>
  <c r="AA497" i="10"/>
  <c r="Z497" i="10"/>
  <c r="U497" i="10"/>
  <c r="T497" i="10"/>
  <c r="N497" i="10"/>
  <c r="F497" i="10"/>
  <c r="AI496" i="10"/>
  <c r="AD496" i="10"/>
  <c r="AC496" i="10"/>
  <c r="AB496" i="10"/>
  <c r="AA496" i="10"/>
  <c r="Z496" i="10"/>
  <c r="U496" i="10"/>
  <c r="T496" i="10"/>
  <c r="N496" i="10"/>
  <c r="F496" i="10"/>
  <c r="AI495" i="10"/>
  <c r="AD495" i="10"/>
  <c r="AC495" i="10"/>
  <c r="AB495" i="10"/>
  <c r="AA495" i="10"/>
  <c r="Z495" i="10"/>
  <c r="U495" i="10"/>
  <c r="T495" i="10"/>
  <c r="N495" i="10"/>
  <c r="F495" i="10"/>
  <c r="AI494" i="10"/>
  <c r="AD494" i="10"/>
  <c r="AC494" i="10"/>
  <c r="AB494" i="10"/>
  <c r="AA494" i="10"/>
  <c r="Z494" i="10"/>
  <c r="U494" i="10"/>
  <c r="T494" i="10"/>
  <c r="N494" i="10"/>
  <c r="F494" i="10"/>
  <c r="AI493" i="10"/>
  <c r="AD493" i="10"/>
  <c r="AC493" i="10"/>
  <c r="AB493" i="10"/>
  <c r="AA493" i="10"/>
  <c r="Z493" i="10"/>
  <c r="U493" i="10"/>
  <c r="T493" i="10"/>
  <c r="N493" i="10"/>
  <c r="F493" i="10"/>
  <c r="AI492" i="10"/>
  <c r="AD492" i="10"/>
  <c r="AC492" i="10"/>
  <c r="AB492" i="10"/>
  <c r="AA492" i="10"/>
  <c r="Z492" i="10"/>
  <c r="U492" i="10"/>
  <c r="T492" i="10"/>
  <c r="N492" i="10"/>
  <c r="F492" i="10"/>
  <c r="AI491" i="10"/>
  <c r="AD491" i="10"/>
  <c r="AC491" i="10"/>
  <c r="AB491" i="10"/>
  <c r="AA491" i="10"/>
  <c r="Z491" i="10"/>
  <c r="U491" i="10"/>
  <c r="T491" i="10"/>
  <c r="N491" i="10"/>
  <c r="F491" i="10"/>
  <c r="AI490" i="10"/>
  <c r="AD490" i="10"/>
  <c r="AC490" i="10"/>
  <c r="AB490" i="10"/>
  <c r="AA490" i="10"/>
  <c r="Z490" i="10"/>
  <c r="U490" i="10"/>
  <c r="T490" i="10"/>
  <c r="N490" i="10"/>
  <c r="F490" i="10"/>
  <c r="AI489" i="10"/>
  <c r="AD489" i="10"/>
  <c r="AC489" i="10"/>
  <c r="AB489" i="10"/>
  <c r="AA489" i="10"/>
  <c r="Z489" i="10"/>
  <c r="U489" i="10"/>
  <c r="T489" i="10"/>
  <c r="N489" i="10"/>
  <c r="F489" i="10"/>
  <c r="AI488" i="10"/>
  <c r="AD488" i="10"/>
  <c r="AC488" i="10"/>
  <c r="AB488" i="10"/>
  <c r="AA488" i="10"/>
  <c r="Z488" i="10"/>
  <c r="U488" i="10"/>
  <c r="T488" i="10"/>
  <c r="N488" i="10"/>
  <c r="F488" i="10"/>
  <c r="AI487" i="10"/>
  <c r="AD487" i="10"/>
  <c r="AC487" i="10"/>
  <c r="AB487" i="10"/>
  <c r="AA487" i="10"/>
  <c r="Z487" i="10"/>
  <c r="U487" i="10"/>
  <c r="T487" i="10"/>
  <c r="N487" i="10"/>
  <c r="F487" i="10"/>
  <c r="AI486" i="10"/>
  <c r="AD486" i="10"/>
  <c r="AC486" i="10"/>
  <c r="AB486" i="10"/>
  <c r="AA486" i="10"/>
  <c r="Z486" i="10"/>
  <c r="U486" i="10"/>
  <c r="T486" i="10"/>
  <c r="N486" i="10"/>
  <c r="F486" i="10"/>
  <c r="AI485" i="10"/>
  <c r="AD485" i="10"/>
  <c r="AC485" i="10"/>
  <c r="AB485" i="10"/>
  <c r="AA485" i="10"/>
  <c r="Z485" i="10"/>
  <c r="U485" i="10"/>
  <c r="T485" i="10"/>
  <c r="N485" i="10"/>
  <c r="F485" i="10"/>
  <c r="AI484" i="10"/>
  <c r="AD484" i="10"/>
  <c r="AC484" i="10"/>
  <c r="AB484" i="10"/>
  <c r="AA484" i="10"/>
  <c r="Z484" i="10"/>
  <c r="U484" i="10"/>
  <c r="T484" i="10"/>
  <c r="N484" i="10"/>
  <c r="F484" i="10"/>
  <c r="AI483" i="10"/>
  <c r="AD483" i="10"/>
  <c r="AC483" i="10"/>
  <c r="AB483" i="10"/>
  <c r="AA483" i="10"/>
  <c r="Z483" i="10"/>
  <c r="U483" i="10"/>
  <c r="T483" i="10"/>
  <c r="N483" i="10"/>
  <c r="F483" i="10"/>
  <c r="AI482" i="10"/>
  <c r="AD482" i="10"/>
  <c r="AC482" i="10"/>
  <c r="AB482" i="10"/>
  <c r="AA482" i="10"/>
  <c r="Z482" i="10"/>
  <c r="U482" i="10"/>
  <c r="T482" i="10"/>
  <c r="N482" i="10"/>
  <c r="F482" i="10"/>
  <c r="AI481" i="10"/>
  <c r="AD481" i="10"/>
  <c r="AC481" i="10"/>
  <c r="AB481" i="10"/>
  <c r="AA481" i="10"/>
  <c r="Z481" i="10"/>
  <c r="U481" i="10"/>
  <c r="T481" i="10"/>
  <c r="N481" i="10"/>
  <c r="F481" i="10"/>
  <c r="AI480" i="10"/>
  <c r="AD480" i="10"/>
  <c r="AC480" i="10"/>
  <c r="AB480" i="10"/>
  <c r="AA480" i="10"/>
  <c r="Z480" i="10"/>
  <c r="U480" i="10"/>
  <c r="T480" i="10"/>
  <c r="N480" i="10"/>
  <c r="F480" i="10"/>
  <c r="AI479" i="10"/>
  <c r="AD479" i="10"/>
  <c r="AC479" i="10"/>
  <c r="AB479" i="10"/>
  <c r="AA479" i="10"/>
  <c r="Z479" i="10"/>
  <c r="U479" i="10"/>
  <c r="T479" i="10"/>
  <c r="N479" i="10"/>
  <c r="F479" i="10"/>
  <c r="AI478" i="10"/>
  <c r="AD478" i="10"/>
  <c r="AC478" i="10"/>
  <c r="AB478" i="10"/>
  <c r="AA478" i="10"/>
  <c r="Z478" i="10"/>
  <c r="U478" i="10"/>
  <c r="T478" i="10"/>
  <c r="N478" i="10"/>
  <c r="F478" i="10"/>
  <c r="AI477" i="10"/>
  <c r="AD477" i="10"/>
  <c r="AC477" i="10"/>
  <c r="AB477" i="10"/>
  <c r="AA477" i="10"/>
  <c r="Z477" i="10"/>
  <c r="U477" i="10"/>
  <c r="T477" i="10"/>
  <c r="N477" i="10"/>
  <c r="F477" i="10"/>
  <c r="AI476" i="10"/>
  <c r="AD476" i="10"/>
  <c r="AC476" i="10"/>
  <c r="AB476" i="10"/>
  <c r="AA476" i="10"/>
  <c r="Z476" i="10"/>
  <c r="U476" i="10"/>
  <c r="T476" i="10"/>
  <c r="N476" i="10"/>
  <c r="F476" i="10"/>
  <c r="AI475" i="10"/>
  <c r="AD475" i="10"/>
  <c r="AC475" i="10"/>
  <c r="AB475" i="10"/>
  <c r="AA475" i="10"/>
  <c r="Z475" i="10"/>
  <c r="U475" i="10"/>
  <c r="T475" i="10"/>
  <c r="N475" i="10"/>
  <c r="F475" i="10"/>
  <c r="AI474" i="10"/>
  <c r="AD474" i="10"/>
  <c r="AC474" i="10"/>
  <c r="AB474" i="10"/>
  <c r="AA474" i="10"/>
  <c r="Z474" i="10"/>
  <c r="U474" i="10"/>
  <c r="T474" i="10"/>
  <c r="N474" i="10"/>
  <c r="F474" i="10"/>
  <c r="AI473" i="10"/>
  <c r="AD473" i="10"/>
  <c r="AC473" i="10"/>
  <c r="AB473" i="10"/>
  <c r="AA473" i="10"/>
  <c r="Z473" i="10"/>
  <c r="U473" i="10"/>
  <c r="T473" i="10"/>
  <c r="N473" i="10"/>
  <c r="F473" i="10"/>
  <c r="AI472" i="10"/>
  <c r="AD472" i="10"/>
  <c r="AC472" i="10"/>
  <c r="AB472" i="10"/>
  <c r="AA472" i="10"/>
  <c r="Z472" i="10"/>
  <c r="U472" i="10"/>
  <c r="T472" i="10"/>
  <c r="N472" i="10"/>
  <c r="F472" i="10"/>
  <c r="AI471" i="10"/>
  <c r="AD471" i="10"/>
  <c r="AC471" i="10"/>
  <c r="AB471" i="10"/>
  <c r="AA471" i="10"/>
  <c r="Z471" i="10"/>
  <c r="U471" i="10"/>
  <c r="T471" i="10"/>
  <c r="N471" i="10"/>
  <c r="F471" i="10"/>
  <c r="AI470" i="10"/>
  <c r="AD470" i="10"/>
  <c r="AC470" i="10"/>
  <c r="AB470" i="10"/>
  <c r="AA470" i="10"/>
  <c r="Z470" i="10"/>
  <c r="U470" i="10"/>
  <c r="T470" i="10"/>
  <c r="N470" i="10"/>
  <c r="F470" i="10"/>
  <c r="AI469" i="10"/>
  <c r="AD469" i="10"/>
  <c r="AC469" i="10"/>
  <c r="AB469" i="10"/>
  <c r="AA469" i="10"/>
  <c r="Z469" i="10"/>
  <c r="U469" i="10"/>
  <c r="T469" i="10"/>
  <c r="N469" i="10"/>
  <c r="F469" i="10"/>
  <c r="AI468" i="10"/>
  <c r="AD468" i="10"/>
  <c r="AC468" i="10"/>
  <c r="AB468" i="10"/>
  <c r="AA468" i="10"/>
  <c r="Z468" i="10"/>
  <c r="U468" i="10"/>
  <c r="T468" i="10"/>
  <c r="N468" i="10"/>
  <c r="F468" i="10"/>
  <c r="AI467" i="10"/>
  <c r="AD467" i="10"/>
  <c r="AC467" i="10"/>
  <c r="AB467" i="10"/>
  <c r="AA467" i="10"/>
  <c r="Z467" i="10"/>
  <c r="U467" i="10"/>
  <c r="T467" i="10"/>
  <c r="N467" i="10"/>
  <c r="F467" i="10"/>
  <c r="AI466" i="10"/>
  <c r="AD466" i="10"/>
  <c r="AC466" i="10"/>
  <c r="AB466" i="10"/>
  <c r="AA466" i="10"/>
  <c r="Z466" i="10"/>
  <c r="U466" i="10"/>
  <c r="T466" i="10"/>
  <c r="N466" i="10"/>
  <c r="F466" i="10"/>
  <c r="AI465" i="10"/>
  <c r="AD465" i="10"/>
  <c r="AC465" i="10"/>
  <c r="AB465" i="10"/>
  <c r="AA465" i="10"/>
  <c r="Z465" i="10"/>
  <c r="U465" i="10"/>
  <c r="T465" i="10"/>
  <c r="N465" i="10"/>
  <c r="F465" i="10"/>
  <c r="AI464" i="10"/>
  <c r="AD464" i="10"/>
  <c r="AC464" i="10"/>
  <c r="AB464" i="10"/>
  <c r="AA464" i="10"/>
  <c r="Z464" i="10"/>
  <c r="U464" i="10"/>
  <c r="T464" i="10"/>
  <c r="N464" i="10"/>
  <c r="F464" i="10"/>
  <c r="AI463" i="10"/>
  <c r="AD463" i="10"/>
  <c r="AC463" i="10"/>
  <c r="AB463" i="10"/>
  <c r="AA463" i="10"/>
  <c r="Z463" i="10"/>
  <c r="U463" i="10"/>
  <c r="T463" i="10"/>
  <c r="N463" i="10"/>
  <c r="F463" i="10"/>
  <c r="AI462" i="10"/>
  <c r="AD462" i="10"/>
  <c r="AC462" i="10"/>
  <c r="AB462" i="10"/>
  <c r="AA462" i="10"/>
  <c r="Z462" i="10"/>
  <c r="U462" i="10"/>
  <c r="T462" i="10"/>
  <c r="N462" i="10"/>
  <c r="F462" i="10"/>
  <c r="AI461" i="10"/>
  <c r="AD461" i="10"/>
  <c r="AC461" i="10"/>
  <c r="AB461" i="10"/>
  <c r="AA461" i="10"/>
  <c r="Z461" i="10"/>
  <c r="U461" i="10"/>
  <c r="T461" i="10"/>
  <c r="N461" i="10"/>
  <c r="F461" i="10"/>
  <c r="AI460" i="10"/>
  <c r="AD460" i="10"/>
  <c r="AC460" i="10"/>
  <c r="AB460" i="10"/>
  <c r="AA460" i="10"/>
  <c r="Z460" i="10"/>
  <c r="U460" i="10"/>
  <c r="T460" i="10"/>
  <c r="N460" i="10"/>
  <c r="F460" i="10"/>
  <c r="AI459" i="10"/>
  <c r="AD459" i="10"/>
  <c r="AC459" i="10"/>
  <c r="AB459" i="10"/>
  <c r="AA459" i="10"/>
  <c r="Z459" i="10"/>
  <c r="U459" i="10"/>
  <c r="T459" i="10"/>
  <c r="N459" i="10"/>
  <c r="F459" i="10"/>
  <c r="AI458" i="10"/>
  <c r="AD458" i="10"/>
  <c r="AC458" i="10"/>
  <c r="AB458" i="10"/>
  <c r="AA458" i="10"/>
  <c r="Z458" i="10"/>
  <c r="U458" i="10"/>
  <c r="T458" i="10"/>
  <c r="N458" i="10"/>
  <c r="F458" i="10"/>
  <c r="AI457" i="10"/>
  <c r="AD457" i="10"/>
  <c r="AC457" i="10"/>
  <c r="AB457" i="10"/>
  <c r="AA457" i="10"/>
  <c r="Z457" i="10"/>
  <c r="U457" i="10"/>
  <c r="T457" i="10"/>
  <c r="N457" i="10"/>
  <c r="F457" i="10"/>
  <c r="AI456" i="10"/>
  <c r="AD456" i="10"/>
  <c r="AC456" i="10"/>
  <c r="AB456" i="10"/>
  <c r="AA456" i="10"/>
  <c r="Z456" i="10"/>
  <c r="U456" i="10"/>
  <c r="T456" i="10"/>
  <c r="N456" i="10"/>
  <c r="F456" i="10"/>
  <c r="AI455" i="10"/>
  <c r="AD455" i="10"/>
  <c r="AC455" i="10"/>
  <c r="AB455" i="10"/>
  <c r="AA455" i="10"/>
  <c r="Z455" i="10"/>
  <c r="U455" i="10"/>
  <c r="T455" i="10"/>
  <c r="N455" i="10"/>
  <c r="F455" i="10"/>
  <c r="AI454" i="10"/>
  <c r="AD454" i="10"/>
  <c r="AC454" i="10"/>
  <c r="AB454" i="10"/>
  <c r="AA454" i="10"/>
  <c r="Z454" i="10"/>
  <c r="U454" i="10"/>
  <c r="T454" i="10"/>
  <c r="N454" i="10"/>
  <c r="F454" i="10"/>
  <c r="AI453" i="10"/>
  <c r="AD453" i="10"/>
  <c r="AC453" i="10"/>
  <c r="AB453" i="10"/>
  <c r="AA453" i="10"/>
  <c r="Z453" i="10"/>
  <c r="U453" i="10"/>
  <c r="T453" i="10"/>
  <c r="N453" i="10"/>
  <c r="F453" i="10"/>
  <c r="AI452" i="10"/>
  <c r="AD452" i="10"/>
  <c r="AC452" i="10"/>
  <c r="AB452" i="10"/>
  <c r="AA452" i="10"/>
  <c r="Z452" i="10"/>
  <c r="U452" i="10"/>
  <c r="T452" i="10"/>
  <c r="N452" i="10"/>
  <c r="F452" i="10"/>
  <c r="AI451" i="10"/>
  <c r="AD451" i="10"/>
  <c r="AC451" i="10"/>
  <c r="AB451" i="10"/>
  <c r="AA451" i="10"/>
  <c r="Z451" i="10"/>
  <c r="U451" i="10"/>
  <c r="T451" i="10"/>
  <c r="N451" i="10"/>
  <c r="F451" i="10"/>
  <c r="AI450" i="10"/>
  <c r="AD450" i="10"/>
  <c r="AC450" i="10"/>
  <c r="AB450" i="10"/>
  <c r="AA450" i="10"/>
  <c r="Z450" i="10"/>
  <c r="U450" i="10"/>
  <c r="T450" i="10"/>
  <c r="N450" i="10"/>
  <c r="F450" i="10"/>
  <c r="AI449" i="10"/>
  <c r="AD449" i="10"/>
  <c r="AC449" i="10"/>
  <c r="AB449" i="10"/>
  <c r="AA449" i="10"/>
  <c r="Z449" i="10"/>
  <c r="U449" i="10"/>
  <c r="T449" i="10"/>
  <c r="N449" i="10"/>
  <c r="F449" i="10"/>
  <c r="AI448" i="10"/>
  <c r="AD448" i="10"/>
  <c r="AC448" i="10"/>
  <c r="AB448" i="10"/>
  <c r="AA448" i="10"/>
  <c r="Z448" i="10"/>
  <c r="U448" i="10"/>
  <c r="T448" i="10"/>
  <c r="N448" i="10"/>
  <c r="F448" i="10"/>
  <c r="AI447" i="10"/>
  <c r="AD447" i="10"/>
  <c r="AC447" i="10"/>
  <c r="AB447" i="10"/>
  <c r="AA447" i="10"/>
  <c r="Z447" i="10"/>
  <c r="U447" i="10"/>
  <c r="T447" i="10"/>
  <c r="N447" i="10"/>
  <c r="F447" i="10"/>
  <c r="AI446" i="10"/>
  <c r="AD446" i="10"/>
  <c r="AC446" i="10"/>
  <c r="AB446" i="10"/>
  <c r="AA446" i="10"/>
  <c r="Z446" i="10"/>
  <c r="U446" i="10"/>
  <c r="T446" i="10"/>
  <c r="N446" i="10"/>
  <c r="F446" i="10"/>
  <c r="AI445" i="10"/>
  <c r="AD445" i="10"/>
  <c r="AC445" i="10"/>
  <c r="AB445" i="10"/>
  <c r="AA445" i="10"/>
  <c r="Z445" i="10"/>
  <c r="U445" i="10"/>
  <c r="T445" i="10"/>
  <c r="N445" i="10"/>
  <c r="F445" i="10"/>
  <c r="AI444" i="10"/>
  <c r="AD444" i="10"/>
  <c r="AC444" i="10"/>
  <c r="AB444" i="10"/>
  <c r="AA444" i="10"/>
  <c r="Z444" i="10"/>
  <c r="U444" i="10"/>
  <c r="T444" i="10"/>
  <c r="N444" i="10"/>
  <c r="F444" i="10"/>
  <c r="AI443" i="10"/>
  <c r="AD443" i="10"/>
  <c r="AC443" i="10"/>
  <c r="AB443" i="10"/>
  <c r="AA443" i="10"/>
  <c r="Z443" i="10"/>
  <c r="U443" i="10"/>
  <c r="T443" i="10"/>
  <c r="N443" i="10"/>
  <c r="F443" i="10"/>
  <c r="AI442" i="10"/>
  <c r="AD442" i="10"/>
  <c r="AC442" i="10"/>
  <c r="AB442" i="10"/>
  <c r="AA442" i="10"/>
  <c r="Z442" i="10"/>
  <c r="U442" i="10"/>
  <c r="T442" i="10"/>
  <c r="N442" i="10"/>
  <c r="F442" i="10"/>
  <c r="AI441" i="10"/>
  <c r="AD441" i="10"/>
  <c r="AC441" i="10"/>
  <c r="AB441" i="10"/>
  <c r="AA441" i="10"/>
  <c r="Z441" i="10"/>
  <c r="U441" i="10"/>
  <c r="T441" i="10"/>
  <c r="N441" i="10"/>
  <c r="F441" i="10"/>
  <c r="AI440" i="10"/>
  <c r="AD440" i="10"/>
  <c r="AC440" i="10"/>
  <c r="AB440" i="10"/>
  <c r="AA440" i="10"/>
  <c r="Z440" i="10"/>
  <c r="U440" i="10"/>
  <c r="T440" i="10"/>
  <c r="N440" i="10"/>
  <c r="F440" i="10"/>
  <c r="AI439" i="10"/>
  <c r="AD439" i="10"/>
  <c r="AC439" i="10"/>
  <c r="AB439" i="10"/>
  <c r="AA439" i="10"/>
  <c r="Z439" i="10"/>
  <c r="U439" i="10"/>
  <c r="T439" i="10"/>
  <c r="N439" i="10"/>
  <c r="F439" i="10"/>
  <c r="AI438" i="10"/>
  <c r="AD438" i="10"/>
  <c r="AC438" i="10"/>
  <c r="AB438" i="10"/>
  <c r="AA438" i="10"/>
  <c r="Z438" i="10"/>
  <c r="U438" i="10"/>
  <c r="T438" i="10"/>
  <c r="N438" i="10"/>
  <c r="F438" i="10"/>
  <c r="AI437" i="10"/>
  <c r="AD437" i="10"/>
  <c r="AC437" i="10"/>
  <c r="AB437" i="10"/>
  <c r="AA437" i="10"/>
  <c r="Z437" i="10"/>
  <c r="U437" i="10"/>
  <c r="T437" i="10"/>
  <c r="N437" i="10"/>
  <c r="F437" i="10"/>
  <c r="AI436" i="10"/>
  <c r="AD436" i="10"/>
  <c r="AC436" i="10"/>
  <c r="AB436" i="10"/>
  <c r="AA436" i="10"/>
  <c r="Z436" i="10"/>
  <c r="U436" i="10"/>
  <c r="T436" i="10"/>
  <c r="N436" i="10"/>
  <c r="F436" i="10"/>
  <c r="AI435" i="10"/>
  <c r="AD435" i="10"/>
  <c r="AC435" i="10"/>
  <c r="AB435" i="10"/>
  <c r="AA435" i="10"/>
  <c r="Z435" i="10"/>
  <c r="U435" i="10"/>
  <c r="T435" i="10"/>
  <c r="N435" i="10"/>
  <c r="F435" i="10"/>
  <c r="AI434" i="10"/>
  <c r="AD434" i="10"/>
  <c r="AC434" i="10"/>
  <c r="AB434" i="10"/>
  <c r="AA434" i="10"/>
  <c r="Z434" i="10"/>
  <c r="U434" i="10"/>
  <c r="T434" i="10"/>
  <c r="N434" i="10"/>
  <c r="F434" i="10"/>
  <c r="AI433" i="10"/>
  <c r="AD433" i="10"/>
  <c r="AC433" i="10"/>
  <c r="AB433" i="10"/>
  <c r="AA433" i="10"/>
  <c r="Z433" i="10"/>
  <c r="U433" i="10"/>
  <c r="T433" i="10"/>
  <c r="N433" i="10"/>
  <c r="F433" i="10"/>
  <c r="AI432" i="10"/>
  <c r="AD432" i="10"/>
  <c r="AC432" i="10"/>
  <c r="AB432" i="10"/>
  <c r="AA432" i="10"/>
  <c r="Z432" i="10"/>
  <c r="U432" i="10"/>
  <c r="T432" i="10"/>
  <c r="N432" i="10"/>
  <c r="F432" i="10"/>
  <c r="AI431" i="10"/>
  <c r="AD431" i="10"/>
  <c r="AC431" i="10"/>
  <c r="AB431" i="10"/>
  <c r="AA431" i="10"/>
  <c r="Z431" i="10"/>
  <c r="U431" i="10"/>
  <c r="T431" i="10"/>
  <c r="N431" i="10"/>
  <c r="F431" i="10"/>
  <c r="AI430" i="10"/>
  <c r="AD430" i="10"/>
  <c r="AC430" i="10"/>
  <c r="AB430" i="10"/>
  <c r="AA430" i="10"/>
  <c r="Z430" i="10"/>
  <c r="U430" i="10"/>
  <c r="T430" i="10"/>
  <c r="N430" i="10"/>
  <c r="F430" i="10"/>
  <c r="AI429" i="10"/>
  <c r="AD429" i="10"/>
  <c r="AC429" i="10"/>
  <c r="AB429" i="10"/>
  <c r="AA429" i="10"/>
  <c r="Z429" i="10"/>
  <c r="U429" i="10"/>
  <c r="T429" i="10"/>
  <c r="N429" i="10"/>
  <c r="F429" i="10"/>
  <c r="AI428" i="10"/>
  <c r="AD428" i="10"/>
  <c r="AC428" i="10"/>
  <c r="AB428" i="10"/>
  <c r="AA428" i="10"/>
  <c r="Z428" i="10"/>
  <c r="U428" i="10"/>
  <c r="T428" i="10"/>
  <c r="N428" i="10"/>
  <c r="F428" i="10"/>
  <c r="AI427" i="10"/>
  <c r="AD427" i="10"/>
  <c r="AC427" i="10"/>
  <c r="AB427" i="10"/>
  <c r="AA427" i="10"/>
  <c r="Z427" i="10"/>
  <c r="U427" i="10"/>
  <c r="T427" i="10"/>
  <c r="N427" i="10"/>
  <c r="F427" i="10"/>
  <c r="AI426" i="10"/>
  <c r="AD426" i="10"/>
  <c r="AC426" i="10"/>
  <c r="AB426" i="10"/>
  <c r="AA426" i="10"/>
  <c r="Z426" i="10"/>
  <c r="U426" i="10"/>
  <c r="T426" i="10"/>
  <c r="N426" i="10"/>
  <c r="F426" i="10"/>
  <c r="AI425" i="10"/>
  <c r="AD425" i="10"/>
  <c r="AC425" i="10"/>
  <c r="AB425" i="10"/>
  <c r="AA425" i="10"/>
  <c r="Z425" i="10"/>
  <c r="U425" i="10"/>
  <c r="T425" i="10"/>
  <c r="N425" i="10"/>
  <c r="F425" i="10"/>
  <c r="AI424" i="10"/>
  <c r="AD424" i="10"/>
  <c r="AC424" i="10"/>
  <c r="AB424" i="10"/>
  <c r="AA424" i="10"/>
  <c r="Z424" i="10"/>
  <c r="U424" i="10"/>
  <c r="T424" i="10"/>
  <c r="N424" i="10"/>
  <c r="F424" i="10"/>
  <c r="AI423" i="10"/>
  <c r="AD423" i="10"/>
  <c r="AC423" i="10"/>
  <c r="AB423" i="10"/>
  <c r="AA423" i="10"/>
  <c r="Z423" i="10"/>
  <c r="U423" i="10"/>
  <c r="T423" i="10"/>
  <c r="N423" i="10"/>
  <c r="F423" i="10"/>
  <c r="AI422" i="10"/>
  <c r="AD422" i="10"/>
  <c r="AC422" i="10"/>
  <c r="AB422" i="10"/>
  <c r="AA422" i="10"/>
  <c r="Z422" i="10"/>
  <c r="U422" i="10"/>
  <c r="T422" i="10"/>
  <c r="N422" i="10"/>
  <c r="F422" i="10"/>
  <c r="AI421" i="10"/>
  <c r="AD421" i="10"/>
  <c r="AC421" i="10"/>
  <c r="AB421" i="10"/>
  <c r="AA421" i="10"/>
  <c r="Z421" i="10"/>
  <c r="U421" i="10"/>
  <c r="T421" i="10"/>
  <c r="N421" i="10"/>
  <c r="F421" i="10"/>
  <c r="AI420" i="10"/>
  <c r="AD420" i="10"/>
  <c r="AC420" i="10"/>
  <c r="AB420" i="10"/>
  <c r="AA420" i="10"/>
  <c r="Z420" i="10"/>
  <c r="U420" i="10"/>
  <c r="T420" i="10"/>
  <c r="N420" i="10"/>
  <c r="F420" i="10"/>
  <c r="AI419" i="10"/>
  <c r="AD419" i="10"/>
  <c r="AC419" i="10"/>
  <c r="AB419" i="10"/>
  <c r="AA419" i="10"/>
  <c r="Z419" i="10"/>
  <c r="U419" i="10"/>
  <c r="T419" i="10"/>
  <c r="N419" i="10"/>
  <c r="F419" i="10"/>
  <c r="AI418" i="10"/>
  <c r="AD418" i="10"/>
  <c r="AC418" i="10"/>
  <c r="AB418" i="10"/>
  <c r="AA418" i="10"/>
  <c r="Z418" i="10"/>
  <c r="U418" i="10"/>
  <c r="T418" i="10"/>
  <c r="N418" i="10"/>
  <c r="F418" i="10"/>
  <c r="AI417" i="10"/>
  <c r="AD417" i="10"/>
  <c r="AC417" i="10"/>
  <c r="AB417" i="10"/>
  <c r="AA417" i="10"/>
  <c r="Z417" i="10"/>
  <c r="U417" i="10"/>
  <c r="T417" i="10"/>
  <c r="N417" i="10"/>
  <c r="F417" i="10"/>
  <c r="AI416" i="10"/>
  <c r="AD416" i="10"/>
  <c r="AC416" i="10"/>
  <c r="AB416" i="10"/>
  <c r="AA416" i="10"/>
  <c r="Z416" i="10"/>
  <c r="U416" i="10"/>
  <c r="T416" i="10"/>
  <c r="N416" i="10"/>
  <c r="F416" i="10"/>
  <c r="AI415" i="10"/>
  <c r="AD415" i="10"/>
  <c r="AC415" i="10"/>
  <c r="AB415" i="10"/>
  <c r="AA415" i="10"/>
  <c r="Z415" i="10"/>
  <c r="U415" i="10"/>
  <c r="T415" i="10"/>
  <c r="N415" i="10"/>
  <c r="F415" i="10"/>
  <c r="AI414" i="10"/>
  <c r="AD414" i="10"/>
  <c r="AC414" i="10"/>
  <c r="AB414" i="10"/>
  <c r="AA414" i="10"/>
  <c r="Z414" i="10"/>
  <c r="U414" i="10"/>
  <c r="T414" i="10"/>
  <c r="N414" i="10"/>
  <c r="F414" i="10"/>
  <c r="AI413" i="10"/>
  <c r="AD413" i="10"/>
  <c r="AC413" i="10"/>
  <c r="AB413" i="10"/>
  <c r="AA413" i="10"/>
  <c r="Z413" i="10"/>
  <c r="U413" i="10"/>
  <c r="T413" i="10"/>
  <c r="N413" i="10"/>
  <c r="F413" i="10"/>
  <c r="AI412" i="10"/>
  <c r="AD412" i="10"/>
  <c r="AC412" i="10"/>
  <c r="AB412" i="10"/>
  <c r="AA412" i="10"/>
  <c r="Z412" i="10"/>
  <c r="U412" i="10"/>
  <c r="T412" i="10"/>
  <c r="N412" i="10"/>
  <c r="F412" i="10"/>
  <c r="AI411" i="10"/>
  <c r="AD411" i="10"/>
  <c r="AC411" i="10"/>
  <c r="AB411" i="10"/>
  <c r="AA411" i="10"/>
  <c r="Z411" i="10"/>
  <c r="U411" i="10"/>
  <c r="T411" i="10"/>
  <c r="N411" i="10"/>
  <c r="F411" i="10"/>
  <c r="AI410" i="10"/>
  <c r="AD410" i="10"/>
  <c r="AC410" i="10"/>
  <c r="AB410" i="10"/>
  <c r="AA410" i="10"/>
  <c r="Z410" i="10"/>
  <c r="U410" i="10"/>
  <c r="T410" i="10"/>
  <c r="N410" i="10"/>
  <c r="F410" i="10"/>
  <c r="AI409" i="10"/>
  <c r="AD409" i="10"/>
  <c r="AC409" i="10"/>
  <c r="AB409" i="10"/>
  <c r="AA409" i="10"/>
  <c r="Z409" i="10"/>
  <c r="U409" i="10"/>
  <c r="T409" i="10"/>
  <c r="N409" i="10"/>
  <c r="F409" i="10"/>
  <c r="AI408" i="10"/>
  <c r="AD408" i="10"/>
  <c r="AC408" i="10"/>
  <c r="AB408" i="10"/>
  <c r="AA408" i="10"/>
  <c r="Z408" i="10"/>
  <c r="U408" i="10"/>
  <c r="T408" i="10"/>
  <c r="N408" i="10"/>
  <c r="F408" i="10"/>
  <c r="AI407" i="10"/>
  <c r="AD407" i="10"/>
  <c r="AC407" i="10"/>
  <c r="AB407" i="10"/>
  <c r="AA407" i="10"/>
  <c r="Z407" i="10"/>
  <c r="U407" i="10"/>
  <c r="T407" i="10"/>
  <c r="N407" i="10"/>
  <c r="F407" i="10"/>
  <c r="AI406" i="10"/>
  <c r="AD406" i="10"/>
  <c r="AC406" i="10"/>
  <c r="AB406" i="10"/>
  <c r="AA406" i="10"/>
  <c r="Z406" i="10"/>
  <c r="U406" i="10"/>
  <c r="T406" i="10"/>
  <c r="N406" i="10"/>
  <c r="F406" i="10"/>
  <c r="AI405" i="10"/>
  <c r="AD405" i="10"/>
  <c r="AC405" i="10"/>
  <c r="AB405" i="10"/>
  <c r="AA405" i="10"/>
  <c r="Z405" i="10"/>
  <c r="U405" i="10"/>
  <c r="T405" i="10"/>
  <c r="N405" i="10"/>
  <c r="F405" i="10"/>
  <c r="AI404" i="10"/>
  <c r="AD404" i="10"/>
  <c r="AC404" i="10"/>
  <c r="AB404" i="10"/>
  <c r="AA404" i="10"/>
  <c r="Z404" i="10"/>
  <c r="U404" i="10"/>
  <c r="T404" i="10"/>
  <c r="N404" i="10"/>
  <c r="F404" i="10"/>
  <c r="AI403" i="10"/>
  <c r="AD403" i="10"/>
  <c r="AC403" i="10"/>
  <c r="AB403" i="10"/>
  <c r="AA403" i="10"/>
  <c r="Z403" i="10"/>
  <c r="U403" i="10"/>
  <c r="T403" i="10"/>
  <c r="N403" i="10"/>
  <c r="F403" i="10"/>
  <c r="AI402" i="10"/>
  <c r="AD402" i="10"/>
  <c r="AC402" i="10"/>
  <c r="AB402" i="10"/>
  <c r="AA402" i="10"/>
  <c r="Z402" i="10"/>
  <c r="U402" i="10"/>
  <c r="T402" i="10"/>
  <c r="N402" i="10"/>
  <c r="F402" i="10"/>
  <c r="AI401" i="10"/>
  <c r="AD401" i="10"/>
  <c r="AC401" i="10"/>
  <c r="AB401" i="10"/>
  <c r="AA401" i="10"/>
  <c r="Z401" i="10"/>
  <c r="U401" i="10"/>
  <c r="T401" i="10"/>
  <c r="N401" i="10"/>
  <c r="F401" i="10"/>
  <c r="AI400" i="10"/>
  <c r="AD400" i="10"/>
  <c r="AC400" i="10"/>
  <c r="AB400" i="10"/>
  <c r="AA400" i="10"/>
  <c r="Z400" i="10"/>
  <c r="U400" i="10"/>
  <c r="T400" i="10"/>
  <c r="N400" i="10"/>
  <c r="F400" i="10"/>
  <c r="AI399" i="10"/>
  <c r="AD399" i="10"/>
  <c r="AC399" i="10"/>
  <c r="AB399" i="10"/>
  <c r="AA399" i="10"/>
  <c r="Z399" i="10"/>
  <c r="U399" i="10"/>
  <c r="T399" i="10"/>
  <c r="N399" i="10"/>
  <c r="F399" i="10"/>
  <c r="AI398" i="10"/>
  <c r="AD398" i="10"/>
  <c r="AC398" i="10"/>
  <c r="AB398" i="10"/>
  <c r="AA398" i="10"/>
  <c r="Z398" i="10"/>
  <c r="U398" i="10"/>
  <c r="T398" i="10"/>
  <c r="N398" i="10"/>
  <c r="F398" i="10"/>
  <c r="AI397" i="10"/>
  <c r="AD397" i="10"/>
  <c r="AC397" i="10"/>
  <c r="AB397" i="10"/>
  <c r="AA397" i="10"/>
  <c r="Z397" i="10"/>
  <c r="U397" i="10"/>
  <c r="T397" i="10"/>
  <c r="N397" i="10"/>
  <c r="F397" i="10"/>
  <c r="AI396" i="10"/>
  <c r="AD396" i="10"/>
  <c r="AC396" i="10"/>
  <c r="AB396" i="10"/>
  <c r="AA396" i="10"/>
  <c r="Z396" i="10"/>
  <c r="U396" i="10"/>
  <c r="T396" i="10"/>
  <c r="N396" i="10"/>
  <c r="F396" i="10"/>
  <c r="AI395" i="10"/>
  <c r="AD395" i="10"/>
  <c r="AC395" i="10"/>
  <c r="AB395" i="10"/>
  <c r="AA395" i="10"/>
  <c r="Z395" i="10"/>
  <c r="U395" i="10"/>
  <c r="T395" i="10"/>
  <c r="N395" i="10"/>
  <c r="F395" i="10"/>
  <c r="AI394" i="10"/>
  <c r="AD394" i="10"/>
  <c r="AC394" i="10"/>
  <c r="AB394" i="10"/>
  <c r="AA394" i="10"/>
  <c r="Z394" i="10"/>
  <c r="U394" i="10"/>
  <c r="T394" i="10"/>
  <c r="N394" i="10"/>
  <c r="F394" i="10"/>
  <c r="AI393" i="10"/>
  <c r="AD393" i="10"/>
  <c r="AC393" i="10"/>
  <c r="AB393" i="10"/>
  <c r="AA393" i="10"/>
  <c r="Z393" i="10"/>
  <c r="U393" i="10"/>
  <c r="T393" i="10"/>
  <c r="N393" i="10"/>
  <c r="F393" i="10"/>
  <c r="AI392" i="10"/>
  <c r="AD392" i="10"/>
  <c r="AC392" i="10"/>
  <c r="AB392" i="10"/>
  <c r="AA392" i="10"/>
  <c r="Z392" i="10"/>
  <c r="U392" i="10"/>
  <c r="T392" i="10"/>
  <c r="N392" i="10"/>
  <c r="F392" i="10"/>
  <c r="AI391" i="10"/>
  <c r="AD391" i="10"/>
  <c r="AC391" i="10"/>
  <c r="AB391" i="10"/>
  <c r="AA391" i="10"/>
  <c r="Z391" i="10"/>
  <c r="U391" i="10"/>
  <c r="T391" i="10"/>
  <c r="N391" i="10"/>
  <c r="F391" i="10"/>
  <c r="AI390" i="10"/>
  <c r="AD390" i="10"/>
  <c r="AC390" i="10"/>
  <c r="AB390" i="10"/>
  <c r="AA390" i="10"/>
  <c r="Z390" i="10"/>
  <c r="U390" i="10"/>
  <c r="T390" i="10"/>
  <c r="N390" i="10"/>
  <c r="F390" i="10"/>
  <c r="AI389" i="10"/>
  <c r="AD389" i="10"/>
  <c r="AC389" i="10"/>
  <c r="AB389" i="10"/>
  <c r="AA389" i="10"/>
  <c r="Z389" i="10"/>
  <c r="U389" i="10"/>
  <c r="T389" i="10"/>
  <c r="N389" i="10"/>
  <c r="F389" i="10"/>
  <c r="AI388" i="10"/>
  <c r="AD388" i="10"/>
  <c r="AC388" i="10"/>
  <c r="AB388" i="10"/>
  <c r="AA388" i="10"/>
  <c r="Z388" i="10"/>
  <c r="U388" i="10"/>
  <c r="T388" i="10"/>
  <c r="N388" i="10"/>
  <c r="F388" i="10"/>
  <c r="AI387" i="10"/>
  <c r="AD387" i="10"/>
  <c r="AC387" i="10"/>
  <c r="AB387" i="10"/>
  <c r="AA387" i="10"/>
  <c r="Z387" i="10"/>
  <c r="U387" i="10"/>
  <c r="T387" i="10"/>
  <c r="N387" i="10"/>
  <c r="F387" i="10"/>
  <c r="AI386" i="10"/>
  <c r="AD386" i="10"/>
  <c r="AC386" i="10"/>
  <c r="AB386" i="10"/>
  <c r="AA386" i="10"/>
  <c r="Z386" i="10"/>
  <c r="U386" i="10"/>
  <c r="T386" i="10"/>
  <c r="N386" i="10"/>
  <c r="F386" i="10"/>
  <c r="AI385" i="10"/>
  <c r="AD385" i="10"/>
  <c r="AC385" i="10"/>
  <c r="AB385" i="10"/>
  <c r="AA385" i="10"/>
  <c r="Z385" i="10"/>
  <c r="U385" i="10"/>
  <c r="T385" i="10"/>
  <c r="N385" i="10"/>
  <c r="F385" i="10"/>
  <c r="AI384" i="10"/>
  <c r="AD384" i="10"/>
  <c r="AC384" i="10"/>
  <c r="AB384" i="10"/>
  <c r="AA384" i="10"/>
  <c r="Z384" i="10"/>
  <c r="U384" i="10"/>
  <c r="T384" i="10"/>
  <c r="N384" i="10"/>
  <c r="F384" i="10"/>
  <c r="AI383" i="10"/>
  <c r="AD383" i="10"/>
  <c r="AC383" i="10"/>
  <c r="AB383" i="10"/>
  <c r="AA383" i="10"/>
  <c r="Z383" i="10"/>
  <c r="U383" i="10"/>
  <c r="T383" i="10"/>
  <c r="N383" i="10"/>
  <c r="F383" i="10"/>
  <c r="AI382" i="10"/>
  <c r="AD382" i="10"/>
  <c r="AC382" i="10"/>
  <c r="AB382" i="10"/>
  <c r="AA382" i="10"/>
  <c r="Z382" i="10"/>
  <c r="U382" i="10"/>
  <c r="T382" i="10"/>
  <c r="N382" i="10"/>
  <c r="F382" i="10"/>
  <c r="AI381" i="10"/>
  <c r="AD381" i="10"/>
  <c r="AC381" i="10"/>
  <c r="AB381" i="10"/>
  <c r="AA381" i="10"/>
  <c r="Z381" i="10"/>
  <c r="U381" i="10"/>
  <c r="T381" i="10"/>
  <c r="N381" i="10"/>
  <c r="F381" i="10"/>
  <c r="AI380" i="10"/>
  <c r="AD380" i="10"/>
  <c r="AC380" i="10"/>
  <c r="AB380" i="10"/>
  <c r="AA380" i="10"/>
  <c r="Z380" i="10"/>
  <c r="U380" i="10"/>
  <c r="T380" i="10"/>
  <c r="N380" i="10"/>
  <c r="F380" i="10"/>
  <c r="AI379" i="10"/>
  <c r="AD379" i="10"/>
  <c r="AC379" i="10"/>
  <c r="AB379" i="10"/>
  <c r="AA379" i="10"/>
  <c r="Z379" i="10"/>
  <c r="U379" i="10"/>
  <c r="T379" i="10"/>
  <c r="N379" i="10"/>
  <c r="F379" i="10"/>
  <c r="AI378" i="10"/>
  <c r="AD378" i="10"/>
  <c r="AC378" i="10"/>
  <c r="AB378" i="10"/>
  <c r="AA378" i="10"/>
  <c r="Z378" i="10"/>
  <c r="U378" i="10"/>
  <c r="T378" i="10"/>
  <c r="N378" i="10"/>
  <c r="F378" i="10"/>
  <c r="AI377" i="10"/>
  <c r="AD377" i="10"/>
  <c r="AC377" i="10"/>
  <c r="AB377" i="10"/>
  <c r="AA377" i="10"/>
  <c r="Z377" i="10"/>
  <c r="U377" i="10"/>
  <c r="T377" i="10"/>
  <c r="N377" i="10"/>
  <c r="F377" i="10"/>
  <c r="AI376" i="10"/>
  <c r="AD376" i="10"/>
  <c r="AC376" i="10"/>
  <c r="AB376" i="10"/>
  <c r="AA376" i="10"/>
  <c r="Z376" i="10"/>
  <c r="U376" i="10"/>
  <c r="T376" i="10"/>
  <c r="N376" i="10"/>
  <c r="F376" i="10"/>
  <c r="AI375" i="10"/>
  <c r="AD375" i="10"/>
  <c r="AC375" i="10"/>
  <c r="AB375" i="10"/>
  <c r="AA375" i="10"/>
  <c r="Z375" i="10"/>
  <c r="U375" i="10"/>
  <c r="T375" i="10"/>
  <c r="N375" i="10"/>
  <c r="F375" i="10"/>
  <c r="AI374" i="10"/>
  <c r="AD374" i="10"/>
  <c r="AC374" i="10"/>
  <c r="AB374" i="10"/>
  <c r="AA374" i="10"/>
  <c r="Z374" i="10"/>
  <c r="U374" i="10"/>
  <c r="T374" i="10"/>
  <c r="N374" i="10"/>
  <c r="F374" i="10"/>
  <c r="AI373" i="10"/>
  <c r="AD373" i="10"/>
  <c r="AC373" i="10"/>
  <c r="AB373" i="10"/>
  <c r="AA373" i="10"/>
  <c r="Z373" i="10"/>
  <c r="U373" i="10"/>
  <c r="T373" i="10"/>
  <c r="N373" i="10"/>
  <c r="F373" i="10"/>
  <c r="AI372" i="10"/>
  <c r="AD372" i="10"/>
  <c r="AC372" i="10"/>
  <c r="AB372" i="10"/>
  <c r="AA372" i="10"/>
  <c r="Z372" i="10"/>
  <c r="U372" i="10"/>
  <c r="T372" i="10"/>
  <c r="N372" i="10"/>
  <c r="F372" i="10"/>
  <c r="AI371" i="10"/>
  <c r="AD371" i="10"/>
  <c r="AC371" i="10"/>
  <c r="AB371" i="10"/>
  <c r="AA371" i="10"/>
  <c r="Z371" i="10"/>
  <c r="U371" i="10"/>
  <c r="T371" i="10"/>
  <c r="N371" i="10"/>
  <c r="F371" i="10"/>
  <c r="AI370" i="10"/>
  <c r="AD370" i="10"/>
  <c r="AC370" i="10"/>
  <c r="AB370" i="10"/>
  <c r="AA370" i="10"/>
  <c r="Z370" i="10"/>
  <c r="U370" i="10"/>
  <c r="T370" i="10"/>
  <c r="N370" i="10"/>
  <c r="F370" i="10"/>
  <c r="AI369" i="10"/>
  <c r="AD369" i="10"/>
  <c r="AC369" i="10"/>
  <c r="AB369" i="10"/>
  <c r="AA369" i="10"/>
  <c r="Z369" i="10"/>
  <c r="U369" i="10"/>
  <c r="T369" i="10"/>
  <c r="N369" i="10"/>
  <c r="F369" i="10"/>
  <c r="AI368" i="10"/>
  <c r="AD368" i="10"/>
  <c r="AC368" i="10"/>
  <c r="AB368" i="10"/>
  <c r="AA368" i="10"/>
  <c r="Z368" i="10"/>
  <c r="U368" i="10"/>
  <c r="T368" i="10"/>
  <c r="N368" i="10"/>
  <c r="F368" i="10"/>
  <c r="AI367" i="10"/>
  <c r="AD367" i="10"/>
  <c r="AC367" i="10"/>
  <c r="AB367" i="10"/>
  <c r="AA367" i="10"/>
  <c r="Z367" i="10"/>
  <c r="U367" i="10"/>
  <c r="T367" i="10"/>
  <c r="N367" i="10"/>
  <c r="F367" i="10"/>
  <c r="AI366" i="10"/>
  <c r="AD366" i="10"/>
  <c r="AC366" i="10"/>
  <c r="AB366" i="10"/>
  <c r="AA366" i="10"/>
  <c r="Z366" i="10"/>
  <c r="U366" i="10"/>
  <c r="T366" i="10"/>
  <c r="N366" i="10"/>
  <c r="F366" i="10"/>
  <c r="AI365" i="10"/>
  <c r="AD365" i="10"/>
  <c r="AC365" i="10"/>
  <c r="AB365" i="10"/>
  <c r="AA365" i="10"/>
  <c r="Z365" i="10"/>
  <c r="U365" i="10"/>
  <c r="T365" i="10"/>
  <c r="N365" i="10"/>
  <c r="F365" i="10"/>
  <c r="AI364" i="10"/>
  <c r="AD364" i="10"/>
  <c r="AC364" i="10"/>
  <c r="AB364" i="10"/>
  <c r="AA364" i="10"/>
  <c r="Z364" i="10"/>
  <c r="U364" i="10"/>
  <c r="T364" i="10"/>
  <c r="N364" i="10"/>
  <c r="F364" i="10"/>
  <c r="AI363" i="10"/>
  <c r="AD363" i="10"/>
  <c r="AC363" i="10"/>
  <c r="AB363" i="10"/>
  <c r="AA363" i="10"/>
  <c r="Z363" i="10"/>
  <c r="U363" i="10"/>
  <c r="T363" i="10"/>
  <c r="N363" i="10"/>
  <c r="F363" i="10"/>
  <c r="AI362" i="10"/>
  <c r="AD362" i="10"/>
  <c r="AC362" i="10"/>
  <c r="AB362" i="10"/>
  <c r="AA362" i="10"/>
  <c r="Z362" i="10"/>
  <c r="U362" i="10"/>
  <c r="T362" i="10"/>
  <c r="N362" i="10"/>
  <c r="F362" i="10"/>
  <c r="AI361" i="10"/>
  <c r="AD361" i="10"/>
  <c r="AC361" i="10"/>
  <c r="AB361" i="10"/>
  <c r="AA361" i="10"/>
  <c r="Z361" i="10"/>
  <c r="U361" i="10"/>
  <c r="T361" i="10"/>
  <c r="N361" i="10"/>
  <c r="F361" i="10"/>
  <c r="AI360" i="10"/>
  <c r="AD360" i="10"/>
  <c r="AC360" i="10"/>
  <c r="AB360" i="10"/>
  <c r="AA360" i="10"/>
  <c r="Z360" i="10"/>
  <c r="U360" i="10"/>
  <c r="T360" i="10"/>
  <c r="N360" i="10"/>
  <c r="F360" i="10"/>
  <c r="AI359" i="10"/>
  <c r="AD359" i="10"/>
  <c r="AC359" i="10"/>
  <c r="AB359" i="10"/>
  <c r="AA359" i="10"/>
  <c r="Z359" i="10"/>
  <c r="U359" i="10"/>
  <c r="T359" i="10"/>
  <c r="N359" i="10"/>
  <c r="F359" i="10"/>
  <c r="AI358" i="10"/>
  <c r="AD358" i="10"/>
  <c r="AC358" i="10"/>
  <c r="AB358" i="10"/>
  <c r="AA358" i="10"/>
  <c r="Z358" i="10"/>
  <c r="U358" i="10"/>
  <c r="T358" i="10"/>
  <c r="N358" i="10"/>
  <c r="F358" i="10"/>
  <c r="AI357" i="10"/>
  <c r="AD357" i="10"/>
  <c r="AC357" i="10"/>
  <c r="AB357" i="10"/>
  <c r="AA357" i="10"/>
  <c r="Z357" i="10"/>
  <c r="U357" i="10"/>
  <c r="T357" i="10"/>
  <c r="N357" i="10"/>
  <c r="F357" i="10"/>
  <c r="AI356" i="10"/>
  <c r="AD356" i="10"/>
  <c r="AC356" i="10"/>
  <c r="AB356" i="10"/>
  <c r="AA356" i="10"/>
  <c r="Z356" i="10"/>
  <c r="U356" i="10"/>
  <c r="T356" i="10"/>
  <c r="N356" i="10"/>
  <c r="F356" i="10"/>
  <c r="AI355" i="10"/>
  <c r="AD355" i="10"/>
  <c r="AC355" i="10"/>
  <c r="AB355" i="10"/>
  <c r="AA355" i="10"/>
  <c r="Z355" i="10"/>
  <c r="U355" i="10"/>
  <c r="T355" i="10"/>
  <c r="N355" i="10"/>
  <c r="F355" i="10"/>
  <c r="AI354" i="10"/>
  <c r="AD354" i="10"/>
  <c r="AC354" i="10"/>
  <c r="AB354" i="10"/>
  <c r="AA354" i="10"/>
  <c r="Z354" i="10"/>
  <c r="U354" i="10"/>
  <c r="T354" i="10"/>
  <c r="N354" i="10"/>
  <c r="F354" i="10"/>
  <c r="AI353" i="10"/>
  <c r="AD353" i="10"/>
  <c r="AC353" i="10"/>
  <c r="AB353" i="10"/>
  <c r="AA353" i="10"/>
  <c r="Z353" i="10"/>
  <c r="U353" i="10"/>
  <c r="T353" i="10"/>
  <c r="N353" i="10"/>
  <c r="F353" i="10"/>
  <c r="AI352" i="10"/>
  <c r="AD352" i="10"/>
  <c r="AC352" i="10"/>
  <c r="AB352" i="10"/>
  <c r="AA352" i="10"/>
  <c r="Z352" i="10"/>
  <c r="U352" i="10"/>
  <c r="T352" i="10"/>
  <c r="N352" i="10"/>
  <c r="F352" i="10"/>
  <c r="AI351" i="10"/>
  <c r="AD351" i="10"/>
  <c r="AC351" i="10"/>
  <c r="AB351" i="10"/>
  <c r="AA351" i="10"/>
  <c r="Z351" i="10"/>
  <c r="U351" i="10"/>
  <c r="T351" i="10"/>
  <c r="N351" i="10"/>
  <c r="F351" i="10"/>
  <c r="AI350" i="10"/>
  <c r="AD350" i="10"/>
  <c r="AC350" i="10"/>
  <c r="AB350" i="10"/>
  <c r="AA350" i="10"/>
  <c r="Z350" i="10"/>
  <c r="U350" i="10"/>
  <c r="T350" i="10"/>
  <c r="N350" i="10"/>
  <c r="F350" i="10"/>
  <c r="AI349" i="10"/>
  <c r="AD349" i="10"/>
  <c r="AC349" i="10"/>
  <c r="AB349" i="10"/>
  <c r="AA349" i="10"/>
  <c r="Z349" i="10"/>
  <c r="U349" i="10"/>
  <c r="T349" i="10"/>
  <c r="N349" i="10"/>
  <c r="F349" i="10"/>
  <c r="AI348" i="10"/>
  <c r="AD348" i="10"/>
  <c r="AC348" i="10"/>
  <c r="AB348" i="10"/>
  <c r="AA348" i="10"/>
  <c r="Z348" i="10"/>
  <c r="U348" i="10"/>
  <c r="T348" i="10"/>
  <c r="N348" i="10"/>
  <c r="F348" i="10"/>
  <c r="AI347" i="10"/>
  <c r="AD347" i="10"/>
  <c r="AC347" i="10"/>
  <c r="AB347" i="10"/>
  <c r="AA347" i="10"/>
  <c r="Z347" i="10"/>
  <c r="U347" i="10"/>
  <c r="T347" i="10"/>
  <c r="N347" i="10"/>
  <c r="F347" i="10"/>
  <c r="AI346" i="10"/>
  <c r="AD346" i="10"/>
  <c r="AC346" i="10"/>
  <c r="AB346" i="10"/>
  <c r="AA346" i="10"/>
  <c r="Z346" i="10"/>
  <c r="U346" i="10"/>
  <c r="T346" i="10"/>
  <c r="N346" i="10"/>
  <c r="F346" i="10"/>
  <c r="AI345" i="10"/>
  <c r="AD345" i="10"/>
  <c r="AC345" i="10"/>
  <c r="AB345" i="10"/>
  <c r="AA345" i="10"/>
  <c r="Z345" i="10"/>
  <c r="U345" i="10"/>
  <c r="T345" i="10"/>
  <c r="N345" i="10"/>
  <c r="F345" i="10"/>
  <c r="AI344" i="10"/>
  <c r="AD344" i="10"/>
  <c r="AC344" i="10"/>
  <c r="AB344" i="10"/>
  <c r="AA344" i="10"/>
  <c r="Z344" i="10"/>
  <c r="U344" i="10"/>
  <c r="T344" i="10"/>
  <c r="N344" i="10"/>
  <c r="F344" i="10"/>
  <c r="AI343" i="10"/>
  <c r="AD343" i="10"/>
  <c r="AC343" i="10"/>
  <c r="AB343" i="10"/>
  <c r="AA343" i="10"/>
  <c r="Z343" i="10"/>
  <c r="U343" i="10"/>
  <c r="T343" i="10"/>
  <c r="N343" i="10"/>
  <c r="F343" i="10"/>
  <c r="AI342" i="10"/>
  <c r="AD342" i="10"/>
  <c r="AC342" i="10"/>
  <c r="AB342" i="10"/>
  <c r="AA342" i="10"/>
  <c r="Z342" i="10"/>
  <c r="U342" i="10"/>
  <c r="T342" i="10"/>
  <c r="N342" i="10"/>
  <c r="F342" i="10"/>
  <c r="AI341" i="10"/>
  <c r="AD341" i="10"/>
  <c r="AC341" i="10"/>
  <c r="AB341" i="10"/>
  <c r="AA341" i="10"/>
  <c r="Z341" i="10"/>
  <c r="U341" i="10"/>
  <c r="T341" i="10"/>
  <c r="N341" i="10"/>
  <c r="F341" i="10"/>
  <c r="AI340" i="10"/>
  <c r="AD340" i="10"/>
  <c r="AC340" i="10"/>
  <c r="AB340" i="10"/>
  <c r="AA340" i="10"/>
  <c r="Z340" i="10"/>
  <c r="U340" i="10"/>
  <c r="T340" i="10"/>
  <c r="N340" i="10"/>
  <c r="F340" i="10"/>
  <c r="AI339" i="10"/>
  <c r="AD339" i="10"/>
  <c r="AC339" i="10"/>
  <c r="AB339" i="10"/>
  <c r="AA339" i="10"/>
  <c r="Z339" i="10"/>
  <c r="U339" i="10"/>
  <c r="T339" i="10"/>
  <c r="N339" i="10"/>
  <c r="F339" i="10"/>
  <c r="AI338" i="10"/>
  <c r="AD338" i="10"/>
  <c r="AC338" i="10"/>
  <c r="AB338" i="10"/>
  <c r="AA338" i="10"/>
  <c r="Z338" i="10"/>
  <c r="U338" i="10"/>
  <c r="T338" i="10"/>
  <c r="N338" i="10"/>
  <c r="F338" i="10"/>
  <c r="AI337" i="10"/>
  <c r="AD337" i="10"/>
  <c r="AC337" i="10"/>
  <c r="AB337" i="10"/>
  <c r="AA337" i="10"/>
  <c r="Z337" i="10"/>
  <c r="U337" i="10"/>
  <c r="T337" i="10"/>
  <c r="N337" i="10"/>
  <c r="F337" i="10"/>
  <c r="AI336" i="10"/>
  <c r="AD336" i="10"/>
  <c r="AC336" i="10"/>
  <c r="AB336" i="10"/>
  <c r="AA336" i="10"/>
  <c r="Z336" i="10"/>
  <c r="U336" i="10"/>
  <c r="T336" i="10"/>
  <c r="N336" i="10"/>
  <c r="F336" i="10"/>
  <c r="AI335" i="10"/>
  <c r="AD335" i="10"/>
  <c r="AC335" i="10"/>
  <c r="AB335" i="10"/>
  <c r="AA335" i="10"/>
  <c r="Z335" i="10"/>
  <c r="U335" i="10"/>
  <c r="T335" i="10"/>
  <c r="N335" i="10"/>
  <c r="F335" i="10"/>
  <c r="AI334" i="10"/>
  <c r="AD334" i="10"/>
  <c r="AC334" i="10"/>
  <c r="AB334" i="10"/>
  <c r="AA334" i="10"/>
  <c r="Z334" i="10"/>
  <c r="U334" i="10"/>
  <c r="T334" i="10"/>
  <c r="N334" i="10"/>
  <c r="F334" i="10"/>
  <c r="AI333" i="10"/>
  <c r="AD333" i="10"/>
  <c r="AC333" i="10"/>
  <c r="AB333" i="10"/>
  <c r="AA333" i="10"/>
  <c r="Z333" i="10"/>
  <c r="U333" i="10"/>
  <c r="T333" i="10"/>
  <c r="N333" i="10"/>
  <c r="F333" i="10"/>
  <c r="AI332" i="10"/>
  <c r="AD332" i="10"/>
  <c r="AC332" i="10"/>
  <c r="AB332" i="10"/>
  <c r="AA332" i="10"/>
  <c r="Z332" i="10"/>
  <c r="U332" i="10"/>
  <c r="T332" i="10"/>
  <c r="N332" i="10"/>
  <c r="F332" i="10"/>
  <c r="AI331" i="10"/>
  <c r="AD331" i="10"/>
  <c r="AC331" i="10"/>
  <c r="AB331" i="10"/>
  <c r="AA331" i="10"/>
  <c r="Z331" i="10"/>
  <c r="U331" i="10"/>
  <c r="T331" i="10"/>
  <c r="N331" i="10"/>
  <c r="F331" i="10"/>
  <c r="AI330" i="10"/>
  <c r="AD330" i="10"/>
  <c r="AC330" i="10"/>
  <c r="AB330" i="10"/>
  <c r="AA330" i="10"/>
  <c r="Z330" i="10"/>
  <c r="U330" i="10"/>
  <c r="T330" i="10"/>
  <c r="N330" i="10"/>
  <c r="F330" i="10"/>
  <c r="AI329" i="10"/>
  <c r="AD329" i="10"/>
  <c r="AC329" i="10"/>
  <c r="AB329" i="10"/>
  <c r="AA329" i="10"/>
  <c r="Z329" i="10"/>
  <c r="U329" i="10"/>
  <c r="T329" i="10"/>
  <c r="N329" i="10"/>
  <c r="F329" i="10"/>
  <c r="AI328" i="10"/>
  <c r="AD328" i="10"/>
  <c r="AC328" i="10"/>
  <c r="AB328" i="10"/>
  <c r="AA328" i="10"/>
  <c r="Z328" i="10"/>
  <c r="U328" i="10"/>
  <c r="T328" i="10"/>
  <c r="N328" i="10"/>
  <c r="F328" i="10"/>
  <c r="AI327" i="10"/>
  <c r="AD327" i="10"/>
  <c r="AC327" i="10"/>
  <c r="AB327" i="10"/>
  <c r="AA327" i="10"/>
  <c r="Z327" i="10"/>
  <c r="U327" i="10"/>
  <c r="T327" i="10"/>
  <c r="N327" i="10"/>
  <c r="F327" i="10"/>
  <c r="AI326" i="10"/>
  <c r="AD326" i="10"/>
  <c r="AC326" i="10"/>
  <c r="AB326" i="10"/>
  <c r="AA326" i="10"/>
  <c r="Z326" i="10"/>
  <c r="U326" i="10"/>
  <c r="T326" i="10"/>
  <c r="N326" i="10"/>
  <c r="F326" i="10"/>
  <c r="AI325" i="10"/>
  <c r="AD325" i="10"/>
  <c r="AC325" i="10"/>
  <c r="AB325" i="10"/>
  <c r="AA325" i="10"/>
  <c r="Z325" i="10"/>
  <c r="U325" i="10"/>
  <c r="T325" i="10"/>
  <c r="N325" i="10"/>
  <c r="F325" i="10"/>
  <c r="AI324" i="10"/>
  <c r="AD324" i="10"/>
  <c r="AC324" i="10"/>
  <c r="AB324" i="10"/>
  <c r="AA324" i="10"/>
  <c r="Z324" i="10"/>
  <c r="U324" i="10"/>
  <c r="T324" i="10"/>
  <c r="N324" i="10"/>
  <c r="F324" i="10"/>
  <c r="AI323" i="10"/>
  <c r="AD323" i="10"/>
  <c r="AC323" i="10"/>
  <c r="AB323" i="10"/>
  <c r="AA323" i="10"/>
  <c r="Z323" i="10"/>
  <c r="U323" i="10"/>
  <c r="T323" i="10"/>
  <c r="N323" i="10"/>
  <c r="F323" i="10"/>
  <c r="AI322" i="10"/>
  <c r="AD322" i="10"/>
  <c r="AC322" i="10"/>
  <c r="AB322" i="10"/>
  <c r="AA322" i="10"/>
  <c r="Z322" i="10"/>
  <c r="U322" i="10"/>
  <c r="T322" i="10"/>
  <c r="N322" i="10"/>
  <c r="F322" i="10"/>
  <c r="AI321" i="10"/>
  <c r="AD321" i="10"/>
  <c r="AC321" i="10"/>
  <c r="AB321" i="10"/>
  <c r="AA321" i="10"/>
  <c r="Z321" i="10"/>
  <c r="U321" i="10"/>
  <c r="T321" i="10"/>
  <c r="N321" i="10"/>
  <c r="F321" i="10"/>
  <c r="AI320" i="10"/>
  <c r="AD320" i="10"/>
  <c r="AC320" i="10"/>
  <c r="AB320" i="10"/>
  <c r="AA320" i="10"/>
  <c r="Z320" i="10"/>
  <c r="U320" i="10"/>
  <c r="T320" i="10"/>
  <c r="N320" i="10"/>
  <c r="F320" i="10"/>
  <c r="AI319" i="10"/>
  <c r="AD319" i="10"/>
  <c r="AC319" i="10"/>
  <c r="AB319" i="10"/>
  <c r="AA319" i="10"/>
  <c r="Z319" i="10"/>
  <c r="U319" i="10"/>
  <c r="T319" i="10"/>
  <c r="N319" i="10"/>
  <c r="F319" i="10"/>
  <c r="AI318" i="10"/>
  <c r="AD318" i="10"/>
  <c r="AC318" i="10"/>
  <c r="AB318" i="10"/>
  <c r="AA318" i="10"/>
  <c r="Z318" i="10"/>
  <c r="U318" i="10"/>
  <c r="T318" i="10"/>
  <c r="N318" i="10"/>
  <c r="F318" i="10"/>
  <c r="AI317" i="10"/>
  <c r="AD317" i="10"/>
  <c r="AC317" i="10"/>
  <c r="AB317" i="10"/>
  <c r="AA317" i="10"/>
  <c r="Z317" i="10"/>
  <c r="U317" i="10"/>
  <c r="T317" i="10"/>
  <c r="N317" i="10"/>
  <c r="F317" i="10"/>
  <c r="AI316" i="10"/>
  <c r="AD316" i="10"/>
  <c r="AC316" i="10"/>
  <c r="AB316" i="10"/>
  <c r="AA316" i="10"/>
  <c r="Z316" i="10"/>
  <c r="U316" i="10"/>
  <c r="T316" i="10"/>
  <c r="N316" i="10"/>
  <c r="F316" i="10"/>
  <c r="AI315" i="10"/>
  <c r="AD315" i="10"/>
  <c r="AC315" i="10"/>
  <c r="AB315" i="10"/>
  <c r="AA315" i="10"/>
  <c r="Z315" i="10"/>
  <c r="U315" i="10"/>
  <c r="T315" i="10"/>
  <c r="N315" i="10"/>
  <c r="F315" i="10"/>
  <c r="AI314" i="10"/>
  <c r="AD314" i="10"/>
  <c r="AC314" i="10"/>
  <c r="AB314" i="10"/>
  <c r="AA314" i="10"/>
  <c r="Z314" i="10"/>
  <c r="U314" i="10"/>
  <c r="T314" i="10"/>
  <c r="N314" i="10"/>
  <c r="F314" i="10"/>
  <c r="AI313" i="10"/>
  <c r="AD313" i="10"/>
  <c r="AC313" i="10"/>
  <c r="AB313" i="10"/>
  <c r="AA313" i="10"/>
  <c r="Z313" i="10"/>
  <c r="U313" i="10"/>
  <c r="T313" i="10"/>
  <c r="N313" i="10"/>
  <c r="F313" i="10"/>
  <c r="AI312" i="10"/>
  <c r="AD312" i="10"/>
  <c r="AC312" i="10"/>
  <c r="AB312" i="10"/>
  <c r="AA312" i="10"/>
  <c r="Z312" i="10"/>
  <c r="U312" i="10"/>
  <c r="T312" i="10"/>
  <c r="N312" i="10"/>
  <c r="F312" i="10"/>
  <c r="AI311" i="10"/>
  <c r="AD311" i="10"/>
  <c r="AC311" i="10"/>
  <c r="AB311" i="10"/>
  <c r="AA311" i="10"/>
  <c r="Z311" i="10"/>
  <c r="U311" i="10"/>
  <c r="T311" i="10"/>
  <c r="N311" i="10"/>
  <c r="F311" i="10"/>
  <c r="AI310" i="10"/>
  <c r="AD310" i="10"/>
  <c r="AC310" i="10"/>
  <c r="AB310" i="10"/>
  <c r="AA310" i="10"/>
  <c r="Z310" i="10"/>
  <c r="U310" i="10"/>
  <c r="T310" i="10"/>
  <c r="N310" i="10"/>
  <c r="F310" i="10"/>
  <c r="AI309" i="10"/>
  <c r="AD309" i="10"/>
  <c r="AC309" i="10"/>
  <c r="AB309" i="10"/>
  <c r="AA309" i="10"/>
  <c r="Z309" i="10"/>
  <c r="U309" i="10"/>
  <c r="T309" i="10"/>
  <c r="N309" i="10"/>
  <c r="F309" i="10"/>
  <c r="AI308" i="10"/>
  <c r="AD308" i="10"/>
  <c r="AC308" i="10"/>
  <c r="AB308" i="10"/>
  <c r="AA308" i="10"/>
  <c r="Z308" i="10"/>
  <c r="U308" i="10"/>
  <c r="T308" i="10"/>
  <c r="N308" i="10"/>
  <c r="F308" i="10"/>
  <c r="AI307" i="10"/>
  <c r="AD307" i="10"/>
  <c r="AC307" i="10"/>
  <c r="AB307" i="10"/>
  <c r="AA307" i="10"/>
  <c r="Z307" i="10"/>
  <c r="U307" i="10"/>
  <c r="T307" i="10"/>
  <c r="N307" i="10"/>
  <c r="F307" i="10"/>
  <c r="AI306" i="10"/>
  <c r="AD306" i="10"/>
  <c r="AC306" i="10"/>
  <c r="AB306" i="10"/>
  <c r="AA306" i="10"/>
  <c r="Z306" i="10"/>
  <c r="U306" i="10"/>
  <c r="T306" i="10"/>
  <c r="N306" i="10"/>
  <c r="F306" i="10"/>
  <c r="AI305" i="10"/>
  <c r="AD305" i="10"/>
  <c r="AC305" i="10"/>
  <c r="AB305" i="10"/>
  <c r="AA305" i="10"/>
  <c r="Z305" i="10"/>
  <c r="U305" i="10"/>
  <c r="T305" i="10"/>
  <c r="N305" i="10"/>
  <c r="F305" i="10"/>
  <c r="AI304" i="10"/>
  <c r="AD304" i="10"/>
  <c r="AC304" i="10"/>
  <c r="AB304" i="10"/>
  <c r="AA304" i="10"/>
  <c r="Z304" i="10"/>
  <c r="U304" i="10"/>
  <c r="T304" i="10"/>
  <c r="N304" i="10"/>
  <c r="F304" i="10"/>
  <c r="AI303" i="10"/>
  <c r="AD303" i="10"/>
  <c r="AC303" i="10"/>
  <c r="AB303" i="10"/>
  <c r="AA303" i="10"/>
  <c r="Z303" i="10"/>
  <c r="U303" i="10"/>
  <c r="T303" i="10"/>
  <c r="N303" i="10"/>
  <c r="F303" i="10"/>
  <c r="AI302" i="10"/>
  <c r="AD302" i="10"/>
  <c r="AC302" i="10"/>
  <c r="AB302" i="10"/>
  <c r="AA302" i="10"/>
  <c r="Z302" i="10"/>
  <c r="U302" i="10"/>
  <c r="T302" i="10"/>
  <c r="N302" i="10"/>
  <c r="F302" i="10"/>
  <c r="AI301" i="10"/>
  <c r="AD301" i="10"/>
  <c r="AC301" i="10"/>
  <c r="AB301" i="10"/>
  <c r="AA301" i="10"/>
  <c r="Z301" i="10"/>
  <c r="U301" i="10"/>
  <c r="T301" i="10"/>
  <c r="N301" i="10"/>
  <c r="F301" i="10"/>
  <c r="AI300" i="10"/>
  <c r="AD300" i="10"/>
  <c r="AC300" i="10"/>
  <c r="AB300" i="10"/>
  <c r="AA300" i="10"/>
  <c r="Z300" i="10"/>
  <c r="U300" i="10"/>
  <c r="T300" i="10"/>
  <c r="N300" i="10"/>
  <c r="F300" i="10"/>
  <c r="AI299" i="10"/>
  <c r="AD299" i="10"/>
  <c r="AC299" i="10"/>
  <c r="AB299" i="10"/>
  <c r="AA299" i="10"/>
  <c r="Z299" i="10"/>
  <c r="U299" i="10"/>
  <c r="T299" i="10"/>
  <c r="N299" i="10"/>
  <c r="F299" i="10"/>
  <c r="AI298" i="10"/>
  <c r="AD298" i="10"/>
  <c r="AC298" i="10"/>
  <c r="AB298" i="10"/>
  <c r="AA298" i="10"/>
  <c r="Z298" i="10"/>
  <c r="U298" i="10"/>
  <c r="T298" i="10"/>
  <c r="N298" i="10"/>
  <c r="F298" i="10"/>
  <c r="AI297" i="10"/>
  <c r="AD297" i="10"/>
  <c r="AC297" i="10"/>
  <c r="AB297" i="10"/>
  <c r="AA297" i="10"/>
  <c r="Z297" i="10"/>
  <c r="U297" i="10"/>
  <c r="T297" i="10"/>
  <c r="N297" i="10"/>
  <c r="F297" i="10"/>
  <c r="AI296" i="10"/>
  <c r="AD296" i="10"/>
  <c r="AC296" i="10"/>
  <c r="AB296" i="10"/>
  <c r="AA296" i="10"/>
  <c r="Z296" i="10"/>
  <c r="U296" i="10"/>
  <c r="T296" i="10"/>
  <c r="N296" i="10"/>
  <c r="F296" i="10"/>
  <c r="AI295" i="10"/>
  <c r="AD295" i="10"/>
  <c r="AC295" i="10"/>
  <c r="AB295" i="10"/>
  <c r="AA295" i="10"/>
  <c r="Z295" i="10"/>
  <c r="U295" i="10"/>
  <c r="T295" i="10"/>
  <c r="N295" i="10"/>
  <c r="F295" i="10"/>
  <c r="AI294" i="10"/>
  <c r="AD294" i="10"/>
  <c r="AC294" i="10"/>
  <c r="AB294" i="10"/>
  <c r="AA294" i="10"/>
  <c r="Z294" i="10"/>
  <c r="U294" i="10"/>
  <c r="T294" i="10"/>
  <c r="N294" i="10"/>
  <c r="F294" i="10"/>
  <c r="AI293" i="10"/>
  <c r="AD293" i="10"/>
  <c r="AC293" i="10"/>
  <c r="AB293" i="10"/>
  <c r="AA293" i="10"/>
  <c r="Z293" i="10"/>
  <c r="U293" i="10"/>
  <c r="T293" i="10"/>
  <c r="N293" i="10"/>
  <c r="F293" i="10"/>
  <c r="AI292" i="10"/>
  <c r="AD292" i="10"/>
  <c r="AC292" i="10"/>
  <c r="AB292" i="10"/>
  <c r="AA292" i="10"/>
  <c r="Z292" i="10"/>
  <c r="U292" i="10"/>
  <c r="T292" i="10"/>
  <c r="N292" i="10"/>
  <c r="F292" i="10"/>
  <c r="AI291" i="10"/>
  <c r="AD291" i="10"/>
  <c r="AC291" i="10"/>
  <c r="AB291" i="10"/>
  <c r="AA291" i="10"/>
  <c r="Z291" i="10"/>
  <c r="U291" i="10"/>
  <c r="T291" i="10"/>
  <c r="N291" i="10"/>
  <c r="F291" i="10"/>
  <c r="AI290" i="10"/>
  <c r="AD290" i="10"/>
  <c r="AC290" i="10"/>
  <c r="AB290" i="10"/>
  <c r="AA290" i="10"/>
  <c r="Z290" i="10"/>
  <c r="U290" i="10"/>
  <c r="T290" i="10"/>
  <c r="N290" i="10"/>
  <c r="F290" i="10"/>
  <c r="AI289" i="10"/>
  <c r="AD289" i="10"/>
  <c r="AC289" i="10"/>
  <c r="AB289" i="10"/>
  <c r="AA289" i="10"/>
  <c r="Z289" i="10"/>
  <c r="U289" i="10"/>
  <c r="T289" i="10"/>
  <c r="N289" i="10"/>
  <c r="F289" i="10"/>
  <c r="AI288" i="10"/>
  <c r="AD288" i="10"/>
  <c r="AC288" i="10"/>
  <c r="AB288" i="10"/>
  <c r="AA288" i="10"/>
  <c r="Z288" i="10"/>
  <c r="U288" i="10"/>
  <c r="T288" i="10"/>
  <c r="N288" i="10"/>
  <c r="F288" i="10"/>
  <c r="AI287" i="10"/>
  <c r="AD287" i="10"/>
  <c r="AC287" i="10"/>
  <c r="AB287" i="10"/>
  <c r="AA287" i="10"/>
  <c r="Z287" i="10"/>
  <c r="U287" i="10"/>
  <c r="T287" i="10"/>
  <c r="N287" i="10"/>
  <c r="F287" i="10"/>
  <c r="AI286" i="10"/>
  <c r="AD286" i="10"/>
  <c r="AC286" i="10"/>
  <c r="AB286" i="10"/>
  <c r="AA286" i="10"/>
  <c r="Z286" i="10"/>
  <c r="U286" i="10"/>
  <c r="T286" i="10"/>
  <c r="N286" i="10"/>
  <c r="F286" i="10"/>
  <c r="AI285" i="10"/>
  <c r="AD285" i="10"/>
  <c r="AC285" i="10"/>
  <c r="AB285" i="10"/>
  <c r="AA285" i="10"/>
  <c r="Z285" i="10"/>
  <c r="U285" i="10"/>
  <c r="T285" i="10"/>
  <c r="N285" i="10"/>
  <c r="F285" i="10"/>
  <c r="AI284" i="10"/>
  <c r="AD284" i="10"/>
  <c r="AC284" i="10"/>
  <c r="AB284" i="10"/>
  <c r="AA284" i="10"/>
  <c r="Z284" i="10"/>
  <c r="U284" i="10"/>
  <c r="T284" i="10"/>
  <c r="N284" i="10"/>
  <c r="F284" i="10"/>
  <c r="AI283" i="10"/>
  <c r="AD283" i="10"/>
  <c r="AC283" i="10"/>
  <c r="AB283" i="10"/>
  <c r="AA283" i="10"/>
  <c r="Z283" i="10"/>
  <c r="U283" i="10"/>
  <c r="T283" i="10"/>
  <c r="N283" i="10"/>
  <c r="F283" i="10"/>
  <c r="AI282" i="10"/>
  <c r="AD282" i="10"/>
  <c r="AC282" i="10"/>
  <c r="AB282" i="10"/>
  <c r="AA282" i="10"/>
  <c r="Z282" i="10"/>
  <c r="U282" i="10"/>
  <c r="T282" i="10"/>
  <c r="N282" i="10"/>
  <c r="F282" i="10"/>
  <c r="AI281" i="10"/>
  <c r="AD281" i="10"/>
  <c r="AC281" i="10"/>
  <c r="AB281" i="10"/>
  <c r="AA281" i="10"/>
  <c r="Z281" i="10"/>
  <c r="U281" i="10"/>
  <c r="T281" i="10"/>
  <c r="N281" i="10"/>
  <c r="F281" i="10"/>
  <c r="AI280" i="10"/>
  <c r="AD280" i="10"/>
  <c r="AC280" i="10"/>
  <c r="AB280" i="10"/>
  <c r="AA280" i="10"/>
  <c r="Z280" i="10"/>
  <c r="U280" i="10"/>
  <c r="T280" i="10"/>
  <c r="N280" i="10"/>
  <c r="F280" i="10"/>
  <c r="AI279" i="10"/>
  <c r="AD279" i="10"/>
  <c r="AC279" i="10"/>
  <c r="AB279" i="10"/>
  <c r="AA279" i="10"/>
  <c r="Z279" i="10"/>
  <c r="U279" i="10"/>
  <c r="T279" i="10"/>
  <c r="N279" i="10"/>
  <c r="F279" i="10"/>
  <c r="AI278" i="10"/>
  <c r="AD278" i="10"/>
  <c r="AC278" i="10"/>
  <c r="AB278" i="10"/>
  <c r="AA278" i="10"/>
  <c r="Z278" i="10"/>
  <c r="U278" i="10"/>
  <c r="T278" i="10"/>
  <c r="N278" i="10"/>
  <c r="F278" i="10"/>
  <c r="AI277" i="10"/>
  <c r="AD277" i="10"/>
  <c r="AC277" i="10"/>
  <c r="AB277" i="10"/>
  <c r="AA277" i="10"/>
  <c r="Z277" i="10"/>
  <c r="U277" i="10"/>
  <c r="T277" i="10"/>
  <c r="N277" i="10"/>
  <c r="F277" i="10"/>
  <c r="AI276" i="10"/>
  <c r="AD276" i="10"/>
  <c r="AC276" i="10"/>
  <c r="AB276" i="10"/>
  <c r="AA276" i="10"/>
  <c r="Z276" i="10"/>
  <c r="U276" i="10"/>
  <c r="T276" i="10"/>
  <c r="N276" i="10"/>
  <c r="F276" i="10"/>
  <c r="AI275" i="10"/>
  <c r="AD275" i="10"/>
  <c r="AC275" i="10"/>
  <c r="AB275" i="10"/>
  <c r="AA275" i="10"/>
  <c r="Z275" i="10"/>
  <c r="U275" i="10"/>
  <c r="T275" i="10"/>
  <c r="N275" i="10"/>
  <c r="F275" i="10"/>
  <c r="AI274" i="10"/>
  <c r="AD274" i="10"/>
  <c r="AC274" i="10"/>
  <c r="AB274" i="10"/>
  <c r="AA274" i="10"/>
  <c r="Z274" i="10"/>
  <c r="U274" i="10"/>
  <c r="T274" i="10"/>
  <c r="N274" i="10"/>
  <c r="F274" i="10"/>
  <c r="AI273" i="10"/>
  <c r="AD273" i="10"/>
  <c r="AC273" i="10"/>
  <c r="AB273" i="10"/>
  <c r="AA273" i="10"/>
  <c r="Z273" i="10"/>
  <c r="U273" i="10"/>
  <c r="T273" i="10"/>
  <c r="N273" i="10"/>
  <c r="F273" i="10"/>
  <c r="AI272" i="10"/>
  <c r="AD272" i="10"/>
  <c r="AC272" i="10"/>
  <c r="AB272" i="10"/>
  <c r="AA272" i="10"/>
  <c r="Z272" i="10"/>
  <c r="U272" i="10"/>
  <c r="T272" i="10"/>
  <c r="N272" i="10"/>
  <c r="F272" i="10"/>
  <c r="AI271" i="10"/>
  <c r="AD271" i="10"/>
  <c r="AC271" i="10"/>
  <c r="AB271" i="10"/>
  <c r="AA271" i="10"/>
  <c r="Z271" i="10"/>
  <c r="U271" i="10"/>
  <c r="T271" i="10"/>
  <c r="N271" i="10"/>
  <c r="F271" i="10"/>
  <c r="AI270" i="10"/>
  <c r="AD270" i="10"/>
  <c r="AC270" i="10"/>
  <c r="AB270" i="10"/>
  <c r="AA270" i="10"/>
  <c r="Z270" i="10"/>
  <c r="U270" i="10"/>
  <c r="T270" i="10"/>
  <c r="N270" i="10"/>
  <c r="F270" i="10"/>
  <c r="AI269" i="10"/>
  <c r="AD269" i="10"/>
  <c r="AC269" i="10"/>
  <c r="AB269" i="10"/>
  <c r="AA269" i="10"/>
  <c r="Z269" i="10"/>
  <c r="U269" i="10"/>
  <c r="T269" i="10"/>
  <c r="N269" i="10"/>
  <c r="F269" i="10"/>
  <c r="AI268" i="10"/>
  <c r="AD268" i="10"/>
  <c r="AC268" i="10"/>
  <c r="AB268" i="10"/>
  <c r="AA268" i="10"/>
  <c r="Z268" i="10"/>
  <c r="U268" i="10"/>
  <c r="T268" i="10"/>
  <c r="N268" i="10"/>
  <c r="F268" i="10"/>
  <c r="AI267" i="10"/>
  <c r="AD267" i="10"/>
  <c r="AC267" i="10"/>
  <c r="AB267" i="10"/>
  <c r="AA267" i="10"/>
  <c r="Z267" i="10"/>
  <c r="U267" i="10"/>
  <c r="T267" i="10"/>
  <c r="N267" i="10"/>
  <c r="F267" i="10"/>
  <c r="AI266" i="10"/>
  <c r="AD266" i="10"/>
  <c r="AC266" i="10"/>
  <c r="AB266" i="10"/>
  <c r="AA266" i="10"/>
  <c r="Z266" i="10"/>
  <c r="U266" i="10"/>
  <c r="T266" i="10"/>
  <c r="N266" i="10"/>
  <c r="F266" i="10"/>
  <c r="AI265" i="10"/>
  <c r="AD265" i="10"/>
  <c r="AC265" i="10"/>
  <c r="AB265" i="10"/>
  <c r="AA265" i="10"/>
  <c r="Z265" i="10"/>
  <c r="U265" i="10"/>
  <c r="T265" i="10"/>
  <c r="N265" i="10"/>
  <c r="F265" i="10"/>
  <c r="AI264" i="10"/>
  <c r="AD264" i="10"/>
  <c r="AC264" i="10"/>
  <c r="AB264" i="10"/>
  <c r="AA264" i="10"/>
  <c r="Z264" i="10"/>
  <c r="U264" i="10"/>
  <c r="T264" i="10"/>
  <c r="N264" i="10"/>
  <c r="F264" i="10"/>
  <c r="AI263" i="10"/>
  <c r="AD263" i="10"/>
  <c r="AC263" i="10"/>
  <c r="AB263" i="10"/>
  <c r="AA263" i="10"/>
  <c r="Z263" i="10"/>
  <c r="U263" i="10"/>
  <c r="T263" i="10"/>
  <c r="N263" i="10"/>
  <c r="F263" i="10"/>
  <c r="AI262" i="10"/>
  <c r="AD262" i="10"/>
  <c r="AC262" i="10"/>
  <c r="AB262" i="10"/>
  <c r="AA262" i="10"/>
  <c r="Z262" i="10"/>
  <c r="U262" i="10"/>
  <c r="T262" i="10"/>
  <c r="N262" i="10"/>
  <c r="F262" i="10"/>
  <c r="AI261" i="10"/>
  <c r="AD261" i="10"/>
  <c r="AC261" i="10"/>
  <c r="AB261" i="10"/>
  <c r="AA261" i="10"/>
  <c r="Z261" i="10"/>
  <c r="U261" i="10"/>
  <c r="T261" i="10"/>
  <c r="N261" i="10"/>
  <c r="F261" i="10"/>
  <c r="AI260" i="10"/>
  <c r="AD260" i="10"/>
  <c r="AC260" i="10"/>
  <c r="AB260" i="10"/>
  <c r="AA260" i="10"/>
  <c r="Z260" i="10"/>
  <c r="U260" i="10"/>
  <c r="T260" i="10"/>
  <c r="N260" i="10"/>
  <c r="F260" i="10"/>
  <c r="AI259" i="10"/>
  <c r="AD259" i="10"/>
  <c r="AC259" i="10"/>
  <c r="AB259" i="10"/>
  <c r="AA259" i="10"/>
  <c r="Z259" i="10"/>
  <c r="U259" i="10"/>
  <c r="T259" i="10"/>
  <c r="N259" i="10"/>
  <c r="F259" i="10"/>
  <c r="AI258" i="10"/>
  <c r="AD258" i="10"/>
  <c r="AC258" i="10"/>
  <c r="AB258" i="10"/>
  <c r="AA258" i="10"/>
  <c r="Z258" i="10"/>
  <c r="U258" i="10"/>
  <c r="T258" i="10"/>
  <c r="N258" i="10"/>
  <c r="F258" i="10"/>
  <c r="AI257" i="10"/>
  <c r="AD257" i="10"/>
  <c r="AC257" i="10"/>
  <c r="AB257" i="10"/>
  <c r="AA257" i="10"/>
  <c r="Z257" i="10"/>
  <c r="U257" i="10"/>
  <c r="T257" i="10"/>
  <c r="N257" i="10"/>
  <c r="F257" i="10"/>
  <c r="AI256" i="10"/>
  <c r="AD256" i="10"/>
  <c r="AC256" i="10"/>
  <c r="AB256" i="10"/>
  <c r="AA256" i="10"/>
  <c r="Z256" i="10"/>
  <c r="U256" i="10"/>
  <c r="T256" i="10"/>
  <c r="N256" i="10"/>
  <c r="F256" i="10"/>
  <c r="AI255" i="10"/>
  <c r="AD255" i="10"/>
  <c r="AC255" i="10"/>
  <c r="AB255" i="10"/>
  <c r="AA255" i="10"/>
  <c r="Z255" i="10"/>
  <c r="U255" i="10"/>
  <c r="T255" i="10"/>
  <c r="N255" i="10"/>
  <c r="F255" i="10"/>
  <c r="AI254" i="10"/>
  <c r="AD254" i="10"/>
  <c r="AC254" i="10"/>
  <c r="AB254" i="10"/>
  <c r="AA254" i="10"/>
  <c r="Z254" i="10"/>
  <c r="U254" i="10"/>
  <c r="T254" i="10"/>
  <c r="N254" i="10"/>
  <c r="F254" i="10"/>
  <c r="AI253" i="10"/>
  <c r="AD253" i="10"/>
  <c r="AC253" i="10"/>
  <c r="AB253" i="10"/>
  <c r="AA253" i="10"/>
  <c r="Z253" i="10"/>
  <c r="U253" i="10"/>
  <c r="T253" i="10"/>
  <c r="N253" i="10"/>
  <c r="F253" i="10"/>
  <c r="AI252" i="10"/>
  <c r="AD252" i="10"/>
  <c r="AC252" i="10"/>
  <c r="AB252" i="10"/>
  <c r="AA252" i="10"/>
  <c r="Z252" i="10"/>
  <c r="U252" i="10"/>
  <c r="T252" i="10"/>
  <c r="N252" i="10"/>
  <c r="F252" i="10"/>
  <c r="AI251" i="10"/>
  <c r="AD251" i="10"/>
  <c r="AC251" i="10"/>
  <c r="AB251" i="10"/>
  <c r="AA251" i="10"/>
  <c r="Z251" i="10"/>
  <c r="U251" i="10"/>
  <c r="T251" i="10"/>
  <c r="N251" i="10"/>
  <c r="F251" i="10"/>
  <c r="AI250" i="10"/>
  <c r="AD250" i="10"/>
  <c r="AC250" i="10"/>
  <c r="AB250" i="10"/>
  <c r="AA250" i="10"/>
  <c r="Z250" i="10"/>
  <c r="U250" i="10"/>
  <c r="T250" i="10"/>
  <c r="N250" i="10"/>
  <c r="F250" i="10"/>
  <c r="AI249" i="10"/>
  <c r="AD249" i="10"/>
  <c r="AC249" i="10"/>
  <c r="AB249" i="10"/>
  <c r="AA249" i="10"/>
  <c r="Z249" i="10"/>
  <c r="U249" i="10"/>
  <c r="T249" i="10"/>
  <c r="N249" i="10"/>
  <c r="F249" i="10"/>
  <c r="AI248" i="10"/>
  <c r="AD248" i="10"/>
  <c r="AC248" i="10"/>
  <c r="AB248" i="10"/>
  <c r="AA248" i="10"/>
  <c r="Z248" i="10"/>
  <c r="U248" i="10"/>
  <c r="T248" i="10"/>
  <c r="N248" i="10"/>
  <c r="F248" i="10"/>
  <c r="AI247" i="10"/>
  <c r="AD247" i="10"/>
  <c r="AC247" i="10"/>
  <c r="AB247" i="10"/>
  <c r="AA247" i="10"/>
  <c r="Z247" i="10"/>
  <c r="U247" i="10"/>
  <c r="T247" i="10"/>
  <c r="N247" i="10"/>
  <c r="F247" i="10"/>
  <c r="AI246" i="10"/>
  <c r="AD246" i="10"/>
  <c r="AC246" i="10"/>
  <c r="AB246" i="10"/>
  <c r="AA246" i="10"/>
  <c r="Z246" i="10"/>
  <c r="U246" i="10"/>
  <c r="T246" i="10"/>
  <c r="N246" i="10"/>
  <c r="F246" i="10"/>
  <c r="AI245" i="10"/>
  <c r="AD245" i="10"/>
  <c r="AC245" i="10"/>
  <c r="AB245" i="10"/>
  <c r="AA245" i="10"/>
  <c r="Z245" i="10"/>
  <c r="U245" i="10"/>
  <c r="T245" i="10"/>
  <c r="N245" i="10"/>
  <c r="F245" i="10"/>
  <c r="AI244" i="10"/>
  <c r="AD244" i="10"/>
  <c r="AC244" i="10"/>
  <c r="AB244" i="10"/>
  <c r="AA244" i="10"/>
  <c r="Z244" i="10"/>
  <c r="U244" i="10"/>
  <c r="T244" i="10"/>
  <c r="N244" i="10"/>
  <c r="F244" i="10"/>
  <c r="AI243" i="10"/>
  <c r="AD243" i="10"/>
  <c r="AC243" i="10"/>
  <c r="AB243" i="10"/>
  <c r="AA243" i="10"/>
  <c r="Z243" i="10"/>
  <c r="U243" i="10"/>
  <c r="T243" i="10"/>
  <c r="N243" i="10"/>
  <c r="F243" i="10"/>
  <c r="AI242" i="10"/>
  <c r="AD242" i="10"/>
  <c r="AC242" i="10"/>
  <c r="AB242" i="10"/>
  <c r="AA242" i="10"/>
  <c r="Z242" i="10"/>
  <c r="U242" i="10"/>
  <c r="T242" i="10"/>
  <c r="N242" i="10"/>
  <c r="F242" i="10"/>
  <c r="AI241" i="10"/>
  <c r="AD241" i="10"/>
  <c r="AC241" i="10"/>
  <c r="AB241" i="10"/>
  <c r="AA241" i="10"/>
  <c r="Z241" i="10"/>
  <c r="U241" i="10"/>
  <c r="T241" i="10"/>
  <c r="N241" i="10"/>
  <c r="F241" i="10"/>
  <c r="AI240" i="10"/>
  <c r="AD240" i="10"/>
  <c r="AC240" i="10"/>
  <c r="AB240" i="10"/>
  <c r="AA240" i="10"/>
  <c r="Z240" i="10"/>
  <c r="U240" i="10"/>
  <c r="T240" i="10"/>
  <c r="N240" i="10"/>
  <c r="F240" i="10"/>
  <c r="AI239" i="10"/>
  <c r="AD239" i="10"/>
  <c r="AC239" i="10"/>
  <c r="AB239" i="10"/>
  <c r="AA239" i="10"/>
  <c r="Z239" i="10"/>
  <c r="U239" i="10"/>
  <c r="T239" i="10"/>
  <c r="N239" i="10"/>
  <c r="F239" i="10"/>
  <c r="AI238" i="10"/>
  <c r="AD238" i="10"/>
  <c r="AC238" i="10"/>
  <c r="AB238" i="10"/>
  <c r="AA238" i="10"/>
  <c r="Z238" i="10"/>
  <c r="U238" i="10"/>
  <c r="T238" i="10"/>
  <c r="N238" i="10"/>
  <c r="F238" i="10"/>
  <c r="AI237" i="10"/>
  <c r="AD237" i="10"/>
  <c r="AC237" i="10"/>
  <c r="AB237" i="10"/>
  <c r="AA237" i="10"/>
  <c r="Z237" i="10"/>
  <c r="U237" i="10"/>
  <c r="T237" i="10"/>
  <c r="N237" i="10"/>
  <c r="F237" i="10"/>
  <c r="AI236" i="10"/>
  <c r="AD236" i="10"/>
  <c r="AC236" i="10"/>
  <c r="AB236" i="10"/>
  <c r="AA236" i="10"/>
  <c r="Z236" i="10"/>
  <c r="U236" i="10"/>
  <c r="T236" i="10"/>
  <c r="N236" i="10"/>
  <c r="F236" i="10"/>
  <c r="AI235" i="10"/>
  <c r="AD235" i="10"/>
  <c r="AC235" i="10"/>
  <c r="AB235" i="10"/>
  <c r="AA235" i="10"/>
  <c r="Z235" i="10"/>
  <c r="U235" i="10"/>
  <c r="T235" i="10"/>
  <c r="N235" i="10"/>
  <c r="F235" i="10"/>
  <c r="AI234" i="10"/>
  <c r="AD234" i="10"/>
  <c r="AC234" i="10"/>
  <c r="AB234" i="10"/>
  <c r="AA234" i="10"/>
  <c r="Z234" i="10"/>
  <c r="U234" i="10"/>
  <c r="T234" i="10"/>
  <c r="N234" i="10"/>
  <c r="F234" i="10"/>
  <c r="AI233" i="10"/>
  <c r="AD233" i="10"/>
  <c r="AC233" i="10"/>
  <c r="AB233" i="10"/>
  <c r="AA233" i="10"/>
  <c r="Z233" i="10"/>
  <c r="U233" i="10"/>
  <c r="T233" i="10"/>
  <c r="N233" i="10"/>
  <c r="F233" i="10"/>
  <c r="AI232" i="10"/>
  <c r="AD232" i="10"/>
  <c r="AC232" i="10"/>
  <c r="AB232" i="10"/>
  <c r="AA232" i="10"/>
  <c r="Z232" i="10"/>
  <c r="U232" i="10"/>
  <c r="T232" i="10"/>
  <c r="N232" i="10"/>
  <c r="F232" i="10"/>
  <c r="AI231" i="10"/>
  <c r="AD231" i="10"/>
  <c r="AC231" i="10"/>
  <c r="AB231" i="10"/>
  <c r="AA231" i="10"/>
  <c r="Z231" i="10"/>
  <c r="U231" i="10"/>
  <c r="T231" i="10"/>
  <c r="N231" i="10"/>
  <c r="F231" i="10"/>
  <c r="AI230" i="10"/>
  <c r="AD230" i="10"/>
  <c r="AC230" i="10"/>
  <c r="AB230" i="10"/>
  <c r="AA230" i="10"/>
  <c r="Z230" i="10"/>
  <c r="U230" i="10"/>
  <c r="T230" i="10"/>
  <c r="N230" i="10"/>
  <c r="F230" i="10"/>
  <c r="AI229" i="10"/>
  <c r="AD229" i="10"/>
  <c r="AC229" i="10"/>
  <c r="AB229" i="10"/>
  <c r="AA229" i="10"/>
  <c r="Z229" i="10"/>
  <c r="U229" i="10"/>
  <c r="T229" i="10"/>
  <c r="N229" i="10"/>
  <c r="F229" i="10"/>
  <c r="AI228" i="10"/>
  <c r="AD228" i="10"/>
  <c r="AC228" i="10"/>
  <c r="AB228" i="10"/>
  <c r="AA228" i="10"/>
  <c r="Z228" i="10"/>
  <c r="U228" i="10"/>
  <c r="T228" i="10"/>
  <c r="N228" i="10"/>
  <c r="F228" i="10"/>
  <c r="AI227" i="10"/>
  <c r="AD227" i="10"/>
  <c r="AC227" i="10"/>
  <c r="AB227" i="10"/>
  <c r="AA227" i="10"/>
  <c r="Z227" i="10"/>
  <c r="U227" i="10"/>
  <c r="T227" i="10"/>
  <c r="N227" i="10"/>
  <c r="F227" i="10"/>
  <c r="AI226" i="10"/>
  <c r="AD226" i="10"/>
  <c r="AC226" i="10"/>
  <c r="AB226" i="10"/>
  <c r="AA226" i="10"/>
  <c r="Z226" i="10"/>
  <c r="U226" i="10"/>
  <c r="T226" i="10"/>
  <c r="N226" i="10"/>
  <c r="F226" i="10"/>
  <c r="AI225" i="10"/>
  <c r="AD225" i="10"/>
  <c r="AC225" i="10"/>
  <c r="AB225" i="10"/>
  <c r="AA225" i="10"/>
  <c r="Z225" i="10"/>
  <c r="U225" i="10"/>
  <c r="T225" i="10"/>
  <c r="N225" i="10"/>
  <c r="F225" i="10"/>
  <c r="AI224" i="10"/>
  <c r="AD224" i="10"/>
  <c r="AC224" i="10"/>
  <c r="AB224" i="10"/>
  <c r="AA224" i="10"/>
  <c r="Z224" i="10"/>
  <c r="U224" i="10"/>
  <c r="T224" i="10"/>
  <c r="N224" i="10"/>
  <c r="F224" i="10"/>
  <c r="AI223" i="10"/>
  <c r="AD223" i="10"/>
  <c r="AC223" i="10"/>
  <c r="AB223" i="10"/>
  <c r="AA223" i="10"/>
  <c r="Z223" i="10"/>
  <c r="U223" i="10"/>
  <c r="T223" i="10"/>
  <c r="N223" i="10"/>
  <c r="F223" i="10"/>
  <c r="AI222" i="10"/>
  <c r="AD222" i="10"/>
  <c r="AC222" i="10"/>
  <c r="AB222" i="10"/>
  <c r="AA222" i="10"/>
  <c r="Z222" i="10"/>
  <c r="U222" i="10"/>
  <c r="T222" i="10"/>
  <c r="N222" i="10"/>
  <c r="F222" i="10"/>
  <c r="AI221" i="10"/>
  <c r="AD221" i="10"/>
  <c r="AC221" i="10"/>
  <c r="AB221" i="10"/>
  <c r="AA221" i="10"/>
  <c r="Z221" i="10"/>
  <c r="U221" i="10"/>
  <c r="T221" i="10"/>
  <c r="N221" i="10"/>
  <c r="F221" i="10"/>
  <c r="AI220" i="10"/>
  <c r="AD220" i="10"/>
  <c r="AC220" i="10"/>
  <c r="AB220" i="10"/>
  <c r="AA220" i="10"/>
  <c r="Z220" i="10"/>
  <c r="U220" i="10"/>
  <c r="T220" i="10"/>
  <c r="N220" i="10"/>
  <c r="F220" i="10"/>
  <c r="AI219" i="10"/>
  <c r="AD219" i="10"/>
  <c r="AC219" i="10"/>
  <c r="AB219" i="10"/>
  <c r="AA219" i="10"/>
  <c r="Z219" i="10"/>
  <c r="U219" i="10"/>
  <c r="T219" i="10"/>
  <c r="N219" i="10"/>
  <c r="F219" i="10"/>
  <c r="AI218" i="10"/>
  <c r="AD218" i="10"/>
  <c r="AC218" i="10"/>
  <c r="AB218" i="10"/>
  <c r="AA218" i="10"/>
  <c r="Z218" i="10"/>
  <c r="U218" i="10"/>
  <c r="T218" i="10"/>
  <c r="N218" i="10"/>
  <c r="F218" i="10"/>
  <c r="AI217" i="10"/>
  <c r="AD217" i="10"/>
  <c r="AC217" i="10"/>
  <c r="AB217" i="10"/>
  <c r="AA217" i="10"/>
  <c r="Z217" i="10"/>
  <c r="U217" i="10"/>
  <c r="T217" i="10"/>
  <c r="N217" i="10"/>
  <c r="F217" i="10"/>
  <c r="AI216" i="10"/>
  <c r="AD216" i="10"/>
  <c r="AC216" i="10"/>
  <c r="AB216" i="10"/>
  <c r="AA216" i="10"/>
  <c r="Z216" i="10"/>
  <c r="U216" i="10"/>
  <c r="T216" i="10"/>
  <c r="N216" i="10"/>
  <c r="F216" i="10"/>
  <c r="AI215" i="10"/>
  <c r="AD215" i="10"/>
  <c r="AC215" i="10"/>
  <c r="AB215" i="10"/>
  <c r="AA215" i="10"/>
  <c r="Z215" i="10"/>
  <c r="U215" i="10"/>
  <c r="T215" i="10"/>
  <c r="N215" i="10"/>
  <c r="F215" i="10"/>
  <c r="AI214" i="10"/>
  <c r="AD214" i="10"/>
  <c r="AC214" i="10"/>
  <c r="AB214" i="10"/>
  <c r="AA214" i="10"/>
  <c r="Z214" i="10"/>
  <c r="U214" i="10"/>
  <c r="T214" i="10"/>
  <c r="N214" i="10"/>
  <c r="F214" i="10"/>
  <c r="AI213" i="10"/>
  <c r="AD213" i="10"/>
  <c r="AC213" i="10"/>
  <c r="AB213" i="10"/>
  <c r="AA213" i="10"/>
  <c r="Z213" i="10"/>
  <c r="U213" i="10"/>
  <c r="T213" i="10"/>
  <c r="N213" i="10"/>
  <c r="F213" i="10"/>
  <c r="AI212" i="10"/>
  <c r="AD212" i="10"/>
  <c r="AC212" i="10"/>
  <c r="AB212" i="10"/>
  <c r="AA212" i="10"/>
  <c r="Z212" i="10"/>
  <c r="U212" i="10"/>
  <c r="T212" i="10"/>
  <c r="N212" i="10"/>
  <c r="F212" i="10"/>
  <c r="AI211" i="10"/>
  <c r="AD211" i="10"/>
  <c r="AC211" i="10"/>
  <c r="AB211" i="10"/>
  <c r="AA211" i="10"/>
  <c r="Z211" i="10"/>
  <c r="U211" i="10"/>
  <c r="T211" i="10"/>
  <c r="N211" i="10"/>
  <c r="F211" i="10"/>
  <c r="AI210" i="10"/>
  <c r="AD210" i="10"/>
  <c r="AC210" i="10"/>
  <c r="AB210" i="10"/>
  <c r="AA210" i="10"/>
  <c r="Z210" i="10"/>
  <c r="U210" i="10"/>
  <c r="T210" i="10"/>
  <c r="N210" i="10"/>
  <c r="F210" i="10"/>
  <c r="AI209" i="10"/>
  <c r="AD209" i="10"/>
  <c r="AC209" i="10"/>
  <c r="AB209" i="10"/>
  <c r="AA209" i="10"/>
  <c r="Z209" i="10"/>
  <c r="U209" i="10"/>
  <c r="T209" i="10"/>
  <c r="N209" i="10"/>
  <c r="F209" i="10"/>
  <c r="AI208" i="10"/>
  <c r="AD208" i="10"/>
  <c r="AC208" i="10"/>
  <c r="AB208" i="10"/>
  <c r="AA208" i="10"/>
  <c r="Z208" i="10"/>
  <c r="U208" i="10"/>
  <c r="T208" i="10"/>
  <c r="N208" i="10"/>
  <c r="F208" i="10"/>
  <c r="AI207" i="10"/>
  <c r="AD207" i="10"/>
  <c r="AC207" i="10"/>
  <c r="AB207" i="10"/>
  <c r="AA207" i="10"/>
  <c r="Z207" i="10"/>
  <c r="U207" i="10"/>
  <c r="T207" i="10"/>
  <c r="N207" i="10"/>
  <c r="F207" i="10"/>
  <c r="AI206" i="10"/>
  <c r="AD206" i="10"/>
  <c r="AC206" i="10"/>
  <c r="AB206" i="10"/>
  <c r="AA206" i="10"/>
  <c r="Z206" i="10"/>
  <c r="U206" i="10"/>
  <c r="T206" i="10"/>
  <c r="N206" i="10"/>
  <c r="F206" i="10"/>
  <c r="AI205" i="10"/>
  <c r="AD205" i="10"/>
  <c r="AC205" i="10"/>
  <c r="AB205" i="10"/>
  <c r="AA205" i="10"/>
  <c r="Z205" i="10"/>
  <c r="U205" i="10"/>
  <c r="T205" i="10"/>
  <c r="N205" i="10"/>
  <c r="F205" i="10"/>
  <c r="AI204" i="10"/>
  <c r="AD204" i="10"/>
  <c r="AC204" i="10"/>
  <c r="AB204" i="10"/>
  <c r="AA204" i="10"/>
  <c r="Z204" i="10"/>
  <c r="U204" i="10"/>
  <c r="T204" i="10"/>
  <c r="N204" i="10"/>
  <c r="F204" i="10"/>
  <c r="AI203" i="10"/>
  <c r="AD203" i="10"/>
  <c r="AC203" i="10"/>
  <c r="AB203" i="10"/>
  <c r="AA203" i="10"/>
  <c r="Z203" i="10"/>
  <c r="U203" i="10"/>
  <c r="T203" i="10"/>
  <c r="N203" i="10"/>
  <c r="F203" i="10"/>
  <c r="AI202" i="10"/>
  <c r="AD202" i="10"/>
  <c r="AC202" i="10"/>
  <c r="AB202" i="10"/>
  <c r="AA202" i="10"/>
  <c r="Z202" i="10"/>
  <c r="U202" i="10"/>
  <c r="T202" i="10"/>
  <c r="N202" i="10"/>
  <c r="F202" i="10"/>
  <c r="AI201" i="10"/>
  <c r="AD201" i="10"/>
  <c r="AC201" i="10"/>
  <c r="AB201" i="10"/>
  <c r="AA201" i="10"/>
  <c r="Z201" i="10"/>
  <c r="U201" i="10"/>
  <c r="T201" i="10"/>
  <c r="N201" i="10"/>
  <c r="F201" i="10"/>
  <c r="AI200" i="10"/>
  <c r="AD200" i="10"/>
  <c r="AC200" i="10"/>
  <c r="AB200" i="10"/>
  <c r="AA200" i="10"/>
  <c r="Z200" i="10"/>
  <c r="U200" i="10"/>
  <c r="T200" i="10"/>
  <c r="N200" i="10"/>
  <c r="F200" i="10"/>
  <c r="AI199" i="10"/>
  <c r="AD199" i="10"/>
  <c r="AC199" i="10"/>
  <c r="AB199" i="10"/>
  <c r="AA199" i="10"/>
  <c r="Z199" i="10"/>
  <c r="U199" i="10"/>
  <c r="T199" i="10"/>
  <c r="N199" i="10"/>
  <c r="F199" i="10"/>
  <c r="AI198" i="10"/>
  <c r="AD198" i="10"/>
  <c r="AC198" i="10"/>
  <c r="AB198" i="10"/>
  <c r="AA198" i="10"/>
  <c r="Z198" i="10"/>
  <c r="U198" i="10"/>
  <c r="T198" i="10"/>
  <c r="N198" i="10"/>
  <c r="F198" i="10"/>
  <c r="AI197" i="10"/>
  <c r="AD197" i="10"/>
  <c r="AC197" i="10"/>
  <c r="AB197" i="10"/>
  <c r="AA197" i="10"/>
  <c r="Z197" i="10"/>
  <c r="U197" i="10"/>
  <c r="T197" i="10"/>
  <c r="N197" i="10"/>
  <c r="F197" i="10"/>
  <c r="AI196" i="10"/>
  <c r="AD196" i="10"/>
  <c r="AC196" i="10"/>
  <c r="AB196" i="10"/>
  <c r="AA196" i="10"/>
  <c r="Z196" i="10"/>
  <c r="U196" i="10"/>
  <c r="T196" i="10"/>
  <c r="N196" i="10"/>
  <c r="F196" i="10"/>
  <c r="AI195" i="10"/>
  <c r="AD195" i="10"/>
  <c r="AC195" i="10"/>
  <c r="AB195" i="10"/>
  <c r="AA195" i="10"/>
  <c r="Z195" i="10"/>
  <c r="U195" i="10"/>
  <c r="T195" i="10"/>
  <c r="N195" i="10"/>
  <c r="F195" i="10"/>
  <c r="AI194" i="10"/>
  <c r="AD194" i="10"/>
  <c r="AC194" i="10"/>
  <c r="AB194" i="10"/>
  <c r="AA194" i="10"/>
  <c r="Z194" i="10"/>
  <c r="U194" i="10"/>
  <c r="T194" i="10"/>
  <c r="N194" i="10"/>
  <c r="F194" i="10"/>
  <c r="AI193" i="10"/>
  <c r="AD193" i="10"/>
  <c r="AC193" i="10"/>
  <c r="AB193" i="10"/>
  <c r="AA193" i="10"/>
  <c r="Z193" i="10"/>
  <c r="U193" i="10"/>
  <c r="T193" i="10"/>
  <c r="N193" i="10"/>
  <c r="F193" i="10"/>
  <c r="AI192" i="10"/>
  <c r="AD192" i="10"/>
  <c r="AC192" i="10"/>
  <c r="AB192" i="10"/>
  <c r="AA192" i="10"/>
  <c r="Z192" i="10"/>
  <c r="U192" i="10"/>
  <c r="T192" i="10"/>
  <c r="N192" i="10"/>
  <c r="F192" i="10"/>
  <c r="AI191" i="10"/>
  <c r="AD191" i="10"/>
  <c r="AC191" i="10"/>
  <c r="AB191" i="10"/>
  <c r="AA191" i="10"/>
  <c r="Z191" i="10"/>
  <c r="U191" i="10"/>
  <c r="T191" i="10"/>
  <c r="N191" i="10"/>
  <c r="F191" i="10"/>
  <c r="AI190" i="10"/>
  <c r="AD190" i="10"/>
  <c r="AC190" i="10"/>
  <c r="AB190" i="10"/>
  <c r="AA190" i="10"/>
  <c r="Z190" i="10"/>
  <c r="U190" i="10"/>
  <c r="T190" i="10"/>
  <c r="N190" i="10"/>
  <c r="F190" i="10"/>
  <c r="AI189" i="10"/>
  <c r="AD189" i="10"/>
  <c r="AC189" i="10"/>
  <c r="AB189" i="10"/>
  <c r="AA189" i="10"/>
  <c r="Z189" i="10"/>
  <c r="U189" i="10"/>
  <c r="T189" i="10"/>
  <c r="N189" i="10"/>
  <c r="F189" i="10"/>
  <c r="AI188" i="10"/>
  <c r="AD188" i="10"/>
  <c r="AC188" i="10"/>
  <c r="AB188" i="10"/>
  <c r="AA188" i="10"/>
  <c r="Z188" i="10"/>
  <c r="U188" i="10"/>
  <c r="T188" i="10"/>
  <c r="N188" i="10"/>
  <c r="F188" i="10"/>
  <c r="AI187" i="10"/>
  <c r="AD187" i="10"/>
  <c r="AC187" i="10"/>
  <c r="AB187" i="10"/>
  <c r="AA187" i="10"/>
  <c r="Z187" i="10"/>
  <c r="U187" i="10"/>
  <c r="T187" i="10"/>
  <c r="N187" i="10"/>
  <c r="F187" i="10"/>
  <c r="AI186" i="10"/>
  <c r="AD186" i="10"/>
  <c r="AC186" i="10"/>
  <c r="AB186" i="10"/>
  <c r="AA186" i="10"/>
  <c r="Z186" i="10"/>
  <c r="U186" i="10"/>
  <c r="T186" i="10"/>
  <c r="N186" i="10"/>
  <c r="F186" i="10"/>
  <c r="AI185" i="10"/>
  <c r="AD185" i="10"/>
  <c r="AC185" i="10"/>
  <c r="AB185" i="10"/>
  <c r="AA185" i="10"/>
  <c r="Z185" i="10"/>
  <c r="U185" i="10"/>
  <c r="T185" i="10"/>
  <c r="N185" i="10"/>
  <c r="F185" i="10"/>
  <c r="AI184" i="10"/>
  <c r="AD184" i="10"/>
  <c r="AC184" i="10"/>
  <c r="AB184" i="10"/>
  <c r="AA184" i="10"/>
  <c r="Z184" i="10"/>
  <c r="U184" i="10"/>
  <c r="T184" i="10"/>
  <c r="N184" i="10"/>
  <c r="F184" i="10"/>
  <c r="AI183" i="10"/>
  <c r="AD183" i="10"/>
  <c r="AC183" i="10"/>
  <c r="AB183" i="10"/>
  <c r="AA183" i="10"/>
  <c r="Z183" i="10"/>
  <c r="U183" i="10"/>
  <c r="T183" i="10"/>
  <c r="N183" i="10"/>
  <c r="F183" i="10"/>
  <c r="AI182" i="10"/>
  <c r="AD182" i="10"/>
  <c r="AC182" i="10"/>
  <c r="AB182" i="10"/>
  <c r="AA182" i="10"/>
  <c r="Z182" i="10"/>
  <c r="U182" i="10"/>
  <c r="T182" i="10"/>
  <c r="N182" i="10"/>
  <c r="F182" i="10"/>
  <c r="AI181" i="10"/>
  <c r="AD181" i="10"/>
  <c r="AC181" i="10"/>
  <c r="AB181" i="10"/>
  <c r="AA181" i="10"/>
  <c r="Z181" i="10"/>
  <c r="U181" i="10"/>
  <c r="T181" i="10"/>
  <c r="N181" i="10"/>
  <c r="F181" i="10"/>
  <c r="AI180" i="10"/>
  <c r="AD180" i="10"/>
  <c r="AC180" i="10"/>
  <c r="AB180" i="10"/>
  <c r="AA180" i="10"/>
  <c r="Z180" i="10"/>
  <c r="U180" i="10"/>
  <c r="T180" i="10"/>
  <c r="N180" i="10"/>
  <c r="F180" i="10"/>
  <c r="AI179" i="10"/>
  <c r="AD179" i="10"/>
  <c r="AC179" i="10"/>
  <c r="AB179" i="10"/>
  <c r="AA179" i="10"/>
  <c r="Z179" i="10"/>
  <c r="U179" i="10"/>
  <c r="T179" i="10"/>
  <c r="N179" i="10"/>
  <c r="F179" i="10"/>
  <c r="AI178" i="10"/>
  <c r="AD178" i="10"/>
  <c r="AC178" i="10"/>
  <c r="AB178" i="10"/>
  <c r="AA178" i="10"/>
  <c r="Z178" i="10"/>
  <c r="U178" i="10"/>
  <c r="T178" i="10"/>
  <c r="N178" i="10"/>
  <c r="F178" i="10"/>
  <c r="AI177" i="10"/>
  <c r="AD177" i="10"/>
  <c r="AC177" i="10"/>
  <c r="AB177" i="10"/>
  <c r="AA177" i="10"/>
  <c r="Z177" i="10"/>
  <c r="U177" i="10"/>
  <c r="T177" i="10"/>
  <c r="N177" i="10"/>
  <c r="F177" i="10"/>
  <c r="AI176" i="10"/>
  <c r="AD176" i="10"/>
  <c r="AC176" i="10"/>
  <c r="AB176" i="10"/>
  <c r="AA176" i="10"/>
  <c r="Z176" i="10"/>
  <c r="U176" i="10"/>
  <c r="T176" i="10"/>
  <c r="N176" i="10"/>
  <c r="F176" i="10"/>
  <c r="AI175" i="10"/>
  <c r="AD175" i="10"/>
  <c r="AC175" i="10"/>
  <c r="AB175" i="10"/>
  <c r="AA175" i="10"/>
  <c r="Z175" i="10"/>
  <c r="U175" i="10"/>
  <c r="T175" i="10"/>
  <c r="N175" i="10"/>
  <c r="F175" i="10"/>
  <c r="AI174" i="10"/>
  <c r="AD174" i="10"/>
  <c r="AC174" i="10"/>
  <c r="AB174" i="10"/>
  <c r="AA174" i="10"/>
  <c r="Z174" i="10"/>
  <c r="U174" i="10"/>
  <c r="T174" i="10"/>
  <c r="N174" i="10"/>
  <c r="F174" i="10"/>
  <c r="AI173" i="10"/>
  <c r="AD173" i="10"/>
  <c r="AC173" i="10"/>
  <c r="AB173" i="10"/>
  <c r="AA173" i="10"/>
  <c r="Z173" i="10"/>
  <c r="U173" i="10"/>
  <c r="T173" i="10"/>
  <c r="N173" i="10"/>
  <c r="F173" i="10"/>
  <c r="AI172" i="10"/>
  <c r="AD172" i="10"/>
  <c r="AC172" i="10"/>
  <c r="AB172" i="10"/>
  <c r="AA172" i="10"/>
  <c r="Z172" i="10"/>
  <c r="U172" i="10"/>
  <c r="T172" i="10"/>
  <c r="N172" i="10"/>
  <c r="F172" i="10"/>
  <c r="AI171" i="10"/>
  <c r="AD171" i="10"/>
  <c r="AC171" i="10"/>
  <c r="AB171" i="10"/>
  <c r="AA171" i="10"/>
  <c r="Z171" i="10"/>
  <c r="U171" i="10"/>
  <c r="T171" i="10"/>
  <c r="N171" i="10"/>
  <c r="F171" i="10"/>
  <c r="AI170" i="10"/>
  <c r="AD170" i="10"/>
  <c r="AC170" i="10"/>
  <c r="AB170" i="10"/>
  <c r="AA170" i="10"/>
  <c r="Z170" i="10"/>
  <c r="U170" i="10"/>
  <c r="T170" i="10"/>
  <c r="N170" i="10"/>
  <c r="F170" i="10"/>
  <c r="AI169" i="10"/>
  <c r="AD169" i="10"/>
  <c r="AC169" i="10"/>
  <c r="AB169" i="10"/>
  <c r="AA169" i="10"/>
  <c r="Z169" i="10"/>
  <c r="U169" i="10"/>
  <c r="T169" i="10"/>
  <c r="N169" i="10"/>
  <c r="F169" i="10"/>
  <c r="AI168" i="10"/>
  <c r="AD168" i="10"/>
  <c r="AC168" i="10"/>
  <c r="AB168" i="10"/>
  <c r="AA168" i="10"/>
  <c r="Z168" i="10"/>
  <c r="U168" i="10"/>
  <c r="T168" i="10"/>
  <c r="N168" i="10"/>
  <c r="F168" i="10"/>
  <c r="AI167" i="10"/>
  <c r="AD167" i="10"/>
  <c r="AC167" i="10"/>
  <c r="AB167" i="10"/>
  <c r="AA167" i="10"/>
  <c r="Z167" i="10"/>
  <c r="U167" i="10"/>
  <c r="T167" i="10"/>
  <c r="N167" i="10"/>
  <c r="F167" i="10"/>
  <c r="AI166" i="10"/>
  <c r="AD166" i="10"/>
  <c r="AC166" i="10"/>
  <c r="AB166" i="10"/>
  <c r="AA166" i="10"/>
  <c r="Z166" i="10"/>
  <c r="U166" i="10"/>
  <c r="T166" i="10"/>
  <c r="N166" i="10"/>
  <c r="F166" i="10"/>
  <c r="AI165" i="10"/>
  <c r="AD165" i="10"/>
  <c r="AC165" i="10"/>
  <c r="AB165" i="10"/>
  <c r="AA165" i="10"/>
  <c r="Z165" i="10"/>
  <c r="U165" i="10"/>
  <c r="T165" i="10"/>
  <c r="N165" i="10"/>
  <c r="F165" i="10"/>
  <c r="AI164" i="10"/>
  <c r="AD164" i="10"/>
  <c r="AC164" i="10"/>
  <c r="AB164" i="10"/>
  <c r="AA164" i="10"/>
  <c r="Z164" i="10"/>
  <c r="U164" i="10"/>
  <c r="T164" i="10"/>
  <c r="N164" i="10"/>
  <c r="F164" i="10"/>
  <c r="AI163" i="10"/>
  <c r="AD163" i="10"/>
  <c r="AC163" i="10"/>
  <c r="AB163" i="10"/>
  <c r="AA163" i="10"/>
  <c r="Z163" i="10"/>
  <c r="U163" i="10"/>
  <c r="T163" i="10"/>
  <c r="N163" i="10"/>
  <c r="F163" i="10"/>
  <c r="AI162" i="10"/>
  <c r="AD162" i="10"/>
  <c r="AC162" i="10"/>
  <c r="AB162" i="10"/>
  <c r="AA162" i="10"/>
  <c r="Z162" i="10"/>
  <c r="U162" i="10"/>
  <c r="T162" i="10"/>
  <c r="N162" i="10"/>
  <c r="F162" i="10"/>
  <c r="AI161" i="10"/>
  <c r="AD161" i="10"/>
  <c r="AC161" i="10"/>
  <c r="AB161" i="10"/>
  <c r="AA161" i="10"/>
  <c r="Z161" i="10"/>
  <c r="U161" i="10"/>
  <c r="T161" i="10"/>
  <c r="N161" i="10"/>
  <c r="F161" i="10"/>
  <c r="AI160" i="10"/>
  <c r="AD160" i="10"/>
  <c r="AC160" i="10"/>
  <c r="AB160" i="10"/>
  <c r="AA160" i="10"/>
  <c r="Z160" i="10"/>
  <c r="U160" i="10"/>
  <c r="T160" i="10"/>
  <c r="N160" i="10"/>
  <c r="F160" i="10"/>
  <c r="AI159" i="10"/>
  <c r="AD159" i="10"/>
  <c r="AC159" i="10"/>
  <c r="AB159" i="10"/>
  <c r="AA159" i="10"/>
  <c r="Z159" i="10"/>
  <c r="U159" i="10"/>
  <c r="T159" i="10"/>
  <c r="N159" i="10"/>
  <c r="F159" i="10"/>
  <c r="AI158" i="10"/>
  <c r="AD158" i="10"/>
  <c r="AC158" i="10"/>
  <c r="AB158" i="10"/>
  <c r="AA158" i="10"/>
  <c r="Z158" i="10"/>
  <c r="U158" i="10"/>
  <c r="T158" i="10"/>
  <c r="N158" i="10"/>
  <c r="F158" i="10"/>
  <c r="AI157" i="10"/>
  <c r="AD157" i="10"/>
  <c r="AC157" i="10"/>
  <c r="AB157" i="10"/>
  <c r="AA157" i="10"/>
  <c r="Z157" i="10"/>
  <c r="U157" i="10"/>
  <c r="T157" i="10"/>
  <c r="N157" i="10"/>
  <c r="F157" i="10"/>
  <c r="AI156" i="10"/>
  <c r="AD156" i="10"/>
  <c r="AC156" i="10"/>
  <c r="AB156" i="10"/>
  <c r="AA156" i="10"/>
  <c r="Z156" i="10"/>
  <c r="U156" i="10"/>
  <c r="T156" i="10"/>
  <c r="N156" i="10"/>
  <c r="F156" i="10"/>
  <c r="AI155" i="10"/>
  <c r="AD155" i="10"/>
  <c r="AC155" i="10"/>
  <c r="AB155" i="10"/>
  <c r="AA155" i="10"/>
  <c r="Z155" i="10"/>
  <c r="U155" i="10"/>
  <c r="T155" i="10"/>
  <c r="N155" i="10"/>
  <c r="F155" i="10"/>
  <c r="AI154" i="10"/>
  <c r="AD154" i="10"/>
  <c r="AC154" i="10"/>
  <c r="AB154" i="10"/>
  <c r="AA154" i="10"/>
  <c r="Z154" i="10"/>
  <c r="U154" i="10"/>
  <c r="T154" i="10"/>
  <c r="N154" i="10"/>
  <c r="F154" i="10"/>
  <c r="AI153" i="10"/>
  <c r="AD153" i="10"/>
  <c r="AC153" i="10"/>
  <c r="AB153" i="10"/>
  <c r="AA153" i="10"/>
  <c r="Z153" i="10"/>
  <c r="U153" i="10"/>
  <c r="T153" i="10"/>
  <c r="N153" i="10"/>
  <c r="F153" i="10"/>
  <c r="AI152" i="10"/>
  <c r="AD152" i="10"/>
  <c r="AC152" i="10"/>
  <c r="AB152" i="10"/>
  <c r="AA152" i="10"/>
  <c r="Z152" i="10"/>
  <c r="U152" i="10"/>
  <c r="T152" i="10"/>
  <c r="N152" i="10"/>
  <c r="F152" i="10"/>
  <c r="AI151" i="10"/>
  <c r="AD151" i="10"/>
  <c r="AC151" i="10"/>
  <c r="AB151" i="10"/>
  <c r="AA151" i="10"/>
  <c r="Z151" i="10"/>
  <c r="U151" i="10"/>
  <c r="T151" i="10"/>
  <c r="N151" i="10"/>
  <c r="F151" i="10"/>
  <c r="AI150" i="10"/>
  <c r="AD150" i="10"/>
  <c r="AC150" i="10"/>
  <c r="AB150" i="10"/>
  <c r="AA150" i="10"/>
  <c r="Z150" i="10"/>
  <c r="U150" i="10"/>
  <c r="T150" i="10"/>
  <c r="N150" i="10"/>
  <c r="F150" i="10"/>
  <c r="AI149" i="10"/>
  <c r="AD149" i="10"/>
  <c r="AC149" i="10"/>
  <c r="AB149" i="10"/>
  <c r="AA149" i="10"/>
  <c r="Z149" i="10"/>
  <c r="U149" i="10"/>
  <c r="T149" i="10"/>
  <c r="N149" i="10"/>
  <c r="F149" i="10"/>
  <c r="AI148" i="10"/>
  <c r="AD148" i="10"/>
  <c r="AC148" i="10"/>
  <c r="AB148" i="10"/>
  <c r="AA148" i="10"/>
  <c r="Z148" i="10"/>
  <c r="U148" i="10"/>
  <c r="T148" i="10"/>
  <c r="N148" i="10"/>
  <c r="F148" i="10"/>
  <c r="AI147" i="10"/>
  <c r="AD147" i="10"/>
  <c r="AC147" i="10"/>
  <c r="AB147" i="10"/>
  <c r="AA147" i="10"/>
  <c r="Z147" i="10"/>
  <c r="U147" i="10"/>
  <c r="T147" i="10"/>
  <c r="N147" i="10"/>
  <c r="F147" i="10"/>
  <c r="AI146" i="10"/>
  <c r="AD146" i="10"/>
  <c r="AC146" i="10"/>
  <c r="AB146" i="10"/>
  <c r="AA146" i="10"/>
  <c r="Z146" i="10"/>
  <c r="U146" i="10"/>
  <c r="T146" i="10"/>
  <c r="N146" i="10"/>
  <c r="F146" i="10"/>
  <c r="AI145" i="10"/>
  <c r="AD145" i="10"/>
  <c r="AC145" i="10"/>
  <c r="AB145" i="10"/>
  <c r="AA145" i="10"/>
  <c r="Z145" i="10"/>
  <c r="U145" i="10"/>
  <c r="T145" i="10"/>
  <c r="N145" i="10"/>
  <c r="F145" i="10"/>
  <c r="AI144" i="10"/>
  <c r="AD144" i="10"/>
  <c r="AC144" i="10"/>
  <c r="AB144" i="10"/>
  <c r="AA144" i="10"/>
  <c r="Z144" i="10"/>
  <c r="U144" i="10"/>
  <c r="T144" i="10"/>
  <c r="N144" i="10"/>
  <c r="F144" i="10"/>
  <c r="AI143" i="10"/>
  <c r="AD143" i="10"/>
  <c r="AC143" i="10"/>
  <c r="AB143" i="10"/>
  <c r="AA143" i="10"/>
  <c r="Z143" i="10"/>
  <c r="U143" i="10"/>
  <c r="T143" i="10"/>
  <c r="N143" i="10"/>
  <c r="F143" i="10"/>
  <c r="AI142" i="10"/>
  <c r="AD142" i="10"/>
  <c r="AC142" i="10"/>
  <c r="AB142" i="10"/>
  <c r="AA142" i="10"/>
  <c r="Z142" i="10"/>
  <c r="U142" i="10"/>
  <c r="T142" i="10"/>
  <c r="N142" i="10"/>
  <c r="F142" i="10"/>
  <c r="AI141" i="10"/>
  <c r="AD141" i="10"/>
  <c r="AC141" i="10"/>
  <c r="AB141" i="10"/>
  <c r="AA141" i="10"/>
  <c r="Z141" i="10"/>
  <c r="U141" i="10"/>
  <c r="T141" i="10"/>
  <c r="N141" i="10"/>
  <c r="F141" i="10"/>
  <c r="AI140" i="10"/>
  <c r="AD140" i="10"/>
  <c r="AC140" i="10"/>
  <c r="AB140" i="10"/>
  <c r="AA140" i="10"/>
  <c r="Z140" i="10"/>
  <c r="U140" i="10"/>
  <c r="T140" i="10"/>
  <c r="N140" i="10"/>
  <c r="F140" i="10"/>
  <c r="AI139" i="10"/>
  <c r="AD139" i="10"/>
  <c r="AC139" i="10"/>
  <c r="AB139" i="10"/>
  <c r="AA139" i="10"/>
  <c r="Z139" i="10"/>
  <c r="U139" i="10"/>
  <c r="T139" i="10"/>
  <c r="N139" i="10"/>
  <c r="F139" i="10"/>
  <c r="AI138" i="10"/>
  <c r="AD138" i="10"/>
  <c r="AC138" i="10"/>
  <c r="AB138" i="10"/>
  <c r="AA138" i="10"/>
  <c r="Z138" i="10"/>
  <c r="U138" i="10"/>
  <c r="T138" i="10"/>
  <c r="N138" i="10"/>
  <c r="F138" i="10"/>
  <c r="AI137" i="10"/>
  <c r="AD137" i="10"/>
  <c r="AC137" i="10"/>
  <c r="AB137" i="10"/>
  <c r="AA137" i="10"/>
  <c r="Z137" i="10"/>
  <c r="U137" i="10"/>
  <c r="T137" i="10"/>
  <c r="N137" i="10"/>
  <c r="F137" i="10"/>
  <c r="AI136" i="10"/>
  <c r="AD136" i="10"/>
  <c r="AC136" i="10"/>
  <c r="AB136" i="10"/>
  <c r="AA136" i="10"/>
  <c r="Z136" i="10"/>
  <c r="U136" i="10"/>
  <c r="T136" i="10"/>
  <c r="N136" i="10"/>
  <c r="F136" i="10"/>
  <c r="AI135" i="10"/>
  <c r="AD135" i="10"/>
  <c r="AC135" i="10"/>
  <c r="AB135" i="10"/>
  <c r="AA135" i="10"/>
  <c r="Z135" i="10"/>
  <c r="U135" i="10"/>
  <c r="T135" i="10"/>
  <c r="N135" i="10"/>
  <c r="F135" i="10"/>
  <c r="AI134" i="10"/>
  <c r="AD134" i="10"/>
  <c r="AC134" i="10"/>
  <c r="AB134" i="10"/>
  <c r="AA134" i="10"/>
  <c r="Z134" i="10"/>
  <c r="U134" i="10"/>
  <c r="T134" i="10"/>
  <c r="N134" i="10"/>
  <c r="F134" i="10"/>
  <c r="AI133" i="10"/>
  <c r="AD133" i="10"/>
  <c r="AC133" i="10"/>
  <c r="AB133" i="10"/>
  <c r="AA133" i="10"/>
  <c r="Z133" i="10"/>
  <c r="U133" i="10"/>
  <c r="T133" i="10"/>
  <c r="N133" i="10"/>
  <c r="F133" i="10"/>
  <c r="AI132" i="10"/>
  <c r="AD132" i="10"/>
  <c r="AC132" i="10"/>
  <c r="AB132" i="10"/>
  <c r="AA132" i="10"/>
  <c r="Z132" i="10"/>
  <c r="U132" i="10"/>
  <c r="T132" i="10"/>
  <c r="N132" i="10"/>
  <c r="F132" i="10"/>
  <c r="AI131" i="10"/>
  <c r="AD131" i="10"/>
  <c r="AC131" i="10"/>
  <c r="AB131" i="10"/>
  <c r="AA131" i="10"/>
  <c r="Z131" i="10"/>
  <c r="U131" i="10"/>
  <c r="T131" i="10"/>
  <c r="N131" i="10"/>
  <c r="F131" i="10"/>
  <c r="AI130" i="10"/>
  <c r="AD130" i="10"/>
  <c r="AC130" i="10"/>
  <c r="AB130" i="10"/>
  <c r="AA130" i="10"/>
  <c r="Z130" i="10"/>
  <c r="U130" i="10"/>
  <c r="T130" i="10"/>
  <c r="N130" i="10"/>
  <c r="F130" i="10"/>
  <c r="AI129" i="10"/>
  <c r="AD129" i="10"/>
  <c r="AC129" i="10"/>
  <c r="AB129" i="10"/>
  <c r="AA129" i="10"/>
  <c r="Z129" i="10"/>
  <c r="U129" i="10"/>
  <c r="T129" i="10"/>
  <c r="N129" i="10"/>
  <c r="F129" i="10"/>
  <c r="AI128" i="10"/>
  <c r="AD128" i="10"/>
  <c r="AC128" i="10"/>
  <c r="AB128" i="10"/>
  <c r="AA128" i="10"/>
  <c r="Z128" i="10"/>
  <c r="U128" i="10"/>
  <c r="T128" i="10"/>
  <c r="N128" i="10"/>
  <c r="F128" i="10"/>
  <c r="AI127" i="10"/>
  <c r="AD127" i="10"/>
  <c r="AC127" i="10"/>
  <c r="AB127" i="10"/>
  <c r="AA127" i="10"/>
  <c r="Z127" i="10"/>
  <c r="U127" i="10"/>
  <c r="T127" i="10"/>
  <c r="N127" i="10"/>
  <c r="F127" i="10"/>
  <c r="AI126" i="10"/>
  <c r="AD126" i="10"/>
  <c r="AC126" i="10"/>
  <c r="AB126" i="10"/>
  <c r="AA126" i="10"/>
  <c r="Z126" i="10"/>
  <c r="U126" i="10"/>
  <c r="T126" i="10"/>
  <c r="N126" i="10"/>
  <c r="F126" i="10"/>
  <c r="AI125" i="10"/>
  <c r="AD125" i="10"/>
  <c r="AC125" i="10"/>
  <c r="AB125" i="10"/>
  <c r="AA125" i="10"/>
  <c r="Z125" i="10"/>
  <c r="U125" i="10"/>
  <c r="T125" i="10"/>
  <c r="N125" i="10"/>
  <c r="F125" i="10"/>
  <c r="AI124" i="10"/>
  <c r="AD124" i="10"/>
  <c r="AC124" i="10"/>
  <c r="AB124" i="10"/>
  <c r="AA124" i="10"/>
  <c r="Z124" i="10"/>
  <c r="U124" i="10"/>
  <c r="T124" i="10"/>
  <c r="N124" i="10"/>
  <c r="F124" i="10"/>
  <c r="AI123" i="10"/>
  <c r="AD123" i="10"/>
  <c r="AC123" i="10"/>
  <c r="AB123" i="10"/>
  <c r="AA123" i="10"/>
  <c r="Z123" i="10"/>
  <c r="U123" i="10"/>
  <c r="T123" i="10"/>
  <c r="N123" i="10"/>
  <c r="F123" i="10"/>
  <c r="AI122" i="10"/>
  <c r="AD122" i="10"/>
  <c r="AC122" i="10"/>
  <c r="AB122" i="10"/>
  <c r="AA122" i="10"/>
  <c r="Z122" i="10"/>
  <c r="U122" i="10"/>
  <c r="T122" i="10"/>
  <c r="N122" i="10"/>
  <c r="F122" i="10"/>
  <c r="AI121" i="10"/>
  <c r="AD121" i="10"/>
  <c r="AC121" i="10"/>
  <c r="AB121" i="10"/>
  <c r="AA121" i="10"/>
  <c r="Z121" i="10"/>
  <c r="U121" i="10"/>
  <c r="T121" i="10"/>
  <c r="N121" i="10"/>
  <c r="F121" i="10"/>
  <c r="AI120" i="10"/>
  <c r="AD120" i="10"/>
  <c r="AC120" i="10"/>
  <c r="AB120" i="10"/>
  <c r="AA120" i="10"/>
  <c r="Z120" i="10"/>
  <c r="U120" i="10"/>
  <c r="T120" i="10"/>
  <c r="N120" i="10"/>
  <c r="F120" i="10"/>
  <c r="AI119" i="10"/>
  <c r="AD119" i="10"/>
  <c r="AC119" i="10"/>
  <c r="AB119" i="10"/>
  <c r="AA119" i="10"/>
  <c r="Z119" i="10"/>
  <c r="U119" i="10"/>
  <c r="T119" i="10"/>
  <c r="N119" i="10"/>
  <c r="F119" i="10"/>
  <c r="AI118" i="10"/>
  <c r="AD118" i="10"/>
  <c r="AC118" i="10"/>
  <c r="AB118" i="10"/>
  <c r="AA118" i="10"/>
  <c r="Z118" i="10"/>
  <c r="U118" i="10"/>
  <c r="T118" i="10"/>
  <c r="N118" i="10"/>
  <c r="F118" i="10"/>
  <c r="AI117" i="10"/>
  <c r="AD117" i="10"/>
  <c r="AC117" i="10"/>
  <c r="AB117" i="10"/>
  <c r="AA117" i="10"/>
  <c r="Z117" i="10"/>
  <c r="U117" i="10"/>
  <c r="T117" i="10"/>
  <c r="N117" i="10"/>
  <c r="F117" i="10"/>
  <c r="AI116" i="10"/>
  <c r="AD116" i="10"/>
  <c r="AC116" i="10"/>
  <c r="AB116" i="10"/>
  <c r="AA116" i="10"/>
  <c r="Z116" i="10"/>
  <c r="U116" i="10"/>
  <c r="T116" i="10"/>
  <c r="N116" i="10"/>
  <c r="F116" i="10"/>
  <c r="AI115" i="10"/>
  <c r="AD115" i="10"/>
  <c r="AC115" i="10"/>
  <c r="AB115" i="10"/>
  <c r="AA115" i="10"/>
  <c r="Z115" i="10"/>
  <c r="U115" i="10"/>
  <c r="T115" i="10"/>
  <c r="N115" i="10"/>
  <c r="F115" i="10"/>
  <c r="AI114" i="10"/>
  <c r="AD114" i="10"/>
  <c r="AC114" i="10"/>
  <c r="AB114" i="10"/>
  <c r="AA114" i="10"/>
  <c r="Z114" i="10"/>
  <c r="U114" i="10"/>
  <c r="T114" i="10"/>
  <c r="N114" i="10"/>
  <c r="F114" i="10"/>
  <c r="AI113" i="10"/>
  <c r="AD113" i="10"/>
  <c r="AC113" i="10"/>
  <c r="AB113" i="10"/>
  <c r="AA113" i="10"/>
  <c r="Z113" i="10"/>
  <c r="U113" i="10"/>
  <c r="T113" i="10"/>
  <c r="N113" i="10"/>
  <c r="F113" i="10"/>
  <c r="AI112" i="10"/>
  <c r="AD112" i="10"/>
  <c r="AC112" i="10"/>
  <c r="AB112" i="10"/>
  <c r="AA112" i="10"/>
  <c r="Z112" i="10"/>
  <c r="U112" i="10"/>
  <c r="T112" i="10"/>
  <c r="N112" i="10"/>
  <c r="F112" i="10"/>
  <c r="AI111" i="10"/>
  <c r="AD111" i="10"/>
  <c r="AC111" i="10"/>
  <c r="AB111" i="10"/>
  <c r="AA111" i="10"/>
  <c r="Z111" i="10"/>
  <c r="U111" i="10"/>
  <c r="T111" i="10"/>
  <c r="N111" i="10"/>
  <c r="F111" i="10"/>
  <c r="AI110" i="10"/>
  <c r="AD110" i="10"/>
  <c r="AC110" i="10"/>
  <c r="AB110" i="10"/>
  <c r="AA110" i="10"/>
  <c r="Z110" i="10"/>
  <c r="U110" i="10"/>
  <c r="T110" i="10"/>
  <c r="N110" i="10"/>
  <c r="F110" i="10"/>
  <c r="AI109" i="10"/>
  <c r="AD109" i="10"/>
  <c r="AC109" i="10"/>
  <c r="AB109" i="10"/>
  <c r="AA109" i="10"/>
  <c r="Z109" i="10"/>
  <c r="U109" i="10"/>
  <c r="T109" i="10"/>
  <c r="N109" i="10"/>
  <c r="F109" i="10"/>
  <c r="AI108" i="10"/>
  <c r="AD108" i="10"/>
  <c r="AC108" i="10"/>
  <c r="AB108" i="10"/>
  <c r="AA108" i="10"/>
  <c r="Z108" i="10"/>
  <c r="U108" i="10"/>
  <c r="T108" i="10"/>
  <c r="N108" i="10"/>
  <c r="F108" i="10"/>
  <c r="AI107" i="10"/>
  <c r="AD107" i="10"/>
  <c r="AC107" i="10"/>
  <c r="AB107" i="10"/>
  <c r="AA107" i="10"/>
  <c r="Z107" i="10"/>
  <c r="U107" i="10"/>
  <c r="T107" i="10"/>
  <c r="N107" i="10"/>
  <c r="F107" i="10"/>
  <c r="AI106" i="10"/>
  <c r="AD106" i="10"/>
  <c r="AC106" i="10"/>
  <c r="AB106" i="10"/>
  <c r="AA106" i="10"/>
  <c r="Z106" i="10"/>
  <c r="U106" i="10"/>
  <c r="T106" i="10"/>
  <c r="N106" i="10"/>
  <c r="F106" i="10"/>
  <c r="AI105" i="10"/>
  <c r="AD105" i="10"/>
  <c r="AC105" i="10"/>
  <c r="AB105" i="10"/>
  <c r="AA105" i="10"/>
  <c r="Z105" i="10"/>
  <c r="U105" i="10"/>
  <c r="T105" i="10"/>
  <c r="N105" i="10"/>
  <c r="F105" i="10"/>
  <c r="AI104" i="10"/>
  <c r="AD104" i="10"/>
  <c r="AC104" i="10"/>
  <c r="AB104" i="10"/>
  <c r="AA104" i="10"/>
  <c r="Z104" i="10"/>
  <c r="U104" i="10"/>
  <c r="T104" i="10"/>
  <c r="N104" i="10"/>
  <c r="F104" i="10"/>
  <c r="AI103" i="10"/>
  <c r="AD103" i="10"/>
  <c r="AC103" i="10"/>
  <c r="AB103" i="10"/>
  <c r="AA103" i="10"/>
  <c r="Z103" i="10"/>
  <c r="U103" i="10"/>
  <c r="T103" i="10"/>
  <c r="N103" i="10"/>
  <c r="F103" i="10"/>
  <c r="AI102" i="10"/>
  <c r="AD102" i="10"/>
  <c r="AC102" i="10"/>
  <c r="AB102" i="10"/>
  <c r="AA102" i="10"/>
  <c r="Z102" i="10"/>
  <c r="U102" i="10"/>
  <c r="T102" i="10"/>
  <c r="N102" i="10"/>
  <c r="F102" i="10"/>
  <c r="AI101" i="10"/>
  <c r="AD101" i="10"/>
  <c r="AC101" i="10"/>
  <c r="AB101" i="10"/>
  <c r="AA101" i="10"/>
  <c r="Z101" i="10"/>
  <c r="U101" i="10"/>
  <c r="T101" i="10"/>
  <c r="N101" i="10"/>
  <c r="F101" i="10"/>
  <c r="AI100" i="10"/>
  <c r="AD100" i="10"/>
  <c r="AC100" i="10"/>
  <c r="AB100" i="10"/>
  <c r="AA100" i="10"/>
  <c r="Z100" i="10"/>
  <c r="U100" i="10"/>
  <c r="T100" i="10"/>
  <c r="N100" i="10"/>
  <c r="F100" i="10"/>
  <c r="AI99" i="10"/>
  <c r="AD99" i="10"/>
  <c r="AC99" i="10"/>
  <c r="AB99" i="10"/>
  <c r="AA99" i="10"/>
  <c r="Z99" i="10"/>
  <c r="U99" i="10"/>
  <c r="T99" i="10"/>
  <c r="N99" i="10"/>
  <c r="F99" i="10"/>
  <c r="AI98" i="10"/>
  <c r="AD98" i="10"/>
  <c r="AC98" i="10"/>
  <c r="AB98" i="10"/>
  <c r="AA98" i="10"/>
  <c r="Z98" i="10"/>
  <c r="U98" i="10"/>
  <c r="T98" i="10"/>
  <c r="N98" i="10"/>
  <c r="F98" i="10"/>
  <c r="AI97" i="10"/>
  <c r="AD97" i="10"/>
  <c r="AC97" i="10"/>
  <c r="AB97" i="10"/>
  <c r="AA97" i="10"/>
  <c r="Z97" i="10"/>
  <c r="U97" i="10"/>
  <c r="T97" i="10"/>
  <c r="N97" i="10"/>
  <c r="F97" i="10"/>
  <c r="AI96" i="10"/>
  <c r="AD96" i="10"/>
  <c r="AC96" i="10"/>
  <c r="AB96" i="10"/>
  <c r="AA96" i="10"/>
  <c r="Z96" i="10"/>
  <c r="U96" i="10"/>
  <c r="T96" i="10"/>
  <c r="N96" i="10"/>
  <c r="F96" i="10"/>
  <c r="AI95" i="10"/>
  <c r="AD95" i="10"/>
  <c r="AC95" i="10"/>
  <c r="AB95" i="10"/>
  <c r="AA95" i="10"/>
  <c r="Z95" i="10"/>
  <c r="U95" i="10"/>
  <c r="T95" i="10"/>
  <c r="N95" i="10"/>
  <c r="F95" i="10"/>
  <c r="AI94" i="10"/>
  <c r="AD94" i="10"/>
  <c r="AC94" i="10"/>
  <c r="AB94" i="10"/>
  <c r="AA94" i="10"/>
  <c r="Z94" i="10"/>
  <c r="U94" i="10"/>
  <c r="T94" i="10"/>
  <c r="N94" i="10"/>
  <c r="F94" i="10"/>
  <c r="AI93" i="10"/>
  <c r="AD93" i="10"/>
  <c r="AC93" i="10"/>
  <c r="AB93" i="10"/>
  <c r="AA93" i="10"/>
  <c r="Z93" i="10"/>
  <c r="U93" i="10"/>
  <c r="T93" i="10"/>
  <c r="N93" i="10"/>
  <c r="F93" i="10"/>
  <c r="AI92" i="10"/>
  <c r="AD92" i="10"/>
  <c r="AC92" i="10"/>
  <c r="AB92" i="10"/>
  <c r="AA92" i="10"/>
  <c r="Z92" i="10"/>
  <c r="U92" i="10"/>
  <c r="T92" i="10"/>
  <c r="N92" i="10"/>
  <c r="F92" i="10"/>
  <c r="AI91" i="10"/>
  <c r="AD91" i="10"/>
  <c r="AC91" i="10"/>
  <c r="AB91" i="10"/>
  <c r="AA91" i="10"/>
  <c r="Z91" i="10"/>
  <c r="U91" i="10"/>
  <c r="T91" i="10"/>
  <c r="N91" i="10"/>
  <c r="F91" i="10"/>
  <c r="AI90" i="10"/>
  <c r="AD90" i="10"/>
  <c r="AC90" i="10"/>
  <c r="AB90" i="10"/>
  <c r="AA90" i="10"/>
  <c r="Z90" i="10"/>
  <c r="U90" i="10"/>
  <c r="T90" i="10"/>
  <c r="N90" i="10"/>
  <c r="F90" i="10"/>
  <c r="AI89" i="10"/>
  <c r="AD89" i="10"/>
  <c r="AC89" i="10"/>
  <c r="AB89" i="10"/>
  <c r="AA89" i="10"/>
  <c r="Z89" i="10"/>
  <c r="U89" i="10"/>
  <c r="T89" i="10"/>
  <c r="N89" i="10"/>
  <c r="F89" i="10"/>
  <c r="AI88" i="10"/>
  <c r="AD88" i="10"/>
  <c r="AC88" i="10"/>
  <c r="AB88" i="10"/>
  <c r="AA88" i="10"/>
  <c r="Z88" i="10"/>
  <c r="U88" i="10"/>
  <c r="T88" i="10"/>
  <c r="N88" i="10"/>
  <c r="F88" i="10"/>
  <c r="AI87" i="10"/>
  <c r="AD87" i="10"/>
  <c r="AC87" i="10"/>
  <c r="AB87" i="10"/>
  <c r="AA87" i="10"/>
  <c r="Z87" i="10"/>
  <c r="U87" i="10"/>
  <c r="T87" i="10"/>
  <c r="N87" i="10"/>
  <c r="F87" i="10"/>
  <c r="AI86" i="10"/>
  <c r="AD86" i="10"/>
  <c r="AC86" i="10"/>
  <c r="AB86" i="10"/>
  <c r="AA86" i="10"/>
  <c r="Z86" i="10"/>
  <c r="U86" i="10"/>
  <c r="T86" i="10"/>
  <c r="N86" i="10"/>
  <c r="F86" i="10"/>
  <c r="AI85" i="10"/>
  <c r="AD85" i="10"/>
  <c r="AC85" i="10"/>
  <c r="AB85" i="10"/>
  <c r="AA85" i="10"/>
  <c r="Z85" i="10"/>
  <c r="U85" i="10"/>
  <c r="T85" i="10"/>
  <c r="N85" i="10"/>
  <c r="F85" i="10"/>
  <c r="AI84" i="10"/>
  <c r="AD84" i="10"/>
  <c r="AC84" i="10"/>
  <c r="AB84" i="10"/>
  <c r="AA84" i="10"/>
  <c r="Z84" i="10"/>
  <c r="U84" i="10"/>
  <c r="T84" i="10"/>
  <c r="N84" i="10"/>
  <c r="F84" i="10"/>
  <c r="AI83" i="10"/>
  <c r="AD83" i="10"/>
  <c r="AC83" i="10"/>
  <c r="AB83" i="10"/>
  <c r="AA83" i="10"/>
  <c r="Z83" i="10"/>
  <c r="U83" i="10"/>
  <c r="T83" i="10"/>
  <c r="N83" i="10"/>
  <c r="F83" i="10"/>
  <c r="AI82" i="10"/>
  <c r="AD82" i="10"/>
  <c r="AC82" i="10"/>
  <c r="AB82" i="10"/>
  <c r="AA82" i="10"/>
  <c r="Z82" i="10"/>
  <c r="U82" i="10"/>
  <c r="T82" i="10"/>
  <c r="N82" i="10"/>
  <c r="F82" i="10"/>
  <c r="AI81" i="10"/>
  <c r="AD81" i="10"/>
  <c r="AC81" i="10"/>
  <c r="AB81" i="10"/>
  <c r="AA81" i="10"/>
  <c r="Z81" i="10"/>
  <c r="U81" i="10"/>
  <c r="T81" i="10"/>
  <c r="N81" i="10"/>
  <c r="F81" i="10"/>
  <c r="AI80" i="10"/>
  <c r="AD80" i="10"/>
  <c r="AC80" i="10"/>
  <c r="AB80" i="10"/>
  <c r="AA80" i="10"/>
  <c r="Z80" i="10"/>
  <c r="U80" i="10"/>
  <c r="T80" i="10"/>
  <c r="N80" i="10"/>
  <c r="F80" i="10"/>
  <c r="AI79" i="10"/>
  <c r="AD79" i="10"/>
  <c r="AC79" i="10"/>
  <c r="AB79" i="10"/>
  <c r="AA79" i="10"/>
  <c r="Z79" i="10"/>
  <c r="U79" i="10"/>
  <c r="T79" i="10"/>
  <c r="N79" i="10"/>
  <c r="F79" i="10"/>
  <c r="AI78" i="10"/>
  <c r="AD78" i="10"/>
  <c r="AC78" i="10"/>
  <c r="AB78" i="10"/>
  <c r="AA78" i="10"/>
  <c r="Z78" i="10"/>
  <c r="U78" i="10"/>
  <c r="T78" i="10"/>
  <c r="N78" i="10"/>
  <c r="F78" i="10"/>
  <c r="AI77" i="10"/>
  <c r="AD77" i="10"/>
  <c r="AC77" i="10"/>
  <c r="AB77" i="10"/>
  <c r="AA77" i="10"/>
  <c r="Z77" i="10"/>
  <c r="U77" i="10"/>
  <c r="T77" i="10"/>
  <c r="N77" i="10"/>
  <c r="F77" i="10"/>
  <c r="AI76" i="10"/>
  <c r="AD76" i="10"/>
  <c r="AC76" i="10"/>
  <c r="AB76" i="10"/>
  <c r="AA76" i="10"/>
  <c r="Z76" i="10"/>
  <c r="U76" i="10"/>
  <c r="T76" i="10"/>
  <c r="N76" i="10"/>
  <c r="F76" i="10"/>
  <c r="AI75" i="10"/>
  <c r="AD75" i="10"/>
  <c r="AC75" i="10"/>
  <c r="AB75" i="10"/>
  <c r="AA75" i="10"/>
  <c r="Z75" i="10"/>
  <c r="U75" i="10"/>
  <c r="T75" i="10"/>
  <c r="N75" i="10"/>
  <c r="F75" i="10"/>
  <c r="AI74" i="10"/>
  <c r="AD74" i="10"/>
  <c r="AC74" i="10"/>
  <c r="AB74" i="10"/>
  <c r="AA74" i="10"/>
  <c r="Z74" i="10"/>
  <c r="U74" i="10"/>
  <c r="T74" i="10"/>
  <c r="N74" i="10"/>
  <c r="F74" i="10"/>
  <c r="AI73" i="10"/>
  <c r="AD73" i="10"/>
  <c r="AC73" i="10"/>
  <c r="AB73" i="10"/>
  <c r="AA73" i="10"/>
  <c r="Z73" i="10"/>
  <c r="U73" i="10"/>
  <c r="T73" i="10"/>
  <c r="N73" i="10"/>
  <c r="F73" i="10"/>
  <c r="AI72" i="10"/>
  <c r="AD72" i="10"/>
  <c r="AC72" i="10"/>
  <c r="AB72" i="10"/>
  <c r="AA72" i="10"/>
  <c r="Z72" i="10"/>
  <c r="U72" i="10"/>
  <c r="T72" i="10"/>
  <c r="N72" i="10"/>
  <c r="F72" i="10"/>
  <c r="AI71" i="10"/>
  <c r="AD71" i="10"/>
  <c r="AC71" i="10"/>
  <c r="AB71" i="10"/>
  <c r="AA71" i="10"/>
  <c r="Z71" i="10"/>
  <c r="U71" i="10"/>
  <c r="T71" i="10"/>
  <c r="N71" i="10"/>
  <c r="F71" i="10"/>
  <c r="AI70" i="10"/>
  <c r="AD70" i="10"/>
  <c r="AC70" i="10"/>
  <c r="AB70" i="10"/>
  <c r="AA70" i="10"/>
  <c r="Z70" i="10"/>
  <c r="U70" i="10"/>
  <c r="T70" i="10"/>
  <c r="N70" i="10"/>
  <c r="F70" i="10"/>
  <c r="AI69" i="10"/>
  <c r="AD69" i="10"/>
  <c r="AC69" i="10"/>
  <c r="AB69" i="10"/>
  <c r="AA69" i="10"/>
  <c r="Z69" i="10"/>
  <c r="U69" i="10"/>
  <c r="T69" i="10"/>
  <c r="N69" i="10"/>
  <c r="F69" i="10"/>
  <c r="AI68" i="10"/>
  <c r="AD68" i="10"/>
  <c r="AC68" i="10"/>
  <c r="AB68" i="10"/>
  <c r="AA68" i="10"/>
  <c r="Z68" i="10"/>
  <c r="U68" i="10"/>
  <c r="T68" i="10"/>
  <c r="N68" i="10"/>
  <c r="F68" i="10"/>
  <c r="AI67" i="10"/>
  <c r="AD67" i="10"/>
  <c r="AC67" i="10"/>
  <c r="AB67" i="10"/>
  <c r="AA67" i="10"/>
  <c r="Z67" i="10"/>
  <c r="U67" i="10"/>
  <c r="T67" i="10"/>
  <c r="N67" i="10"/>
  <c r="F67" i="10"/>
  <c r="AI66" i="10"/>
  <c r="AD66" i="10"/>
  <c r="AC66" i="10"/>
  <c r="AB66" i="10"/>
  <c r="AA66" i="10"/>
  <c r="Z66" i="10"/>
  <c r="U66" i="10"/>
  <c r="T66" i="10"/>
  <c r="N66" i="10"/>
  <c r="F66" i="10"/>
  <c r="AI65" i="10"/>
  <c r="AD65" i="10"/>
  <c r="AC65" i="10"/>
  <c r="AB65" i="10"/>
  <c r="AA65" i="10"/>
  <c r="Z65" i="10"/>
  <c r="U65" i="10"/>
  <c r="T65" i="10"/>
  <c r="N65" i="10"/>
  <c r="F65" i="10"/>
  <c r="AI64" i="10"/>
  <c r="AD64" i="10"/>
  <c r="AC64" i="10"/>
  <c r="AB64" i="10"/>
  <c r="AA64" i="10"/>
  <c r="Z64" i="10"/>
  <c r="U64" i="10"/>
  <c r="T64" i="10"/>
  <c r="N64" i="10"/>
  <c r="F64" i="10"/>
  <c r="AI63" i="10"/>
  <c r="AD63" i="10"/>
  <c r="AC63" i="10"/>
  <c r="AB63" i="10"/>
  <c r="AA63" i="10"/>
  <c r="Z63" i="10"/>
  <c r="U63" i="10"/>
  <c r="T63" i="10"/>
  <c r="N63" i="10"/>
  <c r="F63" i="10"/>
  <c r="AI62" i="10"/>
  <c r="AD62" i="10"/>
  <c r="AC62" i="10"/>
  <c r="AB62" i="10"/>
  <c r="AA62" i="10"/>
  <c r="Z62" i="10"/>
  <c r="U62" i="10"/>
  <c r="T62" i="10"/>
  <c r="N62" i="10"/>
  <c r="F62" i="10"/>
  <c r="AI61" i="10"/>
  <c r="AD61" i="10"/>
  <c r="AC61" i="10"/>
  <c r="AB61" i="10"/>
  <c r="AA61" i="10"/>
  <c r="Z61" i="10"/>
  <c r="U61" i="10"/>
  <c r="T61" i="10"/>
  <c r="N61" i="10"/>
  <c r="F61" i="10"/>
  <c r="AI60" i="10"/>
  <c r="AD60" i="10"/>
  <c r="AC60" i="10"/>
  <c r="AB60" i="10"/>
  <c r="AA60" i="10"/>
  <c r="Z60" i="10"/>
  <c r="U60" i="10"/>
  <c r="T60" i="10"/>
  <c r="N60" i="10"/>
  <c r="F60" i="10"/>
  <c r="AI59" i="10"/>
  <c r="AD59" i="10"/>
  <c r="AC59" i="10"/>
  <c r="AB59" i="10"/>
  <c r="AA59" i="10"/>
  <c r="Z59" i="10"/>
  <c r="U59" i="10"/>
  <c r="T59" i="10"/>
  <c r="N59" i="10"/>
  <c r="F59" i="10"/>
  <c r="AI58" i="10"/>
  <c r="AD58" i="10"/>
  <c r="AC58" i="10"/>
  <c r="AB58" i="10"/>
  <c r="AA58" i="10"/>
  <c r="Z58" i="10"/>
  <c r="U58" i="10"/>
  <c r="T58" i="10"/>
  <c r="N58" i="10"/>
  <c r="F58" i="10"/>
  <c r="AI57" i="10"/>
  <c r="AD57" i="10"/>
  <c r="AC57" i="10"/>
  <c r="AB57" i="10"/>
  <c r="AA57" i="10"/>
  <c r="Z57" i="10"/>
  <c r="U57" i="10"/>
  <c r="T57" i="10"/>
  <c r="N57" i="10"/>
  <c r="F57" i="10"/>
  <c r="AI56" i="10"/>
  <c r="AD56" i="10"/>
  <c r="AC56" i="10"/>
  <c r="AB56" i="10"/>
  <c r="AA56" i="10"/>
  <c r="Z56" i="10"/>
  <c r="U56" i="10"/>
  <c r="T56" i="10"/>
  <c r="N56" i="10"/>
  <c r="F56" i="10"/>
  <c r="AI55" i="10"/>
  <c r="AD55" i="10"/>
  <c r="AC55" i="10"/>
  <c r="AB55" i="10"/>
  <c r="AA55" i="10"/>
  <c r="Z55" i="10"/>
  <c r="U55" i="10"/>
  <c r="T55" i="10"/>
  <c r="N55" i="10"/>
  <c r="F55" i="10"/>
  <c r="AI54" i="10"/>
  <c r="AD54" i="10"/>
  <c r="AC54" i="10"/>
  <c r="AB54" i="10"/>
  <c r="AA54" i="10"/>
  <c r="Z54" i="10"/>
  <c r="U54" i="10"/>
  <c r="T54" i="10"/>
  <c r="N54" i="10"/>
  <c r="F54" i="10"/>
  <c r="AI53" i="10"/>
  <c r="AD53" i="10"/>
  <c r="AC53" i="10"/>
  <c r="AB53" i="10"/>
  <c r="AA53" i="10"/>
  <c r="Z53" i="10"/>
  <c r="U53" i="10"/>
  <c r="T53" i="10"/>
  <c r="N53" i="10"/>
  <c r="F53" i="10"/>
  <c r="AI52" i="10"/>
  <c r="AD52" i="10"/>
  <c r="AC52" i="10"/>
  <c r="AB52" i="10"/>
  <c r="AA52" i="10"/>
  <c r="Z52" i="10"/>
  <c r="U52" i="10"/>
  <c r="T52" i="10"/>
  <c r="N52" i="10"/>
  <c r="F52" i="10"/>
  <c r="AI51" i="10"/>
  <c r="AD51" i="10"/>
  <c r="AC51" i="10"/>
  <c r="AB51" i="10"/>
  <c r="AA51" i="10"/>
  <c r="Z51" i="10"/>
  <c r="U51" i="10"/>
  <c r="T51" i="10"/>
  <c r="N51" i="10"/>
  <c r="F51" i="10"/>
  <c r="AI50" i="10"/>
  <c r="AD50" i="10"/>
  <c r="AC50" i="10"/>
  <c r="AB50" i="10"/>
  <c r="AA50" i="10"/>
  <c r="Z50" i="10"/>
  <c r="U50" i="10"/>
  <c r="T50" i="10"/>
  <c r="N50" i="10"/>
  <c r="F50" i="10"/>
  <c r="AI49" i="10"/>
  <c r="AD49" i="10"/>
  <c r="AC49" i="10"/>
  <c r="AB49" i="10"/>
  <c r="AA49" i="10"/>
  <c r="Z49" i="10"/>
  <c r="U49" i="10"/>
  <c r="T49" i="10"/>
  <c r="N49" i="10"/>
  <c r="F49" i="10"/>
  <c r="AI48" i="10"/>
  <c r="AD48" i="10"/>
  <c r="AC48" i="10"/>
  <c r="AB48" i="10"/>
  <c r="AA48" i="10"/>
  <c r="Z48" i="10"/>
  <c r="U48" i="10"/>
  <c r="T48" i="10"/>
  <c r="N48" i="10"/>
  <c r="F48" i="10"/>
  <c r="AI47" i="10"/>
  <c r="AD47" i="10"/>
  <c r="AC47" i="10"/>
  <c r="AB47" i="10"/>
  <c r="AA47" i="10"/>
  <c r="Z47" i="10"/>
  <c r="U47" i="10"/>
  <c r="T47" i="10"/>
  <c r="N47" i="10"/>
  <c r="F47" i="10"/>
  <c r="AI46" i="10"/>
  <c r="AD46" i="10"/>
  <c r="AC46" i="10"/>
  <c r="AB46" i="10"/>
  <c r="AA46" i="10"/>
  <c r="Z46" i="10"/>
  <c r="U46" i="10"/>
  <c r="T46" i="10"/>
  <c r="N46" i="10"/>
  <c r="F46" i="10"/>
  <c r="AI45" i="10"/>
  <c r="AD45" i="10"/>
  <c r="AC45" i="10"/>
  <c r="AB45" i="10"/>
  <c r="AA45" i="10"/>
  <c r="Z45" i="10"/>
  <c r="U45" i="10"/>
  <c r="T45" i="10"/>
  <c r="N45" i="10"/>
  <c r="F45" i="10"/>
  <c r="AI44" i="10"/>
  <c r="AD44" i="10"/>
  <c r="AC44" i="10"/>
  <c r="AB44" i="10"/>
  <c r="AA44" i="10"/>
  <c r="Z44" i="10"/>
  <c r="U44" i="10"/>
  <c r="T44" i="10"/>
  <c r="N44" i="10"/>
  <c r="F44" i="10"/>
  <c r="AI43" i="10"/>
  <c r="AD43" i="10"/>
  <c r="AC43" i="10"/>
  <c r="AB43" i="10"/>
  <c r="AA43" i="10"/>
  <c r="Z43" i="10"/>
  <c r="U43" i="10"/>
  <c r="T43" i="10"/>
  <c r="N43" i="10"/>
  <c r="F43" i="10"/>
  <c r="AI42" i="10"/>
  <c r="AD42" i="10"/>
  <c r="AC42" i="10"/>
  <c r="AB42" i="10"/>
  <c r="AA42" i="10"/>
  <c r="Z42" i="10"/>
  <c r="U42" i="10"/>
  <c r="T42" i="10"/>
  <c r="N42" i="10"/>
  <c r="F42" i="10"/>
  <c r="AI41" i="10"/>
  <c r="AD41" i="10"/>
  <c r="AC41" i="10"/>
  <c r="AB41" i="10"/>
  <c r="AA41" i="10"/>
  <c r="Z41" i="10"/>
  <c r="U41" i="10"/>
  <c r="T41" i="10"/>
  <c r="N41" i="10"/>
  <c r="F41" i="10"/>
  <c r="AI40" i="10"/>
  <c r="AD40" i="10"/>
  <c r="AC40" i="10"/>
  <c r="AB40" i="10"/>
  <c r="AA40" i="10"/>
  <c r="Z40" i="10"/>
  <c r="U40" i="10"/>
  <c r="T40" i="10"/>
  <c r="N40" i="10"/>
  <c r="F40" i="10"/>
  <c r="AI39" i="10"/>
  <c r="AD39" i="10"/>
  <c r="AC39" i="10"/>
  <c r="AB39" i="10"/>
  <c r="AA39" i="10"/>
  <c r="Z39" i="10"/>
  <c r="U39" i="10"/>
  <c r="T39" i="10"/>
  <c r="N39" i="10"/>
  <c r="F39" i="10"/>
  <c r="AI38" i="10"/>
  <c r="AD38" i="10"/>
  <c r="AC38" i="10"/>
  <c r="AB38" i="10"/>
  <c r="AA38" i="10"/>
  <c r="Z38" i="10"/>
  <c r="U38" i="10"/>
  <c r="T38" i="10"/>
  <c r="N38" i="10"/>
  <c r="F38" i="10"/>
  <c r="AI37" i="10"/>
  <c r="AD37" i="10"/>
  <c r="AC37" i="10"/>
  <c r="AB37" i="10"/>
  <c r="AA37" i="10"/>
  <c r="Z37" i="10"/>
  <c r="U37" i="10"/>
  <c r="T37" i="10"/>
  <c r="N37" i="10"/>
  <c r="F37" i="10"/>
  <c r="AI36" i="10"/>
  <c r="AD36" i="10"/>
  <c r="AC36" i="10"/>
  <c r="AB36" i="10"/>
  <c r="AA36" i="10"/>
  <c r="Z36" i="10"/>
  <c r="U36" i="10"/>
  <c r="T36" i="10"/>
  <c r="N36" i="10"/>
  <c r="F36" i="10"/>
  <c r="AI35" i="10"/>
  <c r="AD35" i="10"/>
  <c r="AC35" i="10"/>
  <c r="AB35" i="10"/>
  <c r="AA35" i="10"/>
  <c r="Z35" i="10"/>
  <c r="U35" i="10"/>
  <c r="T35" i="10"/>
  <c r="N35" i="10"/>
  <c r="F35" i="10"/>
  <c r="AI34" i="10"/>
  <c r="AD34" i="10"/>
  <c r="AC34" i="10"/>
  <c r="AB34" i="10"/>
  <c r="AA34" i="10"/>
  <c r="Z34" i="10"/>
  <c r="U34" i="10"/>
  <c r="T34" i="10"/>
  <c r="N34" i="10"/>
  <c r="F34" i="10"/>
  <c r="AI33" i="10"/>
  <c r="AD33" i="10"/>
  <c r="AC33" i="10"/>
  <c r="AB33" i="10"/>
  <c r="AA33" i="10"/>
  <c r="Z33" i="10"/>
  <c r="U33" i="10"/>
  <c r="T33" i="10"/>
  <c r="N33" i="10"/>
  <c r="F33" i="10"/>
  <c r="AI32" i="10"/>
  <c r="AD32" i="10"/>
  <c r="AC32" i="10"/>
  <c r="AB32" i="10"/>
  <c r="AA32" i="10"/>
  <c r="Z32" i="10"/>
  <c r="U32" i="10"/>
  <c r="T32" i="10"/>
  <c r="N32" i="10"/>
  <c r="F32" i="10"/>
  <c r="AI31" i="10"/>
  <c r="AD31" i="10"/>
  <c r="AC31" i="10"/>
  <c r="AB31" i="10"/>
  <c r="AA31" i="10"/>
  <c r="Z31" i="10"/>
  <c r="U31" i="10"/>
  <c r="T31" i="10"/>
  <c r="N31" i="10"/>
  <c r="F31" i="10"/>
  <c r="AI30" i="10"/>
  <c r="AD30" i="10"/>
  <c r="AC30" i="10"/>
  <c r="AB30" i="10"/>
  <c r="AA30" i="10"/>
  <c r="Z30" i="10"/>
  <c r="U30" i="10"/>
  <c r="T30" i="10"/>
  <c r="N30" i="10"/>
  <c r="F30" i="10"/>
  <c r="AI29" i="10"/>
  <c r="AD29" i="10"/>
  <c r="AC29" i="10"/>
  <c r="AB29" i="10"/>
  <c r="AA29" i="10"/>
  <c r="Z29" i="10"/>
  <c r="U29" i="10"/>
  <c r="T29" i="10"/>
  <c r="N29" i="10"/>
  <c r="F29" i="10"/>
  <c r="AI28" i="10"/>
  <c r="AD28" i="10"/>
  <c r="AC28" i="10"/>
  <c r="AB28" i="10"/>
  <c r="AA28" i="10"/>
  <c r="Z28" i="10"/>
  <c r="U28" i="10"/>
  <c r="T28" i="10"/>
  <c r="N28" i="10"/>
  <c r="F28" i="10"/>
  <c r="AI27" i="10"/>
  <c r="AD27" i="10"/>
  <c r="AC27" i="10"/>
  <c r="AB27" i="10"/>
  <c r="AA27" i="10"/>
  <c r="Z27" i="10"/>
  <c r="U27" i="10"/>
  <c r="T27" i="10"/>
  <c r="N27" i="10"/>
  <c r="F27" i="10"/>
  <c r="AI26" i="10"/>
  <c r="AD26" i="10"/>
  <c r="AC26" i="10"/>
  <c r="AB26" i="10"/>
  <c r="AA26" i="10"/>
  <c r="Z26" i="10"/>
  <c r="U26" i="10"/>
  <c r="T26" i="10"/>
  <c r="N26" i="10"/>
  <c r="F26" i="10"/>
  <c r="AI25" i="10"/>
  <c r="AD25" i="10"/>
  <c r="AC25" i="10"/>
  <c r="AB25" i="10"/>
  <c r="AA25" i="10"/>
  <c r="Z25" i="10"/>
  <c r="U25" i="10"/>
  <c r="T25" i="10"/>
  <c r="N25" i="10"/>
  <c r="F25" i="10"/>
  <c r="AI24" i="10"/>
  <c r="AD24" i="10"/>
  <c r="AC24" i="10"/>
  <c r="AB24" i="10"/>
  <c r="AA24" i="10"/>
  <c r="Z24" i="10"/>
  <c r="U24" i="10"/>
  <c r="T24" i="10"/>
  <c r="N24" i="10"/>
  <c r="F24" i="10"/>
  <c r="AI23" i="10"/>
  <c r="AD23" i="10"/>
  <c r="AC23" i="10"/>
  <c r="AB23" i="10"/>
  <c r="AA23" i="10"/>
  <c r="Z23" i="10"/>
  <c r="U23" i="10"/>
  <c r="T23" i="10"/>
  <c r="N23" i="10"/>
  <c r="F23" i="10"/>
  <c r="AI22" i="10"/>
  <c r="AD22" i="10"/>
  <c r="AC22" i="10"/>
  <c r="AB22" i="10"/>
  <c r="AA22" i="10"/>
  <c r="Z22" i="10"/>
  <c r="U22" i="10"/>
  <c r="T22" i="10"/>
  <c r="N22" i="10"/>
  <c r="F22" i="10"/>
  <c r="AI21" i="10"/>
  <c r="AD21" i="10"/>
  <c r="AC21" i="10"/>
  <c r="AB21" i="10"/>
  <c r="AA21" i="10"/>
  <c r="Z21" i="10"/>
  <c r="U21" i="10"/>
  <c r="T21" i="10"/>
  <c r="N21" i="10"/>
  <c r="F21" i="10"/>
  <c r="AI20" i="10"/>
  <c r="AD20" i="10"/>
  <c r="AC20" i="10"/>
  <c r="AB20" i="10"/>
  <c r="AA20" i="10"/>
  <c r="Z20" i="10"/>
  <c r="U20" i="10"/>
  <c r="T20" i="10"/>
  <c r="N20" i="10"/>
  <c r="F20" i="10"/>
  <c r="AI19" i="10"/>
  <c r="AD19" i="10"/>
  <c r="AC19" i="10"/>
  <c r="AB19" i="10"/>
  <c r="AA19" i="10"/>
  <c r="Z19" i="10"/>
  <c r="U19" i="10"/>
  <c r="T19" i="10"/>
  <c r="N19" i="10"/>
  <c r="F19" i="10"/>
  <c r="AI18" i="10"/>
  <c r="AD18" i="10"/>
  <c r="AC18" i="10"/>
  <c r="AB18" i="10"/>
  <c r="AA18" i="10"/>
  <c r="Z18" i="10"/>
  <c r="U18" i="10"/>
  <c r="T18" i="10"/>
  <c r="N18" i="10"/>
  <c r="F18" i="10"/>
  <c r="AI17" i="10"/>
  <c r="AD17" i="10"/>
  <c r="AC17" i="10"/>
  <c r="AB17" i="10"/>
  <c r="AA17" i="10"/>
  <c r="Z17" i="10"/>
  <c r="U17" i="10"/>
  <c r="T17" i="10"/>
  <c r="N17" i="10"/>
  <c r="F17" i="10"/>
  <c r="AI16" i="10"/>
  <c r="AD16" i="10"/>
  <c r="AC16" i="10"/>
  <c r="AB16" i="10"/>
  <c r="AA16" i="10"/>
  <c r="Z16" i="10"/>
  <c r="U16" i="10"/>
  <c r="T16" i="10"/>
  <c r="N16" i="10"/>
  <c r="F16" i="10"/>
  <c r="AI15" i="10"/>
  <c r="AD15" i="10"/>
  <c r="AC15" i="10"/>
  <c r="AB15" i="10"/>
  <c r="AA15" i="10"/>
  <c r="Z15" i="10"/>
  <c r="U15" i="10"/>
  <c r="T15" i="10"/>
  <c r="N15" i="10"/>
  <c r="F15" i="10"/>
  <c r="AI14" i="10"/>
  <c r="AD14" i="10"/>
  <c r="AC14" i="10"/>
  <c r="AB14" i="10"/>
  <c r="AA14" i="10"/>
  <c r="Z14" i="10"/>
  <c r="U14" i="10"/>
  <c r="T14" i="10"/>
  <c r="N14" i="10"/>
  <c r="F14" i="10"/>
  <c r="AI13" i="10"/>
  <c r="AD13" i="10"/>
  <c r="AC13" i="10"/>
  <c r="AB13" i="10"/>
  <c r="AA13" i="10"/>
  <c r="Z13" i="10"/>
  <c r="U13" i="10"/>
  <c r="T13" i="10"/>
  <c r="N13" i="10"/>
  <c r="F13" i="10"/>
  <c r="AI12" i="10"/>
  <c r="AD12" i="10"/>
  <c r="AC12" i="10"/>
  <c r="AB12" i="10"/>
  <c r="AA12" i="10"/>
  <c r="Z12" i="10"/>
  <c r="U12" i="10"/>
  <c r="T12" i="10"/>
  <c r="N12" i="10"/>
  <c r="F12" i="10"/>
  <c r="AI11" i="10"/>
  <c r="AD11" i="10"/>
  <c r="AC11" i="10"/>
  <c r="AB11" i="10"/>
  <c r="AA11" i="10"/>
  <c r="Z11" i="10"/>
  <c r="U11" i="10"/>
  <c r="T11" i="10"/>
  <c r="N11" i="10"/>
  <c r="F11" i="10"/>
  <c r="AI10" i="10"/>
  <c r="AD10" i="10"/>
  <c r="AC10" i="10"/>
  <c r="AB10" i="10"/>
  <c r="AA10" i="10"/>
  <c r="Z10" i="10"/>
  <c r="U10" i="10"/>
  <c r="T10" i="10"/>
  <c r="N10" i="10"/>
  <c r="F10" i="10"/>
  <c r="AI9" i="10"/>
  <c r="AD9" i="10"/>
  <c r="AC9" i="10"/>
  <c r="AB9" i="10"/>
  <c r="AA9" i="10"/>
  <c r="Z9" i="10"/>
  <c r="U9" i="10"/>
  <c r="T9" i="10"/>
  <c r="F9" i="6" s="1"/>
  <c r="N9" i="10"/>
  <c r="F9" i="10"/>
  <c r="AI8" i="10"/>
  <c r="AD8" i="10"/>
  <c r="AC8" i="10"/>
  <c r="AB8" i="10"/>
  <c r="AA8" i="10"/>
  <c r="Z8" i="10"/>
  <c r="U8" i="10"/>
  <c r="T8" i="10"/>
  <c r="N8" i="10"/>
  <c r="F8" i="10"/>
  <c r="AI7" i="10"/>
  <c r="AD7" i="10"/>
  <c r="AC7" i="10"/>
  <c r="AB7" i="10"/>
  <c r="AA7" i="10"/>
  <c r="Z7" i="10"/>
  <c r="U7" i="10"/>
  <c r="T7" i="10"/>
  <c r="N7" i="10"/>
  <c r="F7" i="10"/>
  <c r="AI6" i="10"/>
  <c r="AD6" i="10"/>
  <c r="AC6" i="10"/>
  <c r="AB6" i="10"/>
  <c r="AA6" i="10"/>
  <c r="Z6" i="10"/>
  <c r="U6" i="10"/>
  <c r="T6" i="10"/>
  <c r="N6" i="10"/>
  <c r="F6" i="10"/>
  <c r="AI5" i="10"/>
  <c r="AD5" i="10"/>
  <c r="AC5" i="10"/>
  <c r="AB5" i="10"/>
  <c r="AA5" i="10"/>
  <c r="Z5" i="10"/>
  <c r="U5" i="10"/>
  <c r="T5" i="10"/>
  <c r="N5" i="10"/>
  <c r="F5" i="10"/>
  <c r="AI4" i="10"/>
  <c r="AD4" i="10"/>
  <c r="AC4" i="10"/>
  <c r="AB4" i="10"/>
  <c r="AA4" i="10"/>
  <c r="Z4" i="10"/>
  <c r="U4" i="10"/>
  <c r="T4" i="10"/>
  <c r="N4" i="10"/>
  <c r="F4" i="10"/>
  <c r="AI3" i="10"/>
  <c r="O189" i="3" s="1"/>
  <c r="AD3" i="10"/>
  <c r="AC3" i="10"/>
  <c r="AB3" i="10"/>
  <c r="AA3" i="10"/>
  <c r="Z3" i="10"/>
  <c r="U3" i="10"/>
  <c r="T3" i="10"/>
  <c r="N3" i="10"/>
  <c r="F3" i="10"/>
  <c r="AI2" i="10"/>
  <c r="AD2" i="10"/>
  <c r="AC2" i="10"/>
  <c r="AB2" i="10"/>
  <c r="AA2" i="10"/>
  <c r="Z2" i="10"/>
  <c r="U2" i="10"/>
  <c r="T2" i="10"/>
  <c r="N2" i="10"/>
  <c r="F2" i="10"/>
  <c r="B22" i="9"/>
  <c r="B21" i="9"/>
  <c r="B20" i="9"/>
  <c r="B19" i="9"/>
  <c r="E18" i="9"/>
  <c r="C18" i="9"/>
  <c r="D18" i="9" s="1"/>
  <c r="B18" i="9"/>
  <c r="B17" i="9"/>
  <c r="E16" i="9"/>
  <c r="B16" i="9"/>
  <c r="B15" i="9"/>
  <c r="B14" i="9"/>
  <c r="B13" i="9"/>
  <c r="B12" i="9"/>
  <c r="B11" i="9"/>
  <c r="C7" i="9"/>
  <c r="D7" i="9" s="1"/>
  <c r="B7" i="9"/>
  <c r="E6" i="9"/>
  <c r="B6" i="9"/>
  <c r="B5" i="9"/>
  <c r="E23" i="8"/>
  <c r="C23" i="8"/>
  <c r="B23" i="8"/>
  <c r="E22" i="8"/>
  <c r="D22" i="8"/>
  <c r="C22" i="8"/>
  <c r="B22" i="8"/>
  <c r="E21" i="8"/>
  <c r="C21" i="8"/>
  <c r="D21" i="8" s="1"/>
  <c r="B21" i="8"/>
  <c r="E20" i="8"/>
  <c r="C20" i="8"/>
  <c r="D20" i="8" s="1"/>
  <c r="B20" i="8"/>
  <c r="E19" i="8"/>
  <c r="C19" i="8"/>
  <c r="D19" i="8" s="1"/>
  <c r="B19" i="8"/>
  <c r="E18" i="8"/>
  <c r="C18" i="8"/>
  <c r="B18" i="8"/>
  <c r="E17" i="8"/>
  <c r="C17" i="8"/>
  <c r="D17" i="8" s="1"/>
  <c r="B17" i="8"/>
  <c r="E16" i="8"/>
  <c r="C16" i="8"/>
  <c r="D16" i="8" s="1"/>
  <c r="B16" i="8"/>
  <c r="E12" i="8"/>
  <c r="C12" i="8"/>
  <c r="D12" i="8" s="1"/>
  <c r="B12" i="8"/>
  <c r="E11" i="8"/>
  <c r="C11" i="8"/>
  <c r="D11" i="8" s="1"/>
  <c r="B11" i="8"/>
  <c r="E10" i="8"/>
  <c r="C10" i="8"/>
  <c r="D10" i="8" s="1"/>
  <c r="B10" i="8"/>
  <c r="E9" i="8"/>
  <c r="C9" i="8"/>
  <c r="D9" i="8" s="1"/>
  <c r="B9" i="8"/>
  <c r="E8" i="8"/>
  <c r="C8" i="8"/>
  <c r="D8" i="8" s="1"/>
  <c r="B8" i="8"/>
  <c r="E7" i="8"/>
  <c r="C7" i="8"/>
  <c r="D7" i="8" s="1"/>
  <c r="B7" i="8"/>
  <c r="E6" i="8"/>
  <c r="C6" i="8"/>
  <c r="D6" i="8" s="1"/>
  <c r="B6" i="8"/>
  <c r="E5" i="8"/>
  <c r="C5" i="8"/>
  <c r="B5" i="8"/>
  <c r="F19" i="7"/>
  <c r="E19" i="7"/>
  <c r="C19" i="7"/>
  <c r="D19" i="7" s="1"/>
  <c r="B19" i="7"/>
  <c r="F18" i="7"/>
  <c r="E18" i="7"/>
  <c r="C18" i="7"/>
  <c r="D18" i="7" s="1"/>
  <c r="B18" i="7"/>
  <c r="F17" i="7"/>
  <c r="E17" i="7"/>
  <c r="D17" i="7"/>
  <c r="C17" i="7"/>
  <c r="B17" i="7"/>
  <c r="F16" i="7"/>
  <c r="E16" i="7"/>
  <c r="C16" i="7"/>
  <c r="D16" i="7" s="1"/>
  <c r="B16" i="7"/>
  <c r="F15" i="7"/>
  <c r="E15" i="7"/>
  <c r="D15" i="7"/>
  <c r="C15" i="7"/>
  <c r="B15" i="7"/>
  <c r="F14" i="7"/>
  <c r="E14" i="7"/>
  <c r="C14" i="7"/>
  <c r="D14" i="7" s="1"/>
  <c r="B14" i="7"/>
  <c r="F13" i="7"/>
  <c r="E13" i="7"/>
  <c r="C13" i="7"/>
  <c r="D13" i="7" s="1"/>
  <c r="B13" i="7"/>
  <c r="F12" i="7"/>
  <c r="E12" i="7"/>
  <c r="C12" i="7"/>
  <c r="D12" i="7" s="1"/>
  <c r="B12" i="7"/>
  <c r="F11" i="7"/>
  <c r="E11" i="7"/>
  <c r="C11" i="7"/>
  <c r="B11" i="7"/>
  <c r="D11" i="7" s="1"/>
  <c r="F10" i="7"/>
  <c r="E10" i="7"/>
  <c r="C10" i="7"/>
  <c r="D10" i="7" s="1"/>
  <c r="B10" i="7"/>
  <c r="F9" i="7"/>
  <c r="E9" i="7"/>
  <c r="C9" i="7"/>
  <c r="D9" i="7" s="1"/>
  <c r="B9" i="7"/>
  <c r="F8" i="7"/>
  <c r="E8" i="7"/>
  <c r="C8" i="7"/>
  <c r="B8" i="7"/>
  <c r="F7" i="7"/>
  <c r="E7" i="7"/>
  <c r="C7" i="7"/>
  <c r="D7" i="7" s="1"/>
  <c r="B7" i="7"/>
  <c r="F6" i="7"/>
  <c r="E6" i="7"/>
  <c r="C6" i="7"/>
  <c r="D6" i="7" s="1"/>
  <c r="B6" i="7"/>
  <c r="F5" i="7"/>
  <c r="E5" i="7"/>
  <c r="C5" i="7"/>
  <c r="D5" i="7" s="1"/>
  <c r="B5" i="7"/>
  <c r="F16" i="6"/>
  <c r="E16" i="6"/>
  <c r="C16" i="6"/>
  <c r="B16" i="6"/>
  <c r="E15" i="6"/>
  <c r="D15" i="6"/>
  <c r="C15" i="6"/>
  <c r="B15" i="6"/>
  <c r="E14" i="6"/>
  <c r="C14" i="6"/>
  <c r="D14" i="6" s="1"/>
  <c r="B14" i="6"/>
  <c r="E13" i="6"/>
  <c r="C13" i="6"/>
  <c r="D13" i="6" s="1"/>
  <c r="B13" i="6"/>
  <c r="E12" i="6"/>
  <c r="C12" i="6"/>
  <c r="B12" i="6"/>
  <c r="F11" i="6"/>
  <c r="E11" i="6"/>
  <c r="D11" i="6"/>
  <c r="C11" i="6"/>
  <c r="B11" i="6"/>
  <c r="E10" i="6"/>
  <c r="C10" i="6"/>
  <c r="D10" i="6" s="1"/>
  <c r="B10" i="6"/>
  <c r="E9" i="6"/>
  <c r="D9" i="6"/>
  <c r="C9" i="6"/>
  <c r="B9" i="6"/>
  <c r="E8" i="6"/>
  <c r="C8" i="6"/>
  <c r="B8" i="6"/>
  <c r="E7" i="6"/>
  <c r="C7" i="6"/>
  <c r="B7" i="6"/>
  <c r="E6" i="6"/>
  <c r="C6" i="6"/>
  <c r="D6" i="6" s="1"/>
  <c r="B6" i="6"/>
  <c r="F5" i="6"/>
  <c r="E5" i="6"/>
  <c r="C5" i="6"/>
  <c r="D5" i="6" s="1"/>
  <c r="B5" i="6"/>
  <c r="E24" i="5"/>
  <c r="F24" i="5" s="1"/>
  <c r="C24" i="5"/>
  <c r="D24" i="5" s="1"/>
  <c r="B24" i="5"/>
  <c r="F23" i="5"/>
  <c r="E23" i="5"/>
  <c r="C23" i="5"/>
  <c r="D23" i="5" s="1"/>
  <c r="B23" i="5"/>
  <c r="E22" i="5"/>
  <c r="F22" i="5" s="1"/>
  <c r="C22" i="5"/>
  <c r="D22" i="5" s="1"/>
  <c r="B22" i="5"/>
  <c r="F21" i="5"/>
  <c r="E21" i="5"/>
  <c r="C21" i="5"/>
  <c r="B21" i="5"/>
  <c r="E20" i="5"/>
  <c r="F20" i="5" s="1"/>
  <c r="C20" i="5"/>
  <c r="D20" i="5" s="1"/>
  <c r="B20" i="5"/>
  <c r="E19" i="5"/>
  <c r="F19" i="5" s="1"/>
  <c r="C19" i="5"/>
  <c r="D19" i="5" s="1"/>
  <c r="B19" i="5"/>
  <c r="E18" i="5"/>
  <c r="F18" i="5" s="1"/>
  <c r="C18" i="5"/>
  <c r="D18" i="5" s="1"/>
  <c r="B18" i="5"/>
  <c r="F17" i="5"/>
  <c r="E17" i="5"/>
  <c r="C17" i="5"/>
  <c r="D17" i="5" s="1"/>
  <c r="B17" i="5"/>
  <c r="E16" i="5"/>
  <c r="F16" i="5" s="1"/>
  <c r="C16" i="5"/>
  <c r="B16" i="5"/>
  <c r="F15" i="5"/>
  <c r="E15" i="5"/>
  <c r="D15" i="5"/>
  <c r="C15" i="5"/>
  <c r="B15" i="5"/>
  <c r="E14" i="5"/>
  <c r="F14" i="5" s="1"/>
  <c r="C14" i="5"/>
  <c r="D14" i="5" s="1"/>
  <c r="B14" i="5"/>
  <c r="E13" i="5"/>
  <c r="F13" i="5" s="1"/>
  <c r="C13" i="5"/>
  <c r="D13" i="5" s="1"/>
  <c r="B13" i="5"/>
  <c r="F12" i="5"/>
  <c r="E12" i="5"/>
  <c r="C12" i="5"/>
  <c r="D12" i="5" s="1"/>
  <c r="B12" i="5"/>
  <c r="F11" i="5"/>
  <c r="E11" i="5"/>
  <c r="C11" i="5"/>
  <c r="B11" i="5"/>
  <c r="E10" i="5"/>
  <c r="F10" i="5" s="1"/>
  <c r="C10" i="5"/>
  <c r="D10" i="5" s="1"/>
  <c r="B10" i="5"/>
  <c r="E9" i="5"/>
  <c r="F9" i="5" s="1"/>
  <c r="C9" i="5"/>
  <c r="B9" i="5"/>
  <c r="E8" i="5"/>
  <c r="F8" i="5" s="1"/>
  <c r="C8" i="5"/>
  <c r="B8" i="5"/>
  <c r="F7" i="5"/>
  <c r="E7" i="5"/>
  <c r="C7" i="5"/>
  <c r="D7" i="5" s="1"/>
  <c r="B7" i="5"/>
  <c r="E6" i="5"/>
  <c r="F6" i="5" s="1"/>
  <c r="C6" i="5"/>
  <c r="D6" i="5" s="1"/>
  <c r="B6" i="5"/>
  <c r="F5" i="5"/>
  <c r="E5" i="5"/>
  <c r="C5" i="5"/>
  <c r="B5" i="5"/>
  <c r="D5" i="5" s="1"/>
  <c r="D17" i="4"/>
  <c r="C17" i="4"/>
  <c r="B17" i="4"/>
  <c r="D16" i="4"/>
  <c r="C16" i="4"/>
  <c r="B16" i="4"/>
  <c r="D15" i="4"/>
  <c r="C15" i="4"/>
  <c r="B15" i="4"/>
  <c r="D14" i="4"/>
  <c r="C14" i="4"/>
  <c r="B14" i="4"/>
  <c r="D13" i="4"/>
  <c r="C13" i="4"/>
  <c r="B13" i="4"/>
  <c r="D12" i="4"/>
  <c r="C12" i="4"/>
  <c r="B12" i="4"/>
  <c r="D11" i="4"/>
  <c r="C11" i="4"/>
  <c r="B11" i="4"/>
  <c r="D10" i="4"/>
  <c r="C10" i="4"/>
  <c r="B10" i="4"/>
  <c r="D9" i="4"/>
  <c r="C9" i="4"/>
  <c r="B9" i="4"/>
  <c r="J8" i="4"/>
  <c r="I8" i="4"/>
  <c r="D8" i="4"/>
  <c r="C8" i="4"/>
  <c r="B8" i="4"/>
  <c r="J7" i="4"/>
  <c r="I7" i="4"/>
  <c r="H7" i="4"/>
  <c r="D7" i="4"/>
  <c r="C7" i="4"/>
  <c r="B7" i="4"/>
  <c r="J6" i="4"/>
  <c r="H6" i="4"/>
  <c r="D6" i="4"/>
  <c r="C6" i="4"/>
  <c r="B6" i="4"/>
  <c r="B19" i="2"/>
  <c r="B18" i="2"/>
  <c r="B17" i="2"/>
  <c r="H14" i="2"/>
  <c r="G14" i="2"/>
  <c r="H13" i="2"/>
  <c r="G13" i="2"/>
  <c r="E13" i="2"/>
  <c r="D13" i="2"/>
  <c r="C13" i="2"/>
  <c r="B13" i="2"/>
  <c r="F13" i="2" s="1"/>
  <c r="H12" i="2"/>
  <c r="G12" i="2"/>
  <c r="E12" i="2"/>
  <c r="D12" i="2"/>
  <c r="C12" i="2"/>
  <c r="C14" i="2" s="1"/>
  <c r="B12" i="2"/>
  <c r="H11" i="2"/>
  <c r="G11" i="2"/>
  <c r="F11" i="2"/>
  <c r="E11" i="2"/>
  <c r="E14" i="2" s="1"/>
  <c r="D11" i="2"/>
  <c r="D14" i="2" s="1"/>
  <c r="C11" i="2"/>
  <c r="B11" i="2"/>
  <c r="I5" i="2"/>
  <c r="G5" i="2"/>
  <c r="E5" i="2"/>
  <c r="C5" i="2"/>
  <c r="A5" i="2"/>
  <c r="O65" i="3" l="1"/>
  <c r="M65" i="3" s="1"/>
  <c r="O47" i="3"/>
  <c r="O56" i="3"/>
  <c r="O62" i="3"/>
  <c r="H62" i="3" s="1"/>
  <c r="O71" i="3"/>
  <c r="D71" i="3" s="1"/>
  <c r="O83" i="3"/>
  <c r="I83" i="3" s="1"/>
  <c r="A11" i="3"/>
  <c r="I11" i="3" s="1"/>
  <c r="O85" i="3"/>
  <c r="L85" i="3" s="1"/>
  <c r="O72" i="3"/>
  <c r="K72" i="3" s="1"/>
  <c r="O94" i="3"/>
  <c r="B94" i="3" s="1"/>
  <c r="O51" i="3"/>
  <c r="L51" i="3" s="1"/>
  <c r="G15" i="3"/>
  <c r="O118" i="3"/>
  <c r="I118" i="3" s="1"/>
  <c r="G17" i="3"/>
  <c r="K11" i="3"/>
  <c r="O38" i="3"/>
  <c r="G38" i="3" s="1"/>
  <c r="O42" i="3"/>
  <c r="L42" i="3" s="1"/>
  <c r="G16" i="3"/>
  <c r="L71" i="3"/>
  <c r="G71" i="3"/>
  <c r="F71" i="3"/>
  <c r="B71" i="3"/>
  <c r="O73" i="3"/>
  <c r="O43" i="3"/>
  <c r="O97" i="3"/>
  <c r="L97" i="3" s="1"/>
  <c r="O134" i="3"/>
  <c r="I85" i="3"/>
  <c r="K118" i="3"/>
  <c r="A65" i="3"/>
  <c r="O57" i="3"/>
  <c r="D57" i="3" s="1"/>
  <c r="O39" i="3"/>
  <c r="M39" i="3" s="1"/>
  <c r="O123" i="3"/>
  <c r="I123" i="3" s="1"/>
  <c r="O40" i="3"/>
  <c r="K40" i="3" s="1"/>
  <c r="O53" i="3"/>
  <c r="G53" i="3" s="1"/>
  <c r="O159" i="3"/>
  <c r="K159" i="3" s="1"/>
  <c r="O87" i="3"/>
  <c r="L87" i="3" s="1"/>
  <c r="O70" i="3"/>
  <c r="C70" i="3" s="1"/>
  <c r="O75" i="3"/>
  <c r="B75" i="3" s="1"/>
  <c r="O294" i="3"/>
  <c r="G56" i="3"/>
  <c r="O89" i="3"/>
  <c r="O224" i="3"/>
  <c r="O80" i="3"/>
  <c r="O60" i="3"/>
  <c r="K62" i="3"/>
  <c r="H56" i="3"/>
  <c r="O78" i="3"/>
  <c r="O48" i="3"/>
  <c r="J48" i="3" s="1"/>
  <c r="O49" i="3"/>
  <c r="L49" i="3" s="1"/>
  <c r="O61" i="3"/>
  <c r="H61" i="3" s="1"/>
  <c r="O295" i="3"/>
  <c r="A295" i="3" s="1"/>
  <c r="L62" i="3"/>
  <c r="C94" i="3"/>
  <c r="J118" i="3"/>
  <c r="E94" i="3"/>
  <c r="J47" i="3"/>
  <c r="O59" i="3"/>
  <c r="G59" i="3" s="1"/>
  <c r="O207" i="3"/>
  <c r="O76" i="3"/>
  <c r="O81" i="3"/>
  <c r="E81" i="3" s="1"/>
  <c r="O101" i="3"/>
  <c r="O67" i="3"/>
  <c r="O44" i="3"/>
  <c r="K44" i="3" s="1"/>
  <c r="O41" i="3"/>
  <c r="C62" i="3"/>
  <c r="O37" i="3"/>
  <c r="O55" i="3"/>
  <c r="F55" i="3" s="1"/>
  <c r="D62" i="3"/>
  <c r="D83" i="3"/>
  <c r="O52" i="3"/>
  <c r="L52" i="3" s="1"/>
  <c r="O36" i="3"/>
  <c r="H36" i="3" s="1"/>
  <c r="O77" i="3"/>
  <c r="J77" i="3" s="1"/>
  <c r="E83" i="3"/>
  <c r="O91" i="3"/>
  <c r="D91" i="3" s="1"/>
  <c r="O110" i="3"/>
  <c r="K110" i="3" s="1"/>
  <c r="O68" i="3"/>
  <c r="L68" i="3" s="1"/>
  <c r="O54" i="3"/>
  <c r="B56" i="3"/>
  <c r="F62" i="3"/>
  <c r="O45" i="3"/>
  <c r="G45" i="3" s="1"/>
  <c r="D56" i="3"/>
  <c r="F118" i="3"/>
  <c r="G189" i="3"/>
  <c r="L189" i="3"/>
  <c r="A189" i="3"/>
  <c r="H189" i="3"/>
  <c r="E189" i="3"/>
  <c r="C189" i="3"/>
  <c r="F189" i="3"/>
  <c r="D189" i="3"/>
  <c r="B189" i="3"/>
  <c r="M189" i="3"/>
  <c r="K189" i="3"/>
  <c r="J189" i="3"/>
  <c r="I189" i="3"/>
  <c r="I62" i="3"/>
  <c r="J62" i="3"/>
  <c r="G62" i="3"/>
  <c r="E62" i="3"/>
  <c r="B62" i="3"/>
  <c r="A62" i="3"/>
  <c r="C71" i="3"/>
  <c r="J71" i="3"/>
  <c r="M71" i="3"/>
  <c r="K71" i="3"/>
  <c r="I71" i="3"/>
  <c r="H71" i="3"/>
  <c r="E71" i="3"/>
  <c r="E76" i="3"/>
  <c r="O392" i="3"/>
  <c r="O372" i="3"/>
  <c r="O432" i="3"/>
  <c r="O425" i="3"/>
  <c r="O418" i="3"/>
  <c r="O383" i="3"/>
  <c r="O378" i="3"/>
  <c r="O416" i="3"/>
  <c r="O423" i="3"/>
  <c r="O407" i="3"/>
  <c r="O400" i="3"/>
  <c r="O360" i="3"/>
  <c r="O341" i="3"/>
  <c r="O430" i="3"/>
  <c r="O414" i="3"/>
  <c r="O386" i="3"/>
  <c r="O381" i="3"/>
  <c r="O376" i="3"/>
  <c r="O398" i="3"/>
  <c r="O391" i="3"/>
  <c r="O363" i="3"/>
  <c r="O344" i="3"/>
  <c r="O428" i="3"/>
  <c r="O421" i="3"/>
  <c r="O405" i="3"/>
  <c r="O336" i="3"/>
  <c r="O419" i="3"/>
  <c r="O412" i="3"/>
  <c r="O401" i="3"/>
  <c r="O394" i="3"/>
  <c r="O361" i="3"/>
  <c r="O353" i="3"/>
  <c r="O431" i="3"/>
  <c r="O424" i="3"/>
  <c r="O408" i="3"/>
  <c r="O387" i="3"/>
  <c r="O404" i="3"/>
  <c r="O397" i="3"/>
  <c r="O385" i="3"/>
  <c r="O434" i="3"/>
  <c r="O427" i="3"/>
  <c r="O411" i="3"/>
  <c r="O329" i="3"/>
  <c r="O318" i="3"/>
  <c r="O399" i="3"/>
  <c r="O396" i="3"/>
  <c r="O346" i="3"/>
  <c r="O422" i="3"/>
  <c r="O402" i="3"/>
  <c r="O380" i="3"/>
  <c r="O426" i="3"/>
  <c r="O393" i="3"/>
  <c r="O369" i="3"/>
  <c r="O390" i="3"/>
  <c r="O382" i="3"/>
  <c r="O371" i="3"/>
  <c r="O375" i="3"/>
  <c r="O373" i="3"/>
  <c r="O365" i="3"/>
  <c r="O377" i="3"/>
  <c r="O357" i="3"/>
  <c r="O327" i="3"/>
  <c r="O410" i="3"/>
  <c r="O384" i="3"/>
  <c r="O351" i="3"/>
  <c r="O417" i="3"/>
  <c r="O347" i="3"/>
  <c r="O379" i="3"/>
  <c r="O349" i="3"/>
  <c r="O429" i="3"/>
  <c r="O345" i="3"/>
  <c r="O338" i="3"/>
  <c r="O302" i="3"/>
  <c r="O299" i="3"/>
  <c r="O289" i="3"/>
  <c r="O367" i="3"/>
  <c r="O350" i="3"/>
  <c r="O313" i="3"/>
  <c r="O298" i="3"/>
  <c r="O342" i="3"/>
  <c r="O263" i="3"/>
  <c r="O253" i="3"/>
  <c r="O243" i="3"/>
  <c r="O370" i="3"/>
  <c r="O366" i="3"/>
  <c r="O356" i="3"/>
  <c r="O293" i="3"/>
  <c r="O331" i="3"/>
  <c r="O311" i="3"/>
  <c r="O306" i="3"/>
  <c r="O260" i="3"/>
  <c r="O374" i="3"/>
  <c r="O333" i="3"/>
  <c r="O316" i="3"/>
  <c r="O301" i="3"/>
  <c r="O335" i="3"/>
  <c r="O325" i="3"/>
  <c r="O282" i="3"/>
  <c r="O279" i="3"/>
  <c r="O362" i="3"/>
  <c r="O359" i="3"/>
  <c r="O337" i="3"/>
  <c r="O323" i="3"/>
  <c r="O415" i="3"/>
  <c r="O406" i="3"/>
  <c r="O339" i="3"/>
  <c r="O314" i="3"/>
  <c r="O413" i="3"/>
  <c r="O352" i="3"/>
  <c r="O321" i="3"/>
  <c r="O304" i="3"/>
  <c r="O358" i="3"/>
  <c r="O355" i="3"/>
  <c r="O317" i="3"/>
  <c r="O312" i="3"/>
  <c r="O389" i="3"/>
  <c r="O343" i="3"/>
  <c r="O307" i="3"/>
  <c r="O297" i="3"/>
  <c r="O420" i="3"/>
  <c r="O303" i="3"/>
  <c r="O275" i="3"/>
  <c r="O388" i="3"/>
  <c r="O364" i="3"/>
  <c r="O334" i="3"/>
  <c r="O300" i="3"/>
  <c r="O284" i="3"/>
  <c r="O266" i="3"/>
  <c r="O280" i="3"/>
  <c r="O256" i="3"/>
  <c r="O248" i="3"/>
  <c r="O308" i="3"/>
  <c r="O305" i="3"/>
  <c r="O271" i="3"/>
  <c r="O259" i="3"/>
  <c r="O251" i="3"/>
  <c r="O240" i="3"/>
  <c r="O328" i="3"/>
  <c r="O278" i="3"/>
  <c r="O276" i="3"/>
  <c r="O324" i="3"/>
  <c r="O291" i="3"/>
  <c r="O269" i="3"/>
  <c r="O433" i="3"/>
  <c r="O348" i="3"/>
  <c r="O332" i="3"/>
  <c r="O368" i="3"/>
  <c r="O319" i="3"/>
  <c r="O283" i="3"/>
  <c r="O241" i="3"/>
  <c r="O238" i="3"/>
  <c r="O235" i="3"/>
  <c r="O409" i="3"/>
  <c r="O290" i="3"/>
  <c r="O234" i="3"/>
  <c r="O254" i="3"/>
  <c r="O239" i="3"/>
  <c r="O286" i="3"/>
  <c r="O258" i="3"/>
  <c r="O252" i="3"/>
  <c r="O354" i="3"/>
  <c r="O264" i="3"/>
  <c r="O262" i="3"/>
  <c r="O310" i="3"/>
  <c r="O296" i="3"/>
  <c r="O246" i="3"/>
  <c r="O403" i="3"/>
  <c r="O330" i="3"/>
  <c r="O285" i="3"/>
  <c r="O395" i="3"/>
  <c r="O322" i="3"/>
  <c r="O273" i="3"/>
  <c r="O340" i="3"/>
  <c r="O315" i="3"/>
  <c r="O309" i="3"/>
  <c r="O281" i="3"/>
  <c r="O257" i="3"/>
  <c r="O167" i="3"/>
  <c r="O255" i="3"/>
  <c r="O247" i="3"/>
  <c r="O197" i="3"/>
  <c r="O272" i="3"/>
  <c r="O261" i="3"/>
  <c r="O220" i="3"/>
  <c r="O204" i="3"/>
  <c r="O132" i="3"/>
  <c r="O265" i="3"/>
  <c r="O250" i="3"/>
  <c r="O245" i="3"/>
  <c r="O320" i="3"/>
  <c r="O185" i="3"/>
  <c r="O175" i="3"/>
  <c r="O236" i="3"/>
  <c r="O225" i="3"/>
  <c r="O209" i="3"/>
  <c r="O232" i="3"/>
  <c r="O138" i="3"/>
  <c r="O268" i="3"/>
  <c r="O216" i="3"/>
  <c r="O200" i="3"/>
  <c r="O277" i="3"/>
  <c r="O230" i="3"/>
  <c r="O223" i="3"/>
  <c r="O242" i="3"/>
  <c r="O221" i="3"/>
  <c r="O214" i="3"/>
  <c r="O244" i="3"/>
  <c r="O198" i="3"/>
  <c r="O163" i="3"/>
  <c r="O219" i="3"/>
  <c r="O203" i="3"/>
  <c r="O196" i="3"/>
  <c r="O270" i="3"/>
  <c r="O215" i="3"/>
  <c r="O212" i="3"/>
  <c r="O150" i="3"/>
  <c r="O129" i="3"/>
  <c r="O237" i="3"/>
  <c r="O218" i="3"/>
  <c r="O180" i="3"/>
  <c r="O164" i="3"/>
  <c r="O184" i="3"/>
  <c r="O182" i="3"/>
  <c r="O155" i="3"/>
  <c r="O148" i="3"/>
  <c r="O124" i="3"/>
  <c r="O233" i="3"/>
  <c r="O227" i="3"/>
  <c r="O199" i="3"/>
  <c r="O188" i="3"/>
  <c r="O186" i="3"/>
  <c r="O292" i="3"/>
  <c r="O139" i="3"/>
  <c r="O127" i="3"/>
  <c r="O116" i="3"/>
  <c r="O190" i="3"/>
  <c r="O160" i="3"/>
  <c r="O146" i="3"/>
  <c r="O108" i="3"/>
  <c r="O288" i="3"/>
  <c r="O267" i="3"/>
  <c r="O249" i="3"/>
  <c r="O217" i="3"/>
  <c r="O201" i="3"/>
  <c r="O226" i="3"/>
  <c r="O206" i="3"/>
  <c r="O192" i="3"/>
  <c r="O144" i="3"/>
  <c r="O137" i="3"/>
  <c r="O287" i="3"/>
  <c r="O173" i="3"/>
  <c r="O171" i="3"/>
  <c r="O158" i="3"/>
  <c r="O151" i="3"/>
  <c r="O229" i="3"/>
  <c r="O208" i="3"/>
  <c r="O165" i="3"/>
  <c r="O117" i="3"/>
  <c r="O98" i="3"/>
  <c r="O228" i="3"/>
  <c r="O222" i="3"/>
  <c r="O205" i="3"/>
  <c r="O174" i="3"/>
  <c r="O143" i="3"/>
  <c r="O79" i="3"/>
  <c r="O210" i="3"/>
  <c r="O177" i="3"/>
  <c r="O161" i="3"/>
  <c r="O102" i="3"/>
  <c r="O90" i="3"/>
  <c r="O82" i="3"/>
  <c r="O191" i="3"/>
  <c r="O145" i="3"/>
  <c r="O140" i="3"/>
  <c r="O195" i="3"/>
  <c r="O128" i="3"/>
  <c r="O113" i="3"/>
  <c r="O187" i="3"/>
  <c r="O170" i="3"/>
  <c r="O130" i="3"/>
  <c r="O183" i="3"/>
  <c r="O147" i="3"/>
  <c r="O142" i="3"/>
  <c r="O194" i="3"/>
  <c r="O107" i="3"/>
  <c r="O274" i="3"/>
  <c r="O176" i="3"/>
  <c r="O169" i="3"/>
  <c r="O149" i="3"/>
  <c r="O105" i="3"/>
  <c r="O103" i="3"/>
  <c r="B17" i="3"/>
  <c r="O168" i="3"/>
  <c r="O153" i="3"/>
  <c r="O231" i="3"/>
  <c r="O181" i="3"/>
  <c r="O162" i="3"/>
  <c r="O157" i="3"/>
  <c r="O133" i="3"/>
  <c r="O152" i="3"/>
  <c r="O114" i="3"/>
  <c r="B16" i="3"/>
  <c r="O136" i="3"/>
  <c r="O119" i="3"/>
  <c r="O100" i="3"/>
  <c r="O96" i="3"/>
  <c r="O179" i="3"/>
  <c r="O109" i="3"/>
  <c r="O92" i="3"/>
  <c r="O66" i="3"/>
  <c r="O166" i="3"/>
  <c r="O88" i="3"/>
  <c r="O58" i="3"/>
  <c r="O35" i="3"/>
  <c r="O69" i="3"/>
  <c r="O50" i="3"/>
  <c r="O121" i="3"/>
  <c r="O86" i="3"/>
  <c r="O213" i="3"/>
  <c r="O172" i="3"/>
  <c r="O156" i="3"/>
  <c r="O111" i="3"/>
  <c r="O202" i="3"/>
  <c r="O193" i="3"/>
  <c r="O126" i="3"/>
  <c r="O104" i="3"/>
  <c r="O135" i="3"/>
  <c r="O84" i="3"/>
  <c r="O64" i="3"/>
  <c r="C11" i="3"/>
  <c r="E11" i="3" s="1"/>
  <c r="O326" i="3"/>
  <c r="C49" i="3"/>
  <c r="C41" i="3"/>
  <c r="M41" i="3"/>
  <c r="L41" i="3"/>
  <c r="I41" i="3"/>
  <c r="A110" i="3"/>
  <c r="G110" i="3"/>
  <c r="G11" i="3"/>
  <c r="D44" i="3"/>
  <c r="J56" i="3"/>
  <c r="B101" i="3"/>
  <c r="A101" i="3"/>
  <c r="E101" i="3"/>
  <c r="C101" i="3"/>
  <c r="G101" i="3"/>
  <c r="D101" i="3"/>
  <c r="A78" i="3"/>
  <c r="H78" i="3"/>
  <c r="I78" i="3"/>
  <c r="F78" i="3"/>
  <c r="D78" i="3"/>
  <c r="C78" i="3"/>
  <c r="B78" i="3"/>
  <c r="L89" i="3"/>
  <c r="O115" i="3"/>
  <c r="O125" i="3"/>
  <c r="C134" i="3"/>
  <c r="H134" i="3"/>
  <c r="D134" i="3"/>
  <c r="M134" i="3"/>
  <c r="K134" i="3"/>
  <c r="J134" i="3"/>
  <c r="A134" i="3"/>
  <c r="B134" i="3"/>
  <c r="K41" i="3"/>
  <c r="L207" i="3"/>
  <c r="B207" i="3"/>
  <c r="A207" i="3"/>
  <c r="K207" i="3"/>
  <c r="H207" i="3"/>
  <c r="J207" i="3"/>
  <c r="I207" i="3"/>
  <c r="G207" i="3"/>
  <c r="F207" i="3"/>
  <c r="E207" i="3"/>
  <c r="D207" i="3"/>
  <c r="C207" i="3"/>
  <c r="K54" i="3"/>
  <c r="K56" i="3"/>
  <c r="B65" i="3"/>
  <c r="H67" i="3"/>
  <c r="B72" i="3"/>
  <c r="J76" i="3"/>
  <c r="B15" i="3"/>
  <c r="F44" i="3"/>
  <c r="H48" i="3"/>
  <c r="D61" i="3"/>
  <c r="E65" i="3"/>
  <c r="I67" i="3"/>
  <c r="C72" i="3"/>
  <c r="F81" i="3"/>
  <c r="O120" i="3"/>
  <c r="A118" i="3"/>
  <c r="H118" i="3"/>
  <c r="G118" i="3"/>
  <c r="M118" i="3"/>
  <c r="G294" i="3"/>
  <c r="D294" i="3"/>
  <c r="A294" i="3"/>
  <c r="K294" i="3"/>
  <c r="I294" i="3"/>
  <c r="H294" i="3"/>
  <c r="F294" i="3"/>
  <c r="E294" i="3"/>
  <c r="C294" i="3"/>
  <c r="B294" i="3"/>
  <c r="M294" i="3"/>
  <c r="L294" i="3"/>
  <c r="J294" i="3"/>
  <c r="I76" i="3"/>
  <c r="D76" i="3"/>
  <c r="M76" i="3"/>
  <c r="K76" i="3"/>
  <c r="H76" i="3"/>
  <c r="G76" i="3"/>
  <c r="F76" i="3"/>
  <c r="B76" i="3"/>
  <c r="G89" i="3"/>
  <c r="A89" i="3"/>
  <c r="H89" i="3"/>
  <c r="E89" i="3"/>
  <c r="I89" i="3"/>
  <c r="D89" i="3"/>
  <c r="B89" i="3"/>
  <c r="O131" i="3"/>
  <c r="O154" i="3"/>
  <c r="F224" i="3"/>
  <c r="G224" i="3"/>
  <c r="D224" i="3"/>
  <c r="C224" i="3"/>
  <c r="B224" i="3"/>
  <c r="A224" i="3"/>
  <c r="M224" i="3"/>
  <c r="L224" i="3"/>
  <c r="K224" i="3"/>
  <c r="J224" i="3"/>
  <c r="I224" i="3"/>
  <c r="H224" i="3"/>
  <c r="E224" i="3"/>
  <c r="J94" i="3"/>
  <c r="F94" i="3"/>
  <c r="D94" i="3"/>
  <c r="M94" i="3"/>
  <c r="K94" i="3"/>
  <c r="I94" i="3"/>
  <c r="G94" i="3"/>
  <c r="K39" i="3"/>
  <c r="H44" i="3"/>
  <c r="H81" i="3"/>
  <c r="M81" i="3"/>
  <c r="K81" i="3"/>
  <c r="J81" i="3"/>
  <c r="G81" i="3"/>
  <c r="D81" i="3"/>
  <c r="O95" i="3"/>
  <c r="O211" i="3"/>
  <c r="L55" i="3"/>
  <c r="J97" i="3"/>
  <c r="H97" i="3"/>
  <c r="C97" i="3"/>
  <c r="D97" i="3"/>
  <c r="A97" i="3"/>
  <c r="K83" i="3"/>
  <c r="A83" i="3"/>
  <c r="C83" i="3"/>
  <c r="M83" i="3"/>
  <c r="J83" i="3"/>
  <c r="H83" i="3"/>
  <c r="G83" i="3"/>
  <c r="F83" i="3"/>
  <c r="B83" i="3"/>
  <c r="M56" i="3"/>
  <c r="I56" i="3"/>
  <c r="C56" i="3"/>
  <c r="A56" i="3"/>
  <c r="F65" i="3"/>
  <c r="D72" i="3"/>
  <c r="A54" i="3"/>
  <c r="I54" i="3"/>
  <c r="G54" i="3"/>
  <c r="D54" i="3"/>
  <c r="C54" i="3"/>
  <c r="I65" i="3"/>
  <c r="K67" i="3"/>
  <c r="E72" i="3"/>
  <c r="O106" i="3"/>
  <c r="O178" i="3"/>
  <c r="M51" i="3"/>
  <c r="L118" i="3"/>
  <c r="M47" i="3"/>
  <c r="L47" i="3"/>
  <c r="I47" i="3"/>
  <c r="M62" i="3"/>
  <c r="J44" i="3"/>
  <c r="K48" i="3"/>
  <c r="L65" i="3"/>
  <c r="L67" i="3"/>
  <c r="F72" i="3"/>
  <c r="O46" i="3"/>
  <c r="G72" i="3"/>
  <c r="K37" i="3"/>
  <c r="F37" i="3"/>
  <c r="G65" i="3"/>
  <c r="J65" i="3"/>
  <c r="K65" i="3"/>
  <c r="H65" i="3"/>
  <c r="D65" i="3"/>
  <c r="C65" i="3"/>
  <c r="C67" i="3"/>
  <c r="E67" i="3"/>
  <c r="B67" i="3"/>
  <c r="H72" i="3"/>
  <c r="O74" i="3"/>
  <c r="O99" i="3"/>
  <c r="B118" i="3"/>
  <c r="E134" i="3"/>
  <c r="M207" i="3"/>
  <c r="F12" i="2"/>
  <c r="E38" i="3"/>
  <c r="A41" i="3"/>
  <c r="O122" i="3"/>
  <c r="F134" i="3"/>
  <c r="K57" i="3"/>
  <c r="I57" i="3"/>
  <c r="F57" i="3"/>
  <c r="E57" i="3"/>
  <c r="B57" i="3"/>
  <c r="C85" i="3"/>
  <c r="K85" i="3"/>
  <c r="J85" i="3"/>
  <c r="H85" i="3"/>
  <c r="F85" i="3"/>
  <c r="E85" i="3"/>
  <c r="D85" i="3"/>
  <c r="K43" i="3"/>
  <c r="I43" i="3"/>
  <c r="F43" i="3"/>
  <c r="E43" i="3"/>
  <c r="B43" i="3"/>
  <c r="M80" i="3"/>
  <c r="A80" i="3"/>
  <c r="E80" i="3"/>
  <c r="C80" i="3"/>
  <c r="L83" i="3"/>
  <c r="B14" i="2"/>
  <c r="F14" i="2" s="1"/>
  <c r="J72" i="3"/>
  <c r="O112" i="3"/>
  <c r="C118" i="3"/>
  <c r="A37" i="3"/>
  <c r="C39" i="3"/>
  <c r="B41" i="3"/>
  <c r="A43" i="3"/>
  <c r="C47" i="3"/>
  <c r="F51" i="3"/>
  <c r="O63" i="3"/>
  <c r="B80" i="3"/>
  <c r="A85" i="3"/>
  <c r="B97" i="3"/>
  <c r="D118" i="3"/>
  <c r="G134" i="3"/>
  <c r="I72" i="3"/>
  <c r="A72" i="3"/>
  <c r="M72" i="3"/>
  <c r="L134" i="3"/>
  <c r="C73" i="3"/>
  <c r="I73" i="3"/>
  <c r="G73" i="3"/>
  <c r="E73" i="3"/>
  <c r="D73" i="3"/>
  <c r="B73" i="3"/>
  <c r="A44" i="3"/>
  <c r="M44" i="3"/>
  <c r="L44" i="3"/>
  <c r="I44" i="3"/>
  <c r="A47" i="3"/>
  <c r="B47" i="3"/>
  <c r="E39" i="3"/>
  <c r="D41" i="3"/>
  <c r="C43" i="3"/>
  <c r="D47" i="3"/>
  <c r="H51" i="3"/>
  <c r="L72" i="3"/>
  <c r="D80" i="3"/>
  <c r="B85" i="3"/>
  <c r="C91" i="3"/>
  <c r="O93" i="3"/>
  <c r="E97" i="3"/>
  <c r="E118" i="3"/>
  <c r="I134" i="3"/>
  <c r="O141" i="3"/>
  <c r="D7" i="6"/>
  <c r="D11" i="5"/>
  <c r="D9" i="5"/>
  <c r="E13" i="9"/>
  <c r="D21" i="5"/>
  <c r="D16" i="6"/>
  <c r="D16" i="5"/>
  <c r="E5" i="9"/>
  <c r="C5" i="9"/>
  <c r="D5" i="9" s="1"/>
  <c r="I6" i="4"/>
  <c r="E15" i="9"/>
  <c r="C15" i="9"/>
  <c r="D15" i="9" s="1"/>
  <c r="C12" i="9"/>
  <c r="D12" i="9" s="1"/>
  <c r="F6" i="6"/>
  <c r="E12" i="9"/>
  <c r="F10" i="6"/>
  <c r="C16" i="9"/>
  <c r="D16" i="9" s="1"/>
  <c r="C17" i="9"/>
  <c r="D17" i="9" s="1"/>
  <c r="E17" i="9"/>
  <c r="C14" i="9"/>
  <c r="D14" i="9" s="1"/>
  <c r="F8" i="6"/>
  <c r="E14" i="9"/>
  <c r="E21" i="9"/>
  <c r="F15" i="6"/>
  <c r="B30" i="9"/>
  <c r="C30" i="9" s="1"/>
  <c r="B29" i="9"/>
  <c r="C29" i="9" s="1"/>
  <c r="B28" i="9"/>
  <c r="C28" i="9" s="1"/>
  <c r="B26" i="9"/>
  <c r="C26" i="9" s="1"/>
  <c r="B27" i="9"/>
  <c r="C27" i="9" s="1"/>
  <c r="E19" i="9"/>
  <c r="C19" i="9"/>
  <c r="D19" i="9" s="1"/>
  <c r="E20" i="9"/>
  <c r="F14" i="6"/>
  <c r="F7" i="6"/>
  <c r="C11" i="9"/>
  <c r="D11" i="9" s="1"/>
  <c r="C20" i="9"/>
  <c r="D20" i="9" s="1"/>
  <c r="E11" i="9"/>
  <c r="C21" i="9"/>
  <c r="D21" i="9" s="1"/>
  <c r="D5" i="8"/>
  <c r="D8" i="5"/>
  <c r="F13" i="6"/>
  <c r="C13" i="9"/>
  <c r="D13" i="9" s="1"/>
  <c r="C22" i="9"/>
  <c r="D22" i="9" s="1"/>
  <c r="H8" i="4"/>
  <c r="D8" i="7"/>
  <c r="D12" i="6"/>
  <c r="D23" i="8"/>
  <c r="D8" i="6"/>
  <c r="D18" i="8"/>
  <c r="B91" i="3" l="1"/>
  <c r="H91" i="3"/>
  <c r="A81" i="3"/>
  <c r="H94" i="3"/>
  <c r="I81" i="3"/>
  <c r="A91" i="3"/>
  <c r="I110" i="3"/>
  <c r="F68" i="3"/>
  <c r="B48" i="3"/>
  <c r="M55" i="3"/>
  <c r="B42" i="3"/>
  <c r="D48" i="3"/>
  <c r="J36" i="3"/>
  <c r="G68" i="3"/>
  <c r="H110" i="3"/>
  <c r="J51" i="3"/>
  <c r="D42" i="3"/>
  <c r="A123" i="3"/>
  <c r="E48" i="3"/>
  <c r="B39" i="3"/>
  <c r="H68" i="3"/>
  <c r="G48" i="3"/>
  <c r="D68" i="3"/>
  <c r="F91" i="3"/>
  <c r="I42" i="3"/>
  <c r="K68" i="3"/>
  <c r="A94" i="3"/>
  <c r="A55" i="3"/>
  <c r="H55" i="3"/>
  <c r="M68" i="3"/>
  <c r="B110" i="3"/>
  <c r="D51" i="3"/>
  <c r="M70" i="3"/>
  <c r="B68" i="3"/>
  <c r="D55" i="3"/>
  <c r="C110" i="3"/>
  <c r="B51" i="3"/>
  <c r="B53" i="3"/>
  <c r="K55" i="3"/>
  <c r="J68" i="3"/>
  <c r="D110" i="3"/>
  <c r="A51" i="3"/>
  <c r="A71" i="3"/>
  <c r="L110" i="3"/>
  <c r="M110" i="3"/>
  <c r="A68" i="3"/>
  <c r="K123" i="3"/>
  <c r="I68" i="3"/>
  <c r="E51" i="3"/>
  <c r="C68" i="3"/>
  <c r="B55" i="3"/>
  <c r="L94" i="3"/>
  <c r="J110" i="3"/>
  <c r="G51" i="3"/>
  <c r="E68" i="3"/>
  <c r="F110" i="3"/>
  <c r="G55" i="3"/>
  <c r="E110" i="3"/>
  <c r="C51" i="3"/>
  <c r="J42" i="3"/>
  <c r="H42" i="3"/>
  <c r="C42" i="3"/>
  <c r="M59" i="3"/>
  <c r="E75" i="3"/>
  <c r="J59" i="3"/>
  <c r="K87" i="3"/>
  <c r="D75" i="3"/>
  <c r="H52" i="3"/>
  <c r="D38" i="3"/>
  <c r="F49" i="3"/>
  <c r="B295" i="3"/>
  <c r="E59" i="3"/>
  <c r="L77" i="3"/>
  <c r="K59" i="3"/>
  <c r="J38" i="3"/>
  <c r="J55" i="3"/>
  <c r="I55" i="3"/>
  <c r="J70" i="3"/>
  <c r="E55" i="3"/>
  <c r="M87" i="3"/>
  <c r="H75" i="3"/>
  <c r="F70" i="3"/>
  <c r="J52" i="3"/>
  <c r="G36" i="3"/>
  <c r="G49" i="3"/>
  <c r="C295" i="3"/>
  <c r="I51" i="3"/>
  <c r="H87" i="3"/>
  <c r="C75" i="3"/>
  <c r="C55" i="3"/>
  <c r="M52" i="3"/>
  <c r="C38" i="3"/>
  <c r="J49" i="3"/>
  <c r="E295" i="3"/>
  <c r="K51" i="3"/>
  <c r="A42" i="3"/>
  <c r="B123" i="3"/>
  <c r="M49" i="3"/>
  <c r="E42" i="3"/>
  <c r="M85" i="3"/>
  <c r="G85" i="3"/>
  <c r="F87" i="3"/>
  <c r="B52" i="3"/>
  <c r="D59" i="3"/>
  <c r="A59" i="3"/>
  <c r="D49" i="3"/>
  <c r="L59" i="3"/>
  <c r="A39" i="3"/>
  <c r="F123" i="3"/>
  <c r="K38" i="3"/>
  <c r="I52" i="3"/>
  <c r="A70" i="3"/>
  <c r="A38" i="3"/>
  <c r="G52" i="3"/>
  <c r="A87" i="3"/>
  <c r="K77" i="3"/>
  <c r="H77" i="3"/>
  <c r="F77" i="3"/>
  <c r="B87" i="3"/>
  <c r="C87" i="3"/>
  <c r="E77" i="3"/>
  <c r="I59" i="3"/>
  <c r="K42" i="3"/>
  <c r="A77" i="3"/>
  <c r="G77" i="3"/>
  <c r="E87" i="3"/>
  <c r="A75" i="3"/>
  <c r="H70" i="3"/>
  <c r="D77" i="3"/>
  <c r="E52" i="3"/>
  <c r="D40" i="3"/>
  <c r="M42" i="3"/>
  <c r="K70" i="3"/>
  <c r="I70" i="3"/>
  <c r="I87" i="3"/>
  <c r="J87" i="3"/>
  <c r="K36" i="3"/>
  <c r="D87" i="3"/>
  <c r="F42" i="3"/>
  <c r="B38" i="3"/>
  <c r="C36" i="3"/>
  <c r="H123" i="3"/>
  <c r="G87" i="3"/>
  <c r="B70" i="3"/>
  <c r="E45" i="3"/>
  <c r="E36" i="3"/>
  <c r="C123" i="3"/>
  <c r="C77" i="3"/>
  <c r="B45" i="3"/>
  <c r="G42" i="3"/>
  <c r="E70" i="3"/>
  <c r="L70" i="3"/>
  <c r="H59" i="3"/>
  <c r="C59" i="3"/>
  <c r="F75" i="3"/>
  <c r="A49" i="3"/>
  <c r="E40" i="3"/>
  <c r="I38" i="3"/>
  <c r="D123" i="3"/>
  <c r="D45" i="3"/>
  <c r="F38" i="3"/>
  <c r="G70" i="3"/>
  <c r="E123" i="3"/>
  <c r="F40" i="3"/>
  <c r="L38" i="3"/>
  <c r="D70" i="3"/>
  <c r="M77" i="3"/>
  <c r="L56" i="3"/>
  <c r="F56" i="3"/>
  <c r="E56" i="3"/>
  <c r="F59" i="3"/>
  <c r="B59" i="3"/>
  <c r="I40" i="3"/>
  <c r="M38" i="3"/>
  <c r="H38" i="3"/>
  <c r="K47" i="3"/>
  <c r="E47" i="3"/>
  <c r="G47" i="3"/>
  <c r="F47" i="3"/>
  <c r="H47" i="3"/>
  <c r="M123" i="3"/>
  <c r="G123" i="3"/>
  <c r="L123" i="3"/>
  <c r="J123" i="3"/>
  <c r="H40" i="3"/>
  <c r="A40" i="3"/>
  <c r="L40" i="3"/>
  <c r="M45" i="3"/>
  <c r="L45" i="3"/>
  <c r="K45" i="3"/>
  <c r="J45" i="3"/>
  <c r="F45" i="3"/>
  <c r="I45" i="3"/>
  <c r="H45" i="3"/>
  <c r="I39" i="3"/>
  <c r="G39" i="3"/>
  <c r="F39" i="3"/>
  <c r="J39" i="3"/>
  <c r="L39" i="3"/>
  <c r="H39" i="3"/>
  <c r="M37" i="3"/>
  <c r="L37" i="3"/>
  <c r="J37" i="3"/>
  <c r="D37" i="3"/>
  <c r="H37" i="3"/>
  <c r="G37" i="3"/>
  <c r="D295" i="3"/>
  <c r="L48" i="3"/>
  <c r="M48" i="3"/>
  <c r="A48" i="3"/>
  <c r="I48" i="3"/>
  <c r="C48" i="3"/>
  <c r="F48" i="3"/>
  <c r="C53" i="3"/>
  <c r="H53" i="3"/>
  <c r="J53" i="3"/>
  <c r="K53" i="3"/>
  <c r="E49" i="3"/>
  <c r="I49" i="3"/>
  <c r="H49" i="3"/>
  <c r="L61" i="3"/>
  <c r="B37" i="3"/>
  <c r="B49" i="3"/>
  <c r="C37" i="3"/>
  <c r="B61" i="3"/>
  <c r="E37" i="3"/>
  <c r="M40" i="3"/>
  <c r="K49" i="3"/>
  <c r="L295" i="3"/>
  <c r="G78" i="3"/>
  <c r="E78" i="3"/>
  <c r="M78" i="3"/>
  <c r="J78" i="3"/>
  <c r="L78" i="3"/>
  <c r="K78" i="3"/>
  <c r="F295" i="3"/>
  <c r="A45" i="3"/>
  <c r="I37" i="3"/>
  <c r="D39" i="3"/>
  <c r="K295" i="3"/>
  <c r="B159" i="3"/>
  <c r="F41" i="3"/>
  <c r="E41" i="3"/>
  <c r="G41" i="3"/>
  <c r="J41" i="3"/>
  <c r="H41" i="3"/>
  <c r="L60" i="3"/>
  <c r="E60" i="3"/>
  <c r="I60" i="3"/>
  <c r="F60" i="3"/>
  <c r="J60" i="3"/>
  <c r="C60" i="3"/>
  <c r="A60" i="3"/>
  <c r="B60" i="3"/>
  <c r="G295" i="3"/>
  <c r="A159" i="3"/>
  <c r="L54" i="3"/>
  <c r="E54" i="3"/>
  <c r="F54" i="3"/>
  <c r="M54" i="3"/>
  <c r="J54" i="3"/>
  <c r="H54" i="3"/>
  <c r="B54" i="3"/>
  <c r="M67" i="3"/>
  <c r="A67" i="3"/>
  <c r="D67" i="3"/>
  <c r="J67" i="3"/>
  <c r="F67" i="3"/>
  <c r="G67" i="3"/>
  <c r="K80" i="3"/>
  <c r="F80" i="3"/>
  <c r="J80" i="3"/>
  <c r="L80" i="3"/>
  <c r="I80" i="3"/>
  <c r="H80" i="3"/>
  <c r="G80" i="3"/>
  <c r="M43" i="3"/>
  <c r="G43" i="3"/>
  <c r="D43" i="3"/>
  <c r="H43" i="3"/>
  <c r="L43" i="3"/>
  <c r="J43" i="3"/>
  <c r="M97" i="3"/>
  <c r="G97" i="3"/>
  <c r="F97" i="3"/>
  <c r="I97" i="3"/>
  <c r="K97" i="3"/>
  <c r="F53" i="3"/>
  <c r="E53" i="3"/>
  <c r="M53" i="3"/>
  <c r="D60" i="3"/>
  <c r="H295" i="3"/>
  <c r="C159" i="3"/>
  <c r="I101" i="3"/>
  <c r="H101" i="3"/>
  <c r="M101" i="3"/>
  <c r="L101" i="3"/>
  <c r="K101" i="3"/>
  <c r="J101" i="3"/>
  <c r="F101" i="3"/>
  <c r="M73" i="3"/>
  <c r="J73" i="3"/>
  <c r="A73" i="3"/>
  <c r="L73" i="3"/>
  <c r="K73" i="3"/>
  <c r="F73" i="3"/>
  <c r="H73" i="3"/>
  <c r="A53" i="3"/>
  <c r="G60" i="3"/>
  <c r="A61" i="3"/>
  <c r="I295" i="3"/>
  <c r="D159" i="3"/>
  <c r="L81" i="3"/>
  <c r="C81" i="3"/>
  <c r="B81" i="3"/>
  <c r="M89" i="3"/>
  <c r="C89" i="3"/>
  <c r="K89" i="3"/>
  <c r="J89" i="3"/>
  <c r="F89" i="3"/>
  <c r="J295" i="3"/>
  <c r="F159" i="3"/>
  <c r="M91" i="3"/>
  <c r="L91" i="3"/>
  <c r="K91" i="3"/>
  <c r="E91" i="3"/>
  <c r="J91" i="3"/>
  <c r="I91" i="3"/>
  <c r="G91" i="3"/>
  <c r="L76" i="3"/>
  <c r="C76" i="3"/>
  <c r="A76" i="3"/>
  <c r="L159" i="3"/>
  <c r="E61" i="3"/>
  <c r="J40" i="3"/>
  <c r="G40" i="3"/>
  <c r="L53" i="3"/>
  <c r="J57" i="3"/>
  <c r="H57" i="3"/>
  <c r="M295" i="3"/>
  <c r="M57" i="3"/>
  <c r="J159" i="3"/>
  <c r="I159" i="3"/>
  <c r="M61" i="3"/>
  <c r="G57" i="3"/>
  <c r="G61" i="3"/>
  <c r="K60" i="3"/>
  <c r="F61" i="3"/>
  <c r="H159" i="3"/>
  <c r="B77" i="3"/>
  <c r="I77" i="3"/>
  <c r="M75" i="3"/>
  <c r="K75" i="3"/>
  <c r="L75" i="3"/>
  <c r="J75" i="3"/>
  <c r="I75" i="3"/>
  <c r="G75" i="3"/>
  <c r="K61" i="3"/>
  <c r="J61" i="3"/>
  <c r="C61" i="3"/>
  <c r="E159" i="3"/>
  <c r="C45" i="3"/>
  <c r="M60" i="3"/>
  <c r="L57" i="3"/>
  <c r="D53" i="3"/>
  <c r="C57" i="3"/>
  <c r="A57" i="3"/>
  <c r="M159" i="3"/>
  <c r="L36" i="3"/>
  <c r="B36" i="3"/>
  <c r="M36" i="3"/>
  <c r="A36" i="3"/>
  <c r="I36" i="3"/>
  <c r="F36" i="3"/>
  <c r="D36" i="3"/>
  <c r="G159" i="3"/>
  <c r="C40" i="3"/>
  <c r="G44" i="3"/>
  <c r="C44" i="3"/>
  <c r="B44" i="3"/>
  <c r="I61" i="3"/>
  <c r="I53" i="3"/>
  <c r="H60" i="3"/>
  <c r="B40" i="3"/>
  <c r="E44" i="3"/>
  <c r="K52" i="3"/>
  <c r="F52" i="3"/>
  <c r="A52" i="3"/>
  <c r="C52" i="3"/>
  <c r="D52" i="3"/>
  <c r="M120" i="3"/>
  <c r="I120" i="3"/>
  <c r="B120" i="3"/>
  <c r="A120" i="3"/>
  <c r="K120" i="3"/>
  <c r="E120" i="3"/>
  <c r="D120" i="3"/>
  <c r="C120" i="3"/>
  <c r="G120" i="3"/>
  <c r="F120" i="3"/>
  <c r="L120" i="3"/>
  <c r="J120" i="3"/>
  <c r="H120" i="3"/>
  <c r="C135" i="3"/>
  <c r="J135" i="3"/>
  <c r="L135" i="3"/>
  <c r="A135" i="3"/>
  <c r="M135" i="3"/>
  <c r="K135" i="3"/>
  <c r="I135" i="3"/>
  <c r="G135" i="3"/>
  <c r="D135" i="3"/>
  <c r="E135" i="3"/>
  <c r="F135" i="3"/>
  <c r="H135" i="3"/>
  <c r="B135" i="3"/>
  <c r="H262" i="3"/>
  <c r="G262" i="3"/>
  <c r="F262" i="3"/>
  <c r="K262" i="3"/>
  <c r="M262" i="3"/>
  <c r="B262" i="3"/>
  <c r="A262" i="3"/>
  <c r="J262" i="3"/>
  <c r="I262" i="3"/>
  <c r="E262" i="3"/>
  <c r="D262" i="3"/>
  <c r="C262" i="3"/>
  <c r="L262" i="3"/>
  <c r="K269" i="3"/>
  <c r="J269" i="3"/>
  <c r="I269" i="3"/>
  <c r="F269" i="3"/>
  <c r="H269" i="3"/>
  <c r="G269" i="3"/>
  <c r="E269" i="3"/>
  <c r="D269" i="3"/>
  <c r="C269" i="3"/>
  <c r="M269" i="3"/>
  <c r="L269" i="3"/>
  <c r="B269" i="3"/>
  <c r="A269" i="3"/>
  <c r="K388" i="3"/>
  <c r="J388" i="3"/>
  <c r="A388" i="3"/>
  <c r="L388" i="3"/>
  <c r="I388" i="3"/>
  <c r="H388" i="3"/>
  <c r="G388" i="3"/>
  <c r="B388" i="3"/>
  <c r="M388" i="3"/>
  <c r="F388" i="3"/>
  <c r="E388" i="3"/>
  <c r="D388" i="3"/>
  <c r="C388" i="3"/>
  <c r="A323" i="3"/>
  <c r="D323" i="3"/>
  <c r="J323" i="3"/>
  <c r="M323" i="3"/>
  <c r="L323" i="3"/>
  <c r="H323" i="3"/>
  <c r="G323" i="3"/>
  <c r="K323" i="3"/>
  <c r="I323" i="3"/>
  <c r="F323" i="3"/>
  <c r="E323" i="3"/>
  <c r="C323" i="3"/>
  <c r="B323" i="3"/>
  <c r="M243" i="3"/>
  <c r="G243" i="3"/>
  <c r="H243" i="3"/>
  <c r="F243" i="3"/>
  <c r="J243" i="3"/>
  <c r="E243" i="3"/>
  <c r="D243" i="3"/>
  <c r="C243" i="3"/>
  <c r="B243" i="3"/>
  <c r="A243" i="3"/>
  <c r="L243" i="3"/>
  <c r="K243" i="3"/>
  <c r="I243" i="3"/>
  <c r="C410" i="3"/>
  <c r="I410" i="3"/>
  <c r="A410" i="3"/>
  <c r="L410" i="3"/>
  <c r="K410" i="3"/>
  <c r="E410" i="3"/>
  <c r="M410" i="3"/>
  <c r="J410" i="3"/>
  <c r="G410" i="3"/>
  <c r="F410" i="3"/>
  <c r="H410" i="3"/>
  <c r="D410" i="3"/>
  <c r="B410" i="3"/>
  <c r="D329" i="3"/>
  <c r="H329" i="3"/>
  <c r="E329" i="3"/>
  <c r="A329" i="3"/>
  <c r="M329" i="3"/>
  <c r="L329" i="3"/>
  <c r="K329" i="3"/>
  <c r="J329" i="3"/>
  <c r="I329" i="3"/>
  <c r="C329" i="3"/>
  <c r="B329" i="3"/>
  <c r="G329" i="3"/>
  <c r="F329" i="3"/>
  <c r="K428" i="3"/>
  <c r="I428" i="3"/>
  <c r="M428" i="3"/>
  <c r="G428" i="3"/>
  <c r="F428" i="3"/>
  <c r="A428" i="3"/>
  <c r="C428" i="3"/>
  <c r="B428" i="3"/>
  <c r="J428" i="3"/>
  <c r="H428" i="3"/>
  <c r="E428" i="3"/>
  <c r="D428" i="3"/>
  <c r="L428" i="3"/>
  <c r="E432" i="3"/>
  <c r="B432" i="3"/>
  <c r="M432" i="3"/>
  <c r="L432" i="3"/>
  <c r="K432" i="3"/>
  <c r="J432" i="3"/>
  <c r="I432" i="3"/>
  <c r="H432" i="3"/>
  <c r="G432" i="3"/>
  <c r="A432" i="3"/>
  <c r="D432" i="3"/>
  <c r="C432" i="3"/>
  <c r="F432" i="3"/>
  <c r="E142" i="3"/>
  <c r="G142" i="3"/>
  <c r="B142" i="3"/>
  <c r="A142" i="3"/>
  <c r="M142" i="3"/>
  <c r="L142" i="3"/>
  <c r="I142" i="3"/>
  <c r="D142" i="3"/>
  <c r="J142" i="3"/>
  <c r="C142" i="3"/>
  <c r="H142" i="3"/>
  <c r="K142" i="3"/>
  <c r="F142" i="3"/>
  <c r="H184" i="3"/>
  <c r="G184" i="3"/>
  <c r="E184" i="3"/>
  <c r="C184" i="3"/>
  <c r="L184" i="3"/>
  <c r="K184" i="3"/>
  <c r="I184" i="3"/>
  <c r="F184" i="3"/>
  <c r="A184" i="3"/>
  <c r="M184" i="3"/>
  <c r="J184" i="3"/>
  <c r="D184" i="3"/>
  <c r="B184" i="3"/>
  <c r="I291" i="3"/>
  <c r="F291" i="3"/>
  <c r="J291" i="3"/>
  <c r="H291" i="3"/>
  <c r="M291" i="3"/>
  <c r="L291" i="3"/>
  <c r="K291" i="3"/>
  <c r="G291" i="3"/>
  <c r="E291" i="3"/>
  <c r="D291" i="3"/>
  <c r="C291" i="3"/>
  <c r="B291" i="3"/>
  <c r="A291" i="3"/>
  <c r="M275" i="3"/>
  <c r="K275" i="3"/>
  <c r="J275" i="3"/>
  <c r="I275" i="3"/>
  <c r="H275" i="3"/>
  <c r="G275" i="3"/>
  <c r="F275" i="3"/>
  <c r="E275" i="3"/>
  <c r="C275" i="3"/>
  <c r="L275" i="3"/>
  <c r="B275" i="3"/>
  <c r="D275" i="3"/>
  <c r="A275" i="3"/>
  <c r="E337" i="3"/>
  <c r="I337" i="3"/>
  <c r="K337" i="3"/>
  <c r="G337" i="3"/>
  <c r="C337" i="3"/>
  <c r="M337" i="3"/>
  <c r="L337" i="3"/>
  <c r="F337" i="3"/>
  <c r="D337" i="3"/>
  <c r="J337" i="3"/>
  <c r="A337" i="3"/>
  <c r="H337" i="3"/>
  <c r="B337" i="3"/>
  <c r="M253" i="3"/>
  <c r="K253" i="3"/>
  <c r="J253" i="3"/>
  <c r="H253" i="3"/>
  <c r="A253" i="3"/>
  <c r="C253" i="3"/>
  <c r="B253" i="3"/>
  <c r="L253" i="3"/>
  <c r="I253" i="3"/>
  <c r="G253" i="3"/>
  <c r="F253" i="3"/>
  <c r="E253" i="3"/>
  <c r="D253" i="3"/>
  <c r="E327" i="3"/>
  <c r="K327" i="3"/>
  <c r="J327" i="3"/>
  <c r="G327" i="3"/>
  <c r="M327" i="3"/>
  <c r="L327" i="3"/>
  <c r="I327" i="3"/>
  <c r="H327" i="3"/>
  <c r="C327" i="3"/>
  <c r="B327" i="3"/>
  <c r="F327" i="3"/>
  <c r="D327" i="3"/>
  <c r="A327" i="3"/>
  <c r="I411" i="3"/>
  <c r="D411" i="3"/>
  <c r="A411" i="3"/>
  <c r="L411" i="3"/>
  <c r="H411" i="3"/>
  <c r="G411" i="3"/>
  <c r="F411" i="3"/>
  <c r="E411" i="3"/>
  <c r="M411" i="3"/>
  <c r="K411" i="3"/>
  <c r="J411" i="3"/>
  <c r="C411" i="3"/>
  <c r="B411" i="3"/>
  <c r="G344" i="3"/>
  <c r="M344" i="3"/>
  <c r="H344" i="3"/>
  <c r="D344" i="3"/>
  <c r="B344" i="3"/>
  <c r="A344" i="3"/>
  <c r="L344" i="3"/>
  <c r="K344" i="3"/>
  <c r="J344" i="3"/>
  <c r="I344" i="3"/>
  <c r="C344" i="3"/>
  <c r="F344" i="3"/>
  <c r="E344" i="3"/>
  <c r="C372" i="3"/>
  <c r="A372" i="3"/>
  <c r="F372" i="3"/>
  <c r="E372" i="3"/>
  <c r="B372" i="3"/>
  <c r="M372" i="3"/>
  <c r="L372" i="3"/>
  <c r="K372" i="3"/>
  <c r="J372" i="3"/>
  <c r="I372" i="3"/>
  <c r="H372" i="3"/>
  <c r="G372" i="3"/>
  <c r="D372" i="3"/>
  <c r="A64" i="3"/>
  <c r="C64" i="3"/>
  <c r="B64" i="3"/>
  <c r="D64" i="3"/>
  <c r="H64" i="3"/>
  <c r="L64" i="3"/>
  <c r="K64" i="3"/>
  <c r="I64" i="3"/>
  <c r="M64" i="3"/>
  <c r="J64" i="3"/>
  <c r="F64" i="3"/>
  <c r="E64" i="3"/>
  <c r="G64" i="3"/>
  <c r="K223" i="3"/>
  <c r="I223" i="3"/>
  <c r="H223" i="3"/>
  <c r="M223" i="3"/>
  <c r="L223" i="3"/>
  <c r="F223" i="3"/>
  <c r="J223" i="3"/>
  <c r="G223" i="3"/>
  <c r="C223" i="3"/>
  <c r="A223" i="3"/>
  <c r="E223" i="3"/>
  <c r="D223" i="3"/>
  <c r="B223" i="3"/>
  <c r="M230" i="3"/>
  <c r="F230" i="3"/>
  <c r="L230" i="3"/>
  <c r="K230" i="3"/>
  <c r="H230" i="3"/>
  <c r="J230" i="3"/>
  <c r="I230" i="3"/>
  <c r="G230" i="3"/>
  <c r="E230" i="3"/>
  <c r="D230" i="3"/>
  <c r="C230" i="3"/>
  <c r="B230" i="3"/>
  <c r="A230" i="3"/>
  <c r="E277" i="3"/>
  <c r="D277" i="3"/>
  <c r="C277" i="3"/>
  <c r="B277" i="3"/>
  <c r="J277" i="3"/>
  <c r="H277" i="3"/>
  <c r="G277" i="3"/>
  <c r="F277" i="3"/>
  <c r="A277" i="3"/>
  <c r="K277" i="3"/>
  <c r="I277" i="3"/>
  <c r="M277" i="3"/>
  <c r="L277" i="3"/>
  <c r="E197" i="3"/>
  <c r="L197" i="3"/>
  <c r="J197" i="3"/>
  <c r="H197" i="3"/>
  <c r="C197" i="3"/>
  <c r="M197" i="3"/>
  <c r="K197" i="3"/>
  <c r="I197" i="3"/>
  <c r="G197" i="3"/>
  <c r="F197" i="3"/>
  <c r="D197" i="3"/>
  <c r="A197" i="3"/>
  <c r="B197" i="3"/>
  <c r="G354" i="3"/>
  <c r="B354" i="3"/>
  <c r="J354" i="3"/>
  <c r="H354" i="3"/>
  <c r="F354" i="3"/>
  <c r="I354" i="3"/>
  <c r="E354" i="3"/>
  <c r="D354" i="3"/>
  <c r="C354" i="3"/>
  <c r="A354" i="3"/>
  <c r="M354" i="3"/>
  <c r="L354" i="3"/>
  <c r="K354" i="3"/>
  <c r="G324" i="3"/>
  <c r="K324" i="3"/>
  <c r="H324" i="3"/>
  <c r="D324" i="3"/>
  <c r="I324" i="3"/>
  <c r="F324" i="3"/>
  <c r="E324" i="3"/>
  <c r="C324" i="3"/>
  <c r="B324" i="3"/>
  <c r="A324" i="3"/>
  <c r="L324" i="3"/>
  <c r="J324" i="3"/>
  <c r="M324" i="3"/>
  <c r="A303" i="3"/>
  <c r="D303" i="3"/>
  <c r="M303" i="3"/>
  <c r="L303" i="3"/>
  <c r="K303" i="3"/>
  <c r="J303" i="3"/>
  <c r="I303" i="3"/>
  <c r="H303" i="3"/>
  <c r="F303" i="3"/>
  <c r="E303" i="3"/>
  <c r="C303" i="3"/>
  <c r="B303" i="3"/>
  <c r="G303" i="3"/>
  <c r="F359" i="3"/>
  <c r="D359" i="3"/>
  <c r="C359" i="3"/>
  <c r="L359" i="3"/>
  <c r="K359" i="3"/>
  <c r="J359" i="3"/>
  <c r="I359" i="3"/>
  <c r="G359" i="3"/>
  <c r="E359" i="3"/>
  <c r="M359" i="3"/>
  <c r="H359" i="3"/>
  <c r="B359" i="3"/>
  <c r="A359" i="3"/>
  <c r="M263" i="3"/>
  <c r="L263" i="3"/>
  <c r="G263" i="3"/>
  <c r="F263" i="3"/>
  <c r="D263" i="3"/>
  <c r="C263" i="3"/>
  <c r="B263" i="3"/>
  <c r="A263" i="3"/>
  <c r="K263" i="3"/>
  <c r="J263" i="3"/>
  <c r="I263" i="3"/>
  <c r="H263" i="3"/>
  <c r="E263" i="3"/>
  <c r="E357" i="3"/>
  <c r="B357" i="3"/>
  <c r="L357" i="3"/>
  <c r="J357" i="3"/>
  <c r="I357" i="3"/>
  <c r="C357" i="3"/>
  <c r="M357" i="3"/>
  <c r="K357" i="3"/>
  <c r="H357" i="3"/>
  <c r="F357" i="3"/>
  <c r="D357" i="3"/>
  <c r="G357" i="3"/>
  <c r="A357" i="3"/>
  <c r="E427" i="3"/>
  <c r="L427" i="3"/>
  <c r="I427" i="3"/>
  <c r="B427" i="3"/>
  <c r="K427" i="3"/>
  <c r="J427" i="3"/>
  <c r="H427" i="3"/>
  <c r="G427" i="3"/>
  <c r="F427" i="3"/>
  <c r="D427" i="3"/>
  <c r="C427" i="3"/>
  <c r="A427" i="3"/>
  <c r="M427" i="3"/>
  <c r="A363" i="3"/>
  <c r="C363" i="3"/>
  <c r="M363" i="3"/>
  <c r="H363" i="3"/>
  <c r="K363" i="3"/>
  <c r="J363" i="3"/>
  <c r="I363" i="3"/>
  <c r="G363" i="3"/>
  <c r="E363" i="3"/>
  <c r="D363" i="3"/>
  <c r="L363" i="3"/>
  <c r="F363" i="3"/>
  <c r="B363" i="3"/>
  <c r="H392" i="3"/>
  <c r="E392" i="3"/>
  <c r="B392" i="3"/>
  <c r="A392" i="3"/>
  <c r="I392" i="3"/>
  <c r="M392" i="3"/>
  <c r="K392" i="3"/>
  <c r="J392" i="3"/>
  <c r="L392" i="3"/>
  <c r="G392" i="3"/>
  <c r="F392" i="3"/>
  <c r="D392" i="3"/>
  <c r="C392" i="3"/>
  <c r="K174" i="3"/>
  <c r="A174" i="3"/>
  <c r="G174" i="3"/>
  <c r="C174" i="3"/>
  <c r="L174" i="3"/>
  <c r="J174" i="3"/>
  <c r="I174" i="3"/>
  <c r="F174" i="3"/>
  <c r="E174" i="3"/>
  <c r="B174" i="3"/>
  <c r="M174" i="3"/>
  <c r="H174" i="3"/>
  <c r="D174" i="3"/>
  <c r="C205" i="3"/>
  <c r="I205" i="3"/>
  <c r="H205" i="3"/>
  <c r="L205" i="3"/>
  <c r="E205" i="3"/>
  <c r="D205" i="3"/>
  <c r="B205" i="3"/>
  <c r="A205" i="3"/>
  <c r="M205" i="3"/>
  <c r="K205" i="3"/>
  <c r="J205" i="3"/>
  <c r="G205" i="3"/>
  <c r="F205" i="3"/>
  <c r="E222" i="3"/>
  <c r="M222" i="3"/>
  <c r="B222" i="3"/>
  <c r="A222" i="3"/>
  <c r="J222" i="3"/>
  <c r="H222" i="3"/>
  <c r="G222" i="3"/>
  <c r="F222" i="3"/>
  <c r="D222" i="3"/>
  <c r="L222" i="3"/>
  <c r="K222" i="3"/>
  <c r="I222" i="3"/>
  <c r="C222" i="3"/>
  <c r="M200" i="3"/>
  <c r="E200" i="3"/>
  <c r="J200" i="3"/>
  <c r="G200" i="3"/>
  <c r="C200" i="3"/>
  <c r="B200" i="3"/>
  <c r="A200" i="3"/>
  <c r="K200" i="3"/>
  <c r="I200" i="3"/>
  <c r="H200" i="3"/>
  <c r="F200" i="3"/>
  <c r="D200" i="3"/>
  <c r="L200" i="3"/>
  <c r="G247" i="3"/>
  <c r="D247" i="3"/>
  <c r="E247" i="3"/>
  <c r="C247" i="3"/>
  <c r="M247" i="3"/>
  <c r="L247" i="3"/>
  <c r="K247" i="3"/>
  <c r="J247" i="3"/>
  <c r="I247" i="3"/>
  <c r="B247" i="3"/>
  <c r="H247" i="3"/>
  <c r="F247" i="3"/>
  <c r="A247" i="3"/>
  <c r="H252" i="3"/>
  <c r="G252" i="3"/>
  <c r="C252" i="3"/>
  <c r="B252" i="3"/>
  <c r="L252" i="3"/>
  <c r="A252" i="3"/>
  <c r="M252" i="3"/>
  <c r="K252" i="3"/>
  <c r="F252" i="3"/>
  <c r="J252" i="3"/>
  <c r="I252" i="3"/>
  <c r="E252" i="3"/>
  <c r="D252" i="3"/>
  <c r="M276" i="3"/>
  <c r="H276" i="3"/>
  <c r="L276" i="3"/>
  <c r="K276" i="3"/>
  <c r="J276" i="3"/>
  <c r="G276" i="3"/>
  <c r="B276" i="3"/>
  <c r="A276" i="3"/>
  <c r="E276" i="3"/>
  <c r="I276" i="3"/>
  <c r="F276" i="3"/>
  <c r="D276" i="3"/>
  <c r="C276" i="3"/>
  <c r="C420" i="3"/>
  <c r="E420" i="3"/>
  <c r="A420" i="3"/>
  <c r="J420" i="3"/>
  <c r="I420" i="3"/>
  <c r="G420" i="3"/>
  <c r="F420" i="3"/>
  <c r="D420" i="3"/>
  <c r="B420" i="3"/>
  <c r="M420" i="3"/>
  <c r="L420" i="3"/>
  <c r="K420" i="3"/>
  <c r="H420" i="3"/>
  <c r="H362" i="3"/>
  <c r="F362" i="3"/>
  <c r="E362" i="3"/>
  <c r="G362" i="3"/>
  <c r="D362" i="3"/>
  <c r="M362" i="3"/>
  <c r="L362" i="3"/>
  <c r="I362" i="3"/>
  <c r="C362" i="3"/>
  <c r="K362" i="3"/>
  <c r="J362" i="3"/>
  <c r="B362" i="3"/>
  <c r="A362" i="3"/>
  <c r="B342" i="3"/>
  <c r="K342" i="3"/>
  <c r="H342" i="3"/>
  <c r="F342" i="3"/>
  <c r="E342" i="3"/>
  <c r="M342" i="3"/>
  <c r="L342" i="3"/>
  <c r="J342" i="3"/>
  <c r="I342" i="3"/>
  <c r="G342" i="3"/>
  <c r="D342" i="3"/>
  <c r="C342" i="3"/>
  <c r="A342" i="3"/>
  <c r="E377" i="3"/>
  <c r="H377" i="3"/>
  <c r="A377" i="3"/>
  <c r="M377" i="3"/>
  <c r="L377" i="3"/>
  <c r="K377" i="3"/>
  <c r="I377" i="3"/>
  <c r="G377" i="3"/>
  <c r="C377" i="3"/>
  <c r="B377" i="3"/>
  <c r="J377" i="3"/>
  <c r="F377" i="3"/>
  <c r="D377" i="3"/>
  <c r="G434" i="3"/>
  <c r="J434" i="3"/>
  <c r="L434" i="3"/>
  <c r="K434" i="3"/>
  <c r="I434" i="3"/>
  <c r="H434" i="3"/>
  <c r="F434" i="3"/>
  <c r="E434" i="3"/>
  <c r="D434" i="3"/>
  <c r="C434" i="3"/>
  <c r="B434" i="3"/>
  <c r="A434" i="3"/>
  <c r="M434" i="3"/>
  <c r="I391" i="3"/>
  <c r="K391" i="3"/>
  <c r="A391" i="3"/>
  <c r="M391" i="3"/>
  <c r="F391" i="3"/>
  <c r="E391" i="3"/>
  <c r="G391" i="3"/>
  <c r="D391" i="3"/>
  <c r="C391" i="3"/>
  <c r="B391" i="3"/>
  <c r="H391" i="3"/>
  <c r="L391" i="3"/>
  <c r="J391" i="3"/>
  <c r="H84" i="3"/>
  <c r="K84" i="3"/>
  <c r="I84" i="3"/>
  <c r="C84" i="3"/>
  <c r="M84" i="3"/>
  <c r="L84" i="3"/>
  <c r="J84" i="3"/>
  <c r="G84" i="3"/>
  <c r="F84" i="3"/>
  <c r="E84" i="3"/>
  <c r="D84" i="3"/>
  <c r="B84" i="3"/>
  <c r="A84" i="3"/>
  <c r="B261" i="3"/>
  <c r="A261" i="3"/>
  <c r="L261" i="3"/>
  <c r="K261" i="3"/>
  <c r="I261" i="3"/>
  <c r="D261" i="3"/>
  <c r="C261" i="3"/>
  <c r="M261" i="3"/>
  <c r="J261" i="3"/>
  <c r="H261" i="3"/>
  <c r="G261" i="3"/>
  <c r="F261" i="3"/>
  <c r="E261" i="3"/>
  <c r="J267" i="3"/>
  <c r="G267" i="3"/>
  <c r="F267" i="3"/>
  <c r="E267" i="3"/>
  <c r="D267" i="3"/>
  <c r="C267" i="3"/>
  <c r="L267" i="3"/>
  <c r="M267" i="3"/>
  <c r="K267" i="3"/>
  <c r="B267" i="3"/>
  <c r="I267" i="3"/>
  <c r="H267" i="3"/>
  <c r="A267" i="3"/>
  <c r="M130" i="3"/>
  <c r="I130" i="3"/>
  <c r="K130" i="3"/>
  <c r="G130" i="3"/>
  <c r="H130" i="3"/>
  <c r="F130" i="3"/>
  <c r="E130" i="3"/>
  <c r="D130" i="3"/>
  <c r="C130" i="3"/>
  <c r="B130" i="3"/>
  <c r="A130" i="3"/>
  <c r="L130" i="3"/>
  <c r="J130" i="3"/>
  <c r="I216" i="3"/>
  <c r="M216" i="3"/>
  <c r="B216" i="3"/>
  <c r="A216" i="3"/>
  <c r="K216" i="3"/>
  <c r="J216" i="3"/>
  <c r="F216" i="3"/>
  <c r="L216" i="3"/>
  <c r="H216" i="3"/>
  <c r="G216" i="3"/>
  <c r="E216" i="3"/>
  <c r="D216" i="3"/>
  <c r="C216" i="3"/>
  <c r="D258" i="3"/>
  <c r="C258" i="3"/>
  <c r="I258" i="3"/>
  <c r="H258" i="3"/>
  <c r="F258" i="3"/>
  <c r="L258" i="3"/>
  <c r="M258" i="3"/>
  <c r="K258" i="3"/>
  <c r="J258" i="3"/>
  <c r="G258" i="3"/>
  <c r="A258" i="3"/>
  <c r="B258" i="3"/>
  <c r="E258" i="3"/>
  <c r="K278" i="3"/>
  <c r="L278" i="3"/>
  <c r="J278" i="3"/>
  <c r="I278" i="3"/>
  <c r="M278" i="3"/>
  <c r="D278" i="3"/>
  <c r="G278" i="3"/>
  <c r="F278" i="3"/>
  <c r="E278" i="3"/>
  <c r="H278" i="3"/>
  <c r="C278" i="3"/>
  <c r="B278" i="3"/>
  <c r="A278" i="3"/>
  <c r="E297" i="3"/>
  <c r="B297" i="3"/>
  <c r="D297" i="3"/>
  <c r="C297" i="3"/>
  <c r="A297" i="3"/>
  <c r="J297" i="3"/>
  <c r="I297" i="3"/>
  <c r="K297" i="3"/>
  <c r="H297" i="3"/>
  <c r="G297" i="3"/>
  <c r="F297" i="3"/>
  <c r="M297" i="3"/>
  <c r="L297" i="3"/>
  <c r="F279" i="3"/>
  <c r="D279" i="3"/>
  <c r="C279" i="3"/>
  <c r="B279" i="3"/>
  <c r="A279" i="3"/>
  <c r="M279" i="3"/>
  <c r="L279" i="3"/>
  <c r="K279" i="3"/>
  <c r="I279" i="3"/>
  <c r="G279" i="3"/>
  <c r="E279" i="3"/>
  <c r="J279" i="3"/>
  <c r="H279" i="3"/>
  <c r="K298" i="3"/>
  <c r="H298" i="3"/>
  <c r="M298" i="3"/>
  <c r="L298" i="3"/>
  <c r="J298" i="3"/>
  <c r="G298" i="3"/>
  <c r="F298" i="3"/>
  <c r="E298" i="3"/>
  <c r="D298" i="3"/>
  <c r="C298" i="3"/>
  <c r="B298" i="3"/>
  <c r="A298" i="3"/>
  <c r="I298" i="3"/>
  <c r="M365" i="3"/>
  <c r="J365" i="3"/>
  <c r="H365" i="3"/>
  <c r="G365" i="3"/>
  <c r="B365" i="3"/>
  <c r="L365" i="3"/>
  <c r="K365" i="3"/>
  <c r="I365" i="3"/>
  <c r="F365" i="3"/>
  <c r="D365" i="3"/>
  <c r="C365" i="3"/>
  <c r="E365" i="3"/>
  <c r="A365" i="3"/>
  <c r="M385" i="3"/>
  <c r="J385" i="3"/>
  <c r="A385" i="3"/>
  <c r="I385" i="3"/>
  <c r="F385" i="3"/>
  <c r="E385" i="3"/>
  <c r="D385" i="3"/>
  <c r="C385" i="3"/>
  <c r="L385" i="3"/>
  <c r="K385" i="3"/>
  <c r="H385" i="3"/>
  <c r="G385" i="3"/>
  <c r="B385" i="3"/>
  <c r="K398" i="3"/>
  <c r="H398" i="3"/>
  <c r="M398" i="3"/>
  <c r="F398" i="3"/>
  <c r="E398" i="3"/>
  <c r="L398" i="3"/>
  <c r="I398" i="3"/>
  <c r="G398" i="3"/>
  <c r="J398" i="3"/>
  <c r="B398" i="3"/>
  <c r="A398" i="3"/>
  <c r="D398" i="3"/>
  <c r="C398" i="3"/>
  <c r="J141" i="3"/>
  <c r="M141" i="3"/>
  <c r="K141" i="3"/>
  <c r="I141" i="3"/>
  <c r="G141" i="3"/>
  <c r="C141" i="3"/>
  <c r="D141" i="3"/>
  <c r="A141" i="3"/>
  <c r="E141" i="3"/>
  <c r="B141" i="3"/>
  <c r="L141" i="3"/>
  <c r="H141" i="3"/>
  <c r="F141" i="3"/>
  <c r="J147" i="3"/>
  <c r="C147" i="3"/>
  <c r="F147" i="3"/>
  <c r="D147" i="3"/>
  <c r="A147" i="3"/>
  <c r="M147" i="3"/>
  <c r="I147" i="3"/>
  <c r="L147" i="3"/>
  <c r="K147" i="3"/>
  <c r="H147" i="3"/>
  <c r="G147" i="3"/>
  <c r="E147" i="3"/>
  <c r="B147" i="3"/>
  <c r="I114" i="3"/>
  <c r="L114" i="3"/>
  <c r="D114" i="3"/>
  <c r="B114" i="3"/>
  <c r="M114" i="3"/>
  <c r="K114" i="3"/>
  <c r="J114" i="3"/>
  <c r="H114" i="3"/>
  <c r="G114" i="3"/>
  <c r="F114" i="3"/>
  <c r="E114" i="3"/>
  <c r="C114" i="3"/>
  <c r="A114" i="3"/>
  <c r="M180" i="3"/>
  <c r="K180" i="3"/>
  <c r="A180" i="3"/>
  <c r="L180" i="3"/>
  <c r="G180" i="3"/>
  <c r="J180" i="3"/>
  <c r="H180" i="3"/>
  <c r="F180" i="3"/>
  <c r="D180" i="3"/>
  <c r="C180" i="3"/>
  <c r="I180" i="3"/>
  <c r="E180" i="3"/>
  <c r="B180" i="3"/>
  <c r="K133" i="3"/>
  <c r="E133" i="3"/>
  <c r="C133" i="3"/>
  <c r="A133" i="3"/>
  <c r="M133" i="3"/>
  <c r="J133" i="3"/>
  <c r="H133" i="3"/>
  <c r="G133" i="3"/>
  <c r="D133" i="3"/>
  <c r="L133" i="3"/>
  <c r="I133" i="3"/>
  <c r="F133" i="3"/>
  <c r="B133" i="3"/>
  <c r="K93" i="3"/>
  <c r="H93" i="3"/>
  <c r="B93" i="3"/>
  <c r="M93" i="3"/>
  <c r="E93" i="3"/>
  <c r="C93" i="3"/>
  <c r="L93" i="3"/>
  <c r="J93" i="3"/>
  <c r="I93" i="3"/>
  <c r="G93" i="3"/>
  <c r="F93" i="3"/>
  <c r="D93" i="3"/>
  <c r="A93" i="3"/>
  <c r="I146" i="3"/>
  <c r="C146" i="3"/>
  <c r="M146" i="3"/>
  <c r="K146" i="3"/>
  <c r="F146" i="3"/>
  <c r="D146" i="3"/>
  <c r="A146" i="3"/>
  <c r="B146" i="3"/>
  <c r="L146" i="3"/>
  <c r="J146" i="3"/>
  <c r="H146" i="3"/>
  <c r="G146" i="3"/>
  <c r="E146" i="3"/>
  <c r="D167" i="3"/>
  <c r="K167" i="3"/>
  <c r="G167" i="3"/>
  <c r="B167" i="3"/>
  <c r="L167" i="3"/>
  <c r="M167" i="3"/>
  <c r="J167" i="3"/>
  <c r="I167" i="3"/>
  <c r="H167" i="3"/>
  <c r="F167" i="3"/>
  <c r="E167" i="3"/>
  <c r="C167" i="3"/>
  <c r="A167" i="3"/>
  <c r="E286" i="3"/>
  <c r="D286" i="3"/>
  <c r="C286" i="3"/>
  <c r="A286" i="3"/>
  <c r="M286" i="3"/>
  <c r="K286" i="3"/>
  <c r="J286" i="3"/>
  <c r="I286" i="3"/>
  <c r="H286" i="3"/>
  <c r="G286" i="3"/>
  <c r="F286" i="3"/>
  <c r="L286" i="3"/>
  <c r="B286" i="3"/>
  <c r="K328" i="3"/>
  <c r="F328" i="3"/>
  <c r="E328" i="3"/>
  <c r="D328" i="3"/>
  <c r="C328" i="3"/>
  <c r="B328" i="3"/>
  <c r="A328" i="3"/>
  <c r="M328" i="3"/>
  <c r="H328" i="3"/>
  <c r="G328" i="3"/>
  <c r="L328" i="3"/>
  <c r="J328" i="3"/>
  <c r="I328" i="3"/>
  <c r="E307" i="3"/>
  <c r="K307" i="3"/>
  <c r="H307" i="3"/>
  <c r="C307" i="3"/>
  <c r="B307" i="3"/>
  <c r="A307" i="3"/>
  <c r="L307" i="3"/>
  <c r="J307" i="3"/>
  <c r="D307" i="3"/>
  <c r="M307" i="3"/>
  <c r="I307" i="3"/>
  <c r="G307" i="3"/>
  <c r="F307" i="3"/>
  <c r="L282" i="3"/>
  <c r="K282" i="3"/>
  <c r="J282" i="3"/>
  <c r="I282" i="3"/>
  <c r="H282" i="3"/>
  <c r="G282" i="3"/>
  <c r="B282" i="3"/>
  <c r="F282" i="3"/>
  <c r="M282" i="3"/>
  <c r="E282" i="3"/>
  <c r="A282" i="3"/>
  <c r="D282" i="3"/>
  <c r="C282" i="3"/>
  <c r="A313" i="3"/>
  <c r="K313" i="3"/>
  <c r="H313" i="3"/>
  <c r="M313" i="3"/>
  <c r="L313" i="3"/>
  <c r="J313" i="3"/>
  <c r="I313" i="3"/>
  <c r="G313" i="3"/>
  <c r="D313" i="3"/>
  <c r="E313" i="3"/>
  <c r="C313" i="3"/>
  <c r="F313" i="3"/>
  <c r="B313" i="3"/>
  <c r="A373" i="3"/>
  <c r="J373" i="3"/>
  <c r="K373" i="3"/>
  <c r="H373" i="3"/>
  <c r="G373" i="3"/>
  <c r="B373" i="3"/>
  <c r="M373" i="3"/>
  <c r="L373" i="3"/>
  <c r="I373" i="3"/>
  <c r="F373" i="3"/>
  <c r="D373" i="3"/>
  <c r="C373" i="3"/>
  <c r="E373" i="3"/>
  <c r="E397" i="3"/>
  <c r="K397" i="3"/>
  <c r="H397" i="3"/>
  <c r="A397" i="3"/>
  <c r="J397" i="3"/>
  <c r="F397" i="3"/>
  <c r="D397" i="3"/>
  <c r="C397" i="3"/>
  <c r="B397" i="3"/>
  <c r="G397" i="3"/>
  <c r="M397" i="3"/>
  <c r="L397" i="3"/>
  <c r="I397" i="3"/>
  <c r="J376" i="3"/>
  <c r="A376" i="3"/>
  <c r="M376" i="3"/>
  <c r="L376" i="3"/>
  <c r="F376" i="3"/>
  <c r="G376" i="3"/>
  <c r="E376" i="3"/>
  <c r="C376" i="3"/>
  <c r="B376" i="3"/>
  <c r="H376" i="3"/>
  <c r="D376" i="3"/>
  <c r="K376" i="3"/>
  <c r="I376" i="3"/>
  <c r="C137" i="3"/>
  <c r="J137" i="3"/>
  <c r="F137" i="3"/>
  <c r="I137" i="3"/>
  <c r="L137" i="3"/>
  <c r="G137" i="3"/>
  <c r="D137" i="3"/>
  <c r="B137" i="3"/>
  <c r="A137" i="3"/>
  <c r="H137" i="3"/>
  <c r="E137" i="3"/>
  <c r="M137" i="3"/>
  <c r="K137" i="3"/>
  <c r="E112" i="3"/>
  <c r="C112" i="3"/>
  <c r="B112" i="3"/>
  <c r="G112" i="3"/>
  <c r="D112" i="3"/>
  <c r="L112" i="3"/>
  <c r="K112" i="3"/>
  <c r="J112" i="3"/>
  <c r="I112" i="3"/>
  <c r="H112" i="3"/>
  <c r="F112" i="3"/>
  <c r="A112" i="3"/>
  <c r="M112" i="3"/>
  <c r="I156" i="3"/>
  <c r="K156" i="3"/>
  <c r="J156" i="3"/>
  <c r="E156" i="3"/>
  <c r="B156" i="3"/>
  <c r="L156" i="3"/>
  <c r="G156" i="3"/>
  <c r="F156" i="3"/>
  <c r="D156" i="3"/>
  <c r="C156" i="3"/>
  <c r="A156" i="3"/>
  <c r="M156" i="3"/>
  <c r="H156" i="3"/>
  <c r="C125" i="3"/>
  <c r="B125" i="3"/>
  <c r="M125" i="3"/>
  <c r="H125" i="3"/>
  <c r="F125" i="3"/>
  <c r="D125" i="3"/>
  <c r="G125" i="3"/>
  <c r="E125" i="3"/>
  <c r="A125" i="3"/>
  <c r="K125" i="3"/>
  <c r="J125" i="3"/>
  <c r="I125" i="3"/>
  <c r="L125" i="3"/>
  <c r="M46" i="3"/>
  <c r="K46" i="3"/>
  <c r="I46" i="3"/>
  <c r="F46" i="3"/>
  <c r="E46" i="3"/>
  <c r="B46" i="3"/>
  <c r="A46" i="3"/>
  <c r="H46" i="3"/>
  <c r="L46" i="3"/>
  <c r="J46" i="3"/>
  <c r="G46" i="3"/>
  <c r="D46" i="3"/>
  <c r="C46" i="3"/>
  <c r="A98" i="3"/>
  <c r="B98" i="3"/>
  <c r="L98" i="3"/>
  <c r="M98" i="3"/>
  <c r="K98" i="3"/>
  <c r="J98" i="3"/>
  <c r="I98" i="3"/>
  <c r="H98" i="3"/>
  <c r="F98" i="3"/>
  <c r="C98" i="3"/>
  <c r="D98" i="3"/>
  <c r="E98" i="3"/>
  <c r="G98" i="3"/>
  <c r="M157" i="3"/>
  <c r="L157" i="3"/>
  <c r="J157" i="3"/>
  <c r="H157" i="3"/>
  <c r="G157" i="3"/>
  <c r="E157" i="3"/>
  <c r="D157" i="3"/>
  <c r="A157" i="3"/>
  <c r="K157" i="3"/>
  <c r="I157" i="3"/>
  <c r="F157" i="3"/>
  <c r="C157" i="3"/>
  <c r="B157" i="3"/>
  <c r="K268" i="3"/>
  <c r="D268" i="3"/>
  <c r="C268" i="3"/>
  <c r="B268" i="3"/>
  <c r="I268" i="3"/>
  <c r="H268" i="3"/>
  <c r="F268" i="3"/>
  <c r="G268" i="3"/>
  <c r="E268" i="3"/>
  <c r="A268" i="3"/>
  <c r="M268" i="3"/>
  <c r="L268" i="3"/>
  <c r="J268" i="3"/>
  <c r="C165" i="3"/>
  <c r="K165" i="3"/>
  <c r="M165" i="3"/>
  <c r="H165" i="3"/>
  <c r="A165" i="3"/>
  <c r="D165" i="3"/>
  <c r="B165" i="3"/>
  <c r="L165" i="3"/>
  <c r="J165" i="3"/>
  <c r="I165" i="3"/>
  <c r="G165" i="3"/>
  <c r="F165" i="3"/>
  <c r="E165" i="3"/>
  <c r="I239" i="3"/>
  <c r="K239" i="3"/>
  <c r="B239" i="3"/>
  <c r="A239" i="3"/>
  <c r="E239" i="3"/>
  <c r="C239" i="3"/>
  <c r="M239" i="3"/>
  <c r="L239" i="3"/>
  <c r="H239" i="3"/>
  <c r="J239" i="3"/>
  <c r="G239" i="3"/>
  <c r="F239" i="3"/>
  <c r="D239" i="3"/>
  <c r="G240" i="3"/>
  <c r="A240" i="3"/>
  <c r="K240" i="3"/>
  <c r="J240" i="3"/>
  <c r="M240" i="3"/>
  <c r="L240" i="3"/>
  <c r="I240" i="3"/>
  <c r="H240" i="3"/>
  <c r="D240" i="3"/>
  <c r="F240" i="3"/>
  <c r="B240" i="3"/>
  <c r="E240" i="3"/>
  <c r="C240" i="3"/>
  <c r="A343" i="3"/>
  <c r="I343" i="3"/>
  <c r="H343" i="3"/>
  <c r="E343" i="3"/>
  <c r="D343" i="3"/>
  <c r="B343" i="3"/>
  <c r="M343" i="3"/>
  <c r="L343" i="3"/>
  <c r="K343" i="3"/>
  <c r="J343" i="3"/>
  <c r="G343" i="3"/>
  <c r="F343" i="3"/>
  <c r="C343" i="3"/>
  <c r="M325" i="3"/>
  <c r="D325" i="3"/>
  <c r="L325" i="3"/>
  <c r="K325" i="3"/>
  <c r="J325" i="3"/>
  <c r="I325" i="3"/>
  <c r="F325" i="3"/>
  <c r="E325" i="3"/>
  <c r="H325" i="3"/>
  <c r="G325" i="3"/>
  <c r="C325" i="3"/>
  <c r="B325" i="3"/>
  <c r="A325" i="3"/>
  <c r="C350" i="3"/>
  <c r="J350" i="3"/>
  <c r="I350" i="3"/>
  <c r="D350" i="3"/>
  <c r="A350" i="3"/>
  <c r="M350" i="3"/>
  <c r="L350" i="3"/>
  <c r="K350" i="3"/>
  <c r="H350" i="3"/>
  <c r="G350" i="3"/>
  <c r="F350" i="3"/>
  <c r="E350" i="3"/>
  <c r="B350" i="3"/>
  <c r="M375" i="3"/>
  <c r="C375" i="3"/>
  <c r="F375" i="3"/>
  <c r="D375" i="3"/>
  <c r="B375" i="3"/>
  <c r="L375" i="3"/>
  <c r="K375" i="3"/>
  <c r="J375" i="3"/>
  <c r="I375" i="3"/>
  <c r="G375" i="3"/>
  <c r="E375" i="3"/>
  <c r="H375" i="3"/>
  <c r="A375" i="3"/>
  <c r="G404" i="3"/>
  <c r="I404" i="3"/>
  <c r="K404" i="3"/>
  <c r="F404" i="3"/>
  <c r="E404" i="3"/>
  <c r="D404" i="3"/>
  <c r="C404" i="3"/>
  <c r="M404" i="3"/>
  <c r="J404" i="3"/>
  <c r="H404" i="3"/>
  <c r="L404" i="3"/>
  <c r="B404" i="3"/>
  <c r="A404" i="3"/>
  <c r="I381" i="3"/>
  <c r="C381" i="3"/>
  <c r="M381" i="3"/>
  <c r="L381" i="3"/>
  <c r="F381" i="3"/>
  <c r="B381" i="3"/>
  <c r="A381" i="3"/>
  <c r="H381" i="3"/>
  <c r="G381" i="3"/>
  <c r="E381" i="3"/>
  <c r="D381" i="3"/>
  <c r="J381" i="3"/>
  <c r="K381" i="3"/>
  <c r="G149" i="3"/>
  <c r="C149" i="3"/>
  <c r="B149" i="3"/>
  <c r="M149" i="3"/>
  <c r="H149" i="3"/>
  <c r="F149" i="3"/>
  <c r="E149" i="3"/>
  <c r="D149" i="3"/>
  <c r="A149" i="3"/>
  <c r="L149" i="3"/>
  <c r="K149" i="3"/>
  <c r="J149" i="3"/>
  <c r="I149" i="3"/>
  <c r="E182" i="3"/>
  <c r="D182" i="3"/>
  <c r="L182" i="3"/>
  <c r="J182" i="3"/>
  <c r="H182" i="3"/>
  <c r="B182" i="3"/>
  <c r="K182" i="3"/>
  <c r="I182" i="3"/>
  <c r="F182" i="3"/>
  <c r="C182" i="3"/>
  <c r="A182" i="3"/>
  <c r="M182" i="3"/>
  <c r="G182" i="3"/>
  <c r="M264" i="3"/>
  <c r="F264" i="3"/>
  <c r="L264" i="3"/>
  <c r="D264" i="3"/>
  <c r="C264" i="3"/>
  <c r="B264" i="3"/>
  <c r="K264" i="3"/>
  <c r="J264" i="3"/>
  <c r="G264" i="3"/>
  <c r="I264" i="3"/>
  <c r="H264" i="3"/>
  <c r="E264" i="3"/>
  <c r="A264" i="3"/>
  <c r="E152" i="3"/>
  <c r="C152" i="3"/>
  <c r="J152" i="3"/>
  <c r="H152" i="3"/>
  <c r="F152" i="3"/>
  <c r="D152" i="3"/>
  <c r="A152" i="3"/>
  <c r="L152" i="3"/>
  <c r="M152" i="3"/>
  <c r="K152" i="3"/>
  <c r="I152" i="3"/>
  <c r="G152" i="3"/>
  <c r="B152" i="3"/>
  <c r="K213" i="3"/>
  <c r="M213" i="3"/>
  <c r="B213" i="3"/>
  <c r="A213" i="3"/>
  <c r="L213" i="3"/>
  <c r="I213" i="3"/>
  <c r="H213" i="3"/>
  <c r="G213" i="3"/>
  <c r="F213" i="3"/>
  <c r="C213" i="3"/>
  <c r="J213" i="3"/>
  <c r="E213" i="3"/>
  <c r="D213" i="3"/>
  <c r="F255" i="3"/>
  <c r="E255" i="3"/>
  <c r="G255" i="3"/>
  <c r="D255" i="3"/>
  <c r="B255" i="3"/>
  <c r="A255" i="3"/>
  <c r="M255" i="3"/>
  <c r="L255" i="3"/>
  <c r="K255" i="3"/>
  <c r="H255" i="3"/>
  <c r="J255" i="3"/>
  <c r="I255" i="3"/>
  <c r="C255" i="3"/>
  <c r="H187" i="3"/>
  <c r="L187" i="3"/>
  <c r="J187" i="3"/>
  <c r="G187" i="3"/>
  <c r="C187" i="3"/>
  <c r="D187" i="3"/>
  <c r="B187" i="3"/>
  <c r="A187" i="3"/>
  <c r="M187" i="3"/>
  <c r="K187" i="3"/>
  <c r="I187" i="3"/>
  <c r="E187" i="3"/>
  <c r="F187" i="3"/>
  <c r="E162" i="3"/>
  <c r="K162" i="3"/>
  <c r="J162" i="3"/>
  <c r="M162" i="3"/>
  <c r="L162" i="3"/>
  <c r="H162" i="3"/>
  <c r="G162" i="3"/>
  <c r="C162" i="3"/>
  <c r="A162" i="3"/>
  <c r="I162" i="3"/>
  <c r="F162" i="3"/>
  <c r="D162" i="3"/>
  <c r="B162" i="3"/>
  <c r="A138" i="3"/>
  <c r="J138" i="3"/>
  <c r="H138" i="3"/>
  <c r="F138" i="3"/>
  <c r="D138" i="3"/>
  <c r="C138" i="3"/>
  <c r="L138" i="3"/>
  <c r="I138" i="3"/>
  <c r="E138" i="3"/>
  <c r="B138" i="3"/>
  <c r="M138" i="3"/>
  <c r="K138" i="3"/>
  <c r="G138" i="3"/>
  <c r="A208" i="3"/>
  <c r="I208" i="3"/>
  <c r="H208" i="3"/>
  <c r="G208" i="3"/>
  <c r="E208" i="3"/>
  <c r="C208" i="3"/>
  <c r="B208" i="3"/>
  <c r="M208" i="3"/>
  <c r="L208" i="3"/>
  <c r="J208" i="3"/>
  <c r="K208" i="3"/>
  <c r="F208" i="3"/>
  <c r="D208" i="3"/>
  <c r="I281" i="3"/>
  <c r="L281" i="3"/>
  <c r="K281" i="3"/>
  <c r="J281" i="3"/>
  <c r="G281" i="3"/>
  <c r="C281" i="3"/>
  <c r="A281" i="3"/>
  <c r="M281" i="3"/>
  <c r="H281" i="3"/>
  <c r="D281" i="3"/>
  <c r="B281" i="3"/>
  <c r="F281" i="3"/>
  <c r="E281" i="3"/>
  <c r="H389" i="3"/>
  <c r="A389" i="3"/>
  <c r="K389" i="3"/>
  <c r="J389" i="3"/>
  <c r="D389" i="3"/>
  <c r="M389" i="3"/>
  <c r="L389" i="3"/>
  <c r="B389" i="3"/>
  <c r="G389" i="3"/>
  <c r="F389" i="3"/>
  <c r="E389" i="3"/>
  <c r="I389" i="3"/>
  <c r="C389" i="3"/>
  <c r="E367" i="3"/>
  <c r="J367" i="3"/>
  <c r="D367" i="3"/>
  <c r="B367" i="3"/>
  <c r="A367" i="3"/>
  <c r="M367" i="3"/>
  <c r="L367" i="3"/>
  <c r="K367" i="3"/>
  <c r="I367" i="3"/>
  <c r="H367" i="3"/>
  <c r="F367" i="3"/>
  <c r="C367" i="3"/>
  <c r="G367" i="3"/>
  <c r="I371" i="3"/>
  <c r="M371" i="3"/>
  <c r="L371" i="3"/>
  <c r="F371" i="3"/>
  <c r="K371" i="3"/>
  <c r="J371" i="3"/>
  <c r="H371" i="3"/>
  <c r="G371" i="3"/>
  <c r="E371" i="3"/>
  <c r="C371" i="3"/>
  <c r="B371" i="3"/>
  <c r="D371" i="3"/>
  <c r="A371" i="3"/>
  <c r="E387" i="3"/>
  <c r="C387" i="3"/>
  <c r="F387" i="3"/>
  <c r="A387" i="3"/>
  <c r="I387" i="3"/>
  <c r="M387" i="3"/>
  <c r="L387" i="3"/>
  <c r="K387" i="3"/>
  <c r="J387" i="3"/>
  <c r="H387" i="3"/>
  <c r="D387" i="3"/>
  <c r="B387" i="3"/>
  <c r="G387" i="3"/>
  <c r="H386" i="3"/>
  <c r="M386" i="3"/>
  <c r="L386" i="3"/>
  <c r="F386" i="3"/>
  <c r="B386" i="3"/>
  <c r="A386" i="3"/>
  <c r="K386" i="3"/>
  <c r="J386" i="3"/>
  <c r="I386" i="3"/>
  <c r="G386" i="3"/>
  <c r="E386" i="3"/>
  <c r="D386" i="3"/>
  <c r="C386" i="3"/>
  <c r="M150" i="3"/>
  <c r="J150" i="3"/>
  <c r="E150" i="3"/>
  <c r="A150" i="3"/>
  <c r="K150" i="3"/>
  <c r="H150" i="3"/>
  <c r="G150" i="3"/>
  <c r="D150" i="3"/>
  <c r="L150" i="3"/>
  <c r="I150" i="3"/>
  <c r="F150" i="3"/>
  <c r="B150" i="3"/>
  <c r="C150" i="3"/>
  <c r="I254" i="3"/>
  <c r="M254" i="3"/>
  <c r="K254" i="3"/>
  <c r="C254" i="3"/>
  <c r="B254" i="3"/>
  <c r="A254" i="3"/>
  <c r="H254" i="3"/>
  <c r="E254" i="3"/>
  <c r="D254" i="3"/>
  <c r="F254" i="3"/>
  <c r="L254" i="3"/>
  <c r="J254" i="3"/>
  <c r="G254" i="3"/>
  <c r="M335" i="3"/>
  <c r="F335" i="3"/>
  <c r="K335" i="3"/>
  <c r="H335" i="3"/>
  <c r="L335" i="3"/>
  <c r="J335" i="3"/>
  <c r="I335" i="3"/>
  <c r="D335" i="3"/>
  <c r="C335" i="3"/>
  <c r="A335" i="3"/>
  <c r="G335" i="3"/>
  <c r="E335" i="3"/>
  <c r="B335" i="3"/>
  <c r="K69" i="3"/>
  <c r="J69" i="3"/>
  <c r="A69" i="3"/>
  <c r="D69" i="3"/>
  <c r="G69" i="3"/>
  <c r="E69" i="3"/>
  <c r="M69" i="3"/>
  <c r="L69" i="3"/>
  <c r="I69" i="3"/>
  <c r="H69" i="3"/>
  <c r="C69" i="3"/>
  <c r="B69" i="3"/>
  <c r="F69" i="3"/>
  <c r="M231" i="3"/>
  <c r="C231" i="3"/>
  <c r="B231" i="3"/>
  <c r="H231" i="3"/>
  <c r="F231" i="3"/>
  <c r="E231" i="3"/>
  <c r="D231" i="3"/>
  <c r="A231" i="3"/>
  <c r="J231" i="3"/>
  <c r="I231" i="3"/>
  <c r="G231" i="3"/>
  <c r="L231" i="3"/>
  <c r="K231" i="3"/>
  <c r="C195" i="3"/>
  <c r="L195" i="3"/>
  <c r="A195" i="3"/>
  <c r="M195" i="3"/>
  <c r="H195" i="3"/>
  <c r="I195" i="3"/>
  <c r="G195" i="3"/>
  <c r="F195" i="3"/>
  <c r="E195" i="3"/>
  <c r="D195" i="3"/>
  <c r="B195" i="3"/>
  <c r="K195" i="3"/>
  <c r="J195" i="3"/>
  <c r="G229" i="3"/>
  <c r="J229" i="3"/>
  <c r="I229" i="3"/>
  <c r="L229" i="3"/>
  <c r="H229" i="3"/>
  <c r="F229" i="3"/>
  <c r="E229" i="3"/>
  <c r="D229" i="3"/>
  <c r="C229" i="3"/>
  <c r="B229" i="3"/>
  <c r="A229" i="3"/>
  <c r="M229" i="3"/>
  <c r="K229" i="3"/>
  <c r="I116" i="3"/>
  <c r="B116" i="3"/>
  <c r="M116" i="3"/>
  <c r="F116" i="3"/>
  <c r="A116" i="3"/>
  <c r="L116" i="3"/>
  <c r="K116" i="3"/>
  <c r="J116" i="3"/>
  <c r="H116" i="3"/>
  <c r="G116" i="3"/>
  <c r="E116" i="3"/>
  <c r="D116" i="3"/>
  <c r="C116" i="3"/>
  <c r="E212" i="3"/>
  <c r="F212" i="3"/>
  <c r="A212" i="3"/>
  <c r="L212" i="3"/>
  <c r="M212" i="3"/>
  <c r="K212" i="3"/>
  <c r="J212" i="3"/>
  <c r="I212" i="3"/>
  <c r="H212" i="3"/>
  <c r="G212" i="3"/>
  <c r="D212" i="3"/>
  <c r="C212" i="3"/>
  <c r="B212" i="3"/>
  <c r="G209" i="3"/>
  <c r="E209" i="3"/>
  <c r="M209" i="3"/>
  <c r="L209" i="3"/>
  <c r="I209" i="3"/>
  <c r="D209" i="3"/>
  <c r="K209" i="3"/>
  <c r="J209" i="3"/>
  <c r="H209" i="3"/>
  <c r="F209" i="3"/>
  <c r="C209" i="3"/>
  <c r="B209" i="3"/>
  <c r="A209" i="3"/>
  <c r="D309" i="3"/>
  <c r="A309" i="3"/>
  <c r="M309" i="3"/>
  <c r="I309" i="3"/>
  <c r="F309" i="3"/>
  <c r="C309" i="3"/>
  <c r="B309" i="3"/>
  <c r="H309" i="3"/>
  <c r="G309" i="3"/>
  <c r="E309" i="3"/>
  <c r="J309" i="3"/>
  <c r="L309" i="3"/>
  <c r="K309" i="3"/>
  <c r="M234" i="3"/>
  <c r="C234" i="3"/>
  <c r="B234" i="3"/>
  <c r="L234" i="3"/>
  <c r="K234" i="3"/>
  <c r="J234" i="3"/>
  <c r="I234" i="3"/>
  <c r="H234" i="3"/>
  <c r="G234" i="3"/>
  <c r="F234" i="3"/>
  <c r="A234" i="3"/>
  <c r="E234" i="3"/>
  <c r="D234" i="3"/>
  <c r="J259" i="3"/>
  <c r="I259" i="3"/>
  <c r="E259" i="3"/>
  <c r="B259" i="3"/>
  <c r="A259" i="3"/>
  <c r="M259" i="3"/>
  <c r="H259" i="3"/>
  <c r="G259" i="3"/>
  <c r="F259" i="3"/>
  <c r="D259" i="3"/>
  <c r="C259" i="3"/>
  <c r="K259" i="3"/>
  <c r="L259" i="3"/>
  <c r="D312" i="3"/>
  <c r="A312" i="3"/>
  <c r="E312" i="3"/>
  <c r="C312" i="3"/>
  <c r="B312" i="3"/>
  <c r="M312" i="3"/>
  <c r="F312" i="3"/>
  <c r="H312" i="3"/>
  <c r="G312" i="3"/>
  <c r="L312" i="3"/>
  <c r="K312" i="3"/>
  <c r="J312" i="3"/>
  <c r="I312" i="3"/>
  <c r="I301" i="3"/>
  <c r="K301" i="3"/>
  <c r="G301" i="3"/>
  <c r="M301" i="3"/>
  <c r="C301" i="3"/>
  <c r="B301" i="3"/>
  <c r="L301" i="3"/>
  <c r="J301" i="3"/>
  <c r="H301" i="3"/>
  <c r="F301" i="3"/>
  <c r="E301" i="3"/>
  <c r="D301" i="3"/>
  <c r="A301" i="3"/>
  <c r="E289" i="3"/>
  <c r="D289" i="3"/>
  <c r="C289" i="3"/>
  <c r="A289" i="3"/>
  <c r="J289" i="3"/>
  <c r="I289" i="3"/>
  <c r="M289" i="3"/>
  <c r="L289" i="3"/>
  <c r="K289" i="3"/>
  <c r="H289" i="3"/>
  <c r="G289" i="3"/>
  <c r="F289" i="3"/>
  <c r="B289" i="3"/>
  <c r="J382" i="3"/>
  <c r="A382" i="3"/>
  <c r="E382" i="3"/>
  <c r="B382" i="3"/>
  <c r="M382" i="3"/>
  <c r="L382" i="3"/>
  <c r="K382" i="3"/>
  <c r="I382" i="3"/>
  <c r="H382" i="3"/>
  <c r="F382" i="3"/>
  <c r="D382" i="3"/>
  <c r="G382" i="3"/>
  <c r="C382" i="3"/>
  <c r="K408" i="3"/>
  <c r="D408" i="3"/>
  <c r="A408" i="3"/>
  <c r="E408" i="3"/>
  <c r="H408" i="3"/>
  <c r="M408" i="3"/>
  <c r="L408" i="3"/>
  <c r="J408" i="3"/>
  <c r="I408" i="3"/>
  <c r="G408" i="3"/>
  <c r="F408" i="3"/>
  <c r="C408" i="3"/>
  <c r="B408" i="3"/>
  <c r="G414" i="3"/>
  <c r="D414" i="3"/>
  <c r="A414" i="3"/>
  <c r="M414" i="3"/>
  <c r="L414" i="3"/>
  <c r="K414" i="3"/>
  <c r="F414" i="3"/>
  <c r="E414" i="3"/>
  <c r="J414" i="3"/>
  <c r="I414" i="3"/>
  <c r="H414" i="3"/>
  <c r="C414" i="3"/>
  <c r="B414" i="3"/>
  <c r="E92" i="3"/>
  <c r="A92" i="3"/>
  <c r="K92" i="3"/>
  <c r="I92" i="3"/>
  <c r="C92" i="3"/>
  <c r="M92" i="3"/>
  <c r="L92" i="3"/>
  <c r="J92" i="3"/>
  <c r="G92" i="3"/>
  <c r="B92" i="3"/>
  <c r="H92" i="3"/>
  <c r="F92" i="3"/>
  <c r="D92" i="3"/>
  <c r="I136" i="3"/>
  <c r="B136" i="3"/>
  <c r="L136" i="3"/>
  <c r="J136" i="3"/>
  <c r="G136" i="3"/>
  <c r="F136" i="3"/>
  <c r="D136" i="3"/>
  <c r="A136" i="3"/>
  <c r="M136" i="3"/>
  <c r="K136" i="3"/>
  <c r="H136" i="3"/>
  <c r="E136" i="3"/>
  <c r="C136" i="3"/>
  <c r="J249" i="3"/>
  <c r="I249" i="3"/>
  <c r="A249" i="3"/>
  <c r="M249" i="3"/>
  <c r="D249" i="3"/>
  <c r="C249" i="3"/>
  <c r="K249" i="3"/>
  <c r="L249" i="3"/>
  <c r="H249" i="3"/>
  <c r="E249" i="3"/>
  <c r="G249" i="3"/>
  <c r="F249" i="3"/>
  <c r="B249" i="3"/>
  <c r="D164" i="3"/>
  <c r="I164" i="3"/>
  <c r="E164" i="3"/>
  <c r="M164" i="3"/>
  <c r="K164" i="3"/>
  <c r="J164" i="3"/>
  <c r="G164" i="3"/>
  <c r="F164" i="3"/>
  <c r="A164" i="3"/>
  <c r="L164" i="3"/>
  <c r="H164" i="3"/>
  <c r="C164" i="3"/>
  <c r="B164" i="3"/>
  <c r="A228" i="3"/>
  <c r="M228" i="3"/>
  <c r="C228" i="3"/>
  <c r="B228" i="3"/>
  <c r="K228" i="3"/>
  <c r="F228" i="3"/>
  <c r="E228" i="3"/>
  <c r="D228" i="3"/>
  <c r="L228" i="3"/>
  <c r="J228" i="3"/>
  <c r="I228" i="3"/>
  <c r="H228" i="3"/>
  <c r="G228" i="3"/>
  <c r="M170" i="3"/>
  <c r="D170" i="3"/>
  <c r="K170" i="3"/>
  <c r="G170" i="3"/>
  <c r="L170" i="3"/>
  <c r="J170" i="3"/>
  <c r="I170" i="3"/>
  <c r="F170" i="3"/>
  <c r="E170" i="3"/>
  <c r="B170" i="3"/>
  <c r="A170" i="3"/>
  <c r="H170" i="3"/>
  <c r="C170" i="3"/>
  <c r="I86" i="3"/>
  <c r="A86" i="3"/>
  <c r="E86" i="3"/>
  <c r="C86" i="3"/>
  <c r="L86" i="3"/>
  <c r="F86" i="3"/>
  <c r="D86" i="3"/>
  <c r="G86" i="3"/>
  <c r="M86" i="3"/>
  <c r="K86" i="3"/>
  <c r="J86" i="3"/>
  <c r="H86" i="3"/>
  <c r="B86" i="3"/>
  <c r="G237" i="3"/>
  <c r="F237" i="3"/>
  <c r="E237" i="3"/>
  <c r="C237" i="3"/>
  <c r="A237" i="3"/>
  <c r="M237" i="3"/>
  <c r="L237" i="3"/>
  <c r="K237" i="3"/>
  <c r="J237" i="3"/>
  <c r="I237" i="3"/>
  <c r="H237" i="3"/>
  <c r="D237" i="3"/>
  <c r="B237" i="3"/>
  <c r="K113" i="3"/>
  <c r="B113" i="3"/>
  <c r="L113" i="3"/>
  <c r="J113" i="3"/>
  <c r="D113" i="3"/>
  <c r="H113" i="3"/>
  <c r="E113" i="3"/>
  <c r="C113" i="3"/>
  <c r="A113" i="3"/>
  <c r="G113" i="3"/>
  <c r="F113" i="3"/>
  <c r="M113" i="3"/>
  <c r="I113" i="3"/>
  <c r="A257" i="3"/>
  <c r="K257" i="3"/>
  <c r="D257" i="3"/>
  <c r="C257" i="3"/>
  <c r="B257" i="3"/>
  <c r="M257" i="3"/>
  <c r="I257" i="3"/>
  <c r="H257" i="3"/>
  <c r="G257" i="3"/>
  <c r="F257" i="3"/>
  <c r="E257" i="3"/>
  <c r="J257" i="3"/>
  <c r="L257" i="3"/>
  <c r="A128" i="3"/>
  <c r="C128" i="3"/>
  <c r="D128" i="3"/>
  <c r="K128" i="3"/>
  <c r="H128" i="3"/>
  <c r="G128" i="3"/>
  <c r="F128" i="3"/>
  <c r="J128" i="3"/>
  <c r="E128" i="3"/>
  <c r="B128" i="3"/>
  <c r="I128" i="3"/>
  <c r="M128" i="3"/>
  <c r="L128" i="3"/>
  <c r="E232" i="3"/>
  <c r="J232" i="3"/>
  <c r="I232" i="3"/>
  <c r="M232" i="3"/>
  <c r="L232" i="3"/>
  <c r="K232" i="3"/>
  <c r="H232" i="3"/>
  <c r="D232" i="3"/>
  <c r="G232" i="3"/>
  <c r="F232" i="3"/>
  <c r="B232" i="3"/>
  <c r="A232" i="3"/>
  <c r="C232" i="3"/>
  <c r="B251" i="3"/>
  <c r="A251" i="3"/>
  <c r="G251" i="3"/>
  <c r="D251" i="3"/>
  <c r="C251" i="3"/>
  <c r="M251" i="3"/>
  <c r="E251" i="3"/>
  <c r="L251" i="3"/>
  <c r="K251" i="3"/>
  <c r="J251" i="3"/>
  <c r="I251" i="3"/>
  <c r="H251" i="3"/>
  <c r="F251" i="3"/>
  <c r="A178" i="3"/>
  <c r="H178" i="3"/>
  <c r="L178" i="3"/>
  <c r="M178" i="3"/>
  <c r="K178" i="3"/>
  <c r="J178" i="3"/>
  <c r="G178" i="3"/>
  <c r="F178" i="3"/>
  <c r="D178" i="3"/>
  <c r="C178" i="3"/>
  <c r="B178" i="3"/>
  <c r="I178" i="3"/>
  <c r="E178" i="3"/>
  <c r="M35" i="3"/>
  <c r="J35" i="3"/>
  <c r="E35" i="3"/>
  <c r="C35" i="3"/>
  <c r="K35" i="3"/>
  <c r="G35" i="3"/>
  <c r="D35" i="3"/>
  <c r="B35" i="3"/>
  <c r="A35" i="3"/>
  <c r="I35" i="3"/>
  <c r="L35" i="3"/>
  <c r="F35" i="3"/>
  <c r="H35" i="3"/>
  <c r="K153" i="3"/>
  <c r="J153" i="3"/>
  <c r="G153" i="3"/>
  <c r="C153" i="3"/>
  <c r="M153" i="3"/>
  <c r="L153" i="3"/>
  <c r="F153" i="3"/>
  <c r="I153" i="3"/>
  <c r="H153" i="3"/>
  <c r="E153" i="3"/>
  <c r="D153" i="3"/>
  <c r="B153" i="3"/>
  <c r="A153" i="3"/>
  <c r="M140" i="3"/>
  <c r="C140" i="3"/>
  <c r="L140" i="3"/>
  <c r="H140" i="3"/>
  <c r="E140" i="3"/>
  <c r="B140" i="3"/>
  <c r="K140" i="3"/>
  <c r="J140" i="3"/>
  <c r="G140" i="3"/>
  <c r="A140" i="3"/>
  <c r="I140" i="3"/>
  <c r="F140" i="3"/>
  <c r="D140" i="3"/>
  <c r="M151" i="3"/>
  <c r="I151" i="3"/>
  <c r="J151" i="3"/>
  <c r="E151" i="3"/>
  <c r="C151" i="3"/>
  <c r="B151" i="3"/>
  <c r="A151" i="3"/>
  <c r="L151" i="3"/>
  <c r="K151" i="3"/>
  <c r="G151" i="3"/>
  <c r="H151" i="3"/>
  <c r="F151" i="3"/>
  <c r="D151" i="3"/>
  <c r="M127" i="3"/>
  <c r="G127" i="3"/>
  <c r="F127" i="3"/>
  <c r="D127" i="3"/>
  <c r="B127" i="3"/>
  <c r="L127" i="3"/>
  <c r="K127" i="3"/>
  <c r="J127" i="3"/>
  <c r="I127" i="3"/>
  <c r="H127" i="3"/>
  <c r="E127" i="3"/>
  <c r="C127" i="3"/>
  <c r="A127" i="3"/>
  <c r="C215" i="3"/>
  <c r="F215" i="3"/>
  <c r="I215" i="3"/>
  <c r="G215" i="3"/>
  <c r="E215" i="3"/>
  <c r="D215" i="3"/>
  <c r="B215" i="3"/>
  <c r="M215" i="3"/>
  <c r="L215" i="3"/>
  <c r="K215" i="3"/>
  <c r="J215" i="3"/>
  <c r="H215" i="3"/>
  <c r="A215" i="3"/>
  <c r="C225" i="3"/>
  <c r="M225" i="3"/>
  <c r="B225" i="3"/>
  <c r="A225" i="3"/>
  <c r="L225" i="3"/>
  <c r="K225" i="3"/>
  <c r="J225" i="3"/>
  <c r="I225" i="3"/>
  <c r="H225" i="3"/>
  <c r="E225" i="3"/>
  <c r="G225" i="3"/>
  <c r="F225" i="3"/>
  <c r="D225" i="3"/>
  <c r="M315" i="3"/>
  <c r="D315" i="3"/>
  <c r="A315" i="3"/>
  <c r="I315" i="3"/>
  <c r="H315" i="3"/>
  <c r="G315" i="3"/>
  <c r="F315" i="3"/>
  <c r="E315" i="3"/>
  <c r="C315" i="3"/>
  <c r="B315" i="3"/>
  <c r="J315" i="3"/>
  <c r="L315" i="3"/>
  <c r="K315" i="3"/>
  <c r="C290" i="3"/>
  <c r="M290" i="3"/>
  <c r="L290" i="3"/>
  <c r="K290" i="3"/>
  <c r="I290" i="3"/>
  <c r="J290" i="3"/>
  <c r="G290" i="3"/>
  <c r="F290" i="3"/>
  <c r="E290" i="3"/>
  <c r="D290" i="3"/>
  <c r="B290" i="3"/>
  <c r="A290" i="3"/>
  <c r="H290" i="3"/>
  <c r="I271" i="3"/>
  <c r="D271" i="3"/>
  <c r="C271" i="3"/>
  <c r="B271" i="3"/>
  <c r="M271" i="3"/>
  <c r="K271" i="3"/>
  <c r="E271" i="3"/>
  <c r="L271" i="3"/>
  <c r="J271" i="3"/>
  <c r="H271" i="3"/>
  <c r="G271" i="3"/>
  <c r="F271" i="3"/>
  <c r="A271" i="3"/>
  <c r="E317" i="3"/>
  <c r="D317" i="3"/>
  <c r="C317" i="3"/>
  <c r="B317" i="3"/>
  <c r="A317" i="3"/>
  <c r="M317" i="3"/>
  <c r="L317" i="3"/>
  <c r="K317" i="3"/>
  <c r="J317" i="3"/>
  <c r="I317" i="3"/>
  <c r="H317" i="3"/>
  <c r="G317" i="3"/>
  <c r="F317" i="3"/>
  <c r="K316" i="3"/>
  <c r="H316" i="3"/>
  <c r="M316" i="3"/>
  <c r="J316" i="3"/>
  <c r="I316" i="3"/>
  <c r="E316" i="3"/>
  <c r="D316" i="3"/>
  <c r="G316" i="3"/>
  <c r="F316" i="3"/>
  <c r="L316" i="3"/>
  <c r="C316" i="3"/>
  <c r="B316" i="3"/>
  <c r="A316" i="3"/>
  <c r="H299" i="3"/>
  <c r="A299" i="3"/>
  <c r="K299" i="3"/>
  <c r="J299" i="3"/>
  <c r="G299" i="3"/>
  <c r="F299" i="3"/>
  <c r="E299" i="3"/>
  <c r="I299" i="3"/>
  <c r="D299" i="3"/>
  <c r="C299" i="3"/>
  <c r="B299" i="3"/>
  <c r="L299" i="3"/>
  <c r="M299" i="3"/>
  <c r="C390" i="3"/>
  <c r="D390" i="3"/>
  <c r="J390" i="3"/>
  <c r="G390" i="3"/>
  <c r="F390" i="3"/>
  <c r="E390" i="3"/>
  <c r="B390" i="3"/>
  <c r="M390" i="3"/>
  <c r="L390" i="3"/>
  <c r="K390" i="3"/>
  <c r="I390" i="3"/>
  <c r="H390" i="3"/>
  <c r="A390" i="3"/>
  <c r="G424" i="3"/>
  <c r="L424" i="3"/>
  <c r="I424" i="3"/>
  <c r="B424" i="3"/>
  <c r="C424" i="3"/>
  <c r="A424" i="3"/>
  <c r="F424" i="3"/>
  <c r="E424" i="3"/>
  <c r="M424" i="3"/>
  <c r="K424" i="3"/>
  <c r="J424" i="3"/>
  <c r="H424" i="3"/>
  <c r="D424" i="3"/>
  <c r="C430" i="3"/>
  <c r="L430" i="3"/>
  <c r="I430" i="3"/>
  <c r="B430" i="3"/>
  <c r="M430" i="3"/>
  <c r="K430" i="3"/>
  <c r="J430" i="3"/>
  <c r="E430" i="3"/>
  <c r="D430" i="3"/>
  <c r="H430" i="3"/>
  <c r="G430" i="3"/>
  <c r="F430" i="3"/>
  <c r="A430" i="3"/>
  <c r="I217" i="3"/>
  <c r="H217" i="3"/>
  <c r="E217" i="3"/>
  <c r="C217" i="3"/>
  <c r="B217" i="3"/>
  <c r="A217" i="3"/>
  <c r="M217" i="3"/>
  <c r="L217" i="3"/>
  <c r="G217" i="3"/>
  <c r="K217" i="3"/>
  <c r="J217" i="3"/>
  <c r="F217" i="3"/>
  <c r="D217" i="3"/>
  <c r="K272" i="3"/>
  <c r="J272" i="3"/>
  <c r="I272" i="3"/>
  <c r="B272" i="3"/>
  <c r="A272" i="3"/>
  <c r="D272" i="3"/>
  <c r="C272" i="3"/>
  <c r="M272" i="3"/>
  <c r="L272" i="3"/>
  <c r="H272" i="3"/>
  <c r="G272" i="3"/>
  <c r="F272" i="3"/>
  <c r="E272" i="3"/>
  <c r="E172" i="3"/>
  <c r="H172" i="3"/>
  <c r="L172" i="3"/>
  <c r="G172" i="3"/>
  <c r="B172" i="3"/>
  <c r="M172" i="3"/>
  <c r="K172" i="3"/>
  <c r="J172" i="3"/>
  <c r="F172" i="3"/>
  <c r="D172" i="3"/>
  <c r="A172" i="3"/>
  <c r="I172" i="3"/>
  <c r="C172" i="3"/>
  <c r="C115" i="3"/>
  <c r="F115" i="3"/>
  <c r="E115" i="3"/>
  <c r="M115" i="3"/>
  <c r="K115" i="3"/>
  <c r="H115" i="3"/>
  <c r="B115" i="3"/>
  <c r="D115" i="3"/>
  <c r="A115" i="3"/>
  <c r="I115" i="3"/>
  <c r="G115" i="3"/>
  <c r="L115" i="3"/>
  <c r="J115" i="3"/>
  <c r="A108" i="3"/>
  <c r="I108" i="3"/>
  <c r="G108" i="3"/>
  <c r="J108" i="3"/>
  <c r="F108" i="3"/>
  <c r="C108" i="3"/>
  <c r="B108" i="3"/>
  <c r="K108" i="3"/>
  <c r="L108" i="3"/>
  <c r="H108" i="3"/>
  <c r="M108" i="3"/>
  <c r="E108" i="3"/>
  <c r="D108" i="3"/>
  <c r="E122" i="3"/>
  <c r="B122" i="3"/>
  <c r="K122" i="3"/>
  <c r="M122" i="3"/>
  <c r="I122" i="3"/>
  <c r="J122" i="3"/>
  <c r="H122" i="3"/>
  <c r="G122" i="3"/>
  <c r="F122" i="3"/>
  <c r="D122" i="3"/>
  <c r="C122" i="3"/>
  <c r="A122" i="3"/>
  <c r="L122" i="3"/>
  <c r="I117" i="3"/>
  <c r="M117" i="3"/>
  <c r="K117" i="3"/>
  <c r="H117" i="3"/>
  <c r="E117" i="3"/>
  <c r="B117" i="3"/>
  <c r="L117" i="3"/>
  <c r="J117" i="3"/>
  <c r="G117" i="3"/>
  <c r="F117" i="3"/>
  <c r="D117" i="3"/>
  <c r="C117" i="3"/>
  <c r="A117" i="3"/>
  <c r="J121" i="3"/>
  <c r="I121" i="3"/>
  <c r="C121" i="3"/>
  <c r="K121" i="3"/>
  <c r="G121" i="3"/>
  <c r="E121" i="3"/>
  <c r="A121" i="3"/>
  <c r="M121" i="3"/>
  <c r="L121" i="3"/>
  <c r="H121" i="3"/>
  <c r="F121" i="3"/>
  <c r="D121" i="3"/>
  <c r="B121" i="3"/>
  <c r="G129" i="3"/>
  <c r="J129" i="3"/>
  <c r="L129" i="3"/>
  <c r="I129" i="3"/>
  <c r="H129" i="3"/>
  <c r="A129" i="3"/>
  <c r="E129" i="3"/>
  <c r="C129" i="3"/>
  <c r="M129" i="3"/>
  <c r="K129" i="3"/>
  <c r="F129" i="3"/>
  <c r="D129" i="3"/>
  <c r="B129" i="3"/>
  <c r="H181" i="3"/>
  <c r="C181" i="3"/>
  <c r="A181" i="3"/>
  <c r="B181" i="3"/>
  <c r="M181" i="3"/>
  <c r="J181" i="3"/>
  <c r="I181" i="3"/>
  <c r="G181" i="3"/>
  <c r="F181" i="3"/>
  <c r="E181" i="3"/>
  <c r="D181" i="3"/>
  <c r="L181" i="3"/>
  <c r="K181" i="3"/>
  <c r="M190" i="3"/>
  <c r="H190" i="3"/>
  <c r="L190" i="3"/>
  <c r="G190" i="3"/>
  <c r="J190" i="3"/>
  <c r="I190" i="3"/>
  <c r="D190" i="3"/>
  <c r="F190" i="3"/>
  <c r="A190" i="3"/>
  <c r="K190" i="3"/>
  <c r="E190" i="3"/>
  <c r="C190" i="3"/>
  <c r="B190" i="3"/>
  <c r="G99" i="3"/>
  <c r="I99" i="3"/>
  <c r="F99" i="3"/>
  <c r="H99" i="3"/>
  <c r="D99" i="3"/>
  <c r="C99" i="3"/>
  <c r="A99" i="3"/>
  <c r="M99" i="3"/>
  <c r="L99" i="3"/>
  <c r="K99" i="3"/>
  <c r="J99" i="3"/>
  <c r="E99" i="3"/>
  <c r="B99" i="3"/>
  <c r="I106" i="3"/>
  <c r="M106" i="3"/>
  <c r="K106" i="3"/>
  <c r="H106" i="3"/>
  <c r="C106" i="3"/>
  <c r="B106" i="3"/>
  <c r="A106" i="3"/>
  <c r="D106" i="3"/>
  <c r="L106" i="3"/>
  <c r="J106" i="3"/>
  <c r="G106" i="3"/>
  <c r="F106" i="3"/>
  <c r="E106" i="3"/>
  <c r="E58" i="3"/>
  <c r="B58" i="3"/>
  <c r="M58" i="3"/>
  <c r="J58" i="3"/>
  <c r="D58" i="3"/>
  <c r="G58" i="3"/>
  <c r="I58" i="3"/>
  <c r="H58" i="3"/>
  <c r="L58" i="3"/>
  <c r="F58" i="3"/>
  <c r="C58" i="3"/>
  <c r="A58" i="3"/>
  <c r="K58" i="3"/>
  <c r="A168" i="3"/>
  <c r="K168" i="3"/>
  <c r="L168" i="3"/>
  <c r="M168" i="3"/>
  <c r="J168" i="3"/>
  <c r="I168" i="3"/>
  <c r="G168" i="3"/>
  <c r="F168" i="3"/>
  <c r="D168" i="3"/>
  <c r="C168" i="3"/>
  <c r="B168" i="3"/>
  <c r="H168" i="3"/>
  <c r="E168" i="3"/>
  <c r="C145" i="3"/>
  <c r="I145" i="3"/>
  <c r="E145" i="3"/>
  <c r="J145" i="3"/>
  <c r="G145" i="3"/>
  <c r="D145" i="3"/>
  <c r="B145" i="3"/>
  <c r="M145" i="3"/>
  <c r="L145" i="3"/>
  <c r="K145" i="3"/>
  <c r="H145" i="3"/>
  <c r="F145" i="3"/>
  <c r="A145" i="3"/>
  <c r="A158" i="3"/>
  <c r="D158" i="3"/>
  <c r="E158" i="3"/>
  <c r="K158" i="3"/>
  <c r="M158" i="3"/>
  <c r="L158" i="3"/>
  <c r="J158" i="3"/>
  <c r="I158" i="3"/>
  <c r="H158" i="3"/>
  <c r="C158" i="3"/>
  <c r="B158" i="3"/>
  <c r="G158" i="3"/>
  <c r="F158" i="3"/>
  <c r="G139" i="3"/>
  <c r="D139" i="3"/>
  <c r="M139" i="3"/>
  <c r="K139" i="3"/>
  <c r="F139" i="3"/>
  <c r="L139" i="3"/>
  <c r="J139" i="3"/>
  <c r="I139" i="3"/>
  <c r="H139" i="3"/>
  <c r="E139" i="3"/>
  <c r="C139" i="3"/>
  <c r="B139" i="3"/>
  <c r="A139" i="3"/>
  <c r="C270" i="3"/>
  <c r="F270" i="3"/>
  <c r="E270" i="3"/>
  <c r="B270" i="3"/>
  <c r="K270" i="3"/>
  <c r="J270" i="3"/>
  <c r="I270" i="3"/>
  <c r="A270" i="3"/>
  <c r="M270" i="3"/>
  <c r="L270" i="3"/>
  <c r="H270" i="3"/>
  <c r="G270" i="3"/>
  <c r="D270" i="3"/>
  <c r="K236" i="3"/>
  <c r="J236" i="3"/>
  <c r="I236" i="3"/>
  <c r="H236" i="3"/>
  <c r="M236" i="3"/>
  <c r="L236" i="3"/>
  <c r="G236" i="3"/>
  <c r="F236" i="3"/>
  <c r="E236" i="3"/>
  <c r="B236" i="3"/>
  <c r="C236" i="3"/>
  <c r="A236" i="3"/>
  <c r="D236" i="3"/>
  <c r="C340" i="3"/>
  <c r="I340" i="3"/>
  <c r="B340" i="3"/>
  <c r="L340" i="3"/>
  <c r="J340" i="3"/>
  <c r="H340" i="3"/>
  <c r="M340" i="3"/>
  <c r="K340" i="3"/>
  <c r="G340" i="3"/>
  <c r="F340" i="3"/>
  <c r="E340" i="3"/>
  <c r="D340" i="3"/>
  <c r="A340" i="3"/>
  <c r="K409" i="3"/>
  <c r="H409" i="3"/>
  <c r="B409" i="3"/>
  <c r="L409" i="3"/>
  <c r="J409" i="3"/>
  <c r="I409" i="3"/>
  <c r="G409" i="3"/>
  <c r="A409" i="3"/>
  <c r="C409" i="3"/>
  <c r="M409" i="3"/>
  <c r="F409" i="3"/>
  <c r="E409" i="3"/>
  <c r="D409" i="3"/>
  <c r="M305" i="3"/>
  <c r="H305" i="3"/>
  <c r="G305" i="3"/>
  <c r="F305" i="3"/>
  <c r="E305" i="3"/>
  <c r="D305" i="3"/>
  <c r="C305" i="3"/>
  <c r="L305" i="3"/>
  <c r="K305" i="3"/>
  <c r="J305" i="3"/>
  <c r="I305" i="3"/>
  <c r="B305" i="3"/>
  <c r="A305" i="3"/>
  <c r="M355" i="3"/>
  <c r="I355" i="3"/>
  <c r="H355" i="3"/>
  <c r="L355" i="3"/>
  <c r="K355" i="3"/>
  <c r="J355" i="3"/>
  <c r="G355" i="3"/>
  <c r="E355" i="3"/>
  <c r="D355" i="3"/>
  <c r="F355" i="3"/>
  <c r="C355" i="3"/>
  <c r="B355" i="3"/>
  <c r="A355" i="3"/>
  <c r="A333" i="3"/>
  <c r="B333" i="3"/>
  <c r="L333" i="3"/>
  <c r="D333" i="3"/>
  <c r="M333" i="3"/>
  <c r="K333" i="3"/>
  <c r="J333" i="3"/>
  <c r="I333" i="3"/>
  <c r="H333" i="3"/>
  <c r="E333" i="3"/>
  <c r="C333" i="3"/>
  <c r="G333" i="3"/>
  <c r="F333" i="3"/>
  <c r="D302" i="3"/>
  <c r="C302" i="3"/>
  <c r="B302" i="3"/>
  <c r="A302" i="3"/>
  <c r="L302" i="3"/>
  <c r="M302" i="3"/>
  <c r="K302" i="3"/>
  <c r="G302" i="3"/>
  <c r="F302" i="3"/>
  <c r="H302" i="3"/>
  <c r="J302" i="3"/>
  <c r="I302" i="3"/>
  <c r="E302" i="3"/>
  <c r="C369" i="3"/>
  <c r="L369" i="3"/>
  <c r="K369" i="3"/>
  <c r="J369" i="3"/>
  <c r="I369" i="3"/>
  <c r="H369" i="3"/>
  <c r="G369" i="3"/>
  <c r="E369" i="3"/>
  <c r="D369" i="3"/>
  <c r="B369" i="3"/>
  <c r="A369" i="3"/>
  <c r="M369" i="3"/>
  <c r="F369" i="3"/>
  <c r="I431" i="3"/>
  <c r="J431" i="3"/>
  <c r="D431" i="3"/>
  <c r="C431" i="3"/>
  <c r="B431" i="3"/>
  <c r="A431" i="3"/>
  <c r="G431" i="3"/>
  <c r="F431" i="3"/>
  <c r="M431" i="3"/>
  <c r="L431" i="3"/>
  <c r="K431" i="3"/>
  <c r="H431" i="3"/>
  <c r="E431" i="3"/>
  <c r="I341" i="3"/>
  <c r="K341" i="3"/>
  <c r="G341" i="3"/>
  <c r="A341" i="3"/>
  <c r="L341" i="3"/>
  <c r="J341" i="3"/>
  <c r="M341" i="3"/>
  <c r="H341" i="3"/>
  <c r="F341" i="3"/>
  <c r="E341" i="3"/>
  <c r="D341" i="3"/>
  <c r="C341" i="3"/>
  <c r="B341" i="3"/>
  <c r="M63" i="3"/>
  <c r="J63" i="3"/>
  <c r="I63" i="3"/>
  <c r="F63" i="3"/>
  <c r="K63" i="3"/>
  <c r="L63" i="3"/>
  <c r="H63" i="3"/>
  <c r="G63" i="3"/>
  <c r="A63" i="3"/>
  <c r="E63" i="3"/>
  <c r="D63" i="3"/>
  <c r="C63" i="3"/>
  <c r="B63" i="3"/>
  <c r="M160" i="3"/>
  <c r="K160" i="3"/>
  <c r="J160" i="3"/>
  <c r="G160" i="3"/>
  <c r="I160" i="3"/>
  <c r="L160" i="3"/>
  <c r="H160" i="3"/>
  <c r="F160" i="3"/>
  <c r="D160" i="3"/>
  <c r="E160" i="3"/>
  <c r="C160" i="3"/>
  <c r="A160" i="3"/>
  <c r="B160" i="3"/>
  <c r="I50" i="3"/>
  <c r="K50" i="3"/>
  <c r="D50" i="3"/>
  <c r="H50" i="3"/>
  <c r="M50" i="3"/>
  <c r="L50" i="3"/>
  <c r="C50" i="3"/>
  <c r="J50" i="3"/>
  <c r="G50" i="3"/>
  <c r="F50" i="3"/>
  <c r="A50" i="3"/>
  <c r="E50" i="3"/>
  <c r="B50" i="3"/>
  <c r="I211" i="3"/>
  <c r="H211" i="3"/>
  <c r="M211" i="3"/>
  <c r="L211" i="3"/>
  <c r="K211" i="3"/>
  <c r="J211" i="3"/>
  <c r="E211" i="3"/>
  <c r="B211" i="3"/>
  <c r="G211" i="3"/>
  <c r="C211" i="3"/>
  <c r="A211" i="3"/>
  <c r="F211" i="3"/>
  <c r="D211" i="3"/>
  <c r="K154" i="3"/>
  <c r="F154" i="3"/>
  <c r="D154" i="3"/>
  <c r="B154" i="3"/>
  <c r="A154" i="3"/>
  <c r="C154" i="3"/>
  <c r="E154" i="3"/>
  <c r="H154" i="3"/>
  <c r="G154" i="3"/>
  <c r="M154" i="3"/>
  <c r="L154" i="3"/>
  <c r="J154" i="3"/>
  <c r="I154" i="3"/>
  <c r="A88" i="3"/>
  <c r="M88" i="3"/>
  <c r="L88" i="3"/>
  <c r="K88" i="3"/>
  <c r="I88" i="3"/>
  <c r="C88" i="3"/>
  <c r="G88" i="3"/>
  <c r="D88" i="3"/>
  <c r="B88" i="3"/>
  <c r="E88" i="3"/>
  <c r="J88" i="3"/>
  <c r="F88" i="3"/>
  <c r="H88" i="3"/>
  <c r="E191" i="3"/>
  <c r="C191" i="3"/>
  <c r="A191" i="3"/>
  <c r="H191" i="3"/>
  <c r="G191" i="3"/>
  <c r="F191" i="3"/>
  <c r="D191" i="3"/>
  <c r="B191" i="3"/>
  <c r="M191" i="3"/>
  <c r="L191" i="3"/>
  <c r="K191" i="3"/>
  <c r="J191" i="3"/>
  <c r="I191" i="3"/>
  <c r="K171" i="3"/>
  <c r="A171" i="3"/>
  <c r="C171" i="3"/>
  <c r="J171" i="3"/>
  <c r="G171" i="3"/>
  <c r="F171" i="3"/>
  <c r="E171" i="3"/>
  <c r="D171" i="3"/>
  <c r="B171" i="3"/>
  <c r="I171" i="3"/>
  <c r="H171" i="3"/>
  <c r="M171" i="3"/>
  <c r="L171" i="3"/>
  <c r="L292" i="3"/>
  <c r="G292" i="3"/>
  <c r="F292" i="3"/>
  <c r="E292" i="3"/>
  <c r="C292" i="3"/>
  <c r="K292" i="3"/>
  <c r="I292" i="3"/>
  <c r="H292" i="3"/>
  <c r="D292" i="3"/>
  <c r="B292" i="3"/>
  <c r="A292" i="3"/>
  <c r="J292" i="3"/>
  <c r="M292" i="3"/>
  <c r="I196" i="3"/>
  <c r="H196" i="3"/>
  <c r="C196" i="3"/>
  <c r="A196" i="3"/>
  <c r="M196" i="3"/>
  <c r="J196" i="3"/>
  <c r="F196" i="3"/>
  <c r="E196" i="3"/>
  <c r="D196" i="3"/>
  <c r="B196" i="3"/>
  <c r="L196" i="3"/>
  <c r="K196" i="3"/>
  <c r="G196" i="3"/>
  <c r="C175" i="3"/>
  <c r="H175" i="3"/>
  <c r="L175" i="3"/>
  <c r="G175" i="3"/>
  <c r="J175" i="3"/>
  <c r="E175" i="3"/>
  <c r="D175" i="3"/>
  <c r="B175" i="3"/>
  <c r="A175" i="3"/>
  <c r="I175" i="3"/>
  <c r="F175" i="3"/>
  <c r="M175" i="3"/>
  <c r="K175" i="3"/>
  <c r="A273" i="3"/>
  <c r="L273" i="3"/>
  <c r="K273" i="3"/>
  <c r="J273" i="3"/>
  <c r="I273" i="3"/>
  <c r="G273" i="3"/>
  <c r="B273" i="3"/>
  <c r="D273" i="3"/>
  <c r="C273" i="3"/>
  <c r="M273" i="3"/>
  <c r="H273" i="3"/>
  <c r="F273" i="3"/>
  <c r="E273" i="3"/>
  <c r="E235" i="3"/>
  <c r="C235" i="3"/>
  <c r="K235" i="3"/>
  <c r="J235" i="3"/>
  <c r="B235" i="3"/>
  <c r="A235" i="3"/>
  <c r="L235" i="3"/>
  <c r="I235" i="3"/>
  <c r="H235" i="3"/>
  <c r="G235" i="3"/>
  <c r="F235" i="3"/>
  <c r="D235" i="3"/>
  <c r="M235" i="3"/>
  <c r="K308" i="3"/>
  <c r="M308" i="3"/>
  <c r="L308" i="3"/>
  <c r="J308" i="3"/>
  <c r="I308" i="3"/>
  <c r="H308" i="3"/>
  <c r="G308" i="3"/>
  <c r="D308" i="3"/>
  <c r="F308" i="3"/>
  <c r="E308" i="3"/>
  <c r="C308" i="3"/>
  <c r="B308" i="3"/>
  <c r="A308" i="3"/>
  <c r="K358" i="3"/>
  <c r="I358" i="3"/>
  <c r="L358" i="3"/>
  <c r="F358" i="3"/>
  <c r="E358" i="3"/>
  <c r="M358" i="3"/>
  <c r="G358" i="3"/>
  <c r="D358" i="3"/>
  <c r="C358" i="3"/>
  <c r="B358" i="3"/>
  <c r="A358" i="3"/>
  <c r="J358" i="3"/>
  <c r="H358" i="3"/>
  <c r="G374" i="3"/>
  <c r="H374" i="3"/>
  <c r="K374" i="3"/>
  <c r="E374" i="3"/>
  <c r="D374" i="3"/>
  <c r="B374" i="3"/>
  <c r="A374" i="3"/>
  <c r="M374" i="3"/>
  <c r="L374" i="3"/>
  <c r="J374" i="3"/>
  <c r="I374" i="3"/>
  <c r="F374" i="3"/>
  <c r="C374" i="3"/>
  <c r="K338" i="3"/>
  <c r="H338" i="3"/>
  <c r="C338" i="3"/>
  <c r="M338" i="3"/>
  <c r="G338" i="3"/>
  <c r="F338" i="3"/>
  <c r="E338" i="3"/>
  <c r="D338" i="3"/>
  <c r="B338" i="3"/>
  <c r="A338" i="3"/>
  <c r="L338" i="3"/>
  <c r="J338" i="3"/>
  <c r="I338" i="3"/>
  <c r="A393" i="3"/>
  <c r="D393" i="3"/>
  <c r="L393" i="3"/>
  <c r="K393" i="3"/>
  <c r="J393" i="3"/>
  <c r="I393" i="3"/>
  <c r="C393" i="3"/>
  <c r="B393" i="3"/>
  <c r="M393" i="3"/>
  <c r="H393" i="3"/>
  <c r="G393" i="3"/>
  <c r="F393" i="3"/>
  <c r="E393" i="3"/>
  <c r="A353" i="3"/>
  <c r="B353" i="3"/>
  <c r="L353" i="3"/>
  <c r="K353" i="3"/>
  <c r="J353" i="3"/>
  <c r="I353" i="3"/>
  <c r="G353" i="3"/>
  <c r="F353" i="3"/>
  <c r="M353" i="3"/>
  <c r="H353" i="3"/>
  <c r="E353" i="3"/>
  <c r="D353" i="3"/>
  <c r="C353" i="3"/>
  <c r="C360" i="3"/>
  <c r="B360" i="3"/>
  <c r="L360" i="3"/>
  <c r="K360" i="3"/>
  <c r="F360" i="3"/>
  <c r="G360" i="3"/>
  <c r="E360" i="3"/>
  <c r="M360" i="3"/>
  <c r="J360" i="3"/>
  <c r="I360" i="3"/>
  <c r="H360" i="3"/>
  <c r="D360" i="3"/>
  <c r="A360" i="3"/>
  <c r="A74" i="3"/>
  <c r="J74" i="3"/>
  <c r="M74" i="3"/>
  <c r="L74" i="3"/>
  <c r="K74" i="3"/>
  <c r="G74" i="3"/>
  <c r="I74" i="3"/>
  <c r="H74" i="3"/>
  <c r="F74" i="3"/>
  <c r="E74" i="3"/>
  <c r="D74" i="3"/>
  <c r="C74" i="3"/>
  <c r="B74" i="3"/>
  <c r="C95" i="3"/>
  <c r="A95" i="3"/>
  <c r="M95" i="3"/>
  <c r="H95" i="3"/>
  <c r="E95" i="3"/>
  <c r="B95" i="3"/>
  <c r="F95" i="3"/>
  <c r="D95" i="3"/>
  <c r="G95" i="3"/>
  <c r="L95" i="3"/>
  <c r="K95" i="3"/>
  <c r="J95" i="3"/>
  <c r="I95" i="3"/>
  <c r="C131" i="3"/>
  <c r="A131" i="3"/>
  <c r="I131" i="3"/>
  <c r="G131" i="3"/>
  <c r="E131" i="3"/>
  <c r="D131" i="3"/>
  <c r="K131" i="3"/>
  <c r="H131" i="3"/>
  <c r="B131" i="3"/>
  <c r="F131" i="3"/>
  <c r="M131" i="3"/>
  <c r="L131" i="3"/>
  <c r="J131" i="3"/>
  <c r="D326" i="3"/>
  <c r="L326" i="3"/>
  <c r="B326" i="3"/>
  <c r="G326" i="3"/>
  <c r="F326" i="3"/>
  <c r="E326" i="3"/>
  <c r="C326" i="3"/>
  <c r="A326" i="3"/>
  <c r="I326" i="3"/>
  <c r="M326" i="3"/>
  <c r="H326" i="3"/>
  <c r="K326" i="3"/>
  <c r="J326" i="3"/>
  <c r="I166" i="3"/>
  <c r="C166" i="3"/>
  <c r="M166" i="3"/>
  <c r="L166" i="3"/>
  <c r="K166" i="3"/>
  <c r="H166" i="3"/>
  <c r="G166" i="3"/>
  <c r="E166" i="3"/>
  <c r="D166" i="3"/>
  <c r="J166" i="3"/>
  <c r="F166" i="3"/>
  <c r="B166" i="3"/>
  <c r="A166" i="3"/>
  <c r="K103" i="3"/>
  <c r="J103" i="3"/>
  <c r="B103" i="3"/>
  <c r="G103" i="3"/>
  <c r="E103" i="3"/>
  <c r="D103" i="3"/>
  <c r="C103" i="3"/>
  <c r="A103" i="3"/>
  <c r="M103" i="3"/>
  <c r="L103" i="3"/>
  <c r="I103" i="3"/>
  <c r="H103" i="3"/>
  <c r="F103" i="3"/>
  <c r="E82" i="3"/>
  <c r="I82" i="3"/>
  <c r="A82" i="3"/>
  <c r="H82" i="3"/>
  <c r="G82" i="3"/>
  <c r="F82" i="3"/>
  <c r="K82" i="3"/>
  <c r="D82" i="3"/>
  <c r="J82" i="3"/>
  <c r="C82" i="3"/>
  <c r="B82" i="3"/>
  <c r="M82" i="3"/>
  <c r="L82" i="3"/>
  <c r="K173" i="3"/>
  <c r="D173" i="3"/>
  <c r="L173" i="3"/>
  <c r="I173" i="3"/>
  <c r="M173" i="3"/>
  <c r="J173" i="3"/>
  <c r="H173" i="3"/>
  <c r="G173" i="3"/>
  <c r="F173" i="3"/>
  <c r="C173" i="3"/>
  <c r="E173" i="3"/>
  <c r="B173" i="3"/>
  <c r="A173" i="3"/>
  <c r="I186" i="3"/>
  <c r="L186" i="3"/>
  <c r="A186" i="3"/>
  <c r="C186" i="3"/>
  <c r="M186" i="3"/>
  <c r="K186" i="3"/>
  <c r="H186" i="3"/>
  <c r="G186" i="3"/>
  <c r="D186" i="3"/>
  <c r="J186" i="3"/>
  <c r="F186" i="3"/>
  <c r="E186" i="3"/>
  <c r="B186" i="3"/>
  <c r="K203" i="3"/>
  <c r="E203" i="3"/>
  <c r="C203" i="3"/>
  <c r="A203" i="3"/>
  <c r="L203" i="3"/>
  <c r="M203" i="3"/>
  <c r="J203" i="3"/>
  <c r="I203" i="3"/>
  <c r="G203" i="3"/>
  <c r="H203" i="3"/>
  <c r="F203" i="3"/>
  <c r="D203" i="3"/>
  <c r="B203" i="3"/>
  <c r="C185" i="3"/>
  <c r="E185" i="3"/>
  <c r="L185" i="3"/>
  <c r="H185" i="3"/>
  <c r="B185" i="3"/>
  <c r="A185" i="3"/>
  <c r="F185" i="3"/>
  <c r="D185" i="3"/>
  <c r="M185" i="3"/>
  <c r="J185" i="3"/>
  <c r="I185" i="3"/>
  <c r="K185" i="3"/>
  <c r="G185" i="3"/>
  <c r="B322" i="3"/>
  <c r="M322" i="3"/>
  <c r="J322" i="3"/>
  <c r="I322" i="3"/>
  <c r="H322" i="3"/>
  <c r="G322" i="3"/>
  <c r="F322" i="3"/>
  <c r="E322" i="3"/>
  <c r="D322" i="3"/>
  <c r="A322" i="3"/>
  <c r="C322" i="3"/>
  <c r="L322" i="3"/>
  <c r="K322" i="3"/>
  <c r="C238" i="3"/>
  <c r="D238" i="3"/>
  <c r="F238" i="3"/>
  <c r="E238" i="3"/>
  <c r="M238" i="3"/>
  <c r="L238" i="3"/>
  <c r="K238" i="3"/>
  <c r="J238" i="3"/>
  <c r="I238" i="3"/>
  <c r="H238" i="3"/>
  <c r="A238" i="3"/>
  <c r="B238" i="3"/>
  <c r="G238" i="3"/>
  <c r="D248" i="3"/>
  <c r="C248" i="3"/>
  <c r="L248" i="3"/>
  <c r="E248" i="3"/>
  <c r="K248" i="3"/>
  <c r="A248" i="3"/>
  <c r="H248" i="3"/>
  <c r="G248" i="3"/>
  <c r="F248" i="3"/>
  <c r="B248" i="3"/>
  <c r="M248" i="3"/>
  <c r="I248" i="3"/>
  <c r="J248" i="3"/>
  <c r="G304" i="3"/>
  <c r="K304" i="3"/>
  <c r="H304" i="3"/>
  <c r="I304" i="3"/>
  <c r="M304" i="3"/>
  <c r="L304" i="3"/>
  <c r="D304" i="3"/>
  <c r="C304" i="3"/>
  <c r="B304" i="3"/>
  <c r="J304" i="3"/>
  <c r="A304" i="3"/>
  <c r="F304" i="3"/>
  <c r="E304" i="3"/>
  <c r="C260" i="3"/>
  <c r="B260" i="3"/>
  <c r="M260" i="3"/>
  <c r="L260" i="3"/>
  <c r="J260" i="3"/>
  <c r="A260" i="3"/>
  <c r="K260" i="3"/>
  <c r="I260" i="3"/>
  <c r="F260" i="3"/>
  <c r="H260" i="3"/>
  <c r="G260" i="3"/>
  <c r="E260" i="3"/>
  <c r="D260" i="3"/>
  <c r="M345" i="3"/>
  <c r="B345" i="3"/>
  <c r="C345" i="3"/>
  <c r="D345" i="3"/>
  <c r="L345" i="3"/>
  <c r="H345" i="3"/>
  <c r="G345" i="3"/>
  <c r="F345" i="3"/>
  <c r="E345" i="3"/>
  <c r="A345" i="3"/>
  <c r="I345" i="3"/>
  <c r="K345" i="3"/>
  <c r="J345" i="3"/>
  <c r="E426" i="3"/>
  <c r="B426" i="3"/>
  <c r="K426" i="3"/>
  <c r="J426" i="3"/>
  <c r="D426" i="3"/>
  <c r="C426" i="3"/>
  <c r="M426" i="3"/>
  <c r="L426" i="3"/>
  <c r="I426" i="3"/>
  <c r="H426" i="3"/>
  <c r="G426" i="3"/>
  <c r="F426" i="3"/>
  <c r="A426" i="3"/>
  <c r="I361" i="3"/>
  <c r="J361" i="3"/>
  <c r="L361" i="3"/>
  <c r="K361" i="3"/>
  <c r="H361" i="3"/>
  <c r="G361" i="3"/>
  <c r="E361" i="3"/>
  <c r="D361" i="3"/>
  <c r="M361" i="3"/>
  <c r="F361" i="3"/>
  <c r="C361" i="3"/>
  <c r="B361" i="3"/>
  <c r="A361" i="3"/>
  <c r="C400" i="3"/>
  <c r="K400" i="3"/>
  <c r="H400" i="3"/>
  <c r="A400" i="3"/>
  <c r="M400" i="3"/>
  <c r="L400" i="3"/>
  <c r="J400" i="3"/>
  <c r="D400" i="3"/>
  <c r="B400" i="3"/>
  <c r="E400" i="3"/>
  <c r="I400" i="3"/>
  <c r="G400" i="3"/>
  <c r="F400" i="3"/>
  <c r="E202" i="3"/>
  <c r="I202" i="3"/>
  <c r="H202" i="3"/>
  <c r="M202" i="3"/>
  <c r="L202" i="3"/>
  <c r="G202" i="3"/>
  <c r="C202" i="3"/>
  <c r="K202" i="3"/>
  <c r="J202" i="3"/>
  <c r="F202" i="3"/>
  <c r="D202" i="3"/>
  <c r="B202" i="3"/>
  <c r="A202" i="3"/>
  <c r="I111" i="3"/>
  <c r="J111" i="3"/>
  <c r="K111" i="3"/>
  <c r="F111" i="3"/>
  <c r="M111" i="3"/>
  <c r="L111" i="3"/>
  <c r="H111" i="3"/>
  <c r="G111" i="3"/>
  <c r="E111" i="3"/>
  <c r="D111" i="3"/>
  <c r="C111" i="3"/>
  <c r="B111" i="3"/>
  <c r="A111" i="3"/>
  <c r="K183" i="3"/>
  <c r="L183" i="3"/>
  <c r="A183" i="3"/>
  <c r="M183" i="3"/>
  <c r="C183" i="3"/>
  <c r="B183" i="3"/>
  <c r="J183" i="3"/>
  <c r="I183" i="3"/>
  <c r="G183" i="3"/>
  <c r="E183" i="3"/>
  <c r="F183" i="3"/>
  <c r="D183" i="3"/>
  <c r="H183" i="3"/>
  <c r="K288" i="3"/>
  <c r="J288" i="3"/>
  <c r="H288" i="3"/>
  <c r="G288" i="3"/>
  <c r="F288" i="3"/>
  <c r="E288" i="3"/>
  <c r="D288" i="3"/>
  <c r="C288" i="3"/>
  <c r="L288" i="3"/>
  <c r="I288" i="3"/>
  <c r="B288" i="3"/>
  <c r="A288" i="3"/>
  <c r="M288" i="3"/>
  <c r="A218" i="3"/>
  <c r="F218" i="3"/>
  <c r="M218" i="3"/>
  <c r="L218" i="3"/>
  <c r="K218" i="3"/>
  <c r="J218" i="3"/>
  <c r="H218" i="3"/>
  <c r="G218" i="3"/>
  <c r="C218" i="3"/>
  <c r="I218" i="3"/>
  <c r="E218" i="3"/>
  <c r="D218" i="3"/>
  <c r="B218" i="3"/>
  <c r="M66" i="3"/>
  <c r="L66" i="3"/>
  <c r="K66" i="3"/>
  <c r="H66" i="3"/>
  <c r="C66" i="3"/>
  <c r="E66" i="3"/>
  <c r="B66" i="3"/>
  <c r="A66" i="3"/>
  <c r="D66" i="3"/>
  <c r="G66" i="3"/>
  <c r="J66" i="3"/>
  <c r="I66" i="3"/>
  <c r="F66" i="3"/>
  <c r="C105" i="3"/>
  <c r="I105" i="3"/>
  <c r="M105" i="3"/>
  <c r="L105" i="3"/>
  <c r="E105" i="3"/>
  <c r="K105" i="3"/>
  <c r="H105" i="3"/>
  <c r="G105" i="3"/>
  <c r="F105" i="3"/>
  <c r="D105" i="3"/>
  <c r="B105" i="3"/>
  <c r="A105" i="3"/>
  <c r="J105" i="3"/>
  <c r="M90" i="3"/>
  <c r="H90" i="3"/>
  <c r="G90" i="3"/>
  <c r="L90" i="3"/>
  <c r="K90" i="3"/>
  <c r="J90" i="3"/>
  <c r="F90" i="3"/>
  <c r="I90" i="3"/>
  <c r="E90" i="3"/>
  <c r="D90" i="3"/>
  <c r="C90" i="3"/>
  <c r="B90" i="3"/>
  <c r="A90" i="3"/>
  <c r="E287" i="3"/>
  <c r="L287" i="3"/>
  <c r="K287" i="3"/>
  <c r="J287" i="3"/>
  <c r="H287" i="3"/>
  <c r="M287" i="3"/>
  <c r="I287" i="3"/>
  <c r="B287" i="3"/>
  <c r="A287" i="3"/>
  <c r="D287" i="3"/>
  <c r="F287" i="3"/>
  <c r="C287" i="3"/>
  <c r="G287" i="3"/>
  <c r="A188" i="3"/>
  <c r="E188" i="3"/>
  <c r="L188" i="3"/>
  <c r="M188" i="3"/>
  <c r="K188" i="3"/>
  <c r="I188" i="3"/>
  <c r="H188" i="3"/>
  <c r="D188" i="3"/>
  <c r="J188" i="3"/>
  <c r="G188" i="3"/>
  <c r="F188" i="3"/>
  <c r="C188" i="3"/>
  <c r="B188" i="3"/>
  <c r="G219" i="3"/>
  <c r="M219" i="3"/>
  <c r="B219" i="3"/>
  <c r="A219" i="3"/>
  <c r="C219" i="3"/>
  <c r="D219" i="3"/>
  <c r="L219" i="3"/>
  <c r="J219" i="3"/>
  <c r="F219" i="3"/>
  <c r="E219" i="3"/>
  <c r="K219" i="3"/>
  <c r="I219" i="3"/>
  <c r="H219" i="3"/>
  <c r="C320" i="3"/>
  <c r="D320" i="3"/>
  <c r="H320" i="3"/>
  <c r="L320" i="3"/>
  <c r="K320" i="3"/>
  <c r="J320" i="3"/>
  <c r="I320" i="3"/>
  <c r="G320" i="3"/>
  <c r="F320" i="3"/>
  <c r="B320" i="3"/>
  <c r="A320" i="3"/>
  <c r="M320" i="3"/>
  <c r="E320" i="3"/>
  <c r="M395" i="3"/>
  <c r="H395" i="3"/>
  <c r="L395" i="3"/>
  <c r="I395" i="3"/>
  <c r="G395" i="3"/>
  <c r="F395" i="3"/>
  <c r="E395" i="3"/>
  <c r="K395" i="3"/>
  <c r="J395" i="3"/>
  <c r="A395" i="3"/>
  <c r="C395" i="3"/>
  <c r="B395" i="3"/>
  <c r="D395" i="3"/>
  <c r="A241" i="3"/>
  <c r="D241" i="3"/>
  <c r="K241" i="3"/>
  <c r="J241" i="3"/>
  <c r="G241" i="3"/>
  <c r="E241" i="3"/>
  <c r="C241" i="3"/>
  <c r="B241" i="3"/>
  <c r="M241" i="3"/>
  <c r="L241" i="3"/>
  <c r="I241" i="3"/>
  <c r="H241" i="3"/>
  <c r="F241" i="3"/>
  <c r="L256" i="3"/>
  <c r="K256" i="3"/>
  <c r="J256" i="3"/>
  <c r="C256" i="3"/>
  <c r="I256" i="3"/>
  <c r="A256" i="3"/>
  <c r="H256" i="3"/>
  <c r="G256" i="3"/>
  <c r="F256" i="3"/>
  <c r="E256" i="3"/>
  <c r="D256" i="3"/>
  <c r="B256" i="3"/>
  <c r="M256" i="3"/>
  <c r="I321" i="3"/>
  <c r="K321" i="3"/>
  <c r="E321" i="3"/>
  <c r="B321" i="3"/>
  <c r="J321" i="3"/>
  <c r="H321" i="3"/>
  <c r="L321" i="3"/>
  <c r="G321" i="3"/>
  <c r="F321" i="3"/>
  <c r="D321" i="3"/>
  <c r="C321" i="3"/>
  <c r="A321" i="3"/>
  <c r="M321" i="3"/>
  <c r="D306" i="3"/>
  <c r="A306" i="3"/>
  <c r="M306" i="3"/>
  <c r="L306" i="3"/>
  <c r="I306" i="3"/>
  <c r="E306" i="3"/>
  <c r="G306" i="3"/>
  <c r="C306" i="3"/>
  <c r="B306" i="3"/>
  <c r="K306" i="3"/>
  <c r="J306" i="3"/>
  <c r="H306" i="3"/>
  <c r="F306" i="3"/>
  <c r="E429" i="3"/>
  <c r="B429" i="3"/>
  <c r="H429" i="3"/>
  <c r="G429" i="3"/>
  <c r="F429" i="3"/>
  <c r="D429" i="3"/>
  <c r="C429" i="3"/>
  <c r="A429" i="3"/>
  <c r="K429" i="3"/>
  <c r="J429" i="3"/>
  <c r="M429" i="3"/>
  <c r="L429" i="3"/>
  <c r="I429" i="3"/>
  <c r="C380" i="3"/>
  <c r="H380" i="3"/>
  <c r="J380" i="3"/>
  <c r="F380" i="3"/>
  <c r="E380" i="3"/>
  <c r="D380" i="3"/>
  <c r="B380" i="3"/>
  <c r="M380" i="3"/>
  <c r="L380" i="3"/>
  <c r="K380" i="3"/>
  <c r="I380" i="3"/>
  <c r="G380" i="3"/>
  <c r="A380" i="3"/>
  <c r="G394" i="3"/>
  <c r="K394" i="3"/>
  <c r="H394" i="3"/>
  <c r="A394" i="3"/>
  <c r="B394" i="3"/>
  <c r="M394" i="3"/>
  <c r="E394" i="3"/>
  <c r="F394" i="3"/>
  <c r="D394" i="3"/>
  <c r="C394" i="3"/>
  <c r="L394" i="3"/>
  <c r="J394" i="3"/>
  <c r="I394" i="3"/>
  <c r="E407" i="3"/>
  <c r="I407" i="3"/>
  <c r="M407" i="3"/>
  <c r="L407" i="3"/>
  <c r="K407" i="3"/>
  <c r="D407" i="3"/>
  <c r="C407" i="3"/>
  <c r="J407" i="3"/>
  <c r="G407" i="3"/>
  <c r="F407" i="3"/>
  <c r="H407" i="3"/>
  <c r="B407" i="3"/>
  <c r="A407" i="3"/>
  <c r="G199" i="3"/>
  <c r="I199" i="3"/>
  <c r="H199" i="3"/>
  <c r="K199" i="3"/>
  <c r="F199" i="3"/>
  <c r="D199" i="3"/>
  <c r="M199" i="3"/>
  <c r="L199" i="3"/>
  <c r="E199" i="3"/>
  <c r="C199" i="3"/>
  <c r="J199" i="3"/>
  <c r="B199" i="3"/>
  <c r="A199" i="3"/>
  <c r="K163" i="3"/>
  <c r="A163" i="3"/>
  <c r="D163" i="3"/>
  <c r="B163" i="3"/>
  <c r="M163" i="3"/>
  <c r="L163" i="3"/>
  <c r="H163" i="3"/>
  <c r="C163" i="3"/>
  <c r="F163" i="3"/>
  <c r="E163" i="3"/>
  <c r="G163" i="3"/>
  <c r="J163" i="3"/>
  <c r="I163" i="3"/>
  <c r="F245" i="3"/>
  <c r="E245" i="3"/>
  <c r="M245" i="3"/>
  <c r="J245" i="3"/>
  <c r="A245" i="3"/>
  <c r="G245" i="3"/>
  <c r="D245" i="3"/>
  <c r="L245" i="3"/>
  <c r="K245" i="3"/>
  <c r="I245" i="3"/>
  <c r="H245" i="3"/>
  <c r="C245" i="3"/>
  <c r="B245" i="3"/>
  <c r="M285" i="3"/>
  <c r="B285" i="3"/>
  <c r="K285" i="3"/>
  <c r="J285" i="3"/>
  <c r="L285" i="3"/>
  <c r="E285" i="3"/>
  <c r="D285" i="3"/>
  <c r="C285" i="3"/>
  <c r="F285" i="3"/>
  <c r="A285" i="3"/>
  <c r="H285" i="3"/>
  <c r="G285" i="3"/>
  <c r="I285" i="3"/>
  <c r="A283" i="3"/>
  <c r="E283" i="3"/>
  <c r="D283" i="3"/>
  <c r="C283" i="3"/>
  <c r="B283" i="3"/>
  <c r="M283" i="3"/>
  <c r="J283" i="3"/>
  <c r="I283" i="3"/>
  <c r="H283" i="3"/>
  <c r="G283" i="3"/>
  <c r="F283" i="3"/>
  <c r="L283" i="3"/>
  <c r="K283" i="3"/>
  <c r="C280" i="3"/>
  <c r="E280" i="3"/>
  <c r="D280" i="3"/>
  <c r="B280" i="3"/>
  <c r="M280" i="3"/>
  <c r="L280" i="3"/>
  <c r="K280" i="3"/>
  <c r="J280" i="3"/>
  <c r="A280" i="3"/>
  <c r="G280" i="3"/>
  <c r="F280" i="3"/>
  <c r="I280" i="3"/>
  <c r="H280" i="3"/>
  <c r="I352" i="3"/>
  <c r="M352" i="3"/>
  <c r="L352" i="3"/>
  <c r="G352" i="3"/>
  <c r="F352" i="3"/>
  <c r="A352" i="3"/>
  <c r="H352" i="3"/>
  <c r="E352" i="3"/>
  <c r="K352" i="3"/>
  <c r="J352" i="3"/>
  <c r="D352" i="3"/>
  <c r="B352" i="3"/>
  <c r="C352" i="3"/>
  <c r="I311" i="3"/>
  <c r="M311" i="3"/>
  <c r="L311" i="3"/>
  <c r="H311" i="3"/>
  <c r="D311" i="3"/>
  <c r="J311" i="3"/>
  <c r="G311" i="3"/>
  <c r="F311" i="3"/>
  <c r="E311" i="3"/>
  <c r="C311" i="3"/>
  <c r="B311" i="3"/>
  <c r="K311" i="3"/>
  <c r="A311" i="3"/>
  <c r="I349" i="3"/>
  <c r="M349" i="3"/>
  <c r="K349" i="3"/>
  <c r="J349" i="3"/>
  <c r="H349" i="3"/>
  <c r="G349" i="3"/>
  <c r="E349" i="3"/>
  <c r="D349" i="3"/>
  <c r="L349" i="3"/>
  <c r="F349" i="3"/>
  <c r="C349" i="3"/>
  <c r="B349" i="3"/>
  <c r="A349" i="3"/>
  <c r="D402" i="3"/>
  <c r="A402" i="3"/>
  <c r="M402" i="3"/>
  <c r="J402" i="3"/>
  <c r="I402" i="3"/>
  <c r="H402" i="3"/>
  <c r="G402" i="3"/>
  <c r="L402" i="3"/>
  <c r="K402" i="3"/>
  <c r="F402" i="3"/>
  <c r="E402" i="3"/>
  <c r="C402" i="3"/>
  <c r="B402" i="3"/>
  <c r="I401" i="3"/>
  <c r="H401" i="3"/>
  <c r="C401" i="3"/>
  <c r="M401" i="3"/>
  <c r="F401" i="3"/>
  <c r="L401" i="3"/>
  <c r="J401" i="3"/>
  <c r="G401" i="3"/>
  <c r="K401" i="3"/>
  <c r="E401" i="3"/>
  <c r="D401" i="3"/>
  <c r="B401" i="3"/>
  <c r="A401" i="3"/>
  <c r="A423" i="3"/>
  <c r="E423" i="3"/>
  <c r="B423" i="3"/>
  <c r="M423" i="3"/>
  <c r="L423" i="3"/>
  <c r="K423" i="3"/>
  <c r="J423" i="3"/>
  <c r="I423" i="3"/>
  <c r="D423" i="3"/>
  <c r="C423" i="3"/>
  <c r="G423" i="3"/>
  <c r="F423" i="3"/>
  <c r="H423" i="3"/>
  <c r="G109" i="3"/>
  <c r="A109" i="3"/>
  <c r="L109" i="3"/>
  <c r="I109" i="3"/>
  <c r="M109" i="3"/>
  <c r="K109" i="3"/>
  <c r="J109" i="3"/>
  <c r="H109" i="3"/>
  <c r="F109" i="3"/>
  <c r="D109" i="3"/>
  <c r="B109" i="3"/>
  <c r="E109" i="3"/>
  <c r="C109" i="3"/>
  <c r="G169" i="3"/>
  <c r="H169" i="3"/>
  <c r="F169" i="3"/>
  <c r="B169" i="3"/>
  <c r="L169" i="3"/>
  <c r="K169" i="3"/>
  <c r="A169" i="3"/>
  <c r="I169" i="3"/>
  <c r="E169" i="3"/>
  <c r="M169" i="3"/>
  <c r="D169" i="3"/>
  <c r="J169" i="3"/>
  <c r="C169" i="3"/>
  <c r="D161" i="3"/>
  <c r="G161" i="3"/>
  <c r="B161" i="3"/>
  <c r="H161" i="3"/>
  <c r="E161" i="3"/>
  <c r="A161" i="3"/>
  <c r="M161" i="3"/>
  <c r="L161" i="3"/>
  <c r="K161" i="3"/>
  <c r="J161" i="3"/>
  <c r="I161" i="3"/>
  <c r="F161" i="3"/>
  <c r="C161" i="3"/>
  <c r="J144" i="3"/>
  <c r="A144" i="3"/>
  <c r="I144" i="3"/>
  <c r="M144" i="3"/>
  <c r="L144" i="3"/>
  <c r="K144" i="3"/>
  <c r="H144" i="3"/>
  <c r="G144" i="3"/>
  <c r="F144" i="3"/>
  <c r="E144" i="3"/>
  <c r="D144" i="3"/>
  <c r="C144" i="3"/>
  <c r="B144" i="3"/>
  <c r="F227" i="3"/>
  <c r="M227" i="3"/>
  <c r="K227" i="3"/>
  <c r="J227" i="3"/>
  <c r="I227" i="3"/>
  <c r="H227" i="3"/>
  <c r="G227" i="3"/>
  <c r="E227" i="3"/>
  <c r="D227" i="3"/>
  <c r="A227" i="3"/>
  <c r="L227" i="3"/>
  <c r="C227" i="3"/>
  <c r="B227" i="3"/>
  <c r="A198" i="3"/>
  <c r="L198" i="3"/>
  <c r="B198" i="3"/>
  <c r="J198" i="3"/>
  <c r="M198" i="3"/>
  <c r="K198" i="3"/>
  <c r="H198" i="3"/>
  <c r="F198" i="3"/>
  <c r="I198" i="3"/>
  <c r="E198" i="3"/>
  <c r="D198" i="3"/>
  <c r="C198" i="3"/>
  <c r="G198" i="3"/>
  <c r="I250" i="3"/>
  <c r="H250" i="3"/>
  <c r="F250" i="3"/>
  <c r="L250" i="3"/>
  <c r="B250" i="3"/>
  <c r="A250" i="3"/>
  <c r="M250" i="3"/>
  <c r="K250" i="3"/>
  <c r="J250" i="3"/>
  <c r="G250" i="3"/>
  <c r="E250" i="3"/>
  <c r="D250" i="3"/>
  <c r="C250" i="3"/>
  <c r="C330" i="3"/>
  <c r="K330" i="3"/>
  <c r="M330" i="3"/>
  <c r="I330" i="3"/>
  <c r="E330" i="3"/>
  <c r="D330" i="3"/>
  <c r="B330" i="3"/>
  <c r="A330" i="3"/>
  <c r="J330" i="3"/>
  <c r="G330" i="3"/>
  <c r="F330" i="3"/>
  <c r="L330" i="3"/>
  <c r="H330" i="3"/>
  <c r="K319" i="3"/>
  <c r="H319" i="3"/>
  <c r="A319" i="3"/>
  <c r="L319" i="3"/>
  <c r="J319" i="3"/>
  <c r="M319" i="3"/>
  <c r="I319" i="3"/>
  <c r="G319" i="3"/>
  <c r="F319" i="3"/>
  <c r="E319" i="3"/>
  <c r="D319" i="3"/>
  <c r="C319" i="3"/>
  <c r="B319" i="3"/>
  <c r="L266" i="3"/>
  <c r="K266" i="3"/>
  <c r="J266" i="3"/>
  <c r="M266" i="3"/>
  <c r="H266" i="3"/>
  <c r="A266" i="3"/>
  <c r="D266" i="3"/>
  <c r="C266" i="3"/>
  <c r="B266" i="3"/>
  <c r="E266" i="3"/>
  <c r="G266" i="3"/>
  <c r="F266" i="3"/>
  <c r="I266" i="3"/>
  <c r="A413" i="3"/>
  <c r="I413" i="3"/>
  <c r="H413" i="3"/>
  <c r="E413" i="3"/>
  <c r="D413" i="3"/>
  <c r="C413" i="3"/>
  <c r="B413" i="3"/>
  <c r="L413" i="3"/>
  <c r="K413" i="3"/>
  <c r="M413" i="3"/>
  <c r="J413" i="3"/>
  <c r="G413" i="3"/>
  <c r="F413" i="3"/>
  <c r="I331" i="3"/>
  <c r="H331" i="3"/>
  <c r="B331" i="3"/>
  <c r="M331" i="3"/>
  <c r="L331" i="3"/>
  <c r="K331" i="3"/>
  <c r="J331" i="3"/>
  <c r="G331" i="3"/>
  <c r="D331" i="3"/>
  <c r="C331" i="3"/>
  <c r="F331" i="3"/>
  <c r="E331" i="3"/>
  <c r="A331" i="3"/>
  <c r="J379" i="3"/>
  <c r="A379" i="3"/>
  <c r="K379" i="3"/>
  <c r="L379" i="3"/>
  <c r="I379" i="3"/>
  <c r="M379" i="3"/>
  <c r="H379" i="3"/>
  <c r="G379" i="3"/>
  <c r="F379" i="3"/>
  <c r="E379" i="3"/>
  <c r="B379" i="3"/>
  <c r="D379" i="3"/>
  <c r="C379" i="3"/>
  <c r="I422" i="3"/>
  <c r="F422" i="3"/>
  <c r="E422" i="3"/>
  <c r="C422" i="3"/>
  <c r="B422" i="3"/>
  <c r="A422" i="3"/>
  <c r="J422" i="3"/>
  <c r="H422" i="3"/>
  <c r="M422" i="3"/>
  <c r="L422" i="3"/>
  <c r="K422" i="3"/>
  <c r="G422" i="3"/>
  <c r="D422" i="3"/>
  <c r="K412" i="3"/>
  <c r="H412" i="3"/>
  <c r="B412" i="3"/>
  <c r="I412" i="3"/>
  <c r="G412" i="3"/>
  <c r="A412" i="3"/>
  <c r="D412" i="3"/>
  <c r="C412" i="3"/>
  <c r="M412" i="3"/>
  <c r="L412" i="3"/>
  <c r="J412" i="3"/>
  <c r="F412" i="3"/>
  <c r="E412" i="3"/>
  <c r="I416" i="3"/>
  <c r="L416" i="3"/>
  <c r="K416" i="3"/>
  <c r="J416" i="3"/>
  <c r="H416" i="3"/>
  <c r="G416" i="3"/>
  <c r="C416" i="3"/>
  <c r="B416" i="3"/>
  <c r="M416" i="3"/>
  <c r="F416" i="3"/>
  <c r="E416" i="3"/>
  <c r="D416" i="3"/>
  <c r="A416" i="3"/>
  <c r="E192" i="3"/>
  <c r="L192" i="3"/>
  <c r="A192" i="3"/>
  <c r="M192" i="3"/>
  <c r="J192" i="3"/>
  <c r="H192" i="3"/>
  <c r="C192" i="3"/>
  <c r="K192" i="3"/>
  <c r="F192" i="3"/>
  <c r="G192" i="3"/>
  <c r="D192" i="3"/>
  <c r="B192" i="3"/>
  <c r="I192" i="3"/>
  <c r="K233" i="3"/>
  <c r="F233" i="3"/>
  <c r="D233" i="3"/>
  <c r="B233" i="3"/>
  <c r="A233" i="3"/>
  <c r="M233" i="3"/>
  <c r="L233" i="3"/>
  <c r="J233" i="3"/>
  <c r="I233" i="3"/>
  <c r="H233" i="3"/>
  <c r="C233" i="3"/>
  <c r="G233" i="3"/>
  <c r="E233" i="3"/>
  <c r="E244" i="3"/>
  <c r="B244" i="3"/>
  <c r="G244" i="3"/>
  <c r="F244" i="3"/>
  <c r="K244" i="3"/>
  <c r="M244" i="3"/>
  <c r="L244" i="3"/>
  <c r="J244" i="3"/>
  <c r="D244" i="3"/>
  <c r="I244" i="3"/>
  <c r="H244" i="3"/>
  <c r="C244" i="3"/>
  <c r="A244" i="3"/>
  <c r="F265" i="3"/>
  <c r="E265" i="3"/>
  <c r="D265" i="3"/>
  <c r="B265" i="3"/>
  <c r="A265" i="3"/>
  <c r="H265" i="3"/>
  <c r="G265" i="3"/>
  <c r="C265" i="3"/>
  <c r="M265" i="3"/>
  <c r="L265" i="3"/>
  <c r="K265" i="3"/>
  <c r="J265" i="3"/>
  <c r="I265" i="3"/>
  <c r="A403" i="3"/>
  <c r="K403" i="3"/>
  <c r="H403" i="3"/>
  <c r="B403" i="3"/>
  <c r="L403" i="3"/>
  <c r="J403" i="3"/>
  <c r="D403" i="3"/>
  <c r="E403" i="3"/>
  <c r="C403" i="3"/>
  <c r="M403" i="3"/>
  <c r="I403" i="3"/>
  <c r="G403" i="3"/>
  <c r="F403" i="3"/>
  <c r="K368" i="3"/>
  <c r="M368" i="3"/>
  <c r="J368" i="3"/>
  <c r="I368" i="3"/>
  <c r="D368" i="3"/>
  <c r="E368" i="3"/>
  <c r="C368" i="3"/>
  <c r="L368" i="3"/>
  <c r="H368" i="3"/>
  <c r="G368" i="3"/>
  <c r="F368" i="3"/>
  <c r="B368" i="3"/>
  <c r="A368" i="3"/>
  <c r="G284" i="3"/>
  <c r="L284" i="3"/>
  <c r="K284" i="3"/>
  <c r="J284" i="3"/>
  <c r="H284" i="3"/>
  <c r="M284" i="3"/>
  <c r="I284" i="3"/>
  <c r="F284" i="3"/>
  <c r="E284" i="3"/>
  <c r="D284" i="3"/>
  <c r="C284" i="3"/>
  <c r="B284" i="3"/>
  <c r="A284" i="3"/>
  <c r="G314" i="3"/>
  <c r="M314" i="3"/>
  <c r="J314" i="3"/>
  <c r="I314" i="3"/>
  <c r="K314" i="3"/>
  <c r="H314" i="3"/>
  <c r="F314" i="3"/>
  <c r="E314" i="3"/>
  <c r="D314" i="3"/>
  <c r="C314" i="3"/>
  <c r="L314" i="3"/>
  <c r="B314" i="3"/>
  <c r="A314" i="3"/>
  <c r="A293" i="3"/>
  <c r="M293" i="3"/>
  <c r="K293" i="3"/>
  <c r="H293" i="3"/>
  <c r="G293" i="3"/>
  <c r="L293" i="3"/>
  <c r="J293" i="3"/>
  <c r="I293" i="3"/>
  <c r="F293" i="3"/>
  <c r="E293" i="3"/>
  <c r="D293" i="3"/>
  <c r="C293" i="3"/>
  <c r="B293" i="3"/>
  <c r="E347" i="3"/>
  <c r="A347" i="3"/>
  <c r="M347" i="3"/>
  <c r="K347" i="3"/>
  <c r="J347" i="3"/>
  <c r="L347" i="3"/>
  <c r="I347" i="3"/>
  <c r="H347" i="3"/>
  <c r="G347" i="3"/>
  <c r="F347" i="3"/>
  <c r="D347" i="3"/>
  <c r="C347" i="3"/>
  <c r="B347" i="3"/>
  <c r="I346" i="3"/>
  <c r="K346" i="3"/>
  <c r="H346" i="3"/>
  <c r="G346" i="3"/>
  <c r="E346" i="3"/>
  <c r="B346" i="3"/>
  <c r="L346" i="3"/>
  <c r="J346" i="3"/>
  <c r="M346" i="3"/>
  <c r="F346" i="3"/>
  <c r="D346" i="3"/>
  <c r="C346" i="3"/>
  <c r="A346" i="3"/>
  <c r="I419" i="3"/>
  <c r="J419" i="3"/>
  <c r="H419" i="3"/>
  <c r="C419" i="3"/>
  <c r="B419" i="3"/>
  <c r="G419" i="3"/>
  <c r="F419" i="3"/>
  <c r="E419" i="3"/>
  <c r="D419" i="3"/>
  <c r="A419" i="3"/>
  <c r="M419" i="3"/>
  <c r="L419" i="3"/>
  <c r="K419" i="3"/>
  <c r="K378" i="3"/>
  <c r="C378" i="3"/>
  <c r="J378" i="3"/>
  <c r="I378" i="3"/>
  <c r="H378" i="3"/>
  <c r="G378" i="3"/>
  <c r="A378" i="3"/>
  <c r="M378" i="3"/>
  <c r="L378" i="3"/>
  <c r="E378" i="3"/>
  <c r="D378" i="3"/>
  <c r="B378" i="3"/>
  <c r="F378" i="3"/>
  <c r="I96" i="3"/>
  <c r="H96" i="3"/>
  <c r="D96" i="3"/>
  <c r="A96" i="3"/>
  <c r="M96" i="3"/>
  <c r="L96" i="3"/>
  <c r="K96" i="3"/>
  <c r="J96" i="3"/>
  <c r="F96" i="3"/>
  <c r="G96" i="3"/>
  <c r="E96" i="3"/>
  <c r="C96" i="3"/>
  <c r="B96" i="3"/>
  <c r="G274" i="3"/>
  <c r="D274" i="3"/>
  <c r="C274" i="3"/>
  <c r="B274" i="3"/>
  <c r="L274" i="3"/>
  <c r="J274" i="3"/>
  <c r="I274" i="3"/>
  <c r="H274" i="3"/>
  <c r="F274" i="3"/>
  <c r="E274" i="3"/>
  <c r="A274" i="3"/>
  <c r="K274" i="3"/>
  <c r="M274" i="3"/>
  <c r="M210" i="3"/>
  <c r="L210" i="3"/>
  <c r="B210" i="3"/>
  <c r="A210" i="3"/>
  <c r="E210" i="3"/>
  <c r="C210" i="3"/>
  <c r="H210" i="3"/>
  <c r="G210" i="3"/>
  <c r="F210" i="3"/>
  <c r="D210" i="3"/>
  <c r="K210" i="3"/>
  <c r="J210" i="3"/>
  <c r="I210" i="3"/>
  <c r="I206" i="3"/>
  <c r="E206" i="3"/>
  <c r="K206" i="3"/>
  <c r="H206" i="3"/>
  <c r="F206" i="3"/>
  <c r="D206" i="3"/>
  <c r="A206" i="3"/>
  <c r="M206" i="3"/>
  <c r="G206" i="3"/>
  <c r="L206" i="3"/>
  <c r="J206" i="3"/>
  <c r="C206" i="3"/>
  <c r="B206" i="3"/>
  <c r="L124" i="3"/>
  <c r="K124" i="3"/>
  <c r="E124" i="3"/>
  <c r="J124" i="3"/>
  <c r="G124" i="3"/>
  <c r="M124" i="3"/>
  <c r="I124" i="3"/>
  <c r="H124" i="3"/>
  <c r="F124" i="3"/>
  <c r="D124" i="3"/>
  <c r="C124" i="3"/>
  <c r="B124" i="3"/>
  <c r="A124" i="3"/>
  <c r="I214" i="3"/>
  <c r="H214" i="3"/>
  <c r="M214" i="3"/>
  <c r="J214" i="3"/>
  <c r="L214" i="3"/>
  <c r="K214" i="3"/>
  <c r="E214" i="3"/>
  <c r="G214" i="3"/>
  <c r="F214" i="3"/>
  <c r="D214" i="3"/>
  <c r="C214" i="3"/>
  <c r="A214" i="3"/>
  <c r="B214" i="3"/>
  <c r="E132" i="3"/>
  <c r="J132" i="3"/>
  <c r="I132" i="3"/>
  <c r="M132" i="3"/>
  <c r="D132" i="3"/>
  <c r="K132" i="3"/>
  <c r="L132" i="3"/>
  <c r="H132" i="3"/>
  <c r="G132" i="3"/>
  <c r="F132" i="3"/>
  <c r="C132" i="3"/>
  <c r="B132" i="3"/>
  <c r="A132" i="3"/>
  <c r="L246" i="3"/>
  <c r="K246" i="3"/>
  <c r="I246" i="3"/>
  <c r="D246" i="3"/>
  <c r="C246" i="3"/>
  <c r="A246" i="3"/>
  <c r="J246" i="3"/>
  <c r="H246" i="3"/>
  <c r="G246" i="3"/>
  <c r="F246" i="3"/>
  <c r="E246" i="3"/>
  <c r="B246" i="3"/>
  <c r="M246" i="3"/>
  <c r="D332" i="3"/>
  <c r="J332" i="3"/>
  <c r="G332" i="3"/>
  <c r="C332" i="3"/>
  <c r="E332" i="3"/>
  <c r="B332" i="3"/>
  <c r="A332" i="3"/>
  <c r="K332" i="3"/>
  <c r="I332" i="3"/>
  <c r="H332" i="3"/>
  <c r="F332" i="3"/>
  <c r="M332" i="3"/>
  <c r="L332" i="3"/>
  <c r="C300" i="3"/>
  <c r="D300" i="3"/>
  <c r="I300" i="3"/>
  <c r="H300" i="3"/>
  <c r="G300" i="3"/>
  <c r="F300" i="3"/>
  <c r="B300" i="3"/>
  <c r="M300" i="3"/>
  <c r="L300" i="3"/>
  <c r="K300" i="3"/>
  <c r="J300" i="3"/>
  <c r="E300" i="3"/>
  <c r="A300" i="3"/>
  <c r="B339" i="3"/>
  <c r="L339" i="3"/>
  <c r="F339" i="3"/>
  <c r="C339" i="3"/>
  <c r="M339" i="3"/>
  <c r="I339" i="3"/>
  <c r="H339" i="3"/>
  <c r="J339" i="3"/>
  <c r="G339" i="3"/>
  <c r="E339" i="3"/>
  <c r="D339" i="3"/>
  <c r="A339" i="3"/>
  <c r="K339" i="3"/>
  <c r="D356" i="3"/>
  <c r="B356" i="3"/>
  <c r="A356" i="3"/>
  <c r="H356" i="3"/>
  <c r="G356" i="3"/>
  <c r="M356" i="3"/>
  <c r="L356" i="3"/>
  <c r="K356" i="3"/>
  <c r="J356" i="3"/>
  <c r="I356" i="3"/>
  <c r="F356" i="3"/>
  <c r="E356" i="3"/>
  <c r="C356" i="3"/>
  <c r="E417" i="3"/>
  <c r="D417" i="3"/>
  <c r="A417" i="3"/>
  <c r="B417" i="3"/>
  <c r="M417" i="3"/>
  <c r="L417" i="3"/>
  <c r="G417" i="3"/>
  <c r="F417" i="3"/>
  <c r="K417" i="3"/>
  <c r="I417" i="3"/>
  <c r="H417" i="3"/>
  <c r="J417" i="3"/>
  <c r="C417" i="3"/>
  <c r="D396" i="3"/>
  <c r="A396" i="3"/>
  <c r="J396" i="3"/>
  <c r="I396" i="3"/>
  <c r="C396" i="3"/>
  <c r="M396" i="3"/>
  <c r="L396" i="3"/>
  <c r="K396" i="3"/>
  <c r="H396" i="3"/>
  <c r="G396" i="3"/>
  <c r="F396" i="3"/>
  <c r="E396" i="3"/>
  <c r="B396" i="3"/>
  <c r="B336" i="3"/>
  <c r="H336" i="3"/>
  <c r="A336" i="3"/>
  <c r="G336" i="3"/>
  <c r="F336" i="3"/>
  <c r="E336" i="3"/>
  <c r="D336" i="3"/>
  <c r="C336" i="3"/>
  <c r="M336" i="3"/>
  <c r="L336" i="3"/>
  <c r="K336" i="3"/>
  <c r="J336" i="3"/>
  <c r="I336" i="3"/>
  <c r="A383" i="3"/>
  <c r="H383" i="3"/>
  <c r="K383" i="3"/>
  <c r="J383" i="3"/>
  <c r="I383" i="3"/>
  <c r="G383" i="3"/>
  <c r="B383" i="3"/>
  <c r="F383" i="3"/>
  <c r="E383" i="3"/>
  <c r="D383" i="3"/>
  <c r="C383" i="3"/>
  <c r="M383" i="3"/>
  <c r="L383" i="3"/>
  <c r="I226" i="3"/>
  <c r="J226" i="3"/>
  <c r="H226" i="3"/>
  <c r="C226" i="3"/>
  <c r="A226" i="3"/>
  <c r="M226" i="3"/>
  <c r="G226" i="3"/>
  <c r="L226" i="3"/>
  <c r="K226" i="3"/>
  <c r="F226" i="3"/>
  <c r="E226" i="3"/>
  <c r="B226" i="3"/>
  <c r="D226" i="3"/>
  <c r="A148" i="3"/>
  <c r="K148" i="3"/>
  <c r="G148" i="3"/>
  <c r="L148" i="3"/>
  <c r="J148" i="3"/>
  <c r="H148" i="3"/>
  <c r="C148" i="3"/>
  <c r="M148" i="3"/>
  <c r="F148" i="3"/>
  <c r="E148" i="3"/>
  <c r="D148" i="3"/>
  <c r="B148" i="3"/>
  <c r="I148" i="3"/>
  <c r="F221" i="3"/>
  <c r="M221" i="3"/>
  <c r="J221" i="3"/>
  <c r="K221" i="3"/>
  <c r="I221" i="3"/>
  <c r="H221" i="3"/>
  <c r="G221" i="3"/>
  <c r="E221" i="3"/>
  <c r="D221" i="3"/>
  <c r="C221" i="3"/>
  <c r="B221" i="3"/>
  <c r="A221" i="3"/>
  <c r="L221" i="3"/>
  <c r="L204" i="3"/>
  <c r="B204" i="3"/>
  <c r="A204" i="3"/>
  <c r="K204" i="3"/>
  <c r="I204" i="3"/>
  <c r="H204" i="3"/>
  <c r="E204" i="3"/>
  <c r="M204" i="3"/>
  <c r="J204" i="3"/>
  <c r="G204" i="3"/>
  <c r="F204" i="3"/>
  <c r="D204" i="3"/>
  <c r="C204" i="3"/>
  <c r="M296" i="3"/>
  <c r="I296" i="3"/>
  <c r="G296" i="3"/>
  <c r="F296" i="3"/>
  <c r="E296" i="3"/>
  <c r="D296" i="3"/>
  <c r="C296" i="3"/>
  <c r="B296" i="3"/>
  <c r="L296" i="3"/>
  <c r="K296" i="3"/>
  <c r="J296" i="3"/>
  <c r="H296" i="3"/>
  <c r="A296" i="3"/>
  <c r="K348" i="3"/>
  <c r="B348" i="3"/>
  <c r="E348" i="3"/>
  <c r="C348" i="3"/>
  <c r="A348" i="3"/>
  <c r="M348" i="3"/>
  <c r="L348" i="3"/>
  <c r="F348" i="3"/>
  <c r="G348" i="3"/>
  <c r="D348" i="3"/>
  <c r="H348" i="3"/>
  <c r="J348" i="3"/>
  <c r="I348" i="3"/>
  <c r="G334" i="3"/>
  <c r="I334" i="3"/>
  <c r="M334" i="3"/>
  <c r="E334" i="3"/>
  <c r="B334" i="3"/>
  <c r="F334" i="3"/>
  <c r="D334" i="3"/>
  <c r="C334" i="3"/>
  <c r="A334" i="3"/>
  <c r="L334" i="3"/>
  <c r="K334" i="3"/>
  <c r="J334" i="3"/>
  <c r="H334" i="3"/>
  <c r="K406" i="3"/>
  <c r="H406" i="3"/>
  <c r="B406" i="3"/>
  <c r="G406" i="3"/>
  <c r="D406" i="3"/>
  <c r="C406" i="3"/>
  <c r="A406" i="3"/>
  <c r="L406" i="3"/>
  <c r="E406" i="3"/>
  <c r="M406" i="3"/>
  <c r="F406" i="3"/>
  <c r="J406" i="3"/>
  <c r="I406" i="3"/>
  <c r="C366" i="3"/>
  <c r="J366" i="3"/>
  <c r="F366" i="3"/>
  <c r="E366" i="3"/>
  <c r="M366" i="3"/>
  <c r="L366" i="3"/>
  <c r="K366" i="3"/>
  <c r="I366" i="3"/>
  <c r="H366" i="3"/>
  <c r="G366" i="3"/>
  <c r="A366" i="3"/>
  <c r="D366" i="3"/>
  <c r="B366" i="3"/>
  <c r="I351" i="3"/>
  <c r="B351" i="3"/>
  <c r="G351" i="3"/>
  <c r="E351" i="3"/>
  <c r="D351" i="3"/>
  <c r="M351" i="3"/>
  <c r="L351" i="3"/>
  <c r="J351" i="3"/>
  <c r="H351" i="3"/>
  <c r="F351" i="3"/>
  <c r="C351" i="3"/>
  <c r="A351" i="3"/>
  <c r="K351" i="3"/>
  <c r="D399" i="3"/>
  <c r="A399" i="3"/>
  <c r="G399" i="3"/>
  <c r="C399" i="3"/>
  <c r="B399" i="3"/>
  <c r="J399" i="3"/>
  <c r="M399" i="3"/>
  <c r="L399" i="3"/>
  <c r="K399" i="3"/>
  <c r="I399" i="3"/>
  <c r="H399" i="3"/>
  <c r="F399" i="3"/>
  <c r="E399" i="3"/>
  <c r="M405" i="3"/>
  <c r="D405" i="3"/>
  <c r="A405" i="3"/>
  <c r="H405" i="3"/>
  <c r="G405" i="3"/>
  <c r="L405" i="3"/>
  <c r="K405" i="3"/>
  <c r="J405" i="3"/>
  <c r="I405" i="3"/>
  <c r="F405" i="3"/>
  <c r="E405" i="3"/>
  <c r="C405" i="3"/>
  <c r="B405" i="3"/>
  <c r="K418" i="3"/>
  <c r="L418" i="3"/>
  <c r="H418" i="3"/>
  <c r="B418" i="3"/>
  <c r="M418" i="3"/>
  <c r="I418" i="3"/>
  <c r="G418" i="3"/>
  <c r="F418" i="3"/>
  <c r="E418" i="3"/>
  <c r="D418" i="3"/>
  <c r="J418" i="3"/>
  <c r="C418" i="3"/>
  <c r="A418" i="3"/>
  <c r="E102" i="3"/>
  <c r="I102" i="3"/>
  <c r="K102" i="3"/>
  <c r="J102" i="3"/>
  <c r="B102" i="3"/>
  <c r="F102" i="3"/>
  <c r="M102" i="3"/>
  <c r="L102" i="3"/>
  <c r="G102" i="3"/>
  <c r="H102" i="3"/>
  <c r="D102" i="3"/>
  <c r="C102" i="3"/>
  <c r="A102" i="3"/>
  <c r="G179" i="3"/>
  <c r="D179" i="3"/>
  <c r="H179" i="3"/>
  <c r="E179" i="3"/>
  <c r="B179" i="3"/>
  <c r="M179" i="3"/>
  <c r="L179" i="3"/>
  <c r="K179" i="3"/>
  <c r="J179" i="3"/>
  <c r="I179" i="3"/>
  <c r="F179" i="3"/>
  <c r="C179" i="3"/>
  <c r="A179" i="3"/>
  <c r="I176" i="3"/>
  <c r="D176" i="3"/>
  <c r="B176" i="3"/>
  <c r="L176" i="3"/>
  <c r="K176" i="3"/>
  <c r="J176" i="3"/>
  <c r="G176" i="3"/>
  <c r="F176" i="3"/>
  <c r="C176" i="3"/>
  <c r="A176" i="3"/>
  <c r="H176" i="3"/>
  <c r="M176" i="3"/>
  <c r="E176" i="3"/>
  <c r="K177" i="3"/>
  <c r="A177" i="3"/>
  <c r="L177" i="3"/>
  <c r="I177" i="3"/>
  <c r="G177" i="3"/>
  <c r="C177" i="3"/>
  <c r="M177" i="3"/>
  <c r="J177" i="3"/>
  <c r="H177" i="3"/>
  <c r="F177" i="3"/>
  <c r="E177" i="3"/>
  <c r="D177" i="3"/>
  <c r="B177" i="3"/>
  <c r="B104" i="3"/>
  <c r="E104" i="3"/>
  <c r="D104" i="3"/>
  <c r="M104" i="3"/>
  <c r="K104" i="3"/>
  <c r="F104" i="3"/>
  <c r="L104" i="3"/>
  <c r="A104" i="3"/>
  <c r="J104" i="3"/>
  <c r="G104" i="3"/>
  <c r="C104" i="3"/>
  <c r="I104" i="3"/>
  <c r="H104" i="3"/>
  <c r="I126" i="3"/>
  <c r="J126" i="3"/>
  <c r="H126" i="3"/>
  <c r="F126" i="3"/>
  <c r="E126" i="3"/>
  <c r="M126" i="3"/>
  <c r="G126" i="3"/>
  <c r="L126" i="3"/>
  <c r="K126" i="3"/>
  <c r="D126" i="3"/>
  <c r="C126" i="3"/>
  <c r="B126" i="3"/>
  <c r="A126" i="3"/>
  <c r="M100" i="3"/>
  <c r="H100" i="3"/>
  <c r="I100" i="3"/>
  <c r="L100" i="3"/>
  <c r="K100" i="3"/>
  <c r="J100" i="3"/>
  <c r="G100" i="3"/>
  <c r="E100" i="3"/>
  <c r="C100" i="3"/>
  <c r="B100" i="3"/>
  <c r="A100" i="3"/>
  <c r="F100" i="3"/>
  <c r="D100" i="3"/>
  <c r="B107" i="3"/>
  <c r="G107" i="3"/>
  <c r="F107" i="3"/>
  <c r="K107" i="3"/>
  <c r="M107" i="3"/>
  <c r="L107" i="3"/>
  <c r="J107" i="3"/>
  <c r="I107" i="3"/>
  <c r="H107" i="3"/>
  <c r="E107" i="3"/>
  <c r="D107" i="3"/>
  <c r="C107" i="3"/>
  <c r="A107" i="3"/>
  <c r="G79" i="3"/>
  <c r="F79" i="3"/>
  <c r="M79" i="3"/>
  <c r="L79" i="3"/>
  <c r="K79" i="3"/>
  <c r="H79" i="3"/>
  <c r="J79" i="3"/>
  <c r="I79" i="3"/>
  <c r="E79" i="3"/>
  <c r="D79" i="3"/>
  <c r="C79" i="3"/>
  <c r="B79" i="3"/>
  <c r="A79" i="3"/>
  <c r="K193" i="3"/>
  <c r="H193" i="3"/>
  <c r="M193" i="3"/>
  <c r="G193" i="3"/>
  <c r="F193" i="3"/>
  <c r="E193" i="3"/>
  <c r="D193" i="3"/>
  <c r="C193" i="3"/>
  <c r="B193" i="3"/>
  <c r="L193" i="3"/>
  <c r="J193" i="3"/>
  <c r="I193" i="3"/>
  <c r="A193" i="3"/>
  <c r="G119" i="3"/>
  <c r="B119" i="3"/>
  <c r="I119" i="3"/>
  <c r="L119" i="3"/>
  <c r="J119" i="3"/>
  <c r="F119" i="3"/>
  <c r="C119" i="3"/>
  <c r="M119" i="3"/>
  <c r="K119" i="3"/>
  <c r="H119" i="3"/>
  <c r="E119" i="3"/>
  <c r="D119" i="3"/>
  <c r="A119" i="3"/>
  <c r="E194" i="3"/>
  <c r="H194" i="3"/>
  <c r="F194" i="3"/>
  <c r="C194" i="3"/>
  <c r="M194" i="3"/>
  <c r="L194" i="3"/>
  <c r="I194" i="3"/>
  <c r="K194" i="3"/>
  <c r="G194" i="3"/>
  <c r="J194" i="3"/>
  <c r="D194" i="3"/>
  <c r="B194" i="3"/>
  <c r="A194" i="3"/>
  <c r="K143" i="3"/>
  <c r="C143" i="3"/>
  <c r="J143" i="3"/>
  <c r="M143" i="3"/>
  <c r="I143" i="3"/>
  <c r="G143" i="3"/>
  <c r="F143" i="3"/>
  <c r="D143" i="3"/>
  <c r="H143" i="3"/>
  <c r="E143" i="3"/>
  <c r="B143" i="3"/>
  <c r="A143" i="3"/>
  <c r="L143" i="3"/>
  <c r="L201" i="3"/>
  <c r="B201" i="3"/>
  <c r="A201" i="3"/>
  <c r="G201" i="3"/>
  <c r="E201" i="3"/>
  <c r="C201" i="3"/>
  <c r="M201" i="3"/>
  <c r="K201" i="3"/>
  <c r="H201" i="3"/>
  <c r="J201" i="3"/>
  <c r="F201" i="3"/>
  <c r="D201" i="3"/>
  <c r="I201" i="3"/>
  <c r="C155" i="3"/>
  <c r="D155" i="3"/>
  <c r="A155" i="3"/>
  <c r="L155" i="3"/>
  <c r="K155" i="3"/>
  <c r="I155" i="3"/>
  <c r="H155" i="3"/>
  <c r="E155" i="3"/>
  <c r="M155" i="3"/>
  <c r="F155" i="3"/>
  <c r="J155" i="3"/>
  <c r="G155" i="3"/>
  <c r="B155" i="3"/>
  <c r="G242" i="3"/>
  <c r="K242" i="3"/>
  <c r="H242" i="3"/>
  <c r="I242" i="3"/>
  <c r="F242" i="3"/>
  <c r="M242" i="3"/>
  <c r="E242" i="3"/>
  <c r="C242" i="3"/>
  <c r="B242" i="3"/>
  <c r="A242" i="3"/>
  <c r="L242" i="3"/>
  <c r="J242" i="3"/>
  <c r="D242" i="3"/>
  <c r="M220" i="3"/>
  <c r="I220" i="3"/>
  <c r="H220" i="3"/>
  <c r="K220" i="3"/>
  <c r="J220" i="3"/>
  <c r="G220" i="3"/>
  <c r="F220" i="3"/>
  <c r="D220" i="3"/>
  <c r="C220" i="3"/>
  <c r="B220" i="3"/>
  <c r="L220" i="3"/>
  <c r="E220" i="3"/>
  <c r="A220" i="3"/>
  <c r="C310" i="3"/>
  <c r="K310" i="3"/>
  <c r="H310" i="3"/>
  <c r="I310" i="3"/>
  <c r="G310" i="3"/>
  <c r="F310" i="3"/>
  <c r="E310" i="3"/>
  <c r="D310" i="3"/>
  <c r="B310" i="3"/>
  <c r="L310" i="3"/>
  <c r="J310" i="3"/>
  <c r="M310" i="3"/>
  <c r="A310" i="3"/>
  <c r="A433" i="3"/>
  <c r="L433" i="3"/>
  <c r="I433" i="3"/>
  <c r="C433" i="3"/>
  <c r="M433" i="3"/>
  <c r="K433" i="3"/>
  <c r="E433" i="3"/>
  <c r="D433" i="3"/>
  <c r="H433" i="3"/>
  <c r="G433" i="3"/>
  <c r="B433" i="3"/>
  <c r="J433" i="3"/>
  <c r="F433" i="3"/>
  <c r="G364" i="3"/>
  <c r="J364" i="3"/>
  <c r="B364" i="3"/>
  <c r="F364" i="3"/>
  <c r="E364" i="3"/>
  <c r="D364" i="3"/>
  <c r="C364" i="3"/>
  <c r="A364" i="3"/>
  <c r="M364" i="3"/>
  <c r="L364" i="3"/>
  <c r="K364" i="3"/>
  <c r="I364" i="3"/>
  <c r="H364" i="3"/>
  <c r="M415" i="3"/>
  <c r="K415" i="3"/>
  <c r="H415" i="3"/>
  <c r="B415" i="3"/>
  <c r="E415" i="3"/>
  <c r="A415" i="3"/>
  <c r="I415" i="3"/>
  <c r="G415" i="3"/>
  <c r="L415" i="3"/>
  <c r="J415" i="3"/>
  <c r="F415" i="3"/>
  <c r="D415" i="3"/>
  <c r="C415" i="3"/>
  <c r="C370" i="3"/>
  <c r="J370" i="3"/>
  <c r="G370" i="3"/>
  <c r="E370" i="3"/>
  <c r="D370" i="3"/>
  <c r="F370" i="3"/>
  <c r="B370" i="3"/>
  <c r="M370" i="3"/>
  <c r="L370" i="3"/>
  <c r="K370" i="3"/>
  <c r="I370" i="3"/>
  <c r="H370" i="3"/>
  <c r="A370" i="3"/>
  <c r="G384" i="3"/>
  <c r="C384" i="3"/>
  <c r="K384" i="3"/>
  <c r="M384" i="3"/>
  <c r="L384" i="3"/>
  <c r="I384" i="3"/>
  <c r="H384" i="3"/>
  <c r="J384" i="3"/>
  <c r="D384" i="3"/>
  <c r="B384" i="3"/>
  <c r="F384" i="3"/>
  <c r="E384" i="3"/>
  <c r="A384" i="3"/>
  <c r="K318" i="3"/>
  <c r="D318" i="3"/>
  <c r="A318" i="3"/>
  <c r="M318" i="3"/>
  <c r="L318" i="3"/>
  <c r="J318" i="3"/>
  <c r="I318" i="3"/>
  <c r="H318" i="3"/>
  <c r="F318" i="3"/>
  <c r="E318" i="3"/>
  <c r="G318" i="3"/>
  <c r="B318" i="3"/>
  <c r="C318" i="3"/>
  <c r="I421" i="3"/>
  <c r="L421" i="3"/>
  <c r="H421" i="3"/>
  <c r="B421" i="3"/>
  <c r="M421" i="3"/>
  <c r="F421" i="3"/>
  <c r="E421" i="3"/>
  <c r="K421" i="3"/>
  <c r="J421" i="3"/>
  <c r="D421" i="3"/>
  <c r="C421" i="3"/>
  <c r="G421" i="3"/>
  <c r="A421" i="3"/>
  <c r="M425" i="3"/>
  <c r="I425" i="3"/>
  <c r="L425" i="3"/>
  <c r="K425" i="3"/>
  <c r="J425" i="3"/>
  <c r="H425" i="3"/>
  <c r="G425" i="3"/>
  <c r="F425" i="3"/>
  <c r="E425" i="3"/>
  <c r="A425" i="3"/>
  <c r="D425" i="3"/>
  <c r="C425" i="3"/>
  <c r="B425" i="3"/>
</calcChain>
</file>

<file path=xl/sharedStrings.xml><?xml version="1.0" encoding="utf-8"?>
<sst xmlns="http://schemas.openxmlformats.org/spreadsheetml/2006/main" count="44969" uniqueCount="11412">
  <si>
    <t>Naukri Saaf — Ghost Job Listing Detector</t>
  </si>
  <si>
    <t>Real scraped data (LinkedIn + Indeed + Glassdoor via Apify) | Combined Master Workbook</t>
  </si>
  <si>
    <t>WHAT THIS WORKBOOK IS</t>
  </si>
  <si>
    <t>This workbook analyzes 3,000 REAL job postings scraped from three platforms to surface listings that</t>
  </si>
  <si>
    <t>look statistically like "ghost jobs" (postings that are live but not genuinely hiring).</t>
  </si>
  <si>
    <t>IMPORTANT — READ BEFORE TRUSTING ANY GHOST LABEL</t>
  </si>
  <si>
    <t>This dataset has NO verified ground truth. Nobody confirmed with these companies whether a given</t>
  </si>
  <si>
    <t>listing was real or fake. "ghost_label" is a TRANSPARENT PROXY built from 5 observable signals below —</t>
  </si>
  <si>
    <t>it is a heuristic risk score, not a fact. Treat "Likely Ghost" as "worth a second look," not "confirmed fake."</t>
  </si>
  <si>
    <t>v2 CORRECTION (why this version differs from the first draft)</t>
  </si>
  <si>
    <t>The first draft used GLOBAL (whole-dataset) thresholds for 3 of the 5 signals. That silently broke cross-</t>
  </si>
  <si>
    <t>platform fairness: Indeed jobs are scraped almost the same day they are posted (avg days_live ~0.8), so</t>
  </si>
  <si>
    <t>they could NEVER cross a global "stale listing" cutoff set by LinkedIn/Glassdoor's older listings. LinkedIn's</t>
  </si>
  <si>
    <t>company-posting-rate was diluted by a much wider posting date-spread, so even a company posting 429 times</t>
  </si>
  <si>
    <t>(Accenture in India) never crossed the global "high velocity" cutoff. Net effect: LinkedIn-heavy employers were</t>
  </si>
  <si>
    <t>structurally stuck at 0% ghost rate no matter how suspicious their listings looked — not because they were</t>
  </si>
  <si>
    <t>clean, but because the math could never flag them. FIX: description-length, listing-age and posting-volume</t>
  </si>
  <si>
    <t>flags now use PER-PLATFORM (within-portal) percentiles, so each platform is judged against its own norms.</t>
  </si>
  <si>
    <t>Presence/absence flags (no_company, no_salary) stayed global since those are directly comparable as-is.</t>
  </si>
  <si>
    <t>THE 5 SIGNALS (each is a binary flag; first 2 use dataset-wide thresholds, last 3 use per-platform thresholds)</t>
  </si>
  <si>
    <t>1. flag_no_company (weight 2, global)        — employer name missing from the listing</t>
  </si>
  <si>
    <t>2. flag_no_salary (weight 1, global)         — no salary/compensation info disclosed</t>
  </si>
  <si>
    <t>3. flag_short_desc (weight 1, per-platform)  — description length in the bottom 25% for THAT platform</t>
  </si>
  <si>
    <t>4. flag_stale_listing (weight 1, per-platform) — listing age in the top 25% for THAT platform</t>
  </si>
  <si>
    <t>5. flag_high_velocity (weight 2, per-platform) — same company's posting count in the top 10% for THAT platform</t>
  </si>
  <si>
    <t>ghost_score = weighted sum (max 7)   |   ghost_score_pct = ghost_score / 7 * 100</t>
  </si>
  <si>
    <t>ghost_label:  score &gt;= 4 -&gt; "Likely Ghost"   |   score 2-3 -&gt; "Uncertain"   |   score 0-1 -&gt; "Likely Genuine"</t>
  </si>
  <si>
    <t>Thresholds are round cut points on the score distribution, not tuned against any real label — recalibrate</t>
  </si>
  <si>
    <t>once real outcome data (e.g. employer responses) is available. Note: LinkedIn's scraper always captures a</t>
  </si>
  <si>
    <t>company name (flag_no_company can never fire for it) so its theoretical max score is 5, not 7 — a genuine</t>
  </si>
  <si>
    <t>data characteristic, not a bug; LinkedIn ghost rates should be read as relatively conservative vs the others.</t>
  </si>
  <si>
    <t>DATA CLEANING NOTES</t>
  </si>
  <si>
    <t>- Each platform had a different raw schema; all three were mapped into one common schema (see Combined_Data tab).</t>
  </si>
  <si>
    <t>- Missing employer name / location / salary were FLAGGED (company_disclosed, salary_disclosed), never invented.</t>
  </si>
  <si>
    <t>- LinkedIn salary text uses a bare "$" symbol scraped as-is; the actual currency/scale could not be confirmed,</t>
  </si>
  <si>
    <t xml:space="preserve">  so LinkedIn salary values are EXCLUDED from all cross-platform salary averages (salary_comparable = FALSE).</t>
  </si>
  <si>
    <t>- Indeed &amp; Glassdoor salaries are labelled INR by the source and were annualised (MONTH x12, WEEK x52,</t>
  </si>
  <si>
    <t xml:space="preserve">  DAY x365, HOUR x2112) into salary_annual_est. A handful of extreme outliers are flagged (salary_outlier_flag)</t>
  </si>
  <si>
    <t xml:space="preserve">  rather than deleted, since we cannot verify which side (value vs. period) the source scraper got wrong.</t>
  </si>
  <si>
    <t>- days_live: LinkedIn uses relative text ("2 weeks ago") converted to days, or the exact publishedAt date when</t>
  </si>
  <si>
    <t xml:space="preserve">  available; Indeed/Glassdoor use dateScraped - datePublished (Glassdoor also ships a ready-made ageInDays).</t>
  </si>
  <si>
    <t>- Company names were NOT merged across platforms (e.g. "Amazon", "Amazon.com", "Amazon.com, Inc." are kept</t>
  </si>
  <si>
    <t xml:space="preserve">  as separate rows) since each platform formats employer names differently — an entity-resolution step for</t>
  </si>
  <si>
    <t xml:space="preserve">  a future version, not something to fake here.</t>
  </si>
  <si>
    <t>- Role buckets (Data Analyst, ML Engineer, Software Engineer, etc.) were derived from job-title keyword</t>
  </si>
  <si>
    <t xml:space="preserve">  matching, not from a platform-provided taxonomy — some titles fall into "Other" where no keyword matched.</t>
  </si>
  <si>
    <t>HONEST CAVEATS</t>
  </si>
  <si>
    <t>- Platform composition is NOT a random sample of the Indian job market: LinkedIn skews Software/Backend/</t>
  </si>
  <si>
    <t xml:space="preserve">  Frontend, Indeed skews Data Analyst/ML, Glassdoor is more mixed — this reflects search-keyword scraping</t>
  </si>
  <si>
    <t xml:space="preserve">  choices, not the true role mix on each platform.</t>
  </si>
  <si>
    <t>- Because 3 of 5 signals are now scored PER-PLATFORM, "Ghost Rate %" tells you which listings look worst</t>
  </si>
  <si>
    <t xml:space="preserve">  relative to their OWN platform's norms — it is a within-platform outlier score, not an absolute cross-platform</t>
  </si>
  <si>
    <t xml:space="preserve">  fraud probability. A company can be "Likely Ghost" on Indeed and would not necessarily be flagged if all its</t>
  </si>
  <si>
    <t xml:space="preserve">  postings sat on Glassdoor instead.</t>
  </si>
  <si>
    <t>- "Likely Ghost" is intentionally a minority slice by design (needs 2 strong signals or several weaker ones) —</t>
  </si>
  <si>
    <t xml:space="preserve">  read the per-listing flags to see WHY a job scored the way it did, not just the final label.</t>
  </si>
  <si>
    <t>NEW: INTERACTIVE COMPANY EXPLORER &amp; ADDITIONAL ANALYSIS SHEETS</t>
  </si>
  <si>
    <t>- Company_Explorer sheet: pick Company / Platform / Role / Ghost Label from dropdowns (cells B5:B8) and every</t>
  </si>
  <si>
    <t xml:space="preserve">  KPI, mini-chart and the 400-row detail table updates instantly. Built with COUNTIFS/SUMPRODUCT + an</t>
  </si>
  <si>
    <t xml:space="preserve">  AGGREGATE+INDEX lookup technique (not native Slicers/PivotTables, not Excel-365-only FILTER/HSTACK) so it</t>
  </si>
  <si>
    <t xml:space="preserve">  works identically in old-format Excel and in LibreOffice Calc, with zero macros.</t>
  </si>
  <si>
    <t>- If more than 400 listings match your filter, only the first 400 (in original scrape order) are listed — the</t>
  </si>
  <si>
    <t xml:space="preserve">  KPI "Matching Listings" card always shows the TRUE total count regardless of how many rows are displayed.</t>
  </si>
  <si>
    <t>- City_Analysis: ghost rate &amp; posting volume by city (top 15). "Not Specified" is the largest bucket because many</t>
  </si>
  <si>
    <t xml:space="preserve">  scraped listings omit city at source, not because ungeolocated jobs are more suspicious.</t>
  </si>
  <si>
    <t>- Experience_Contract: ghost rate broken out by seniority level and by contract type.</t>
  </si>
  <si>
    <t>- Salary_Analysis: disclosure rate and average disclosed salary by portal and by role, plus a salary-bucket</t>
  </si>
  <si>
    <t xml:space="preserve">  distribution. Only ~20% of listings (599/3,000) had a parseable, comparable annual salary — treat these</t>
  </si>
  <si>
    <t xml:space="preserve">  salary figures as directional, not representative of the full market.</t>
  </si>
  <si>
    <t>Executive KPI Dashboard</t>
  </si>
  <si>
    <t>Naukri Saaf — Combined view across LinkedIn, Indeed &amp; Glassdoor (3,000 real listings)</t>
  </si>
  <si>
    <t>Total Listings</t>
  </si>
  <si>
    <t>Likely Ghost</t>
  </si>
  <si>
    <t>Uncertain</t>
  </si>
  <si>
    <t>Likely Genuine</t>
  </si>
  <si>
    <t>Ghost Rate %</t>
  </si>
  <si>
    <t>Platform-wise Comparison</t>
  </si>
  <si>
    <t>Portal</t>
  </si>
  <si>
    <t>Avg Days Live</t>
  </si>
  <si>
    <t>Avg Ghost Score %</t>
  </si>
  <si>
    <t>LinkedIn</t>
  </si>
  <si>
    <t>Indeed</t>
  </si>
  <si>
    <t>Glassdoor</t>
  </si>
  <si>
    <t>TOTAL</t>
  </si>
  <si>
    <t>Overall Ghost Label Split</t>
  </si>
  <si>
    <t>Interactive Company &amp; Job Explorer</t>
  </si>
  <si>
    <t>Pick a Company / Platform / Role / Ghost Label below — every KPI, chart and row in this sheet updates instantly. No macros, no Excel 365 dynamic-array functions required.</t>
  </si>
  <si>
    <t>FILTERS (click cell → choose from dropdown)</t>
  </si>
  <si>
    <t>Company</t>
  </si>
  <si>
    <t>All Companies</t>
  </si>
  <si>
    <t>Tip: leave any filter on "All ..." to ignore it.
Company list is sorted by posting volume (most-active employers first).</t>
  </si>
  <si>
    <t>Platform</t>
  </si>
  <si>
    <t>All Platforms</t>
  </si>
  <si>
    <t>Role Bucket</t>
  </si>
  <si>
    <t>All Roles</t>
  </si>
  <si>
    <t>Ghost Label</t>
  </si>
  <si>
    <t>All Ghost Labels</t>
  </si>
  <si>
    <t>KPI SUMMARY (for current filter selection)</t>
  </si>
  <si>
    <t>Matching
Listings</t>
  </si>
  <si>
    <t>Likely
Ghost</t>
  </si>
  <si>
    <t>Ghost
Rate %</t>
  </si>
  <si>
    <t>Avg Days
Live</t>
  </si>
  <si>
    <t>Avg Ghost
Score %</t>
  </si>
  <si>
    <t>Avg Est. Annual
Salary (disclosed)</t>
  </si>
  <si>
    <t>Platform Split (current filter)</t>
  </si>
  <si>
    <t>Ghost Label Split (current filter)</t>
  </si>
  <si>
    <t>Count</t>
  </si>
  <si>
    <t>DETAIL: MATCHING LISTINGS  (showing up to first 400 matches — total match count is in the KPI above)</t>
  </si>
  <si>
    <t>Job Title</t>
  </si>
  <si>
    <t>Company Name</t>
  </si>
  <si>
    <t>City</t>
  </si>
  <si>
    <t>Posted Date</t>
  </si>
  <si>
    <t>Days Live</t>
  </si>
  <si>
    <t>Experience Level</t>
  </si>
  <si>
    <t>Salary Disclosed?</t>
  </si>
  <si>
    <t>Est. Annual Salary</t>
  </si>
  <si>
    <t>Ghost Score %</t>
  </si>
  <si>
    <t>Source URL</t>
  </si>
  <si>
    <t>Note: rows past the true match count show blank — that is expected (formula returns "" when no more matches exist).</t>
  </si>
  <si>
    <t>Platform-wise Breakdown</t>
  </si>
  <si>
    <t>Role mix, salary levels &amp; ghost rate — LinkedIn vs Indeed vs Glassdoor</t>
  </si>
  <si>
    <t>Role Distribution by Platform (listing count)</t>
  </si>
  <si>
    <t>Salary &amp; Ghost Rate by Platform</t>
  </si>
  <si>
    <t>Avg Annual Salary (INR est.)</t>
  </si>
  <si>
    <t># Salary-Comparable</t>
  </si>
  <si>
    <t>Software Engineer</t>
  </si>
  <si>
    <t>Other</t>
  </si>
  <si>
    <t>Data Analyst</t>
  </si>
  <si>
    <t>ML Engineer</t>
  </si>
  <si>
    <t>Frontend Engineer</t>
  </si>
  <si>
    <t>Full Stack Engineer</t>
  </si>
  <si>
    <t>Backend Engineer</t>
  </si>
  <si>
    <t>Data Scientist</t>
  </si>
  <si>
    <t>Data Engineer</t>
  </si>
  <si>
    <t>DevOps Engineer</t>
  </si>
  <si>
    <t>QA/Test Engineer</t>
  </si>
  <si>
    <t>Product Manager</t>
  </si>
  <si>
    <t>Top Companies &amp; Employer Trust Score</t>
  </si>
  <si>
    <t>Top 20 employers by posting volume (across all 3 platforms, names as scraped — see ReadMe on entity resolution)</t>
  </si>
  <si>
    <t>Total Postings</t>
  </si>
  <si>
    <t>Employer Trust Score</t>
  </si>
  <si>
    <t>Accenture in India</t>
  </si>
  <si>
    <t>Wipro</t>
  </si>
  <si>
    <t>Accenture</t>
  </si>
  <si>
    <t>Capgemini</t>
  </si>
  <si>
    <t>Calpion</t>
  </si>
  <si>
    <t>Amazon.com</t>
  </si>
  <si>
    <t>Infosys</t>
  </si>
  <si>
    <t>U.S. Bank</t>
  </si>
  <si>
    <t>Citi</t>
  </si>
  <si>
    <t>Citigroup Inc.</t>
  </si>
  <si>
    <t>Amazon.com, Inc.</t>
  </si>
  <si>
    <t>Accenture Ltd</t>
  </si>
  <si>
    <t>Deloitte</t>
  </si>
  <si>
    <t>Optum, Inc.</t>
  </si>
  <si>
    <t>Amazon</t>
  </si>
  <si>
    <t>JPMorganChase</t>
  </si>
  <si>
    <t>ExlService Holdings, Inc.</t>
  </si>
  <si>
    <t>Persistent Systems</t>
  </si>
  <si>
    <t>Cisco</t>
  </si>
  <si>
    <t>Husky Injection Molding</t>
  </si>
  <si>
    <t>Role-wise Analysis</t>
  </si>
  <si>
    <t>Data Analyst vs Software Engineer vs ML Engineer, etc. — ghost rate &amp; salary by role</t>
  </si>
  <si>
    <t>City / Location Analysis</t>
  </si>
  <si>
    <t>Ghost rate &amp; posting volume by city (top 15 cities by listing count, "Not Specified" = location omitted by scraper/employer)</t>
  </si>
  <si>
    <t>Not Specified</t>
  </si>
  <si>
    <t>Bengaluru</t>
  </si>
  <si>
    <t>Chennai</t>
  </si>
  <si>
    <t>Pune Division</t>
  </si>
  <si>
    <t>Hyderabad</t>
  </si>
  <si>
    <t>Mumbai Metropolitan Region</t>
  </si>
  <si>
    <t>Mumbai</t>
  </si>
  <si>
    <t>Coimbatore</t>
  </si>
  <si>
    <t>Jaipur</t>
  </si>
  <si>
    <t>Gurugram</t>
  </si>
  <si>
    <t>Pune</t>
  </si>
  <si>
    <t>Gurgaon</t>
  </si>
  <si>
    <t>Remote</t>
  </si>
  <si>
    <t>India</t>
  </si>
  <si>
    <t>Navi Mumbai</t>
  </si>
  <si>
    <t>Note: "Not Specified" dominates because many scraped listings omit an explicit city field at source — this is a data-availability artifact, not evidence of ghosting.</t>
  </si>
  <si>
    <t>Experience Level &amp; Contract Type Analysis</t>
  </si>
  <si>
    <t>Ghost rate by seniority level and by employment contract type</t>
  </si>
  <si>
    <t>Not Captured by Scraper</t>
  </si>
  <si>
    <t>Mid-Senior level</t>
  </si>
  <si>
    <t>Not Applicable</t>
  </si>
  <si>
    <t>Associate</t>
  </si>
  <si>
    <t>Entry level</t>
  </si>
  <si>
    <t>Internship</t>
  </si>
  <si>
    <t>Director</t>
  </si>
  <si>
    <t>Executive</t>
  </si>
  <si>
    <t>Contract Type</t>
  </si>
  <si>
    <t>Full-time</t>
  </si>
  <si>
    <t>Temporary</t>
  </si>
  <si>
    <t>Contract</t>
  </si>
  <si>
    <t>Entry Level</t>
  </si>
  <si>
    <t>Part-time</t>
  </si>
  <si>
    <t>Volunteer</t>
  </si>
  <si>
    <t>Salary Disclosure &amp; Distribution Analysis</t>
  </si>
  <si>
    <t>Only 599 of 3,000 listings (~20%) had a comparable annual salary figure — most Indian job posts do not disclose pay. Figures below are based on that disclosed subset only.</t>
  </si>
  <si>
    <t>Salary Disclosed</t>
  </si>
  <si>
    <t>Disclosure Rate %</t>
  </si>
  <si>
    <t>Avg Est. Annual Salary (disclosed)</t>
  </si>
  <si>
    <t>Salary Bucket (Annual, INR)</t>
  </si>
  <si>
    <t>% of Disclosed</t>
  </si>
  <si>
    <t>Under ₹6L</t>
  </si>
  <si>
    <t>₹6L – 12L</t>
  </si>
  <si>
    <t>₹12L – 20L</t>
  </si>
  <si>
    <t>₹20L – 35L</t>
  </si>
  <si>
    <t>₹35L+</t>
  </si>
  <si>
    <t>Note: salary buckets and averages only include listings flagged Salary Comparable=TRUE (parsed, annualized, currency-normalized figures) — raw/unparseable salary text is excluded rather than guessed at.</t>
  </si>
  <si>
    <t>Job ID</t>
  </si>
  <si>
    <t>Company Disclosed?</t>
  </si>
  <si>
    <t>State</t>
  </si>
  <si>
    <t>Scraped Date</t>
  </si>
  <si>
    <t>Salary Min</t>
  </si>
  <si>
    <t>Salary Max</t>
  </si>
  <si>
    <t>Currency</t>
  </si>
  <si>
    <t>Salary Period (raw)</t>
  </si>
  <si>
    <t>Salary Comparable?</t>
  </si>
  <si>
    <t>Salary Outlier Flag</t>
  </si>
  <si>
    <t>Description Word Count</t>
  </si>
  <si>
    <t>Description Preview</t>
  </si>
  <si>
    <t>Company Posting Count (this portal)</t>
  </si>
  <si>
    <t>Posting Velocity /week</t>
  </si>
  <si>
    <t>Flag: No Company</t>
  </si>
  <si>
    <t>Flag: No Salary</t>
  </si>
  <si>
    <t>Flag: Short Desc</t>
  </si>
  <si>
    <t>Flag: Stale Listing</t>
  </si>
  <si>
    <t>Flag: High Velocity</t>
  </si>
  <si>
    <t>Ghost Score (0-7)</t>
  </si>
  <si>
    <t>GHOST LABEL</t>
  </si>
  <si>
    <t>Explorer Match Flag</t>
  </si>
  <si>
    <t>LI_4410905842</t>
  </si>
  <si>
    <t>Sphera</t>
  </si>
  <si>
    <t>Karnataka</t>
  </si>
  <si>
    <t>N/A</t>
  </si>
  <si>
    <t>Not provided by LinkedIn scraper</t>
  </si>
  <si>
    <t>Sphera is a leading global provider of enterprise software and services that enables companies to manage and optimize their environmental, health, safety and sustainability. Our mission is to create a safer, more sustainable and productive world.
Sphera is a portfolio company of...</t>
  </si>
  <si>
    <t>https://in.linkedin.com/jobs/view/software-engineer-at-sphera-4410905842?trk=public_jobs_topcard-title</t>
  </si>
  <si>
    <t>LI_4416642506</t>
  </si>
  <si>
    <t>Software Engineer I</t>
  </si>
  <si>
    <t>CME Group</t>
  </si>
  <si>
    <t>Responsibilities
Application Development: Design, develop, and maintain custom applications, add-ons, scripts, and extensions that integrate with Google Workspace tools to address specific business needs.
AppSheet and Cloud Development: Lead the design, development, and deployme...</t>
  </si>
  <si>
    <t>https://in.linkedin.com/jobs/view/software-engineer-i-at-cme-group-4416642506?trk=public_jobs_topcard-title</t>
  </si>
  <si>
    <t>LI_4401614127</t>
  </si>
  <si>
    <t>Software Engineer III - Java</t>
  </si>
  <si>
    <t>Walmart Global Tech India</t>
  </si>
  <si>
    <t>About Team:
Our team collaborates with Massmart Product team to understand existing issues in Business and develops scalable tech solutions for them.
Massmart is a Walmart market existing in South Africa (SA) with multiples banners like Makro, Game, Builders, with around 300 st...</t>
  </si>
  <si>
    <t>https://in.linkedin.com/jobs/view/software-engineer-iii-java-at-walmart-global-tech-india-4401614127?trk=public_jobs_topcard-title</t>
  </si>
  <si>
    <t>LI_4404671522</t>
  </si>
  <si>
    <t>Software Engineer (Wifi/ Kernel/ Embedded)</t>
  </si>
  <si>
    <t>Arista Networks</t>
  </si>
  <si>
    <t>Pune District</t>
  </si>
  <si>
    <t>Maharashtra</t>
  </si>
  <si>
    <t>Arista Networks is an industry leader in data-driven, client-to-cloud networking for large data center, campus and routing environments. Arista is a well-established and profitable company with over $5 billion in revenue. Arista’s award-winning platforms, ranging in Ethernet spee...</t>
  </si>
  <si>
    <t>https://in.linkedin.com/jobs/view/software-engineer-wifi-kernel-embedded-at-arista-networks-4404671522?trk=public_jobs_topcard-title</t>
  </si>
  <si>
    <t>LI_4430996476</t>
  </si>
  <si>
    <t>Custom Software Engineer</t>
  </si>
  <si>
    <t>Project Role : Custom Software Engineer
Project Role Description : Develop custom software solutions to design, code, and enhance components across systems or applications. Use modern frameworks and agile practices to deliver scalable, high-performing solutions tailored to speci...</t>
  </si>
  <si>
    <t>https://in.linkedin.com/jobs/view/custom-software-engineer-at-accenture-in-india-4430996476?trk=public_jobs_topcard-title</t>
  </si>
  <si>
    <t>LI_4436441724</t>
  </si>
  <si>
    <t>Kolkata</t>
  </si>
  <si>
    <t>West Bengal</t>
  </si>
  <si>
    <t>Project Role : Custom Software Engineer
Project Role Description : Design, build and configure applications to meet business process and application requirements.
Must have skills : Workday Core Integrations
Good to have skills : NA
Minimum 2 Year(s) Of Experience Is Required...</t>
  </si>
  <si>
    <t>https://in.linkedin.com/jobs/view/custom-software-engineer-at-accenture-in-india-4436441724?trk=public_jobs_topcard-title</t>
  </si>
  <si>
    <t>LI_4425848073</t>
  </si>
  <si>
    <t>Software Engineer - Front End</t>
  </si>
  <si>
    <t>SmartBear</t>
  </si>
  <si>
    <t>Ahmedabad</t>
  </si>
  <si>
    <t>Gujarat</t>
  </si>
  <si>
    <t>SmartBear delivers application integrity for modern tech stacks, ensuring continuous, measurable assurance that software just works as intended with governance to operate at AI speed and scale. SmartBear offers deep test automation, API lifecycle management, and observability cap...</t>
  </si>
  <si>
    <t>https://in.linkedin.com/jobs/view/software-engineer-front-end-at-smartbear-4425848073?trk=public_jobs_topcard-title</t>
  </si>
  <si>
    <t>LI_4425825970</t>
  </si>
  <si>
    <t>https://in.linkedin.com/jobs/view/software-engineer-front-end-at-smartbear-4425825970?trk=public_jobs_topcard-title</t>
  </si>
  <si>
    <t>LI_4430763577</t>
  </si>
  <si>
    <t>Tamil Nadu</t>
  </si>
  <si>
    <t>https://in.linkedin.com/jobs/view/custom-software-engineer-at-accenture-in-india-4430763577?trk=public_jobs_topcard-title</t>
  </si>
  <si>
    <t>LI_4390860957</t>
  </si>
  <si>
    <t>https://in.linkedin.com/jobs/view/custom-software-engineer-at-accenture-in-india-4390860957?trk=public_jobs_topcard-title</t>
  </si>
  <si>
    <t>LI_4434047893</t>
  </si>
  <si>
    <t>https://in.linkedin.com/jobs/view/custom-software-engineer-at-accenture-in-india-4434047893?trk=public_jobs_topcard-title</t>
  </si>
  <si>
    <t>LI_4390866505</t>
  </si>
  <si>
    <t>https://in.linkedin.com/jobs/view/custom-software-engineer-at-accenture-in-india-4390866505?trk=public_jobs_topcard-title</t>
  </si>
  <si>
    <t>LI_4370558206</t>
  </si>
  <si>
    <t>Project Role : Custom Software Engineer
Project Role Description : Design, build and configure applications to meet business process and application requirements.
Must have skills : Python (Programming Language)
Good to have skills : AI, ML, Langchain, Langraph, J
Minimum 3 Y...</t>
  </si>
  <si>
    <t>https://in.linkedin.com/jobs/view/custom-software-engineer-at-accenture-in-india-4370558206?trk=public_jobs_topcard-title</t>
  </si>
  <si>
    <t>LI_4425982957</t>
  </si>
  <si>
    <t>Silicon Patterns</t>
  </si>
  <si>
    <t>Job Description:
EXP; 3 to 5 years
Location:- Bangalore
1)BMC &amp; RM Firmware Development Engineer
Design, develop, and validate BMC (Open BMC-based) and RM (Remote Management) firmware
2)Specialist in C, strong in C++ or Python
3)Highly Proficient in developing firmware based on...</t>
  </si>
  <si>
    <t>https://in.linkedin.com/jobs/view/software-engineer-at-silicon-patterns-4425982957?trk=public_jobs_topcard-title</t>
  </si>
  <si>
    <t>LI_4423678095</t>
  </si>
  <si>
    <t>Software Engineer - Java</t>
  </si>
  <si>
    <t>EPAM Systems</t>
  </si>
  <si>
    <t>Telangana</t>
  </si>
  <si>
    <t>We are seeking a Software Engineer – Java with GCP to join our team and contribute to building robust, scalable applications. In this role, you will leverage your strong Java expertise and cloud knowledge to design and develop high-quality solutions within an Agile environment.
R...</t>
  </si>
  <si>
    <t>https://in.linkedin.com/jobs/view/software-engineer-java-at-epam-systems-4423678095?trk=public_jobs_topcard-title</t>
  </si>
  <si>
    <t>LI_4366363763</t>
  </si>
  <si>
    <t>https://in.linkedin.com/jobs/view/custom-software-engineer-at-accenture-in-india-4366363763?trk=public_jobs_topcard-title</t>
  </si>
  <si>
    <t>LI_4432350778</t>
  </si>
  <si>
    <t>Fresher &amp;#8211; Software Engineer | Gurugram</t>
  </si>
  <si>
    <t>DigitalXNode</t>
  </si>
  <si>
    <t>Haryana</t>
  </si>
  <si>
    <t>We are looking for enthusiastic and highly motivated Fresher Software Engineers who are eager to build a successful career in software development. This opportunity is ideal for recent graduates with a strong understanding of programming fundamentals, object-oriented concepts, an...</t>
  </si>
  <si>
    <t>https://in.linkedin.com/jobs/view/fresher-%238211-software-engineer-gurugram-at-digitalxnode-4432350778?trk=public_jobs_topcard-title</t>
  </si>
  <si>
    <t>LI_4391709172</t>
  </si>
  <si>
    <t>Web Developer</t>
  </si>
  <si>
    <t>Project Role : Web Developer
Project Role Description : Design, build and test web-based applications for various site components and edit site content. Document technical designs and specifications. Research and incorporate updated content for websites.
Must have skills : Pyth...</t>
  </si>
  <si>
    <t>https://in.linkedin.com/jobs/view/web-developer-at-accenture-in-india-4391709172?trk=public_jobs_topcard-title</t>
  </si>
  <si>
    <t>LI_4437100474</t>
  </si>
  <si>
    <t>Infineon Technologies</t>
  </si>
  <si>
    <t>Bengaluru East</t>
  </si>
  <si>
    <t>Your Role
Key responsibilities in your new role
Team up with the departments within BC to understand business demand for automation
Consult in both technical feasibility and process optimization looking at processes end-to-end as well as workflow optimization
Perform the techni...</t>
  </si>
  <si>
    <t>https://in.linkedin.com/jobs/view/software-engineer-at-infineon-technologies-4437100474?trk=public_jobs_topcard-title</t>
  </si>
  <si>
    <t>LI_4288926117</t>
  </si>
  <si>
    <t>Software Development Engineer</t>
  </si>
  <si>
    <t>Project Role : Software Development Engineer
Project Role Description : Analyze, design, code and test multiple components of application code across one or more clients. Perform maintenance, enhancements and/or development work.
Must have skills : SAP BTP Integration Suite
Go...</t>
  </si>
  <si>
    <t>https://in.linkedin.com/jobs/view/software-development-engineer-at-accenture-in-india-4288926117?trk=public_jobs_topcard-title</t>
  </si>
  <si>
    <t>LI_4430286548</t>
  </si>
  <si>
    <t>Web Developer Associate</t>
  </si>
  <si>
    <t>Skill required: Marketing Operations - Web Application Development
Designation: Web Developer Associate
Qualifications:Any Graduation
Years of Experience:1 to 3 years
About Accenture
Accenture is a global professional services company with leading capabilities in digital, cl...</t>
  </si>
  <si>
    <t>https://in.linkedin.com/jobs/view/web-developer-associate-at-accenture-in-india-4430286548?trk=public_jobs_topcard-title</t>
  </si>
  <si>
    <t>LI_4389222803</t>
  </si>
  <si>
    <t>Software Engineer Fullstack Developer</t>
  </si>
  <si>
    <t>DHL</t>
  </si>
  <si>
    <t>Indore</t>
  </si>
  <si>
    <t>Madhya Pradesh</t>
  </si>
  <si>
    <t>Your IT Future, Delivered.
Software Engineer Full stack Developer (Python + JavaScript)
With a global team of 5600+ IT professionals, DHL IT Services connects people and keeps the global economy running by continuously innovating and creating sustainable digital solutions. We w...</t>
  </si>
  <si>
    <t>https://in.linkedin.com/jobs/view/software-engineer-fullstack-developer-at-dhl-4389222803?trk=public_jobs_topcard-title</t>
  </si>
  <si>
    <t>LI_4424366187</t>
  </si>
  <si>
    <t>Software Engineer (Typescript) | $55/hr Remote</t>
  </si>
  <si>
    <t>Crossing Hurdles</t>
  </si>
  <si>
    <t>Symbol-only ($), scale ambiguous</t>
  </si>
  <si>
    <t>Position: Typescript Developer
Type: Contract
Compensation: $20 - $55/hour
Location: Remote
Commitment: 10-40 hrs/week
Role Responsibilities
Design, implement, and maintain high-quality Typescript codebases tailored for AI model training.
Collaborate closely with cross-functiona...</t>
  </si>
  <si>
    <t>https://in.linkedin.com/jobs/view/software-engineer-typescript-%2455-hr-remote-at-crossing-hurdles-4424366187?trk=public_jobs_topcard-title</t>
  </si>
  <si>
    <t>LI_4436300981</t>
  </si>
  <si>
    <t>Test Automation Engineer</t>
  </si>
  <si>
    <t>Job Description
As Test Automation Engineer, you are involved in the automated verification and validation of products made by engineers in a development process. Your technical and professional knowledge of Test Automation, programming, test environments and methodologies is so...</t>
  </si>
  <si>
    <t>https://in.linkedin.com/jobs/view/test-automation-engineer-at-capgemini-4436300981?trk=public_jobs_topcard-title</t>
  </si>
  <si>
    <t>LI_4436398751</t>
  </si>
  <si>
    <t>Software/Platform Engineer I</t>
  </si>
  <si>
    <t>MetLife</t>
  </si>
  <si>
    <t>Job Responsibilities
Modernize CI/CD using GitHub Actions, reusable workflows, templates, and standardized automation aligned to COE standards.
Administer and govern GitHub Enterprise, including repo onboarding, access models, branch protections, runners, and security controls.
...</t>
  </si>
  <si>
    <t>https://in.linkedin.com/jobs/view/software-platform-engineer-i-at-metlife-4436398751?trk=public_jobs_topcard-title</t>
  </si>
  <si>
    <t>LI_4428033013</t>
  </si>
  <si>
    <t>Java Software Engineer</t>
  </si>
  <si>
    <t>Tata Consultancy Services</t>
  </si>
  <si>
    <t>Bangalore Urban</t>
  </si>
  <si>
    <t>Dear Candidate,
Walk In Invitation :: TCS :: Java Full Stack Developer + AWS :: Bangalore :: 20-Jun-26 (Saturday)
Roles and Responsibilities
Role - Java Full Stack Developer + AWS
Location – Bangalore (Face to Face Interview) 
Exp - 5+
Interested and available candidates on...</t>
  </si>
  <si>
    <t>https://in.linkedin.com/jobs/view/java-software-engineer-at-tata-consultancy-services-4428033013?trk=public_jobs_topcard-title</t>
  </si>
  <si>
    <t>LI_4412340196</t>
  </si>
  <si>
    <t>Bajaj Finserv</t>
  </si>
  <si>
    <t>Location Name: Pune Corporate Office - Mantri
Job Purpose
JOB PURPOSE
(Summarize in one statement why the job exists; and how it contributes to the overall objective of the company)
Join Bajaj Finserv Ltd., where our omnipresence strategy drives 10% month-on-month growth in ...</t>
  </si>
  <si>
    <t>https://in.linkedin.com/jobs/view/software-engineer-at-bajaj-finserv-4412340196?trk=public_jobs_topcard-title</t>
  </si>
  <si>
    <t>LI_4426806382</t>
  </si>
  <si>
    <t>Infor</t>
  </si>
  <si>
    <t>Department: Development
Location: Hyderabad
Description
Infor are seeking a Software Engineer who is passionate about developing high-quality, scalable software solutions. You will work closely with senior engineers, product managers, and designers to deliver products that dri...</t>
  </si>
  <si>
    <t>https://in.linkedin.com/jobs/view/software-engineer-at-infor-4426806382?trk=public_jobs_topcard-title</t>
  </si>
  <si>
    <t>LI_4430613601</t>
  </si>
  <si>
    <t>https://in.linkedin.com/jobs/view/web-developer-associate-at-accenture-in-india-4430613601?trk=public_jobs_topcard-title</t>
  </si>
  <si>
    <t>LI_4401639906</t>
  </si>
  <si>
    <t>Project Role : Web Developer
Project Role Description : Design, build and test web-based applications for various site components and edit site content. Document technical designs and specifications. Research and incorporate updated content for websites.
Must have skills : Java...</t>
  </si>
  <si>
    <t>https://in.linkedin.com/jobs/view/web-developer-at-accenture-in-india-4401639906?trk=public_jobs_topcard-title</t>
  </si>
  <si>
    <t>LI_4421929814</t>
  </si>
  <si>
    <t>Software Engineer - Python Automation</t>
  </si>
  <si>
    <t>HARMAN India</t>
  </si>
  <si>
    <t>Introduction: A Career at HARMAN Automotive
We’re a global, multi-disciplinary team that’s putting the innovative power of technology to work and transforming tomorrow. At HARMAN Automotive, we give you the keys to fast-track your career.
Engineer audio systems and integrated t...</t>
  </si>
  <si>
    <t>https://in.linkedin.com/jobs/view/software-engineer-python-automation-at-harman-india-4421929814?trk=public_jobs_topcard-title</t>
  </si>
  <si>
    <t>LI_4300708794</t>
  </si>
  <si>
    <t>Encardio Rite</t>
  </si>
  <si>
    <t>Greater Lucknow Area</t>
  </si>
  <si>
    <t>Key Responsibilities
Design, develop, and maintain web applications using HTML, CSS, JavaScript, PHP, Laravel,
and React JS.
Build and optimize database structures using MySQL or other alternative databases like
PostgreSQL and SQLite.
Develop robust desktop applications usin...</t>
  </si>
  <si>
    <t>https://in.linkedin.com/jobs/view/software-engineer-at-encardio-rite-4300708794?trk=public_jobs_topcard-title</t>
  </si>
  <si>
    <t>LI_4401673965</t>
  </si>
  <si>
    <t>https://in.linkedin.com/jobs/view/web-developer-at-accenture-in-india-4401673965?trk=public_jobs_topcard-title</t>
  </si>
  <si>
    <t>LI_4424354198</t>
  </si>
  <si>
    <t>Full-Stack Software Engineer</t>
  </si>
  <si>
    <t>Rempact</t>
  </si>
  <si>
    <t>Location: Mumbai. 5 days a week, in-office.
Type: Full-time
Compensation: ₹50,000 - ₹1,50,000 per month, based on experience and demonstrated work
Experience: 1 - 4 years
About Our Client
Our Client is a B2B SaaS company building AI-powered document intelligence and analytic...</t>
  </si>
  <si>
    <t>https://in.linkedin.com/jobs/view/full-stack-software-engineer-at-rempact-4424354198?trk=public_jobs_topcard-title</t>
  </si>
  <si>
    <t>LI_4432254380</t>
  </si>
  <si>
    <t>Quest Global</t>
  </si>
  <si>
    <t>Job Description:
Job Title: Snr Software Development Engineer
Experience: 5+ Years
Location: Hyderabad
Job Type: Full-Time
Job Summary
:
We are seeking a talented Java Developer with expertise in building robust, scalable backend systems and proficiency in AWS Cloud services. W...</t>
  </si>
  <si>
    <t>https://in.linkedin.com/jobs/view/software-engineer-at-quest-global-4432254380?trk=public_jobs_topcard-title</t>
  </si>
  <si>
    <t>LI_4417067332</t>
  </si>
  <si>
    <t>Software Development Engineer - I</t>
  </si>
  <si>
    <t>CommerceIQ</t>
  </si>
  <si>
    <t>The Company
CommerceIQ is building the AI platform that runs commerce for the world's largest brands. We are not selling AI demos. We are shipping AI agents for content, media, and sales into the workflows of the Fortune 100 every week.
2,200+
Customers
10 of Top 12
CPG Comp...</t>
  </si>
  <si>
    <t>https://in.linkedin.com/jobs/view/software-development-engineer-i-at-commerceiq-4417067332?trk=public_jobs_topcard-title</t>
  </si>
  <si>
    <t>LI_4432327967</t>
  </si>
  <si>
    <t>Associate Software Engineer</t>
  </si>
  <si>
    <t>ZENNER India</t>
  </si>
  <si>
    <t>Faridabad</t>
  </si>
  <si>
    <t>About ZENNER Aquamet
At ZENNER Aquamet, we develop modern software solutions that power connected IoT ecosystems and enable secure, data-driven decision-making. Our engineering teams build scalable web applications, APIs, and cloud-based services that support customers across uti...</t>
  </si>
  <si>
    <t>https://in.linkedin.com/jobs/view/associate-software-engineer-at-zenner-india-4432327967?trk=public_jobs_topcard-title</t>
  </si>
  <si>
    <t>LI_4428441551</t>
  </si>
  <si>
    <t>Hi Folks
Tata Consultancy Services is hosting a BFSI Walk-in Drive in Gandhinagar (Ahmedabad). Join the innovative world of Tata Consultancy Services and explore exciting opportunities. We are looking for tech enthusiasts for the following skills:
Open Roles
Hiring Location Prima...</t>
  </si>
  <si>
    <t>https://in.linkedin.com/jobs/view/software-engineer-at-tata-consultancy-services-4428441551?trk=public_jobs_topcard-title</t>
  </si>
  <si>
    <t>LI_4371894374</t>
  </si>
  <si>
    <t>https://in.linkedin.com/jobs/view/custom-software-engineer-at-accenture-in-india-4371894374?trk=public_jobs_topcard-title</t>
  </si>
  <si>
    <t>LI_4433895436</t>
  </si>
  <si>
    <t>https://in.linkedin.com/jobs/view/custom-software-engineer-at-accenture-in-india-4433895436?trk=public_jobs_topcard-title</t>
  </si>
  <si>
    <t>LI_4372102046</t>
  </si>
  <si>
    <t>https://in.linkedin.com/jobs/view/custom-software-engineer-at-accenture-in-india-4372102046?trk=public_jobs_topcard-title</t>
  </si>
  <si>
    <t>LI_4341764606</t>
  </si>
  <si>
    <t>https://in.linkedin.com/jobs/view/custom-software-engineer-at-accenture-in-india-4341764606?trk=public_jobs_topcard-title</t>
  </si>
  <si>
    <t>LI_4436417065</t>
  </si>
  <si>
    <t>https://in.linkedin.com/jobs/view/software-platform-engineer-i-at-metlife-4436417065?trk=public_jobs_topcard-title</t>
  </si>
  <si>
    <t>LI_4409278208</t>
  </si>
  <si>
    <t>Project Role : Custom Software Engineer
Project Role Description : Analyze, design, code and test multiple components of application code across one or more clients. Perform maintenance, enhancements and/or development work.
Must have skills : Java Enterprise Edition
Good to h...</t>
  </si>
  <si>
    <t>https://in.linkedin.com/jobs/view/custom-software-engineer-at-accenture-in-india-4409278208?trk=public_jobs_topcard-title</t>
  </si>
  <si>
    <t>LI_4436090639</t>
  </si>
  <si>
    <t>Scoutit</t>
  </si>
  <si>
    <t>Bengaluru Rural District</t>
  </si>
  <si>
    <t>We're looking for Software Engineers! 
Qualifications
Proficiency in software development or a related field
Familiarity working on project(s) involving the implementation of solutions applying development life cycles (SDLC) through iterative agile development
Familiarity worki...</t>
  </si>
  <si>
    <t>https://in.linkedin.com/jobs/view/software-engineer-at-scoutit-4436090639?trk=public_jobs_topcard-title</t>
  </si>
  <si>
    <t>LI_4367949006</t>
  </si>
  <si>
    <t>System Engineer (m/f/d)</t>
  </si>
  <si>
    <t>Deutsche Telekom</t>
  </si>
  <si>
    <t>Deine Aufgabe
Diese Rolle ist für einen Unix/Linux Engineer/Administrator mit Verantwortlichkeiten im Bereich Systemadministration, Virtualisierung und Infrastrukturmanagement. Die Position erfordert exzellente Administrationskenntnisse und praktische Erfahrung mit Unix-Betriebs...</t>
  </si>
  <si>
    <t>https://in.linkedin.com/jobs/view/system-engineer-m-f-d-at-deutsche-telekom-4367949006?trk=public_jobs_topcard-title</t>
  </si>
  <si>
    <t>LI_4314588566</t>
  </si>
  <si>
    <t>Software Engineer 2</t>
  </si>
  <si>
    <t>Visteon Corporation</t>
  </si>
  <si>
    <t>Autosar appln Engineer
At Visteon, the work we do is both relevant and recognized—not just by our organization, but by our peers, by industry-leading brands, and by millions of drivers around the world. That’s YOUR work.
And, as a truly global technology leader in the mobility ...</t>
  </si>
  <si>
    <t>https://in.linkedin.com/jobs/view/software-engineer-2-at-visteon-corporation-4314588566?trk=public_jobs_topcard-title</t>
  </si>
  <si>
    <t>LI_4418955962</t>
  </si>
  <si>
    <t>Software Engineer-I</t>
  </si>
  <si>
    <t>PENNEP</t>
  </si>
  <si>
    <t>Jalandhar I</t>
  </si>
  <si>
    <t>Punjab</t>
  </si>
  <si>
    <t>Description
PENNEP is seeking a skilled Software Engineer-I to join our team. The ideal candidate will have experience in NodeJS, JavaScript or TypeScript, ReactJS, NextJS, API design and development, NoSQL database design and development. The successful candidate will be respon...</t>
  </si>
  <si>
    <t>https://in.linkedin.com/jobs/view/software-engineer-i-at-pennep-4418955962?trk=public_jobs_topcard-title</t>
  </si>
  <si>
    <t>LI_4421080436</t>
  </si>
  <si>
    <t>Software Engineer - (C#/.NET &amp; React) Job</t>
  </si>
  <si>
    <t>YASH Technologies</t>
  </si>
  <si>
    <t>YASH Technologies is a leading technology integrator specializing in helping clients reimagine operating models, enhance competitiveness, optimize costs, foster exceptional stakeholder experiences, and drive business transformation.
At YASH, we’re a cluster of the brightest star...</t>
  </si>
  <si>
    <t>https://in.linkedin.com/jobs/view/software-engineer-c%23-net-react-job-at-yash-technologies-4421080436?trk=public_jobs_topcard-title</t>
  </si>
  <si>
    <t>LI_4420140045</t>
  </si>
  <si>
    <t>Full Stack Software Engineer (C#, JavaScript)</t>
  </si>
  <si>
    <t>Vonage</t>
  </si>
  <si>
    <t>Join Vonage and help us innovate cloud communications for businesses worldwide!
Why This Role Matters
We are looking for Software Engineers to work in the Call Center as a Service (CCaaS) Technology Team where you will be working on a global, multi-tenant, real-time service, wi...</t>
  </si>
  <si>
    <t>https://in.linkedin.com/jobs/view/full-stack-software-engineer-c%23-javascript-at-vonage-4420140045?trk=public_jobs_topcard-title</t>
  </si>
  <si>
    <t>LI_4428239567</t>
  </si>
  <si>
    <t>Software Engineer-Full Stack</t>
  </si>
  <si>
    <t>Okta</t>
  </si>
  <si>
    <t>Secure Every Identity, from AI to Human
Identity is the key to unlocking the potential of AI. Okta secures AI by building the trusted, neutral infrastructure that enables organizations to safely embrace this new era. This work requires a relentless drive to solve complex challen...</t>
  </si>
  <si>
    <t>https://in.linkedin.com/jobs/view/software-engineer-full-stack-at-okta-4428239567?trk=public_jobs_topcard-title</t>
  </si>
  <si>
    <t>LI_4429130181</t>
  </si>
  <si>
    <t>Your Future, Delivered.
Software Engineer – AI Platform (MCP &amp; AI Integrations)
With a global team of around 5600+ IT professionals, DHL IT Services connects people and keeps the global economy running by continuously innovating and creating sustainable digital solutions. We wo...</t>
  </si>
  <si>
    <t>https://in.linkedin.com/jobs/view/software-engineer-at-dhl-4429130181?trk=public_jobs_topcard-title</t>
  </si>
  <si>
    <t>LI_4433195196</t>
  </si>
  <si>
    <t>Software Developer/Engineer - Frontend (ReactJs)</t>
  </si>
  <si>
    <t>Siemens</t>
  </si>
  <si>
    <t>Hello Visionary!
We empower our people to stay resilient and relevant in a constantly evolving world. We’re looking for people who are always searching for creative ways to grow and learn. People who want to make a real impact, now and in the future.
Does that sound like you? T...</t>
  </si>
  <si>
    <t>https://in.linkedin.com/jobs/view/software-developer-engineer-frontend-reactjs-at-siemens-4433195196?trk=public_jobs_topcard-title</t>
  </si>
  <si>
    <t>LI_4408816727</t>
  </si>
  <si>
    <t>Software Development Engineer Testing</t>
  </si>
  <si>
    <t>apna</t>
  </si>
  <si>
    <t>Qualifications:
Key Responsibilities:
Execute manual test cases and report defects accurately to the development team
Assist in developing, maintaining, and running automated test scripts for functional and regression testing
Participate in requirements analysis to understand an...</t>
  </si>
  <si>
    <t>https://in.linkedin.com/jobs/view/software-development-engineer-testing-at-apna-4408816727?trk=public_jobs_topcard-title</t>
  </si>
  <si>
    <t>LI_4347741969</t>
  </si>
  <si>
    <t>Pune City</t>
  </si>
  <si>
    <t>Project Role : Software Development Engineer
Project Role Description : Analyze, design, code and test multiple components of application code across one or more clients. Perform maintenance, enhancements and/or development work.
Must have skills : SAP Governance Risk and Compl...</t>
  </si>
  <si>
    <t>https://in.linkedin.com/jobs/view/software-development-engineer-at-accenture-in-india-4347741969?trk=public_jobs_topcard-title</t>
  </si>
  <si>
    <t>LI_4431855036</t>
  </si>
  <si>
    <t>Chargebee</t>
  </si>
  <si>
    <t>About Chargebee
Chargebee is the subscription billing and monetization platform built for the AI economy, powering some of the world's fastest-growing subscription and SaaS businesses. Companies of all sizes — from fast-scaling startups to global enterprises — rely on Chargebee t...</t>
  </si>
  <si>
    <t>https://in.linkedin.com/jobs/view/full-stack-software-engineer-at-chargebee-4431855036?trk=public_jobs_topcard-title</t>
  </si>
  <si>
    <t>LI_4371897313</t>
  </si>
  <si>
    <t>https://in.linkedin.com/jobs/view/custom-software-engineer-at-accenture-in-india-4371897313?trk=public_jobs_topcard-title</t>
  </si>
  <si>
    <t>LI_4371881980</t>
  </si>
  <si>
    <t>https://in.linkedin.com/jobs/view/custom-software-engineer-at-accenture-in-india-4371881980?trk=public_jobs_topcard-title</t>
  </si>
  <si>
    <t>LI_4436441593</t>
  </si>
  <si>
    <t>https://in.linkedin.com/jobs/view/custom-software-engineer-at-accenture-in-india-4436441593?trk=public_jobs_topcard-title</t>
  </si>
  <si>
    <t>LI_4426035904</t>
  </si>
  <si>
    <t>Strategic Software Engineer</t>
  </si>
  <si>
    <t>Motorola Mobility (a Lenovo Company)</t>
  </si>
  <si>
    <t>Hello Moto
Motorola Mobility, A Lenovo Company, is one of the world’s fastest growing smartphone providers, creating groundbreaking, affordable, high-quality products designed and built with the global customer in mind. And it’s our people who make this all happen. We are thinke...</t>
  </si>
  <si>
    <t>https://in.linkedin.com/jobs/view/strategic-software-engineer-at-motorola-mobility-a-lenovo-company-4426035904?trk=public_jobs_topcard-title</t>
  </si>
  <si>
    <t>LI_4372101041</t>
  </si>
  <si>
    <t>https://in.linkedin.com/jobs/view/custom-software-engineer-at-accenture-in-india-4372101041?trk=public_jobs_topcard-title</t>
  </si>
  <si>
    <t>LI_4371876998</t>
  </si>
  <si>
    <t>https://in.linkedin.com/jobs/view/custom-software-engineer-at-accenture-in-india-4371876998?trk=public_jobs_topcard-title</t>
  </si>
  <si>
    <t>LI_4430998396</t>
  </si>
  <si>
    <t>https://in.linkedin.com/jobs/view/custom-software-engineer-at-accenture-in-india-4430998396?trk=public_jobs_topcard-title</t>
  </si>
  <si>
    <t>LI_4430850532</t>
  </si>
  <si>
    <t>Software Development Engineer II - Backend Technologies</t>
  </si>
  <si>
    <t>BookMyShow</t>
  </si>
  <si>
    <t>The World of BookMyShow
Launched in 2007, BookMyShow, owned and operated by Big Tree Entertainment Pvt. Ltd. (founded in 1999), is India's leading entertainment destination with global operations and the one-stop shop for every entertainment need. The firm is present in over 650...</t>
  </si>
  <si>
    <t>https://in.linkedin.com/jobs/view/software-development-engineer-ii-backend-technologies-at-bookmyshow-4430850532?trk=public_jobs_topcard-title</t>
  </si>
  <si>
    <t>LI_4380165441</t>
  </si>
  <si>
    <t>https://in.linkedin.com/jobs/view/custom-software-engineer-at-accenture-in-india-4380165441?trk=public_jobs_topcard-title</t>
  </si>
  <si>
    <t>LI_4371899052</t>
  </si>
  <si>
    <t>https://in.linkedin.com/jobs/view/custom-software-engineer-at-accenture-in-india-4371899052?trk=public_jobs_topcard-title</t>
  </si>
  <si>
    <t>LI_4371880956</t>
  </si>
  <si>
    <t>https://in.linkedin.com/jobs/view/custom-software-engineer-at-accenture-in-india-4371880956?trk=public_jobs_topcard-title</t>
  </si>
  <si>
    <t>LI_4400425867</t>
  </si>
  <si>
    <t>Project Role : Custom Software Engineer
Project Role Description : Design, build and configure applications to meet business process and application requirements.
Must have skills : Java Enterprise Edition
Good to have skills : Spring Boot
Minimum 3 Year(s) Of Experience Is R...</t>
  </si>
  <si>
    <t>https://in.linkedin.com/jobs/view/custom-software-engineer-at-accenture-in-india-4400425867?trk=public_jobs_topcard-title</t>
  </si>
  <si>
    <t>LI_4371881984</t>
  </si>
  <si>
    <t>https://in.linkedin.com/jobs/view/custom-software-engineer-at-accenture-in-india-4371881984?trk=public_jobs_topcard-title</t>
  </si>
  <si>
    <t>LI_4393517722</t>
  </si>
  <si>
    <t>https://in.linkedin.com/jobs/view/custom-software-engineer-at-accenture-in-india-4393517722?trk=public_jobs_topcard-title</t>
  </si>
  <si>
    <t>LI_4431205115</t>
  </si>
  <si>
    <t>Software Engineer I  (C#.Net, Rest API)_2-4 Yrs_Bangalore/Pune</t>
  </si>
  <si>
    <t>Worldpay</t>
  </si>
  <si>
    <t>Ready to take your career global?
Make your mark at one of the biggest names in payments. We’re looking for an InP - Software Engineer I to join our ever-evolving Payrix Team and help us unleash the potential of every business.
What You’ll Own
As a Backend C# Engineer, you’ll ...</t>
  </si>
  <si>
    <t>https://in.linkedin.com/jobs/view/software-engineer-i-c%23-net-rest-api-2-4-yrs-bangalore-pune-at-worldpay-4431205115?trk=public_jobs_topcard-title</t>
  </si>
  <si>
    <t>LI_4433888855</t>
  </si>
  <si>
    <t>https://in.linkedin.com/jobs/view/custom-software-engineer-at-accenture-in-india-4433888855?trk=public_jobs_topcard-title</t>
  </si>
  <si>
    <t>LI_4433374352</t>
  </si>
  <si>
    <t>https://in.linkedin.com/jobs/view/custom-software-engineer-at-accenture-in-india-4433374352?trk=public_jobs_topcard-title</t>
  </si>
  <si>
    <t>LI_4433356742</t>
  </si>
  <si>
    <t>https://in.linkedin.com/jobs/view/custom-software-engineer-at-accenture-in-india-4433356742?trk=public_jobs_topcard-title</t>
  </si>
  <si>
    <t>LI_4423133429</t>
  </si>
  <si>
    <t>Software Development Engineer II, TFS</t>
  </si>
  <si>
    <t>Description
If you are looking for high impact, high growth opportunity with interesting engineering challenges in a fast-paced environment, this is the role for you. We have a number of untapped high impact engineering and business opportunities with high criticality for Amazon...</t>
  </si>
  <si>
    <t>https://in.linkedin.com/jobs/view/software-development-engineer-ii-tfs-at-amazon-4423133429?trk=public_jobs_topcard-title</t>
  </si>
  <si>
    <t>LI_4433373344</t>
  </si>
  <si>
    <t>https://in.linkedin.com/jobs/view/custom-software-engineer-at-accenture-in-india-4433373344?trk=public_jobs_topcard-title</t>
  </si>
  <si>
    <t>LI_4306114564</t>
  </si>
  <si>
    <t>Software Development Engineer - Node.js/MongoDB</t>
  </si>
  <si>
    <t>FlixStock</t>
  </si>
  <si>
    <t>Responsibilities :
Work with development teams and product managers to ideate software solutions 
Maintenance of Node.js Backend 
Working with MongoDB to create various features 
Troubleshoot, debug and upgrade software 
Create security and data protection settings 
Requirement...</t>
  </si>
  <si>
    <t>https://in.linkedin.com/jobs/view/software-development-engineer-node-js-mongodb-at-flixstock-4306114564?trk=public_jobs_topcard-title</t>
  </si>
  <si>
    <t>LI_4433370418</t>
  </si>
  <si>
    <t>https://in.linkedin.com/jobs/view/custom-software-engineer-at-accenture-in-india-4433370418?trk=public_jobs_topcard-title</t>
  </si>
  <si>
    <t>LI_4429095652</t>
  </si>
  <si>
    <t>TCS Hiring | 4–8 Years | Relocation Drive (Pune) | Job Location: Indore
Tata Consultancy Services (TCS) is conducting a scheduled relocation drive for experienced professionals across multiple technology stacks.
Interview Details:
Date: 11th July Tentative
Location: Pune
Job Loca...</t>
  </si>
  <si>
    <t>https://in.linkedin.com/jobs/view/software-engineer-at-tata-consultancy-services-4429095652?trk=public_jobs_topcard-title</t>
  </si>
  <si>
    <t>LI_4418118283</t>
  </si>
  <si>
    <t>https://in.linkedin.com/jobs/view/custom-software-engineer-at-accenture-in-india-4418118283?trk=public_jobs_topcard-title</t>
  </si>
  <si>
    <t>LI_4418115471</t>
  </si>
  <si>
    <t>https://in.linkedin.com/jobs/view/custom-software-engineer-at-accenture-in-india-4418115471?trk=public_jobs_topcard-title</t>
  </si>
  <si>
    <t>LI_4415284711</t>
  </si>
  <si>
    <t>Senior Software Engineer (Java)</t>
  </si>
  <si>
    <t>Cvent</t>
  </si>
  <si>
    <t>Disclaimer: Beware of Recruitment Scams – Legitimate Cvent recruiting communications will always come from an official ‘name@cvent.com’ email. We never request any payments or ask for sensitive personal or financial information via chat or social media platforms. For more informa...</t>
  </si>
  <si>
    <t>https://in.linkedin.com/jobs/view/senior-software-engineer-java-at-cvent-4415284711?trk=public_jobs_topcard-title</t>
  </si>
  <si>
    <t>LI_4433362669</t>
  </si>
  <si>
    <t>https://in.linkedin.com/jobs/view/custom-software-engineer-at-accenture-in-india-4433362669?trk=public_jobs_topcard-title</t>
  </si>
  <si>
    <t>LI_4436031374</t>
  </si>
  <si>
    <t>Software developer</t>
  </si>
  <si>
    <t>Vilas Transcore Limited</t>
  </si>
  <si>
    <t>Vadodara</t>
  </si>
  <si>
    <t>Job Title: Software Developer (Full Stack)
Experience: 2+ Years
Employment Type: Full-Time
Job Summary
We are looking for a skilled Software Developer with at least 2 years of experience in both backend and frontend development. The ideal candidate should be proficient in des...</t>
  </si>
  <si>
    <t>https://in.linkedin.com/jobs/view/software-developer-at-vilas-transcore-limited-4436031374?trk=public_jobs_topcard-title</t>
  </si>
  <si>
    <t>LI_4430416130</t>
  </si>
  <si>
    <t>Software Engineer-Java/go-GenAI</t>
  </si>
  <si>
    <t>Aeris</t>
  </si>
  <si>
    <t>About Aeris Communications Inc.
For more than three decades, Aeris has been a trusted cellular IoT leader enabling the biggest IoT programs and opportunities across Automotive, Utilities and Energy, Fleet Management and Logistics, Medical Devices, and Manufacturing. Our IoT tech...</t>
  </si>
  <si>
    <t>https://in.linkedin.com/jobs/view/software-engineer-java-go-genai-at-aeris-4430416130?trk=public_jobs_topcard-title</t>
  </si>
  <si>
    <t>LI_4433360701</t>
  </si>
  <si>
    <t>https://in.linkedin.com/jobs/view/custom-software-engineer-at-accenture-in-india-4433360701?trk=public_jobs_topcard-title</t>
  </si>
  <si>
    <t>LI_4423539304</t>
  </si>
  <si>
    <t>Verint Financial Compliance</t>
  </si>
  <si>
    <t>Job Info
Job Identification 3856 
Posting Date 06/04/2026, 07:22 AM 
Locations IN-India-Bangalore 
Job Schedule Full time
Show more Show less</t>
  </si>
  <si>
    <t>https://in.linkedin.com/jobs/view/software-engineer-at-verint-financial-compliance-4423539304?trk=public_jobs_topcard-title</t>
  </si>
  <si>
    <t>LI_4406149195</t>
  </si>
  <si>
    <t>Sr. Staff Software Engineer, Machine Learning</t>
  </si>
  <si>
    <t>LinkedIn is the world’s largest professional network, built to create economic opportunity for every member of the global workforce. Our products help people make powerful connections, discover exciting opportunities, build necessary skills, and gain valuable insights every day. ...</t>
  </si>
  <si>
    <t>https://in.linkedin.com/jobs/view/sr-staff-software-engineer-machine-learning-at-linkedin-4406149195?trk=public_jobs_topcard-title</t>
  </si>
  <si>
    <t>LI_4413211391</t>
  </si>
  <si>
    <t>Location Name: Pune Corporate Office - Mantri
Job Purpose
To develop, customize, and support Salesforce-based applications by implementing business requirements using best practices, while contributing to stable, scalable, and secure Salesforce solutions
Duties And Responsibil...</t>
  </si>
  <si>
    <t>https://in.linkedin.com/jobs/view/software-engineer-at-bajaj-finserv-4413211391?trk=public_jobs_topcard-title</t>
  </si>
  <si>
    <t>LI_4414680994</t>
  </si>
  <si>
    <t>Software Engineer (C/C++, Linux/Windows, Troubleshooting/Debugging)</t>
  </si>
  <si>
    <t>Cohesity</t>
  </si>
  <si>
    <t>Bangalore Rural</t>
  </si>
  <si>
    <t>Cohesity is the leader in AI-powered data security. Over 13,600 enterprise customers, including over 85 of the Fortune 100 and nearly 70% of the Global 500, rely on Cohesity to strengthen their resilience while providing Gen AI insights into their vast amounts of data. Formed fro...</t>
  </si>
  <si>
    <t>https://in.linkedin.com/jobs/view/software-engineer-c-c%2B%2B-linux-windows-troubleshooting-debugging-at-cohesity-4414680994?trk=public_jobs_topcard-title</t>
  </si>
  <si>
    <t>LI_4401720923</t>
  </si>
  <si>
    <t>Embedded Software Engineer (SML79ST RM 4096)</t>
  </si>
  <si>
    <t>Source-Right</t>
  </si>
  <si>
    <t>Position: Embedded Software Engineer (SML79ST RM 4096)
About The Role
Embedded software for automotive and IoT platforms, focusing on BSP optimization, virtualization, and device drivers on ARM-based systems like QCOM SA8295.
Cuttlefish and Virtualization is mandatory
Key Res...</t>
  </si>
  <si>
    <t>https://in.linkedin.com/jobs/view/embedded-software-engineer-sml79st-rm-4096-at-source-right-4401720923?trk=public_jobs_topcard-title</t>
  </si>
  <si>
    <t>LI_4431584968</t>
  </si>
  <si>
    <t>Web Developer (Java)</t>
  </si>
  <si>
    <t>Zimmer Biomet</t>
  </si>
  <si>
    <t>At Zimmer Biomet, we believe in pushing the boundaries of innovation and driving our mission forward. As a global medical technology leader for nearly 100 years, a patient’s mobility is enhanced by a Zimmer Biomet product or technology every 8 seconds. As a Zimmer Biomet team mem...</t>
  </si>
  <si>
    <t>https://in.linkedin.com/jobs/view/web-developer-java-at-zimmer-biomet-4431584968?trk=public_jobs_topcard-title</t>
  </si>
  <si>
    <t>LI_4431720137</t>
  </si>
  <si>
    <t>Python Software Engineer</t>
  </si>
  <si>
    <t>MDAEdge</t>
  </si>
  <si>
    <t>Delhi</t>
  </si>
  <si>
    <t>Job Summary: 
Looking for a Python Developer to write clean, efficient code, design robust REST APIs based on FastAPI, and collaborate within organized teams. 
Requirements include a Bachelor's degree, expertise in Python with frameworks like Django or Flask, and knowledge of thr...</t>
  </si>
  <si>
    <t>https://in.linkedin.com/jobs/view/python-software-engineer-at-mdaedge-4431720137?trk=public_jobs_topcard-title</t>
  </si>
  <si>
    <t>LI_4369069660</t>
  </si>
  <si>
    <t>SourcingXPress</t>
  </si>
  <si>
    <t>Company: TheSocials
Website: Visit Website
Business Type: Startup
Company Type: Product
Business Model: B2B
Funding Stage: Pre-seed
Industry: Software Development
Salary Range: ₹ 20-28 Lacs PA
Job Description
Backend SDE II | Remote (Bangalore-preferred)
We’re opening a...</t>
  </si>
  <si>
    <t>https://in.linkedin.com/jobs/view/software-engineer-at-sourcingxpress-4369069660?trk=public_jobs_topcard-title</t>
  </si>
  <si>
    <t>LI_4430193350</t>
  </si>
  <si>
    <t>Senior Software Engineer - Network Infrastructure</t>
  </si>
  <si>
    <t>LinkedIn is the world's largest professional network, built to create economic opportunity for every member of the global workforce. Our products help people make powerful connections, discover exciting opportunities, build necessary skills, and gain valuable insights every day. ...</t>
  </si>
  <si>
    <t>https://in.linkedin.com/jobs/view/senior-software-engineer-network-infrastructure-at-linkedin-4430193350?trk=public_jobs_topcard-title</t>
  </si>
  <si>
    <t>LI_4261056570</t>
  </si>
  <si>
    <t>Recex.co</t>
  </si>
  <si>
    <t>Chandigarh</t>
  </si>
  <si>
    <t>About Us
At RNT Health Insights, we are developing Breakthrough Medical Devices to improve the accuracy of detection of early-stage upper gastrointestinal cancers. Our FDA-Breakthrough designated medical devices help in detecting early-stage gastric and esophageal cancers in rea...</t>
  </si>
  <si>
    <t>https://in.linkedin.com/jobs/view/software-development-engineer-at-recex-co-4261056570?trk=public_jobs_topcard-title</t>
  </si>
  <si>
    <t>LI_4436097483</t>
  </si>
  <si>
    <t>https://in.linkedin.com/jobs/view/software-engineer-at-scoutit-4436097483?trk=public_jobs_topcard-title</t>
  </si>
  <si>
    <t>LI_4424480555</t>
  </si>
  <si>
    <t>Software Engineer (IITs only)</t>
  </si>
  <si>
    <t>Ocean Friends</t>
  </si>
  <si>
    <t>About Ocean Friends
Ocean Friends is a fast-growing, profitable healthcare tech startup focused on empowering pediatric therapy centers (Speech, OT, PT) with powerful automation, AI agents, and data-driven insights. Our mission is simple but ambitious: use technology to give ever...</t>
  </si>
  <si>
    <t>https://in.linkedin.com/jobs/view/software-engineer-iits-only-at-ocean-friends-4424480555?trk=public_jobs_topcard-title</t>
  </si>
  <si>
    <t>LI_4426867343</t>
  </si>
  <si>
    <t>Greater Chennai Area</t>
  </si>
  <si>
    <t>Project Role : Web Developer
Project Role Description : Design, build and test web-based applications for various site components and edit site content. Document technical designs and specifications. Research and incorporate updated content for websites.
Must have skills : Spri...</t>
  </si>
  <si>
    <t>https://in.linkedin.com/jobs/view/web-developer-at-accenture-in-india-4426867343?trk=public_jobs_topcard-title</t>
  </si>
  <si>
    <t>LI_4399642637</t>
  </si>
  <si>
    <t>Software Engineer - Redis</t>
  </si>
  <si>
    <t>hackajob</t>
  </si>
  <si>
    <t>hackajob is collaborating with Barclays to connect them with exceptional professionals for this role.
Join us as a Software Engineer - Redis at Barclays, where you'll spearhead the evolution of our digital landscape, driving innovation and excellence. You'll harness cutting-edge...</t>
  </si>
  <si>
    <t>https://in.linkedin.com/jobs/view/software-engineer-redis-at-hackajob-4399642637?trk=public_jobs_topcard-title</t>
  </si>
  <si>
    <t>LI_4379627081</t>
  </si>
  <si>
    <t>Software Engineer, Commerce Backend</t>
  </si>
  <si>
    <t>Docusign</t>
  </si>
  <si>
    <t>Company Overview
Docusign brings agreements to life. Over 1.5 million customers and more than a billion people in over 180 countries use Docusign solutions to accelerate the process of doing business and simplify people’s lives. With intelligent agreement management, Docusign un...</t>
  </si>
  <si>
    <t>https://in.linkedin.com/jobs/view/software-engineer-commerce-backend-at-docusign-4379627081?trk=public_jobs_topcard-title</t>
  </si>
  <si>
    <t>LI_4427547665</t>
  </si>
  <si>
    <t>Software Engineer III, ITC</t>
  </si>
  <si>
    <t>Nike</t>
  </si>
  <si>
    <t>Who Are We Looking For
We are looking for a Software Engineer III as part of our Cloud Platform Engineering team at Nike. The ideal candidate will be a bringing deep technical expertise in Cloud Engineering to solve complex engineering problems to enable Nike’s pursuit to delive...</t>
  </si>
  <si>
    <t>https://in.linkedin.com/jobs/view/software-engineer-iii-itc-at-nike-4427547665?trk=public_jobs_topcard-title</t>
  </si>
  <si>
    <t>LI_4433716486</t>
  </si>
  <si>
    <t>Skill required: Marketing Operations - Web Content Management
Designation: Web Developer Associate
Qualifications:Any Graduation
Years of Experience:1 to 3 years
About Accenture
Accenture is a global professional services company with leading capabilities in digital, cloud a...</t>
  </si>
  <si>
    <t>https://in.linkedin.com/jobs/view/web-developer-associate-at-accenture-in-india-4433716486?trk=public_jobs_topcard-title</t>
  </si>
  <si>
    <t>LI_4417229883</t>
  </si>
  <si>
    <t>Software Engineer - AI/ML with Python</t>
  </si>
  <si>
    <t>https://in.linkedin.com/jobs/view/software-engineer-ai-ml-with-python-at-harman-india-4417229883?trk=public_jobs_topcard-title</t>
  </si>
  <si>
    <t>LI_4431247469</t>
  </si>
  <si>
    <t>Location Name: Pune Corporate Office - Mantri
Job Purpose
Candidate Selected will be responsible for managing and driving HRMS system enhancements within BFL. The role involves end-to-end coordination from requirement understanding, documentation, solution design, development w...</t>
  </si>
  <si>
    <t>https://in.linkedin.com/jobs/view/software-engineer-at-bajaj-finserv-4431247469?trk=public_jobs_topcard-title</t>
  </si>
  <si>
    <t>LI_4431769267</t>
  </si>
  <si>
    <t>Location Name: Pune Corporate Office - Mantri
Job Purpose
This role exists to design, develop, and maintain scalable full-stack applications using Microsoft technologies, enabling the company to deliver reliable and high-performance financial solutions that support business gro...</t>
  </si>
  <si>
    <t>https://in.linkedin.com/jobs/view/software-engineer-at-bajaj-finserv-4431769267?trk=public_jobs_topcard-title</t>
  </si>
  <si>
    <t>LI_4409375497</t>
  </si>
  <si>
    <t>Software Engineer - Back End</t>
  </si>
  <si>
    <t>Infinite Convergence Solutions</t>
  </si>
  <si>
    <t>Infinite Convergence Solutions, Inc. is an industry leader that provides next-generation messaging and mobility solutions to carriers and enterprises globally, including its enterprise-grade, secure mobile messaging platform - NetSfere Enterprise; customer engagement platform - N...</t>
  </si>
  <si>
    <t>https://in.linkedin.com/jobs/view/software-engineer-back-end-at-infinite-convergence-solutions-4409375497?trk=public_jobs_topcard-title</t>
  </si>
  <si>
    <t>LI_4345425442</t>
  </si>
  <si>
    <t>Software Development Engineer - II, Sales Technology</t>
  </si>
  <si>
    <t>Description
Amazon Advertising operates at the intersection of e-Commerce and Advertising, offering a range of digital advertising solutions with the goal of helping our customers discover and shop for anything they want to buy. Advertising is an extension of the shopping experi...</t>
  </si>
  <si>
    <t>https://in.linkedin.com/jobs/view/software-development-engineer-ii-sales-technology-at-amazon-4345425442?trk=public_jobs_topcard-title</t>
  </si>
  <si>
    <t>LI_4436398752</t>
  </si>
  <si>
    <t>https://in.linkedin.com/jobs/view/software-platform-engineer-i-at-metlife-4436398752?trk=public_jobs_topcard-title</t>
  </si>
  <si>
    <t>LI_4430393407</t>
  </si>
  <si>
    <t>Software Engineer (Lustre/GPFS/Parallel file system))</t>
  </si>
  <si>
    <t>DDN</t>
  </si>
  <si>
    <t>This is an incredible opportunity to be part of a company that has been at the forefront of AI and high-performance data storage innovation for over two decades. DataDirect Networks (DDN) is a global market leader renowned for powering many of the world's most demanding AI data c...</t>
  </si>
  <si>
    <t>https://in.linkedin.com/jobs/view/software-engineer-lustre-gpfs-parallel-file-system-at-ddn-4430393407?trk=public_jobs_topcard-title</t>
  </si>
  <si>
    <t>LI_4427163833</t>
  </si>
  <si>
    <t>Software Development Engineer in Test - III</t>
  </si>
  <si>
    <t>Airtel Payments Bank</t>
  </si>
  <si>
    <t>About Us:
Airtel Payments Bank, India's first payments bank is a completely digital and paperless bank. The bank aims to take basic banking services to the doorstep of every Indian by leveraging Airtel's vast retail network in a quick and efficient manner. At Airtel Payments Bank...</t>
  </si>
  <si>
    <t>https://in.linkedin.com/jobs/view/software-development-engineer-in-test-iii-at-airtel-payments-bank-4427163833?trk=public_jobs_topcard-title</t>
  </si>
  <si>
    <t>LI_4423147476</t>
  </si>
  <si>
    <t>https://in.linkedin.com/jobs/view/web-developer-at-accenture-in-india-4423147476?trk=public_jobs_topcard-title</t>
  </si>
  <si>
    <t>LI_4369744795</t>
  </si>
  <si>
    <t>Software Engineer [Java+React]</t>
  </si>
  <si>
    <t>CapeStart</t>
  </si>
  <si>
    <t>CapeStart Software Private Limited is looking for a Senior Software Engineer with expertise in Java and React. You will design, develop, and maintain scalable web applications, collaborating closely with product managers, UX/UI designers, and other engineers. This role involves c...</t>
  </si>
  <si>
    <t>https://in.linkedin.com/jobs/view/software-engineer-java%2Breact-at-capestart-4369744795?trk=public_jobs_topcard-title</t>
  </si>
  <si>
    <t>LI_4411149120</t>
  </si>
  <si>
    <t>Providence India</t>
  </si>
  <si>
    <t>How is this team contributing to vision of Providence?
Our team is responsible for providing reliable and resilient network connectivity to our hospitals which makes lives of our caregivers easy, contributing to our vision “Health for a better world”.
What will you be responsibl...</t>
  </si>
  <si>
    <t>https://in.linkedin.com/jobs/view/software-engineer-at-providence-india-4411149120?trk=public_jobs_topcard-title</t>
  </si>
  <si>
    <t>LI_4437489185</t>
  </si>
  <si>
    <t>Job Description
Works in the area of Software Engineering which encompasses the development maintenance and optimization of software solutions and applications.1. Applies scientific methods to analyse and solve software engineering problems.2. He or she is responsible for the de...</t>
  </si>
  <si>
    <t>https://in.linkedin.com/jobs/view/associate-software-engineer-at-capgemini-4437489185?trk=public_jobs_topcard-title</t>
  </si>
  <si>
    <t>LI_4432581331</t>
  </si>
  <si>
    <t>Remote Software Engineer (JavaScript)</t>
  </si>
  <si>
    <t>Turing</t>
  </si>
  <si>
    <t>About the projects: we are building LLM evaluation and training datasets to train LLM to work on realistic software engineering problems. One of our approaches, in this project, is to build verifiable SWE tasks based on public repository histories in a synthetic approach with hum...</t>
  </si>
  <si>
    <t>https://in.linkedin.com/jobs/view/remote-software-engineer-javascript-at-turing-4432581331?trk=public_jobs_topcard-title</t>
  </si>
  <si>
    <t>LI_4276115773</t>
  </si>
  <si>
    <t>Project Role : Software Development Engineer
Project Role Description : Analyze, design, code and test multiple components of application code across one or more clients. Perform maintenance, enhancements and/or development work.
Must have skills : SAP BusinessObjects Data Serv...</t>
  </si>
  <si>
    <t>https://in.linkedin.com/jobs/view/software-development-engineer-at-accenture-in-india-4276115773?trk=public_jobs_topcard-title</t>
  </si>
  <si>
    <t>LI_4410017874</t>
  </si>
  <si>
    <t>Job Description
Works in the area of Software Engineering, which encompasses the development, maintenance and optimization of software solutions/applications.
Applies scientific methods to analyse and solve software engineering problems.
He/she is responsible for the developmen...</t>
  </si>
  <si>
    <t>https://in.linkedin.com/jobs/view/software-engineer-at-capgemini-4410017874?trk=public_jobs_topcard-title</t>
  </si>
  <si>
    <t>LI_4414155729</t>
  </si>
  <si>
    <t>Python Developer - Web Application Development</t>
  </si>
  <si>
    <t>Apple</t>
  </si>
  <si>
    <t>Summary
At Apple, new ideas quickly transform into groundbreaking products, services, and customer experiences. Bring passion and dedication to your work, and there’s no telling what can be accomplished.
As part of the Supply Chain Innovation team, you will play a pivotal role i...</t>
  </si>
  <si>
    <t>https://in.linkedin.com/jobs/view/python-developer-web-application-development-at-apple-4414155729?trk=public_jobs_topcard-title</t>
  </si>
  <si>
    <t>LI_4431230672</t>
  </si>
  <si>
    <t>Location Name: NR Trident Tech Park
Job Purpose
Purpose of the job is to ensure Salesforce SME/B2C orgs deliveries from BLR ODC.
Duties And Responsibilities
Key Responsibilities:
Responsible for Change process management and status reporting
Understand the technology infrast...</t>
  </si>
  <si>
    <t>https://in.linkedin.com/jobs/view/software-engineer-at-bajaj-finserv-4431230672?trk=public_jobs_topcard-title</t>
  </si>
  <si>
    <t>LI_4426490203</t>
  </si>
  <si>
    <t>Senior Java Software Engineer</t>
  </si>
  <si>
    <t>LTIMindtree</t>
  </si>
  <si>
    <t>We are looking for a skilled Java Full Stack Developer with strong expertise in Java, AWS cloud services, and React.js. The candidate will be responsible for designing, developing, and maintaining scalable applications across backend and frontend layers.
Experience : 8 to12 yea...</t>
  </si>
  <si>
    <t>https://in.linkedin.com/jobs/view/senior-java-software-engineer-at-ltimindtree-4426490203?trk=public_jobs_topcard-title</t>
  </si>
  <si>
    <t>LI_4434221716</t>
  </si>
  <si>
    <t>Senior Software Engineer - Full Stack</t>
  </si>
  <si>
    <t>Freshworks</t>
  </si>
  <si>
    <t>Organizations everywhere struggle under the crushing costs and complexities of “solutions” that promise to simplify their lives. To create a better experience for their customers and employees. To help them grow. Software is a choice that can make or break a business. Create bett...</t>
  </si>
  <si>
    <t>https://in.linkedin.com/jobs/view/senior-software-engineer-full-stack-at-freshworks-4434221716?trk=public_jobs_topcard-title</t>
  </si>
  <si>
    <t>LI_4420479821</t>
  </si>
  <si>
    <t>Location Name: NR Trident Tech Park
Job Purpose
Purpose of the job is to ensure Salesforce SME/B2C orgs deliveries from BLR ODC.
Duties And Responsibilities
Responsible for Change process management and status reporting
Understand the technology infrastructure and Application...</t>
  </si>
  <si>
    <t>https://in.linkedin.com/jobs/view/software-engineer-at-bajaj-finserv-4420479821?trk=public_jobs_topcard-title</t>
  </si>
  <si>
    <t>LI_4336012603</t>
  </si>
  <si>
    <t>Project Role : Custom Software Engineer
Project Role Description : Design, build and configure applications to meet business process and application requirements.
Must have skills : SAP ABAP Development for HANA
Good to have skills : NA
Minimum 3 Year(s) Of Experience Is Requ...</t>
  </si>
  <si>
    <t>https://in.linkedin.com/jobs/view/custom-software-engineer-at-accenture-in-india-4336012603?trk=public_jobs_topcard-title</t>
  </si>
  <si>
    <t>LI_4367430221</t>
  </si>
  <si>
    <t>https://in.linkedin.com/jobs/view/custom-software-engineer-at-accenture-in-india-4367430221?trk=public_jobs_topcard-title</t>
  </si>
  <si>
    <t>LI_4397169437</t>
  </si>
  <si>
    <t>https://in.linkedin.com/jobs/view/custom-software-engineer-at-accenture-in-india-4397169437?trk=public_jobs_topcard-title</t>
  </si>
  <si>
    <t>LI_4359400724</t>
  </si>
  <si>
    <t>https://in.linkedin.com/jobs/view/custom-software-engineer-at-accenture-in-india-4359400724?trk=public_jobs_topcard-title</t>
  </si>
  <si>
    <t>LI_4436374723</t>
  </si>
  <si>
    <t>https://in.linkedin.com/jobs/view/custom-software-engineer-at-accenture-in-india-4436374723?trk=public_jobs_topcard-title</t>
  </si>
  <si>
    <t>LI_4435512153</t>
  </si>
  <si>
    <t>Software Engineer II</t>
  </si>
  <si>
    <t>American Express</t>
  </si>
  <si>
    <t>Job Description
The Enterprise Technology Services organization partners with every part of the American Express business to power the company’s growth and innovation with trust and efficiency, and drive competitive differentiation with speed. We support the delivery and operati...</t>
  </si>
  <si>
    <t>https://in.linkedin.com/jobs/view/software-engineer-ii-at-american-express-4435512153?trk=public_jobs_topcard-title</t>
  </si>
  <si>
    <t>LI_4361289422</t>
  </si>
  <si>
    <t>https://in.linkedin.com/jobs/view/custom-software-engineer-at-accenture-in-india-4361289422?trk=public_jobs_topcard-title</t>
  </si>
  <si>
    <t>LI_4426974500</t>
  </si>
  <si>
    <t>hackajob is collaborating with Barclays to connect them with exceptional professionals for this role.
Join Barclays as a Software Engineer role, where you are responsible for supporting the successful delivery of Location Strategy projects to plan, budget, agreed quality and gov...</t>
  </si>
  <si>
    <t>https://in.linkedin.com/jobs/view/software-engineer-at-hackajob-4426974500?trk=public_jobs_topcard-title</t>
  </si>
  <si>
    <t>LI_4430458664</t>
  </si>
  <si>
    <t>Software Engineer in Test</t>
  </si>
  <si>
    <t>Kotak Mahindra Bank</t>
  </si>
  <si>
    <t>Software Development Engineer in Test-III
Location- Bangalore
Experience - 7years+
Tech@Kotak
Leading the Indian Banking sector with a tech-first approach
Software Development Engineer in Test-III)
What we offer
Our mission at Kotak is simple - building trust. Our customer’s t...</t>
  </si>
  <si>
    <t>https://in.linkedin.com/jobs/view/software-engineer-in-test-at-kotak-mahindra-bank-4430458664?trk=public_jobs_topcard-title</t>
  </si>
  <si>
    <t>LI_4433855427</t>
  </si>
  <si>
    <t>At U.S. Bancorp India, we’re on a journey to do our best. We believe it takes all of us to bring our shared ambition to life, and each person is unique in their potential. A career with U.S. Bancorp India gives you a wide, ever-growing range of opportunities to discover what make...</t>
  </si>
  <si>
    <t>https://in.linkedin.com/jobs/view/software-engineer-at-u-s-bank-4433855427?trk=public_jobs_topcard-title</t>
  </si>
  <si>
    <t>LI_4417039459</t>
  </si>
  <si>
    <t>People Tech Group Inc</t>
  </si>
  <si>
    <t>Hi Folks,
We have an excellent job opportunity for a Software Development Engineer at our organization, People Tech Group.
Job Description:
Job Title: Software Development Engineer.
Location: Hyderabad
Job Type: Full-Time (Work from Office)
Job Summary:
We are seeking a talent...</t>
  </si>
  <si>
    <t>https://in.linkedin.com/jobs/view/java-software-engineer-at-people-tech-group-inc-4417039459?trk=public_jobs_topcard-title</t>
  </si>
  <si>
    <t>LI_4418728636</t>
  </si>
  <si>
    <t>(IND) Software Engineer III</t>
  </si>
  <si>
    <t>About The Team
Sam’s Club is our membership warehouse club, the business model that offers our members quality products at an exceptional value unmatched by traditional retail.
We are looking for Software Engineer to join our Merchandising Catalog team at Sam’s Walmart Labs. Ca...</t>
  </si>
  <si>
    <t>https://in.linkedin.com/jobs/view/ind-software-engineer-iii-at-walmart-global-tech-india-4418728636?trk=public_jobs_topcard-title</t>
  </si>
  <si>
    <t>LI_4426966549</t>
  </si>
  <si>
    <t>hackajob is collaborating with Barclays to connect them with exceptional professionals for this role.
Join us as a Software Engineer at Barclays, where you will spearhead the evolution of our infrastructure and deployment pipelines, driving innovation and operational excellence....</t>
  </si>
  <si>
    <t>https://in.linkedin.com/jobs/view/software-engineer-at-hackajob-4426966549?trk=public_jobs_topcard-title</t>
  </si>
  <si>
    <t>LI_4432583089</t>
  </si>
  <si>
    <t>Software development Engineer</t>
  </si>
  <si>
    <t>Description
At Amazon, we hire the best minds in technology to innovate and build on behalf of our customers. The focus we have on our customers is why we are one of the world’s most beloved brands – customer obsession is part of our company DNA. Our Software Development Enginee...</t>
  </si>
  <si>
    <t>https://in.linkedin.com/jobs/view/software-development-engineer-at-amazon-4432583089?trk=public_jobs_topcard-title</t>
  </si>
  <si>
    <t>LI_4421923519</t>
  </si>
  <si>
    <t>Software Development Engineer – 2</t>
  </si>
  <si>
    <t>ConveGenius.AI</t>
  </si>
  <si>
    <t>Noida</t>
  </si>
  <si>
    <t>Uttar Pradesh</t>
  </si>
  <si>
    <t>About us:
ConveGenius is an AI-native education infrastructure company transforming how governments, enterprises, and social institutions deliver learning and governance outcomes at population scale. Operating across B2G and B2B segments, the company partners with state governmen...</t>
  </si>
  <si>
    <t>https://in.linkedin.com/jobs/view/software-development-engineer-%E2%80%93-2-at-convegenius-ai-4421923519?trk=public_jobs_topcard-title</t>
  </si>
  <si>
    <t>LI_4428192415</t>
  </si>
  <si>
    <t>Associate Software Development Engineer (Web) in Gurgaon</t>
  </si>
  <si>
    <t>Internshala</t>
  </si>
  <si>
    <t>At Internshala, we are making this dream a reality! This role is for those who love solving meaningful problems through modular and functional code. Our SDEs (web) work with our product team to deliver high-quality, high-impact products. The learning curve for engineers at Intern...</t>
  </si>
  <si>
    <t>https://in.linkedin.com/jobs/view/associate-software-development-engineer-web-in-gurgaon-at-internshala-4428192415?trk=public_jobs_topcard-title</t>
  </si>
  <si>
    <t>LI_4432794420</t>
  </si>
  <si>
    <t>Software Engineer 3 (Fullstack)</t>
  </si>
  <si>
    <t>eBay</t>
  </si>
  <si>
    <t>At eBay, we're more than a global ecommerce leader — we’re changing the way the world shops and sells. Our platform empowers millions of buyers and sellers in more than 190 markets around the world. We’re committed to pushing boundaries and leaving our mark as we reinvent the fut...</t>
  </si>
  <si>
    <t>https://in.linkedin.com/jobs/view/software-engineer-3-fullstack-at-ebay-4432794420?trk=public_jobs_topcard-title</t>
  </si>
  <si>
    <t>LI_4336594038</t>
  </si>
  <si>
    <t>Bhubaneswar</t>
  </si>
  <si>
    <t>Odisha</t>
  </si>
  <si>
    <t>https://in.linkedin.com/jobs/view/custom-software-engineer-at-accenture-in-india-4336594038?trk=public_jobs_topcard-title</t>
  </si>
  <si>
    <t>LI_4428539210</t>
  </si>
  <si>
    <t>Software Engineer-Backend</t>
  </si>
  <si>
    <t>HDFC Bank</t>
  </si>
  <si>
    <t>HDFC Digital Factory is one of the biggest Digital Banking organizations of India aiming to serve
huge customers base across India. With digital factory HDFC is going through a major digital
transformation within it banking business creating ripples in the Fintech world of India....</t>
  </si>
  <si>
    <t>https://in.linkedin.com/jobs/view/software-engineer-backend-at-hdfc-bank-4428539210?trk=public_jobs_topcard-title</t>
  </si>
  <si>
    <t>LI_4339184337</t>
  </si>
  <si>
    <t>Project Role : Software Development Engineer
Project Role Description : Analyze, design, code and test multiple components of application code across one or more clients. Perform maintenance, enhancements and/or development work.
Must have skills : Oracle Procedural Language Ex...</t>
  </si>
  <si>
    <t>https://in.linkedin.com/jobs/view/software-development-engineer-at-accenture-in-india-4339184337?trk=public_jobs_topcard-title</t>
  </si>
  <si>
    <t>LI_4432596432</t>
  </si>
  <si>
    <t>Software Engineer, Platform - Chennai, India</t>
  </si>
  <si>
    <t>Speechify</t>
  </si>
  <si>
    <t>The mission of Speechify is to make sure that reading is never a barrier to learning.
Over 50 million people use Speechify’s text-to-speech products to turn whatever they’re reading – PDFs, books, Google Docs, news articles, websites – into audio, so they can read faster, read m...</t>
  </si>
  <si>
    <t>https://in.linkedin.com/jobs/view/software-engineer-platform-chennai-india-at-speechify-4432596432?trk=public_jobs_topcard-title</t>
  </si>
  <si>
    <t>LI_4434295443</t>
  </si>
  <si>
    <t>Meet the Team 
This is an excellent opportunity to join one of the fastest growing business units of Cisco, that is focused on building next generation cloud technologies. We are working on a ground breaking new approach to manage the our extensive portfolio of products and are ...</t>
  </si>
  <si>
    <t>https://in.linkedin.com/jobs/view/software-engineer-at-cisco-4434295443?trk=public_jobs_topcard-title</t>
  </si>
  <si>
    <t>LI_4436702583</t>
  </si>
  <si>
    <t>Meet the Team
Our Incident Command Software Engineering team is a diverse and hardworking group that shares a passion for sophisticated software and computer security. We stay a step ahead of the evolving threat landscape in an AI-enabled, fast-paced Agile environment, combining...</t>
  </si>
  <si>
    <t>https://in.linkedin.com/jobs/view/software-engineer-at-cisco-4436702583?trk=public_jobs_topcard-title</t>
  </si>
  <si>
    <t>LI_4432257227</t>
  </si>
  <si>
    <t>Junior Software Test Engineer</t>
  </si>
  <si>
    <t>AQM Technologies</t>
  </si>
  <si>
    <t>🚀 Greetings from AQM Technologies!
We are happy to announce a Walk-in Drive for Freshers for the role of Software Test Engineer.
📌 Eligibility Criteria:
• B.Tech / B.E – AIML, AI, IT, Computer Science
• MCA / M.Sc – Computer Science, IT
• Offline course certification from a Sof...</t>
  </si>
  <si>
    <t>https://in.linkedin.com/jobs/view/junior-software-test-engineer-at-aqm-technologies-4432257227?trk=public_jobs_topcard-title</t>
  </si>
  <si>
    <t>LI_4343186877</t>
  </si>
  <si>
    <t>https://in.linkedin.com/jobs/view/custom-software-engineer-at-accenture-in-india-4343186877?trk=public_jobs_topcard-title</t>
  </si>
  <si>
    <t>LI_4413569260</t>
  </si>
  <si>
    <t>Software Development Engineer in Test</t>
  </si>
  <si>
    <t>shopflo</t>
  </si>
  <si>
    <t>About Shopflo
At Shopflo, we're trying to change the way consumers experience brands and businesses. Our first product was a cart and checkout platform for e-commerce, that allowed marketers to personalise discounts, rewards, and payments. We are currently also working on a new ...</t>
  </si>
  <si>
    <t>https://in.linkedin.com/jobs/view/software-development-engineer-in-test-at-shopflo-4413569260?trk=public_jobs_topcard-title</t>
  </si>
  <si>
    <t>LI_4416064535</t>
  </si>
  <si>
    <t>Aditya Birla Capital</t>
  </si>
  <si>
    <t>Job Description Of Senior Software Engineer
Job description of Senior software engineer:
KRA1
Design, develop, and maintain microservices-based applications using Java &amp; Spring Boot
KRA2
Build and consume RESTful APIs
KRA3
Collaborate with frontend teams for seamless integ...</t>
  </si>
  <si>
    <t>https://in.linkedin.com/jobs/view/software-engineer-at-aditya-birla-capital-4416064535?trk=public_jobs_topcard-title</t>
  </si>
  <si>
    <t>LI_4413762643</t>
  </si>
  <si>
    <t>Software Development Engineer, E-reader Software</t>
  </si>
  <si>
    <t>Description
Have you ever wanted to be part of a team that builds highly efficient operating system for E-reader? Amazon's E-reader team owns full stack device platform, Productivity offering built on GenAI, LLM, handwriting recognition etc and low-level components that make the...</t>
  </si>
  <si>
    <t>https://in.linkedin.com/jobs/view/software-development-engineer-e-reader-software-at-amazon-4413762643?trk=public_jobs_topcard-title</t>
  </si>
  <si>
    <t>LI_4398013685</t>
  </si>
  <si>
    <t>GE HealthCare</t>
  </si>
  <si>
    <t>Job Description Summary
As a Software Engineer, you will be responsible for the design and development of a platform, feature, subsystem, or service. You will deliver high‑quality, reliable software while ensuring compliance with GE Healthcare Quality Management Systems, contrib...</t>
  </si>
  <si>
    <t>https://in.linkedin.com/jobs/view/software-engineer-at-ge-healthcare-4398013685?trk=public_jobs_topcard-title</t>
  </si>
  <si>
    <t>LI_4419606439</t>
  </si>
  <si>
    <t>Project Role : Web Developer
Project Role Description : Design, build and test web-based applications for various site components and edit site content. Document technical designs and specifications. Research and incorporate updated content for websites.
Must have skills : Micr...</t>
  </si>
  <si>
    <t>https://in.linkedin.com/jobs/view/web-developer-at-accenture-in-india-4419606439?trk=public_jobs_topcard-title</t>
  </si>
  <si>
    <t>LI_4337395804</t>
  </si>
  <si>
    <t>Project Role : Web Developer
Project Role Description : Design, build and test web-based applications for various site components and edit site content. Document technical designs and specifications. Research and incorporate updated content for websites.
Must have skills : Info...</t>
  </si>
  <si>
    <t>https://in.linkedin.com/jobs/view/web-developer-at-accenture-in-india-4337395804?trk=public_jobs_topcard-title</t>
  </si>
  <si>
    <t>LI_4369428885</t>
  </si>
  <si>
    <t>Company: Zyoin
Website: Visit Website
Business Type: Startup
Company Type: Product
Business Model: B2B
Funding Stage: Series B
Industry: Technology, Information and Internet
Salary Range: ₹ 15-24 Lacs PA
Job Description
Forward Deployment Engineer - A Valued Client of Zy...</t>
  </si>
  <si>
    <t>https://in.linkedin.com/jobs/view/software-engineer-at-sourcingxpress-4369428885?trk=public_jobs_topcard-title</t>
  </si>
  <si>
    <t>LI_4416067484</t>
  </si>
  <si>
    <t>Job Description Of Software Engineer, Technology
Job description of Software Engineer, Technology:
KRA1
Design, develop, and maintain microservices-based applications using Java &amp; Spring Boot
KRA2
Build and consume RESTful APIs
KRA3
Collaborate with frontend teams for seam...</t>
  </si>
  <si>
    <t>https://in.linkedin.com/jobs/view/software-engineer-at-aditya-birla-capital-4416067484?trk=public_jobs_topcard-title</t>
  </si>
  <si>
    <t>LI_4436771658</t>
  </si>
  <si>
    <t>Rajasthan</t>
  </si>
  <si>
    <t>https://in.linkedin.com/jobs/view/custom-software-engineer-at-accenture-in-india-4436771658?trk=public_jobs_topcard-title</t>
  </si>
  <si>
    <t>LI_4436765868</t>
  </si>
  <si>
    <t>https://in.linkedin.com/jobs/view/custom-software-engineer-at-accenture-in-india-4436765868?trk=public_jobs_topcard-title</t>
  </si>
  <si>
    <t>LI_4436779423</t>
  </si>
  <si>
    <t>https://in.linkedin.com/jobs/view/custom-software-engineer-at-accenture-in-india-4436779423?trk=public_jobs_topcard-title</t>
  </si>
  <si>
    <t>LI_4436777503</t>
  </si>
  <si>
    <t>https://in.linkedin.com/jobs/view/custom-software-engineer-at-accenture-in-india-4436777503?trk=public_jobs_topcard-title</t>
  </si>
  <si>
    <t>LI_4420997310</t>
  </si>
  <si>
    <t>https://in.linkedin.com/jobs/view/custom-software-engineer-at-accenture-in-india-4420997310?trk=public_jobs_topcard-title</t>
  </si>
  <si>
    <t>LI_4436366589</t>
  </si>
  <si>
    <t>Software Engineer- (Summer Internship)- India Engineering</t>
  </si>
  <si>
    <t>Please note this posting is to advertise potential job opportunities. This exact role may not be open today but could open in the near future. When you apply, a Cisco representative may contact you directly if a relevant position opens.
Develop software consistent with Cisco ‘De...</t>
  </si>
  <si>
    <t>https://in.linkedin.com/jobs/view/software-engineer-summer-internship-india-engineering-at-cisco-4436366589?trk=public_jobs_topcard-title</t>
  </si>
  <si>
    <t>LI_4435837799</t>
  </si>
  <si>
    <t>https://in.linkedin.com/jobs/view/custom-software-engineer-at-accenture-in-india-4435837799?trk=public_jobs_topcard-title</t>
  </si>
  <si>
    <t>LI_4382103579</t>
  </si>
  <si>
    <t>Project Role : Custom Software Engineer
Project Role Description : Analyze, design, code and test multiple components of application code across one or more clients. Perform maintenance, enhancements and/or development work.
Must have skills : Emulation
Good to have skills : N...</t>
  </si>
  <si>
    <t>https://in.linkedin.com/jobs/view/custom-software-engineer-at-accenture-in-india-4382103579?trk=public_jobs_topcard-title</t>
  </si>
  <si>
    <t>LI_4430891267</t>
  </si>
  <si>
    <t>Software Test Engineer (M/F/D)*</t>
  </si>
  <si>
    <t>TGW Logistics</t>
  </si>
  <si>
    <t>The Software Test Engineer will be embedded in an agile project team, ensuring that the Warehouse Control System software meets business and technical requirements. They will collaborate with the Project Architect, IT Project Manager, and Developers to analyse requirements, defin...</t>
  </si>
  <si>
    <t>https://in.linkedin.com/jobs/view/software-test-engineer-m-f-d-at-tgw-logistics-4430891267?trk=public_jobs_topcard-title</t>
  </si>
  <si>
    <t>LI_4432245014</t>
  </si>
  <si>
    <t>Performance Test Engineer</t>
  </si>
  <si>
    <t>Concentrix</t>
  </si>
  <si>
    <t>- **Title:** SDET PSR
- **Department:** Software Testing
- **Location:** PAN India
**Key Responsibilities:**
7+ years of experience in designing performance tests for large enterprise applications .
Experience in designing/modelling performance tests for large enterprise applica...</t>
  </si>
  <si>
    <t>https://in.linkedin.com/jobs/view/performance-test-engineer-at-concentrix-4432245014?trk=public_jobs_topcard-title</t>
  </si>
  <si>
    <t>LI_4280915302</t>
  </si>
  <si>
    <t>https://in.linkedin.com/jobs/view/custom-software-engineer-at-accenture-in-india-4280915302?trk=public_jobs_topcard-title</t>
  </si>
  <si>
    <t>LI_4433375514</t>
  </si>
  <si>
    <t>https://in.linkedin.com/jobs/view/custom-software-engineer-at-accenture-in-india-4433375514?trk=public_jobs_topcard-title</t>
  </si>
  <si>
    <t>LI_4361536314</t>
  </si>
  <si>
    <t>Project Role : Full Stack Engineer
Project Role Description : Responsible for developing and/or engineering the end-to-end features of a system, from user experience to backend code. Use development skills to deliver innovative solutions that help our clients improve the service...</t>
  </si>
  <si>
    <t>https://in.linkedin.com/jobs/view/full-stack-engineer-at-accenture-in-india-4361536314?trk=public_jobs_topcard-title</t>
  </si>
  <si>
    <t>LI_4436762983</t>
  </si>
  <si>
    <t>https://in.linkedin.com/jobs/view/custom-software-engineer-at-accenture-in-india-4436762983?trk=public_jobs_topcard-title</t>
  </si>
  <si>
    <t>LI_4400569459</t>
  </si>
  <si>
    <t>Project Role : Custom Software Engineer
Project Role Description : Design, build and configure applications to meet business process and application requirements.
Must have skills : SAP ABAP Cloud
Good to have skills : NA
Minimum 3 Year(s) Of Experience Is Required
Education...</t>
  </si>
  <si>
    <t>https://in.linkedin.com/jobs/view/custom-software-engineer-at-accenture-in-india-4400569459?trk=public_jobs_topcard-title</t>
  </si>
  <si>
    <t>LI_4433887886</t>
  </si>
  <si>
    <t>https://in.linkedin.com/jobs/view/custom-software-engineer-at-accenture-in-india-4433887886?trk=public_jobs_topcard-title</t>
  </si>
  <si>
    <t>LI_4436778452</t>
  </si>
  <si>
    <t>https://in.linkedin.com/jobs/view/custom-software-engineer-at-accenture-in-india-4436778452?trk=public_jobs_topcard-title</t>
  </si>
  <si>
    <t>LI_4414289913</t>
  </si>
  <si>
    <t>https://in.linkedin.com/jobs/view/custom-software-engineer-at-accenture-in-india-4414289913?trk=public_jobs_topcard-title</t>
  </si>
  <si>
    <t>LI_4436370883</t>
  </si>
  <si>
    <t>https://in.linkedin.com/jobs/view/custom-software-engineer-at-accenture-in-india-4436370883?trk=public_jobs_topcard-title</t>
  </si>
  <si>
    <t>LI_4361621834</t>
  </si>
  <si>
    <t>https://in.linkedin.com/jobs/view/custom-software-engineer-at-accenture-in-india-4361621834?trk=public_jobs_topcard-title</t>
  </si>
  <si>
    <t>LI_4293702556</t>
  </si>
  <si>
    <t>https://in.linkedin.com/jobs/view/custom-software-engineer-at-accenture-in-india-4293702556?trk=public_jobs_topcard-title</t>
  </si>
  <si>
    <t>LI_4434002129</t>
  </si>
  <si>
    <t>https://in.linkedin.com/jobs/view/custom-software-engineer-at-accenture-in-india-4434002129?trk=public_jobs_topcard-title</t>
  </si>
  <si>
    <t>LI_4419473676</t>
  </si>
  <si>
    <t>https://in.linkedin.com/jobs/view/custom-software-engineer-at-accenture-in-india-4419473676?trk=public_jobs_topcard-title</t>
  </si>
  <si>
    <t>LI_4434058578</t>
  </si>
  <si>
    <t>https://in.linkedin.com/jobs/view/custom-software-engineer-at-accenture-in-india-4434058578?trk=public_jobs_topcard-title</t>
  </si>
  <si>
    <t>LI_4430106054</t>
  </si>
  <si>
    <t>Project Role : Custom Software Engineer
Project Role Description : Design, build and configure applications to meet business process and application requirements.
Must have skills : SAP for Utilities Cust Financial Mgt FICA
Good to have skills : NA
Minimum 3 Year(s) Of Experi...</t>
  </si>
  <si>
    <t>https://in.linkedin.com/jobs/view/custom-software-engineer-at-accenture-in-india-4430106054?trk=public_jobs_topcard-title</t>
  </si>
  <si>
    <t>LI_4361346470</t>
  </si>
  <si>
    <t>https://in.linkedin.com/jobs/view/full-stack-engineer-at-accenture-in-india-4361346470?trk=public_jobs_topcard-title</t>
  </si>
  <si>
    <t>LI_4434069026</t>
  </si>
  <si>
    <t>https://in.linkedin.com/jobs/view/custom-software-engineer-at-accenture-in-india-4434069026?trk=public_jobs_topcard-title</t>
  </si>
  <si>
    <t>LI_4361641701</t>
  </si>
  <si>
    <t>https://in.linkedin.com/jobs/view/custom-software-engineer-at-accenture-in-india-4361641701?trk=public_jobs_topcard-title</t>
  </si>
  <si>
    <t>LI_4423538265</t>
  </si>
  <si>
    <t>https://in.linkedin.com/jobs/view/custom-software-engineer-at-accenture-in-india-4423538265?trk=public_jobs_topcard-title</t>
  </si>
  <si>
    <t>LI_4436336034</t>
  </si>
  <si>
    <t>https://in.linkedin.com/jobs/view/custom-software-engineer-at-accenture-in-india-4436336034?trk=public_jobs_topcard-title</t>
  </si>
  <si>
    <t>LI_4430438743</t>
  </si>
  <si>
    <t>https://in.linkedin.com/jobs/view/custom-software-engineer-at-accenture-in-india-4430438743?trk=public_jobs_topcard-title</t>
  </si>
  <si>
    <t>LI_4427126296</t>
  </si>
  <si>
    <t>Project Role : Custom Software Engineer
Project Role Description : Design, build and configure applications to meet business process and application requirements.
Must have skills : Financial Asset Management
Good to have skills : NA
Minimum 3 Year(s) Of Experience Is Require...</t>
  </si>
  <si>
    <t>https://in.linkedin.com/jobs/view/custom-software-engineer-at-accenture-in-india-4427126296?trk=public_jobs_topcard-title</t>
  </si>
  <si>
    <t>LI_4434729467</t>
  </si>
  <si>
    <t>https://in.linkedin.com/jobs/view/custom-software-engineer-at-accenture-in-india-4434729467?trk=public_jobs_topcard-title</t>
  </si>
  <si>
    <t>LI_4294354997</t>
  </si>
  <si>
    <t>https://in.linkedin.com/jobs/view/custom-software-engineer-at-accenture-in-india-4294354997?trk=public_jobs_topcard-title</t>
  </si>
  <si>
    <t>LI_4405456877</t>
  </si>
  <si>
    <t>https://in.linkedin.com/jobs/view/custom-software-engineer-at-accenture-in-india-4405456877?trk=public_jobs_topcard-title</t>
  </si>
  <si>
    <t>LI_4293497910</t>
  </si>
  <si>
    <t>https://in.linkedin.com/jobs/view/custom-software-engineer-at-accenture-in-india-4293497910?trk=public_jobs_topcard-title</t>
  </si>
  <si>
    <t>LI_4341704760</t>
  </si>
  <si>
    <t>Project Role : Custom Software Engineer
Project Role Description : Design, build and configure applications to meet business process and application requirements.
Must have skills : SAP S/4HANA Group Reporting
Good to have skills : NA
Minimum 3 Year(s) Of Experience Is Requir...</t>
  </si>
  <si>
    <t>https://in.linkedin.com/jobs/view/custom-software-engineer-at-accenture-in-india-4341704760?trk=public_jobs_topcard-title</t>
  </si>
  <si>
    <t>LI_4434915138</t>
  </si>
  <si>
    <t>https://in.linkedin.com/jobs/view/custom-software-engineer-at-accenture-in-india-4434915138?trk=public_jobs_topcard-title</t>
  </si>
  <si>
    <t>LI_4434725600</t>
  </si>
  <si>
    <t>https://in.linkedin.com/jobs/view/custom-software-engineer-at-accenture-in-india-4434725600?trk=public_jobs_topcard-title</t>
  </si>
  <si>
    <t>LI_4430713279</t>
  </si>
  <si>
    <t>https://in.linkedin.com/jobs/view/custom-software-engineer-at-accenture-in-india-4430713279?trk=public_jobs_topcard-title</t>
  </si>
  <si>
    <t>LI_4436089917</t>
  </si>
  <si>
    <t>Nykaa</t>
  </si>
  <si>
    <t>Position Overview:
We are seeking a highly motivated and experienced SDET 2 to join our dynamic and innovative team at Nykaa.This role is ideal for a detail-oriented test engineer with strong skills in frontend Functional and automation testing across Web, mWeb (mobile web), Andr...</t>
  </si>
  <si>
    <t>https://in.linkedin.com/jobs/view/software-engineer-in-test-at-nykaa-4436089917?trk=public_jobs_topcard-title</t>
  </si>
  <si>
    <t>LI_4432388048</t>
  </si>
  <si>
    <t>https://in.linkedin.com/jobs/view/custom-software-engineer-at-accenture-in-india-4432388048?trk=public_jobs_topcard-title</t>
  </si>
  <si>
    <t>LI_4437486243</t>
  </si>
  <si>
    <t>https://in.linkedin.com/jobs/view/software-engineer-at-capgemini-4437486243?trk=public_jobs_topcard-title</t>
  </si>
  <si>
    <t>LI_4426959618</t>
  </si>
  <si>
    <t>hackajob is collaborating with Barclays to connect them with exceptional professionals for this role.
Join us as a Software Engineer at Barclays, responsible for supporting the successful delivery of location strategy projects to plan, budget, agreed quality and governance stand...</t>
  </si>
  <si>
    <t>https://in.linkedin.com/jobs/view/software-engineer-at-hackajob-4426959618?trk=public_jobs_topcard-title</t>
  </si>
  <si>
    <t>LI_4437473893</t>
  </si>
  <si>
    <t>https://in.linkedin.com/jobs/view/software-engineer-at-capgemini-4437473893?trk=public_jobs_topcard-title</t>
  </si>
  <si>
    <t>LI_4426966085</t>
  </si>
  <si>
    <t>Brillio</t>
  </si>
  <si>
    <t>Naehas Developer / Rules Expert
These roles focus on configuring the Naehas platform's content rules and workflows to support personalized marketing and regulatory compliance.
Primary Duties: Configure dynamic content rules and templates using JavaScript. Manage customer communic...</t>
  </si>
  <si>
    <t>https://in.linkedin.com/jobs/view/software-engineer-at-brillio-4426966085?trk=public_jobs_topcard-title</t>
  </si>
  <si>
    <t>LI_4434287753</t>
  </si>
  <si>
    <t>Meet the Team
The Cisco Wireless Feature &amp; System Engineering team builds end-to-end wireless capabilities across access points, controllers, and cloud-managed platforms. We design features that span device software, control planes, and management systems to deliver seamless, se...</t>
  </si>
  <si>
    <t>https://in.linkedin.com/jobs/view/software-engineer-at-cisco-4434287753?trk=public_jobs_topcard-title</t>
  </si>
  <si>
    <t>LI_4426962583</t>
  </si>
  <si>
    <t>https://in.linkedin.com/jobs/view/software-engineer-at-hackajob-4426962583?trk=public_jobs_topcard-title</t>
  </si>
  <si>
    <t>LI_4419109681</t>
  </si>
  <si>
    <t>Dainik Bhaskar - Lead Software Engineer - Backend Development</t>
  </si>
  <si>
    <t>Dainik Bhaskar</t>
  </si>
  <si>
    <t>Job Description You Need To Do
Own and drive backend projects end-to-end-from whiteboard brainstorming to highly available production systems.
Design and build cloud-native microservices that are resilient, observable, and horizontally scalable.
Move fast, ship often-collaborate...</t>
  </si>
  <si>
    <t>https://in.linkedin.com/jobs/view/dainik-bhaskar-lead-software-engineer-backend-development-at-dainik-bhaskar-4419109681?trk=public_jobs_topcard-title</t>
  </si>
  <si>
    <t>LI_4385124699</t>
  </si>
  <si>
    <t>Nagpur</t>
  </si>
  <si>
    <t>Project Role : Custom Software Engineer
Project Role Description : Design, build and configure applications to meet business process and application requirements.
Must have skills : Oracle Subscription Management Cloud
Good to have skills : NA
Minimum 3 Year(s) Of Experience ...</t>
  </si>
  <si>
    <t>https://in.linkedin.com/jobs/view/custom-software-engineer-at-accenture-in-india-4385124699?trk=public_jobs_topcard-title</t>
  </si>
  <si>
    <t>LI_4433373326</t>
  </si>
  <si>
    <t>https://in.linkedin.com/jobs/view/custom-software-engineer-at-accenture-in-india-4433373326?trk=public_jobs_topcard-title</t>
  </si>
  <si>
    <t>LI_4308456299</t>
  </si>
  <si>
    <t>Project Role : Custom Software Engineer
Project Role Description : Analyze, design, code and test multiple components of application code across one or more clients. Perform maintenance, enhancements and/or development work.
Must have skills : Scala
Good to have skills : NA
M...</t>
  </si>
  <si>
    <t>https://in.linkedin.com/jobs/view/custom-software-engineer-at-accenture-in-india-4308456299?trk=public_jobs_topcard-title</t>
  </si>
  <si>
    <t>LI_4433373330</t>
  </si>
  <si>
    <t>https://in.linkedin.com/jobs/view/custom-software-engineer-at-accenture-in-india-4433373330?trk=public_jobs_topcard-title</t>
  </si>
  <si>
    <t>LI_4425068973</t>
  </si>
  <si>
    <t>Technical/Functional Skills
•Databricks: In-depth knowledge of Databricks, Spark, Delta Lake, and related technologies.
•Programming: Strong programming skills in Python, Scala, or Java.
•Data Engineering: Experience with data engineering, data warehousing, and ETL tools.
•Expert...</t>
  </si>
  <si>
    <t>https://in.linkedin.com/jobs/view/software-engineer-at-tata-consultancy-services-4425068973?trk=public_jobs_topcard-title</t>
  </si>
  <si>
    <t>LI_4367323940</t>
  </si>
  <si>
    <t>https://in.linkedin.com/jobs/view/custom-software-engineer-at-accenture-in-india-4367323940?trk=public_jobs_topcard-title</t>
  </si>
  <si>
    <t>LI_4405646317</t>
  </si>
  <si>
    <t>Software Development Engineer I (SDE-I)-  iOS</t>
  </si>
  <si>
    <t>Purplle.com</t>
  </si>
  <si>
    <t>Software Development Engineer - iOS
Location: Mumbai, MH
Education: Bachelor’s in CS / IT or related field
About Purplle &amp; Our Mission
Purplle is more than a beauty e-commerce destination; we are a technology-first platform redefining how digital scale is managed. We are curr...</t>
  </si>
  <si>
    <t>https://in.linkedin.com/jobs/view/software-development-engineer-i-sde-i-ios-at-purplle-com-4405646317?trk=public_jobs_topcard-title</t>
  </si>
  <si>
    <t>LI_4422781657</t>
  </si>
  <si>
    <t>Virtusa</t>
  </si>
  <si>
    <t>GCP Tech Support Agent As a Cloud Support Agent, you are the first point of contact for users experiencing technical hurdles within Google Cloud Platform and Google Workspace. Your goal is to provide rapid, empathetic, and effective troubleshooting. You will use monitoring dashbo...</t>
  </si>
  <si>
    <t>https://in.linkedin.com/jobs/view/software-engineer-at-virtusa-4422781657?trk=public_jobs_topcard-title</t>
  </si>
  <si>
    <t>LI_4436306072</t>
  </si>
  <si>
    <t>Software Engineer — Backend &amp; AI</t>
  </si>
  <si>
    <t>BDO India</t>
  </si>
  <si>
    <t>Job Description
Role: Software Engineer - Backend &amp; AI
Experience: 4+ Years
Role Summary
The Software Engineer (Backend &amp; AI) builds and maintains the API and integration layer of the AI CoE. This includes REST APIs that expose AI capabilities, tool backends that AI agents cal...</t>
  </si>
  <si>
    <t>https://in.linkedin.com/jobs/view/software-engineer-%E2%80%94-backend-ai-at-bdo-india-4436306072?trk=public_jobs_topcard-title</t>
  </si>
  <si>
    <t>LI_4343277400</t>
  </si>
  <si>
    <t>https://in.linkedin.com/jobs/view/custom-software-engineer-at-accenture-in-india-4343277400?trk=public_jobs_topcard-title</t>
  </si>
  <si>
    <t>LI_4343129336</t>
  </si>
  <si>
    <t>https://in.linkedin.com/jobs/view/custom-software-engineer-at-accenture-in-india-4343129336?trk=public_jobs_topcard-title</t>
  </si>
  <si>
    <t>LI_4343149328</t>
  </si>
  <si>
    <t>https://in.linkedin.com/jobs/view/custom-software-engineer-at-accenture-in-india-4343149328?trk=public_jobs_topcard-title</t>
  </si>
  <si>
    <t>LI_4343099550</t>
  </si>
  <si>
    <t>https://in.linkedin.com/jobs/view/custom-software-engineer-at-accenture-in-india-4343099550?trk=public_jobs_topcard-title</t>
  </si>
  <si>
    <t>LI_4343069675</t>
  </si>
  <si>
    <t>https://in.linkedin.com/jobs/view/custom-software-engineer-at-accenture-in-india-4343069675?trk=public_jobs_topcard-title</t>
  </si>
  <si>
    <t>LI_4343089486</t>
  </si>
  <si>
    <t>https://in.linkedin.com/jobs/view/custom-software-engineer-at-accenture-in-india-4343089486?trk=public_jobs_topcard-title</t>
  </si>
  <si>
    <t>LI_4399229950</t>
  </si>
  <si>
    <t>https://in.linkedin.com/jobs/view/custom-software-engineer-at-accenture-in-india-4399229950?trk=public_jobs_topcard-title</t>
  </si>
  <si>
    <t>LI_4432956986</t>
  </si>
  <si>
    <t>Tech Mahindra</t>
  </si>
  <si>
    <t>Strong experience in IBM Sterling OMS (v9.x / v10.x) [foundit.in]Programming:Java / J2EE (mandatory) [htcinc.com]XML, XSLT, JSONOMS-specific knowledge:Order lifecycle DOM (Distributed Order Management)Sourcing inventory rulesAgents, pipelines, servicesIntegration:REST APIs / WebS...</t>
  </si>
  <si>
    <t>https://in.linkedin.com/jobs/view/software-engineer-at-tech-mahindra-4432956986?trk=public_jobs_topcard-title</t>
  </si>
  <si>
    <t>LI_4433372383</t>
  </si>
  <si>
    <t>https://in.linkedin.com/jobs/view/custom-software-engineer-at-accenture-in-india-4433372383?trk=public_jobs_topcard-title</t>
  </si>
  <si>
    <t>LI_4433354774</t>
  </si>
  <si>
    <t>https://in.linkedin.com/jobs/view/custom-software-engineer-at-accenture-in-india-4433354774?trk=public_jobs_topcard-title</t>
  </si>
  <si>
    <t>LI_4433356755</t>
  </si>
  <si>
    <t>https://in.linkedin.com/jobs/view/custom-software-engineer-at-accenture-in-india-4433356755?trk=public_jobs_topcard-title</t>
  </si>
  <si>
    <t>LI_4433365540</t>
  </si>
  <si>
    <t>https://in.linkedin.com/jobs/view/custom-software-engineer-at-accenture-in-india-4433365540?trk=public_jobs_topcard-title</t>
  </si>
  <si>
    <t>LI_4422270239</t>
  </si>
  <si>
    <t>GWS Billing Tech Support Agent
The GWS Billing QC Support Agent provides high-tier support for Google Workspace financial
inquiries, ensuring that every resolution is technically sound and follows strict Quality Control
(QC) standards. You will handle sensitive tasks such as s...</t>
  </si>
  <si>
    <t>https://in.linkedin.com/jobs/view/software-engineer-at-virtusa-4422270239?trk=public_jobs_topcard-title</t>
  </si>
  <si>
    <t>LI_4410769154</t>
  </si>
  <si>
    <t>Infinite Computer Solutions</t>
  </si>
  <si>
    <t>Job Description
DO-Orchestration-Developer
Qualifications
BSc,B Tech, BE
Range Of Year Experience-Min Year
1
Range Of Year Experience-Max Year
5 
Show more Show less</t>
  </si>
  <si>
    <t>https://in.linkedin.com/jobs/view/software-engineer-at-infinite-computer-solutions-4410769154?trk=public_jobs_topcard-title</t>
  </si>
  <si>
    <t>LI_4387256923</t>
  </si>
  <si>
    <t>Tower Research Capital</t>
  </si>
  <si>
    <t>Tower Research Capital is a leading quantitative trading firm founded in 1998. Tower has built its business on a high-performance platform and independent trading teams. We have a 25+ year track record of innovation and a reputation for discovering unique market opportunities.
T...</t>
  </si>
  <si>
    <t>https://in.linkedin.com/jobs/view/software-engineer-at-tower-research-capital-4387256923?trk=public_jobs_topcard-title</t>
  </si>
  <si>
    <t>LI_4249315561</t>
  </si>
  <si>
    <t>Software Engineer - Backend</t>
  </si>
  <si>
    <t>Infinity(YC W24)</t>
  </si>
  <si>
    <t>About Infinity
Infinity is a business banking platform for cross-border companies. We are making cross-border payments as simple as booking an Uber.
At Infinity, we're tackling the challenges of cross-border payments by optimising for three key vectors—speed, cost, and convenie...</t>
  </si>
  <si>
    <t>https://in.linkedin.com/jobs/view/software-engineer-backend-at-infinity-yc-w24-4249315561?trk=public_jobs_topcard-title</t>
  </si>
  <si>
    <t>LI_4433377214</t>
  </si>
  <si>
    <t>https://in.linkedin.com/jobs/view/custom-software-engineer-at-accenture-in-india-4433377214?trk=public_jobs_topcard-title</t>
  </si>
  <si>
    <t>LI_4437156663</t>
  </si>
  <si>
    <t>Meet the Team
Join the Supply Chain Plan IT at Cisco and help drive innovation in our Supply Chain IT systems. We’re seeking creative, passionate individuals ready for new challenges and eager to make a significant impact. As part of the team, you’ll work with cutting-edge techn...</t>
  </si>
  <si>
    <t>https://in.linkedin.com/jobs/view/software-engineer-at-cisco-4437156663?trk=public_jobs_topcard-title</t>
  </si>
  <si>
    <t>LI_4434294457</t>
  </si>
  <si>
    <t>Meet the Team
Join a dynamic and impactful team responsible for the critical sales planning and product master data mgmt. applications (Sales Hierarchy Mgmt. (SHARE), Access Mgmt. (IAM), Account Team Directory (ATD), Seller to SAV and Product Master Data Mgmt. (eGenie &amp; HMP) tha...</t>
  </si>
  <si>
    <t>https://in.linkedin.com/jobs/view/software-engineer-at-cisco-4434294457?trk=public_jobs_topcard-title</t>
  </si>
  <si>
    <t>LI_4431319135</t>
  </si>
  <si>
    <t>Description
Are you looking for an opportunity to create a new supply chain product? We are a startup team working working to enable organizations across the world with reliable, cost effective and flexible end-to-end supply chain solutions, to help them scale, succeed and offer...</t>
  </si>
  <si>
    <t>https://in.linkedin.com/jobs/view/software-development-engineer-at-amazon-4431319135?trk=public_jobs_topcard-title</t>
  </si>
  <si>
    <t>LI_4343119333</t>
  </si>
  <si>
    <t>https://in.linkedin.com/jobs/view/custom-software-engineer-at-accenture-in-india-4343119333?trk=public_jobs_topcard-title</t>
  </si>
  <si>
    <t>LI_4412000124</t>
  </si>
  <si>
    <t>Software Engineer III (Java + ReactJs)</t>
  </si>
  <si>
    <t>About Team
Search Team at Walmart is responsible for driving the e-commerce Search across multiple Walmart sites. We work in an ever-changing environment and use cutting-edge technologies to solve complex business problems. At Walmart, we work across borders, and without limits....</t>
  </si>
  <si>
    <t>https://in.linkedin.com/jobs/view/software-engineer-iii-java-%2B-reactjs-at-walmart-global-tech-india-4412000124?trk=public_jobs_topcard-title</t>
  </si>
  <si>
    <t>LI_4428254512</t>
  </si>
  <si>
    <t>Software Engineer (C/C++) Windows Platform</t>
  </si>
  <si>
    <t>IndiHire</t>
  </si>
  <si>
    <t>Job Purpose
We are looking for experienced Systems Software Engineers, within 2-13 years of experience range, with expertise in Windows platform development, system-level programming, and operating system internals. Strong background in C/C++ development, Windows architecture, pe...</t>
  </si>
  <si>
    <t>https://in.linkedin.com/jobs/view/software-engineer-c-c%2B%2B-windows-platform-at-indihire-4428254512?trk=public_jobs_topcard-title</t>
  </si>
  <si>
    <t>LI_4433360704</t>
  </si>
  <si>
    <t>https://in.linkedin.com/jobs/view/custom-software-engineer-at-accenture-in-india-4433360704?trk=public_jobs_topcard-title</t>
  </si>
  <si>
    <t>LI_4433356760</t>
  </si>
  <si>
    <t>https://in.linkedin.com/jobs/view/custom-software-engineer-at-accenture-in-india-4433356760?trk=public_jobs_topcard-title</t>
  </si>
  <si>
    <t>LI_4435212324</t>
  </si>
  <si>
    <t>Jr. Software Development Engineer</t>
  </si>
  <si>
    <t>Kevit.io</t>
  </si>
  <si>
    <t>Rajkot</t>
  </si>
  <si>
    <t>About Kevit.io
Kevit Technologies Private Limited is a conversational automation and Agentic AI company based in Rajkot, Gujarat. We help businesses automate customer communication across WhatsApp, RCS, chatbots, and other messaging channels.
Our clients span industries such as...</t>
  </si>
  <si>
    <t>https://in.linkedin.com/jobs/view/jr-software-development-engineer-at-kevit-io-4435212324?trk=public_jobs_topcard-title</t>
  </si>
  <si>
    <t>LI_4437481396</t>
  </si>
  <si>
    <t>https://in.linkedin.com/jobs/view/software-engineer-at-capgemini-4437481396?trk=public_jobs_topcard-title</t>
  </si>
  <si>
    <t>LI_4430157576</t>
  </si>
  <si>
    <t>Project Role : Custom Software Engineer
Project Role Description : Analyze, design, code and test multiple components of application code across one or more clients. Perform maintenance, enhancements and/or development work.
Must have skills : Mulesoft Anypoint Platform
Good t...</t>
  </si>
  <si>
    <t>https://in.linkedin.com/jobs/view/custom-software-engineer-at-accenture-in-india-4430157576?trk=public_jobs_topcard-title</t>
  </si>
  <si>
    <t>LI_4433888859</t>
  </si>
  <si>
    <t>https://in.linkedin.com/jobs/view/custom-software-engineer-at-accenture-in-india-4433888859?trk=public_jobs_topcard-title</t>
  </si>
  <si>
    <t>LI_4433357849</t>
  </si>
  <si>
    <t>https://in.linkedin.com/jobs/view/custom-software-engineer-at-accenture-in-india-4433357849?trk=public_jobs_topcard-title</t>
  </si>
  <si>
    <t>LI_4427051867</t>
  </si>
  <si>
    <t>https://in.linkedin.com/jobs/view/custom-software-engineer-at-accenture-in-india-4427051867?trk=public_jobs_topcard-title</t>
  </si>
  <si>
    <t>LI_4434006026</t>
  </si>
  <si>
    <t>https://in.linkedin.com/jobs/view/custom-software-engineer-at-accenture-in-india-4434006026?trk=public_jobs_topcard-title</t>
  </si>
  <si>
    <t>LI_4431312491</t>
  </si>
  <si>
    <t>https://in.linkedin.com/jobs/view/software-development-engineer-at-amazon-4431312491?trk=public_jobs_topcard-title</t>
  </si>
  <si>
    <t>LI_4437427780</t>
  </si>
  <si>
    <t>https://in.linkedin.com/jobs/view/custom-software-engineer-at-accenture-in-india-4437427780?trk=public_jobs_topcard-title</t>
  </si>
  <si>
    <t>LI_4431314202</t>
  </si>
  <si>
    <t>https://in.linkedin.com/jobs/view/software-development-engineer-at-amazon-4431314202?trk=public_jobs_topcard-title</t>
  </si>
  <si>
    <t>LI_4427958387</t>
  </si>
  <si>
    <t>https://in.linkedin.com/jobs/view/custom-software-engineer-at-accenture-in-india-4427958387?trk=public_jobs_topcard-title</t>
  </si>
  <si>
    <t>LI_4436391189</t>
  </si>
  <si>
    <t>https://in.linkedin.com/jobs/view/custom-software-engineer-at-accenture-in-india-4436391189?trk=public_jobs_topcard-title</t>
  </si>
  <si>
    <t>LI_4345831350</t>
  </si>
  <si>
    <t>https://in.linkedin.com/jobs/view/custom-software-engineer-at-accenture-in-india-4345831350?trk=public_jobs_topcard-title</t>
  </si>
  <si>
    <t>LI_4411201781</t>
  </si>
  <si>
    <t>Workplace Options</t>
  </si>
  <si>
    <t>At Workplace Options (WPO), we deliver human-centric solutions that empower people to thrive - personally and professionally. With a global team of more than 4,800 professionals, we provide real-time emotional support, therapy, coaching, mindfulness, and family services to millio...</t>
  </si>
  <si>
    <t>https://in.linkedin.com/jobs/view/software-engineer-at-workplace-options-4411201781?trk=public_jobs_topcard-title</t>
  </si>
  <si>
    <t>LI_4362724520</t>
  </si>
  <si>
    <t>https://in.linkedin.com/jobs/view/custom-software-engineer-at-accenture-in-india-4362724520?trk=public_jobs_topcard-title</t>
  </si>
  <si>
    <t>LI_4436771637</t>
  </si>
  <si>
    <t>https://in.linkedin.com/jobs/view/web-developer-at-accenture-in-india-4436771637?trk=public_jobs_topcard-title</t>
  </si>
  <si>
    <t>LI_4434005060</t>
  </si>
  <si>
    <t>https://in.linkedin.com/jobs/view/custom-software-engineer-at-accenture-in-india-4434005060?trk=public_jobs_topcard-title</t>
  </si>
  <si>
    <t>LI_4414968605</t>
  </si>
  <si>
    <t>https://in.linkedin.com/jobs/view/custom-software-engineer-at-accenture-in-india-4414968605?trk=public_jobs_topcard-title</t>
  </si>
  <si>
    <t>LI_4349371626</t>
  </si>
  <si>
    <t>https://in.linkedin.com/jobs/view/custom-software-engineer-at-accenture-in-india-4349371626?trk=public_jobs_topcard-title</t>
  </si>
  <si>
    <t>LI_4436786005</t>
  </si>
  <si>
    <t>https://in.linkedin.com/jobs/view/custom-software-engineer-at-accenture-in-india-4436786005?trk=public_jobs_topcard-title</t>
  </si>
  <si>
    <t>LI_4362365783</t>
  </si>
  <si>
    <t>https://in.linkedin.com/jobs/view/custom-software-engineer-at-accenture-in-india-4362365783?trk=public_jobs_topcard-title</t>
  </si>
  <si>
    <t>LI_4436321513</t>
  </si>
  <si>
    <t>https://in.linkedin.com/jobs/view/custom-software-engineer-at-accenture-in-india-4436321513?trk=public_jobs_topcard-title</t>
  </si>
  <si>
    <t>LI_4416906970</t>
  </si>
  <si>
    <t>https://in.linkedin.com/jobs/view/custom-software-engineer-at-accenture-in-india-4416906970?trk=public_jobs_topcard-title</t>
  </si>
  <si>
    <t>LI_4436371907</t>
  </si>
  <si>
    <t>https://in.linkedin.com/jobs/view/custom-software-engineer-at-accenture-in-india-4436371907?trk=public_jobs_topcard-title</t>
  </si>
  <si>
    <t>LI_4427965282</t>
  </si>
  <si>
    <t>https://in.linkedin.com/jobs/view/custom-software-engineer-at-accenture-in-india-4427965282?trk=public_jobs_topcard-title</t>
  </si>
  <si>
    <t>LI_4434055628</t>
  </si>
  <si>
    <t>https://in.linkedin.com/jobs/view/custom-software-engineer-at-accenture-in-india-4434055628?trk=public_jobs_topcard-title</t>
  </si>
  <si>
    <t>LI_4427059579</t>
  </si>
  <si>
    <t>https://in.linkedin.com/jobs/view/custom-software-engineer-at-accenture-in-india-4427059579?trk=public_jobs_topcard-title</t>
  </si>
  <si>
    <t>LI_4436777489</t>
  </si>
  <si>
    <t>https://in.linkedin.com/jobs/view/custom-software-engineer-at-accenture-in-india-4436777489?trk=public_jobs_topcard-title</t>
  </si>
  <si>
    <t>LI_4338948923</t>
  </si>
  <si>
    <t>https://in.linkedin.com/jobs/view/full-stack-engineer-at-accenture-in-india-4338948923?trk=public_jobs_topcard-title</t>
  </si>
  <si>
    <t>LI_4436390237</t>
  </si>
  <si>
    <t>https://in.linkedin.com/jobs/view/custom-software-engineer-at-accenture-in-india-4436390237?trk=public_jobs_topcard-title</t>
  </si>
  <si>
    <t>LI_4436376689</t>
  </si>
  <si>
    <t>https://in.linkedin.com/jobs/view/custom-software-engineer-at-accenture-in-india-4436376689?trk=public_jobs_topcard-title</t>
  </si>
  <si>
    <t>LI_4390613538</t>
  </si>
  <si>
    <t>https://in.linkedin.com/jobs/view/custom-software-engineer-at-accenture-in-india-4390613538?trk=public_jobs_topcard-title</t>
  </si>
  <si>
    <t>LI_4436388300</t>
  </si>
  <si>
    <t>https://in.linkedin.com/jobs/view/custom-software-engineer-at-accenture-in-india-4436388300?trk=public_jobs_topcard-title</t>
  </si>
  <si>
    <t>LI_4431931433</t>
  </si>
  <si>
    <t>https://in.linkedin.com/jobs/view/custom-software-engineer-at-accenture-in-india-4431931433?trk=public_jobs_topcard-title</t>
  </si>
  <si>
    <t>LI_4412192994</t>
  </si>
  <si>
    <t>Project Role : Custom Software Engineer
Project Role Description : Design, build and configure applications to meet business process and application requirements.
Must have skills : SAP Vistex
Good to have skills : NA
Minimum 3 Year(s) Of Experience Is Required
Educational Q...</t>
  </si>
  <si>
    <t>https://in.linkedin.com/jobs/view/custom-software-engineer-at-accenture-in-india-4412192994?trk=public_jobs_topcard-title</t>
  </si>
  <si>
    <t>LI_4361297451</t>
  </si>
  <si>
    <t>https://in.linkedin.com/jobs/view/full-stack-engineer-at-accenture-in-india-4361297451?trk=public_jobs_topcard-title</t>
  </si>
  <si>
    <t>LI_4343119370</t>
  </si>
  <si>
    <t>https://in.linkedin.com/jobs/view/custom-software-engineer-at-accenture-in-india-4343119370?trk=public_jobs_topcard-title</t>
  </si>
  <si>
    <t>LI_4367436123</t>
  </si>
  <si>
    <t>https://in.linkedin.com/jobs/view/custom-software-engineer-at-accenture-in-india-4367436123?trk=public_jobs_topcard-title</t>
  </si>
  <si>
    <t>LI_4429734663</t>
  </si>
  <si>
    <t>https://in.linkedin.com/jobs/view/custom-software-engineer-at-accenture-in-india-4429734663?trk=public_jobs_topcard-title</t>
  </si>
  <si>
    <t>LI_4343228909</t>
  </si>
  <si>
    <t>https://in.linkedin.com/jobs/view/custom-software-engineer-at-accenture-in-india-4343228909?trk=public_jobs_topcard-title</t>
  </si>
  <si>
    <t>LI_4343248925</t>
  </si>
  <si>
    <t>https://in.linkedin.com/jobs/view/custom-software-engineer-at-accenture-in-india-4343248925?trk=public_jobs_topcard-title</t>
  </si>
  <si>
    <t>LI_4343198949</t>
  </si>
  <si>
    <t>https://in.linkedin.com/jobs/view/custom-software-engineer-at-accenture-in-india-4343198949?trk=public_jobs_topcard-title</t>
  </si>
  <si>
    <t>LI_4389774452</t>
  </si>
  <si>
    <t>https://in.linkedin.com/jobs/view/custom-software-engineer-at-accenture-in-india-4389774452?trk=public_jobs_topcard-title</t>
  </si>
  <si>
    <t>LI_4314847707</t>
  </si>
  <si>
    <t>Project Role : Custom Software Engineer
Project Role Description : Design, build and configure applications to meet business process and application requirements.
Must have skills : Infor LN for Discrete Manufacturing
Good to have skills : NA
Minimum 3 Year(s) Of Experience I...</t>
  </si>
  <si>
    <t>https://in.linkedin.com/jobs/view/custom-software-engineer-at-accenture-in-india-4314847707?trk=public_jobs_topcard-title</t>
  </si>
  <si>
    <t>LI_4343159193</t>
  </si>
  <si>
    <t>https://in.linkedin.com/jobs/view/custom-software-engineer-at-accenture-in-india-4343159193?trk=public_jobs_topcard-title</t>
  </si>
  <si>
    <t>LI_4404786843</t>
  </si>
  <si>
    <t>Software Engineer- II | Backend Developer | India</t>
  </si>
  <si>
    <t>Five9</t>
  </si>
  <si>
    <t>Join us in bringing joy to customer experience. Five9 is a leading provider of cloud contact center software, bringing the power of cloud innovation to customers worldwide.
Living our values everyday results in our team-first culture and enables us to innovate, grow, and thrive ...</t>
  </si>
  <si>
    <t>https://in.linkedin.com/jobs/view/software-engineer-ii-backend-developer-india-at-five9-4404786843?trk=public_jobs_topcard-title</t>
  </si>
  <si>
    <t>LI_4419470675</t>
  </si>
  <si>
    <t>https://in.linkedin.com/jobs/view/custom-software-engineer-at-accenture-in-india-4419470675?trk=public_jobs_topcard-title</t>
  </si>
  <si>
    <t>LI_4315354819</t>
  </si>
  <si>
    <t>https://in.linkedin.com/jobs/view/custom-software-engineer-at-accenture-in-india-4315354819?trk=public_jobs_topcard-title</t>
  </si>
  <si>
    <t>LI_4436508608</t>
  </si>
  <si>
    <t>https://in.linkedin.com/jobs/view/software-engineer-i-at-american-express-4436508608?trk=public_jobs_topcard-title</t>
  </si>
  <si>
    <t>LI_4353663500</t>
  </si>
  <si>
    <t>Core Software Engineer (C++) - Remote</t>
  </si>
  <si>
    <t>ClickHouse</t>
  </si>
  <si>
    <t>About ClickHouse
Recognized on the 2025 Forbes Cloud 100 list, ClickHouse is one of the most innovative and fast-growing private cloud companies. With more than 3,000 customers and ARR that has grown over 250 percent year over year, ClickHouse leads the market in real-time analy...</t>
  </si>
  <si>
    <t>https://in.linkedin.com/jobs/view/core-software-engineer-c%2B%2B-remote-at-clickhouse-4353663500?trk=public_jobs_topcard-title</t>
  </si>
  <si>
    <t>LI_4435120541</t>
  </si>
  <si>
    <t>ASSOCIATE SOFTWARE ENGINEER-1</t>
  </si>
  <si>
    <t>NIIT</t>
  </si>
  <si>
    <t>Job Summary
Introduction
At NIIT, we’re transforming the way the world learns, for the better. That’s why the world’s best run learning functions across 30 countries trust us with their learning and talent. Since 1981, we have helped leading companies transform their learning e...</t>
  </si>
  <si>
    <t>https://in.linkedin.com/jobs/view/associate-software-engineer-1-at-niit-4435120541?trk=public_jobs_topcard-title</t>
  </si>
  <si>
    <t>LI_4099691164</t>
  </si>
  <si>
    <t>NetSfere</t>
  </si>
  <si>
    <t>https://in.linkedin.com/jobs/view/software-engineer-at-netsfere-4099691164?trk=public_jobs_topcard-title</t>
  </si>
  <si>
    <t>LI_4434432407</t>
  </si>
  <si>
    <t>Software Engineer, Platform - Pune, India</t>
  </si>
  <si>
    <t>https://in.linkedin.com/jobs/view/software-engineer-platform-pune-india-at-speechify-4434432407?trk=public_jobs_topcard-title</t>
  </si>
  <si>
    <t>LI_4437164730</t>
  </si>
  <si>
    <t>https://in.linkedin.com/jobs/view/custom-software-engineer-at-accenture-in-india-4437164730?trk=public_jobs_topcard-title</t>
  </si>
  <si>
    <t>LI_4346596989</t>
  </si>
  <si>
    <t>Rinovea</t>
  </si>
  <si>
    <t>We are looking for a strong Full Stack Developer with expertise in Angular, Node.js, and relational databases (MySQL/PostgreSQL) to join our product-engineering team at Rinovea. You will work on modern, scalable applications, own features end-to-end, and contribute to architectur...</t>
  </si>
  <si>
    <t>https://in.linkedin.com/jobs/view/software-engineer-at-rinovea-4346596989?trk=public_jobs_topcard-title</t>
  </si>
  <si>
    <t>LI_4435047105</t>
  </si>
  <si>
    <t>Job Description
American Express is embarking on an exciting transformation driven by an energetic new team of high performers. This group is nimble and creative with the power to shape our technology and product roadmap. If you have the talent and desire to deliver innovative p...</t>
  </si>
  <si>
    <t>https://in.linkedin.com/jobs/view/software-engineer-i-at-american-express-4435047105?trk=public_jobs_topcard-title</t>
  </si>
  <si>
    <t>LI_4425823492</t>
  </si>
  <si>
    <t>Adobe</t>
  </si>
  <si>
    <t>Our Company
Changing the world through digital experiences is what Adobe’s all about. We give everyone—from emerging artists to global brands—everything they need to design and deliver exceptional digital experiences! We’re passionate about empowering people to create beautiful ...</t>
  </si>
  <si>
    <t>https://in.linkedin.com/jobs/view/software-development-engineer-at-adobe-4425823492?trk=public_jobs_topcard-title</t>
  </si>
  <si>
    <t>LI_4394362824</t>
  </si>
  <si>
    <t>Experience
Job description
3-5 years
Role Focus
Independent execution, problem-solving
Key Responsibilities
Manage tasks independently 
Resolve routine issues 
Coordinate with cross-functional teams 
Support E1 team members 
Decision Authority:
Operational decisions withi...</t>
  </si>
  <si>
    <t>https://in.linkedin.com/jobs/view/software-engineer-at-infinite-computer-solutions-4394362824?trk=public_jobs_topcard-title</t>
  </si>
  <si>
    <t>LI_4422890184</t>
  </si>
  <si>
    <t>Software Engineer(Fullstack)</t>
  </si>
  <si>
    <t>https://in.linkedin.com/jobs/view/software-engineer-fullstack-at-docusign-4422890184?trk=public_jobs_topcard-title</t>
  </si>
  <si>
    <t>LI_4435040466</t>
  </si>
  <si>
    <t>Software Engineer (backend)</t>
  </si>
  <si>
    <t>Kodo</t>
  </si>
  <si>
    <t>About Us
At Kodo, we believe, managing a fast-growing company’s finances &amp; operations shouldn’t
feel like a juggling act. That’s why we offer a single platform to streamline all purchase
decisions, automate repetitive tasks and simplify payments. From corporate cards with smar...</t>
  </si>
  <si>
    <t>https://in.linkedin.com/jobs/view/software-engineer-backend-at-kodo-4435040466?trk=public_jobs_topcard-title</t>
  </si>
  <si>
    <t>LI_4353044251</t>
  </si>
  <si>
    <t>Mastercard</t>
  </si>
  <si>
    <t>Pune/Pimpri-Chinchwad Area</t>
  </si>
  <si>
    <t>Our Purpose
Mastercard powers economies and empowers people in 200+ countries and territories worldwide. Together with our customers, we’re helping build a sustainable economy where everyone can prosper. We support a wide range of digital payments choices, making transactions se...</t>
  </si>
  <si>
    <t>https://in.linkedin.com/jobs/view/software-engineer-ii-at-mastercard-4353044251?trk=public_jobs_topcard-title</t>
  </si>
  <si>
    <t>LI_4407545567</t>
  </si>
  <si>
    <t>Project Role : Web Developer
Project Role Description : Design, build and test web-based applications for various site components and edit site content. Document technical designs and specifications. Research and incorporate updated content for websites.
Must have skills : Acti...</t>
  </si>
  <si>
    <t>https://in.linkedin.com/jobs/view/web-developer-at-accenture-in-india-4407545567?trk=public_jobs_topcard-title</t>
  </si>
  <si>
    <t>LI_4400631750</t>
  </si>
  <si>
    <t>https://in.linkedin.com/jobs/view/custom-software-engineer-at-accenture-in-india-4400631750?trk=public_jobs_topcard-title</t>
  </si>
  <si>
    <t>LI_4404677395</t>
  </si>
  <si>
    <t>Software Engineer (Platform/Routing/Switching)</t>
  </si>
  <si>
    <t>Arista Networks is the leader in software driven networking solutions for today’s largest Data Center (DC), Cloud, Internet/WAN, Service Provider (SP) and Campus environments. Arista has over 7500 customers ranging from the largest cloud providers, to healthcare, government, carr...</t>
  </si>
  <si>
    <t>https://in.linkedin.com/jobs/view/software-engineer-platform-routing-switching-at-arista-networks-4404677395?trk=public_jobs_topcard-title</t>
  </si>
  <si>
    <t>LI_4429026908</t>
  </si>
  <si>
    <t>Software Consulting Engineer</t>
  </si>
  <si>
    <t>Please note this posting is to advertise potential job opportunities. This exact role may not be open today but could open in the near future. When you apply, a Cisco representative may contact you directly if a relevant position opens.
Job Description
Meet the Team
CX is a te...</t>
  </si>
  <si>
    <t>https://in.linkedin.com/jobs/view/software-consulting-engineer-at-cisco-4429026908?trk=public_jobs_topcard-title</t>
  </si>
  <si>
    <t>LI_4430156605</t>
  </si>
  <si>
    <t>https://in.linkedin.com/jobs/view/custom-software-engineer-at-accenture-in-india-4430156605?trk=public_jobs_topcard-title</t>
  </si>
  <si>
    <t>LI_4371894376</t>
  </si>
  <si>
    <t>Project Role : Custom Software Engineer
Project Role Description : Design, build and configure applications to meet business process and application requirements.
Must have skills : SAP TM Transportation Management
Good to have skills : NA
Minimum 3 Year(s) Of Experience Is R...</t>
  </si>
  <si>
    <t>https://in.linkedin.com/jobs/view/custom-software-engineer-at-accenture-in-india-4371894376?trk=public_jobs_topcard-title</t>
  </si>
  <si>
    <t>LI_4429028052</t>
  </si>
  <si>
    <t>L&amp;T Technology Services</t>
  </si>
  <si>
    <t>Job Description:
Base location: CTCI Kothrud Pune.
Work Model: Hybrid (min 3days per week work from Office)
Type: Time &amp; Material (T&amp;M)
Qualification – BTech/MTech/BE Computer Science/MCA
Minimum 8 years' experience in software development using C++.
Candidate should have stron...</t>
  </si>
  <si>
    <t>https://in.linkedin.com/jobs/view/software-engineer-at-l-t-technology-services-4429028052?trk=public_jobs_topcard-title</t>
  </si>
  <si>
    <t>LI_4418447156</t>
  </si>
  <si>
    <t>Project Role : Custom Software Engineer
Project Role Description : Design, build and configure applications to meet business process and application requirements.
Must have skills : Google BigQuery
Good to have skills : NA
Minimum 3 Year(s) Of Experience Is Required
Educatio...</t>
  </si>
  <si>
    <t>https://in.linkedin.com/jobs/view/custom-software-engineer-at-accenture-in-india-4418447156?trk=public_jobs_topcard-title</t>
  </si>
  <si>
    <t>LI_4433898229</t>
  </si>
  <si>
    <t>https://in.linkedin.com/jobs/view/custom-software-engineer-at-accenture-in-india-4433898229?trk=public_jobs_topcard-title</t>
  </si>
  <si>
    <t>LI_4334315695</t>
  </si>
  <si>
    <t>Project Role : Software Development Engineer
Project Role Description : Analyze, design, code and test multiple components of application code across one or more clients. Perform maintenance, enhancements and/or development work.
Must have skills : eCommerce &amp; Digital Marketpla...</t>
  </si>
  <si>
    <t>https://in.linkedin.com/jobs/view/software-development-engineer-at-accenture-in-india-4334315695?trk=public_jobs_topcard-title</t>
  </si>
  <si>
    <t>LI_4434047894</t>
  </si>
  <si>
    <t>https://in.linkedin.com/jobs/view/custom-software-engineer-at-accenture-in-india-4434047894?trk=public_jobs_topcard-title</t>
  </si>
  <si>
    <t>LI_4362976381</t>
  </si>
  <si>
    <t>Project Role : Custom Software Engineer
Project Role Description : Design, build and configure applications to meet business process and application requirements.
Must have skills : Selenium
Good to have skills : NA
Minimum 3 Year(s) Of Experience Is Required
Educational Qua...</t>
  </si>
  <si>
    <t>https://in.linkedin.com/jobs/view/custom-software-engineer-at-accenture-in-india-4362976381?trk=public_jobs_topcard-title</t>
  </si>
  <si>
    <t>LI_4430375715</t>
  </si>
  <si>
    <t>Software Engineer, C++</t>
  </si>
  <si>
    <t>Autodesk</t>
  </si>
  <si>
    <t>Job Requisition ID #
26WD99403
Position Overview
Autodesk is looking for a Software Engineer to join our team focused on shaping the future of Fusion Factory solutions. We are looking for a person who is enthusiastic about delivering innovative solutions aimed at providing a D...</t>
  </si>
  <si>
    <t>https://in.linkedin.com/jobs/view/software-engineer-c%2B%2B-at-autodesk-4430375715?trk=public_jobs_topcard-title</t>
  </si>
  <si>
    <t>LI_4434068014</t>
  </si>
  <si>
    <t>https://in.linkedin.com/jobs/view/custom-software-engineer-at-accenture-in-india-4434068014?trk=public_jobs_topcard-title</t>
  </si>
  <si>
    <t>LI_4434058575</t>
  </si>
  <si>
    <t>https://in.linkedin.com/jobs/view/custom-software-engineer-at-accenture-in-india-4434058575?trk=public_jobs_topcard-title</t>
  </si>
  <si>
    <t>LI_4356184821</t>
  </si>
  <si>
    <t>Greater Coimbatore Area</t>
  </si>
  <si>
    <t>https://in.linkedin.com/jobs/view/custom-software-engineer-at-accenture-in-india-4356184821?trk=public_jobs_topcard-title</t>
  </si>
  <si>
    <t>LI_4426571557</t>
  </si>
  <si>
    <t>https://in.linkedin.com/jobs/view/custom-software-engineer-at-accenture-in-india-4426571557?trk=public_jobs_topcard-title</t>
  </si>
  <si>
    <t>LI_4393521540</t>
  </si>
  <si>
    <t>https://in.linkedin.com/jobs/view/custom-software-engineer-at-accenture-in-india-4393521540?trk=public_jobs_topcard-title</t>
  </si>
  <si>
    <t>LI_4408066374</t>
  </si>
  <si>
    <t>https://in.linkedin.com/jobs/view/custom-software-engineer-at-accenture-in-india-4408066374?trk=public_jobs_topcard-title</t>
  </si>
  <si>
    <t>LI_4433575128</t>
  </si>
  <si>
    <t>Jr. Software Engineer</t>
  </si>
  <si>
    <t>Uest</t>
  </si>
  <si>
    <t>Job Overview
We’re looking for a passionate Junior Software Developer to join our team! If you’re eager to learn, love coding, and want to work with modern technologies, this role is for you. You’ll assist in developing and maintaining web and mobile applications while gaining h...</t>
  </si>
  <si>
    <t>https://in.linkedin.com/jobs/view/jr-software-engineer-at-uest-4433575128?trk=public_jobs_topcard-title</t>
  </si>
  <si>
    <t>LI_4436323609</t>
  </si>
  <si>
    <t>https://in.linkedin.com/jobs/view/custom-software-engineer-at-accenture-in-india-4436323609?trk=public_jobs_topcard-title</t>
  </si>
  <si>
    <t>LI_4426560832</t>
  </si>
  <si>
    <t>https://in.linkedin.com/jobs/view/custom-software-engineer-at-accenture-in-india-4426560832?trk=public_jobs_topcard-title</t>
  </si>
  <si>
    <t>LI_4337172535</t>
  </si>
  <si>
    <t>https://in.linkedin.com/jobs/view/custom-software-engineer-at-accenture-in-india-4337172535?trk=public_jobs_topcard-title</t>
  </si>
  <si>
    <t>LI_4420135233</t>
  </si>
  <si>
    <t>https://in.linkedin.com/jobs/view/web-developer-associate-at-accenture-in-india-4420135233?trk=public_jobs_topcard-title</t>
  </si>
  <si>
    <t>LI_4404293766</t>
  </si>
  <si>
    <t>Disprz</t>
  </si>
  <si>
    <t>We aspire to build a high-quality, innovative &amp; robust software. If you are a hands-on platform builder with significant experience in developing scalable data platforms, look no further. Click on Apply and we will reach out to you soon.
Your Responsibilities As An Engineer
Det...</t>
  </si>
  <si>
    <t>https://in.linkedin.com/jobs/view/associate-software-engineer-at-disprz-4404293766?trk=public_jobs_topcard-title</t>
  </si>
  <si>
    <t>LI_4434715950</t>
  </si>
  <si>
    <t>https://in.linkedin.com/jobs/view/custom-software-engineer-at-accenture-in-india-4434715950?trk=public_jobs_topcard-title</t>
  </si>
  <si>
    <t>LI_4374257366</t>
  </si>
  <si>
    <t>Software Development Engineer in Test I</t>
  </si>
  <si>
    <t>HackerRank</t>
  </si>
  <si>
    <t>HackerRank helps companies like NVIDIA, Amazon, and Microsoft hire and upskill the next generation of developers based on skills, not pedigree. Our platform is trusted by over 2,500 of the world’s most innovative companies to build strong engineering teams ready for what’s next.
...</t>
  </si>
  <si>
    <t>https://in.linkedin.com/jobs/view/software-development-engineer-in-test-i-at-hackerrank-4374257366?trk=public_jobs_topcard-title</t>
  </si>
  <si>
    <t>LI_4426544933</t>
  </si>
  <si>
    <t>https://in.linkedin.com/jobs/view/custom-software-engineer-at-accenture-in-india-4426544933?trk=public_jobs_topcard-title</t>
  </si>
  <si>
    <t>LI_4435046964</t>
  </si>
  <si>
    <t>OnGrid</t>
  </si>
  <si>
    <t>About OnGrid
OnGrid is a leading digital trust platform offering digital KYC, verifications, and background checks for
onboarding employees, contractors users, merchants, customers, etc. Founded by IIT-B alumni, OnGrid has completed more than 1 billion+ checks across 4000+ happy...</t>
  </si>
  <si>
    <t>https://in.linkedin.com/jobs/view/software-engineer-at-ongrid-4435046964?trk=public_jobs_topcard-title</t>
  </si>
  <si>
    <t>LI_4390318376</t>
  </si>
  <si>
    <t>Start your IT career with us!
Software Engineer (Java Full Stack &amp; Security Automation)
With a global team of 6000+ IT professionals, DHL IT Services connects people and keeps the global economy running by continuously innovating and creating sustainable digital solutions. We w...</t>
  </si>
  <si>
    <t>https://in.linkedin.com/jobs/view/software-engineer-at-dhl-4390318376?trk=public_jobs_topcard-title</t>
  </si>
  <si>
    <t>LI_4363686022</t>
  </si>
  <si>
    <t>Project Role : Custom Software Engineer
Project Role Description : Design, build and configure applications to meet business process and application requirements.
Must have skills : Java Full Stack Development
Good to have skills : NA
Minimum 3 Year(s) Of Experience Is Requir...</t>
  </si>
  <si>
    <t>https://in.linkedin.com/jobs/view/custom-software-engineer-at-accenture-in-india-4363686022?trk=public_jobs_topcard-title</t>
  </si>
  <si>
    <t>LI_4337767805</t>
  </si>
  <si>
    <t>https://in.linkedin.com/jobs/view/custom-software-engineer-at-accenture-in-india-4337767805?trk=public_jobs_topcard-title</t>
  </si>
  <si>
    <t>LI_4334540716</t>
  </si>
  <si>
    <t>https://in.linkedin.com/jobs/view/custom-software-engineer-at-accenture-in-india-4334540716?trk=public_jobs_topcard-title</t>
  </si>
  <si>
    <t>LI_4366380278</t>
  </si>
  <si>
    <t>https://in.linkedin.com/jobs/view/custom-software-engineer-at-accenture-in-india-4366380278?trk=public_jobs_topcard-title</t>
  </si>
  <si>
    <t>LI_4420126406</t>
  </si>
  <si>
    <t>https://in.linkedin.com/jobs/view/web-developer-associate-at-accenture-in-india-4420126406?trk=public_jobs_topcard-title</t>
  </si>
  <si>
    <t>LI_4366368542</t>
  </si>
  <si>
    <t>https://in.linkedin.com/jobs/view/custom-software-engineer-at-accenture-in-india-4366368542?trk=public_jobs_topcard-title</t>
  </si>
  <si>
    <t>LI_4366378310</t>
  </si>
  <si>
    <t>https://in.linkedin.com/jobs/view/custom-software-engineer-at-accenture-in-india-4366378310?trk=public_jobs_topcard-title</t>
  </si>
  <si>
    <t>LI_4432815905</t>
  </si>
  <si>
    <t>https://in.linkedin.com/jobs/view/custom-software-engineer-at-accenture-in-india-4432815905?trk=public_jobs_topcard-title</t>
  </si>
  <si>
    <t>LI_4366367576</t>
  </si>
  <si>
    <t>https://in.linkedin.com/jobs/view/custom-software-engineer-at-accenture-in-india-4366367576?trk=public_jobs_topcard-title</t>
  </si>
  <si>
    <t>LI_4383773086</t>
  </si>
  <si>
    <t>https://in.linkedin.com/jobs/view/full-stack-engineer-at-accenture-in-india-4383773086?trk=public_jobs_topcard-title</t>
  </si>
  <si>
    <t>LI_4433889945</t>
  </si>
  <si>
    <t>https://in.linkedin.com/jobs/view/custom-software-engineer-at-accenture-in-india-4433889945?trk=public_jobs_topcard-title</t>
  </si>
  <si>
    <t>LI_4428191376</t>
  </si>
  <si>
    <t>Project Role : Custom Software Engineer
Project Role Description : Design, build and configure applications to meet business process and application requirements.
Must have skills : Python (Programming Language)
Good to have skills : NA
Minimum 3 Year(s) Of Experience Is Requ...</t>
  </si>
  <si>
    <t>https://in.linkedin.com/jobs/view/custom-software-engineer-at-accenture-in-india-4428191376?trk=public_jobs_topcard-title</t>
  </si>
  <si>
    <t>LI_4434046935</t>
  </si>
  <si>
    <t>https://in.linkedin.com/jobs/view/custom-software-engineer-at-accenture-in-india-4434046935?trk=public_jobs_topcard-title</t>
  </si>
  <si>
    <t>LI_4399897962</t>
  </si>
  <si>
    <t>Leapwork</t>
  </si>
  <si>
    <t>At Leapwork, we are at the center of the most important shift happening in enterprise software right now, with AI changing how software is built across every industry and every enterprise. We sit at this intersection, and what makes us different is the combination no one else bri...</t>
  </si>
  <si>
    <t>https://in.linkedin.com/jobs/view/software-engineer-at-leapwork-4399897962?trk=public_jobs_topcard-title</t>
  </si>
  <si>
    <t>LI_4436768713</t>
  </si>
  <si>
    <t>https://in.linkedin.com/jobs/view/custom-software-engineer-at-accenture-in-india-4436768713?trk=public_jobs_topcard-title</t>
  </si>
  <si>
    <t>LI_4436778448</t>
  </si>
  <si>
    <t>https://in.linkedin.com/jobs/view/custom-software-engineer-at-accenture-in-india-4436778448?trk=public_jobs_topcard-title</t>
  </si>
  <si>
    <t>LI_4403122473</t>
  </si>
  <si>
    <t>https://in.linkedin.com/jobs/view/custom-software-engineer-at-accenture-in-india-4403122473?trk=public_jobs_topcard-title</t>
  </si>
  <si>
    <t>LI_4433891808</t>
  </si>
  <si>
    <t>https://in.linkedin.com/jobs/view/custom-software-engineer-at-accenture-in-india-4433891808?trk=public_jobs_topcard-title</t>
  </si>
  <si>
    <t>LI_4433890906</t>
  </si>
  <si>
    <t>https://in.linkedin.com/jobs/view/custom-software-engineer-at-accenture-in-india-4433890906?trk=public_jobs_topcard-title</t>
  </si>
  <si>
    <t>LI_4432578122</t>
  </si>
  <si>
    <t>https://in.linkedin.com/jobs/view/custom-software-engineer-at-accenture-in-india-4432578122?trk=public_jobs_topcard-title</t>
  </si>
  <si>
    <t>LI_4434067122</t>
  </si>
  <si>
    <t>https://in.linkedin.com/jobs/view/custom-software-engineer-at-accenture-in-india-4434067122?trk=public_jobs_topcard-title</t>
  </si>
  <si>
    <t>LI_4419832997</t>
  </si>
  <si>
    <t>https://in.linkedin.com/jobs/view/custom-software-engineer-at-accenture-in-india-4419832997?trk=public_jobs_topcard-title</t>
  </si>
  <si>
    <t>LI_4428719293</t>
  </si>
  <si>
    <t>Tenarai</t>
  </si>
  <si>
    <t>This is for the most uncommon Software Professionals in AI / ML Development.
Context
Our team is building an enterprise-grade, multi-agent customer support and retrieval system. The system needs to ingest complex user queries, reason through multiple steps, fetch data from extern...</t>
  </si>
  <si>
    <t>https://in.linkedin.com/jobs/view/software-engineer-at-tenarai-4428719293?trk=public_jobs_topcard-title</t>
  </si>
  <si>
    <t>LI_4271621751</t>
  </si>
  <si>
    <t>Project Role : Custom Software Engineer
Project Role Description : Design, build and configure applications to meet business process and application requirements.
Must have skills : Databricks Unified Data Analytics Platform
Good to have skills : NA
Minimum 3 Year(s) Of Exper...</t>
  </si>
  <si>
    <t>https://in.linkedin.com/jobs/view/custom-software-engineer-at-accenture-in-india-4271621751?trk=public_jobs_topcard-title</t>
  </si>
  <si>
    <t>LI_4383762421</t>
  </si>
  <si>
    <t>Project Role : Custom Software Engineer
Project Role Description : Design, build and configure applications to meet business process and application requirements.
Must have skills : Google BigQuery
Good to have skills : Teradata BI
Minimum 3 Year(s) Of Experience Is Required
...</t>
  </si>
  <si>
    <t>https://in.linkedin.com/jobs/view/custom-software-engineer-at-accenture-in-india-4383762421?trk=public_jobs_topcard-title</t>
  </si>
  <si>
    <t>LI_4433845748</t>
  </si>
  <si>
    <t>Indus Valley Partners</t>
  </si>
  <si>
    <t>Key Responsibilities
Design, develop, and maintain high-quality full stack applications using .NET Core (C#).
Write optimized and complex SQL queries, stored procedures, and functions.
Collaborate with product owners and business analysts to translate requirements into technical ...</t>
  </si>
  <si>
    <t>https://in.linkedin.com/jobs/view/software-engineer-at-indus-valley-partners-4433845748?trk=public_jobs_topcard-title</t>
  </si>
  <si>
    <t>LI_4436776415</t>
  </si>
  <si>
    <t>https://in.linkedin.com/jobs/view/custom-software-engineer-at-accenture-in-india-4436776415?trk=public_jobs_topcard-title</t>
  </si>
  <si>
    <t>LI_4433822809</t>
  </si>
  <si>
    <t>Weekday AI (YC W21)</t>
  </si>
  <si>
    <t>This role is for one of Weekday's clients
Salary range: Rs 600000 - Rs 4200000 (ie INR 6 - 42 LPA)
Min Experience: 3+ years
Location: banglaore
JobType: full-time
Requirements
Have 3+ years of experience building and shipping high-quality software in fast-moving teams
Min 3...</t>
  </si>
  <si>
    <t>https://in.linkedin.com/jobs/view/software-engineer-at-weekday-ai-yc-w21-4433822809?trk=public_jobs_topcard-title</t>
  </si>
  <si>
    <t>LI_4436779426</t>
  </si>
  <si>
    <t>https://in.linkedin.com/jobs/view/custom-software-engineer-at-accenture-in-india-4436779426?trk=public_jobs_topcard-title</t>
  </si>
  <si>
    <t>LI_4434054751</t>
  </si>
  <si>
    <t>https://in.linkedin.com/jobs/view/custom-software-engineer-at-accenture-in-india-4434054751?trk=public_jobs_topcard-title</t>
  </si>
  <si>
    <t>LI_4434062515</t>
  </si>
  <si>
    <t>https://in.linkedin.com/jobs/view/custom-software-engineer-at-accenture-in-india-4434062515?trk=public_jobs_topcard-title</t>
  </si>
  <si>
    <t>LI_4436776454</t>
  </si>
  <si>
    <t>https://in.linkedin.com/jobs/view/custom-software-engineer-at-accenture-in-india-4436776454?trk=public_jobs_topcard-title</t>
  </si>
  <si>
    <t>LI_4434052745</t>
  </si>
  <si>
    <t>https://in.linkedin.com/jobs/view/custom-software-engineer-at-accenture-in-india-4434052745?trk=public_jobs_topcard-title</t>
  </si>
  <si>
    <t>LI_4434055642</t>
  </si>
  <si>
    <t>https://in.linkedin.com/jobs/view/custom-software-engineer-at-accenture-in-india-4434055642?trk=public_jobs_topcard-title</t>
  </si>
  <si>
    <t>LI_4432040838</t>
  </si>
  <si>
    <t>https://in.linkedin.com/jobs/view/custom-software-engineer-at-accenture-in-india-4432040838?trk=public_jobs_topcard-title</t>
  </si>
  <si>
    <t>LI_4407921126</t>
  </si>
  <si>
    <t>Software Engineer (Backend/AI)</t>
  </si>
  <si>
    <t>Raven</t>
  </si>
  <si>
    <t>About Us
Raven is a YC-backed startup building AI for heavy industries. We’re building Cursor for industrial work — data infrastructure for process plants and AI agents that work on top of this data.
We work with manufacturing, chemicals, oil &amp; gas, and other industrial teams t...</t>
  </si>
  <si>
    <t>https://in.linkedin.com/jobs/view/software-engineer-backend-ai-at-raven-4407921126?trk=public_jobs_topcard-title</t>
  </si>
  <si>
    <t>LI_4410273250</t>
  </si>
  <si>
    <t>Project Role : Web Developer
Project Role Description : Design, build and test web-based applications for various site components and edit site content. Document technical designs and specifications. Research and incorporate updated content for websites.
Must have skills : Orac...</t>
  </si>
  <si>
    <t>https://in.linkedin.com/jobs/view/web-developer-at-accenture-in-india-4410273250?trk=public_jobs_topcard-title</t>
  </si>
  <si>
    <t>LI_4435207852</t>
  </si>
  <si>
    <t>Software Engineer 2 (Frontend Leaning Fullstack)</t>
  </si>
  <si>
    <t>Rippling</t>
  </si>
  <si>
    <t>About Rippling
Rippling gives businesses one place to run HR, IT, and Finance. It brings together all of the workforce systems that are normally scattered across a company, like payroll, expenses, benefits, and computers. For the first time ever, you can manage and automate eve...</t>
  </si>
  <si>
    <t>https://in.linkedin.com/jobs/view/software-engineer-2-frontend-leaning-fullstack-at-rippling-4435207852?trk=public_jobs_topcard-title</t>
  </si>
  <si>
    <t>LI_4413358856</t>
  </si>
  <si>
    <t>Software Engineer 2 - Fullstack</t>
  </si>
  <si>
    <t>https://in.linkedin.com/jobs/view/software-engineer-2-fullstack-at-ebay-4413358856?trk=public_jobs_topcard-title</t>
  </si>
  <si>
    <t>LI_4353124234</t>
  </si>
  <si>
    <t>https://in.linkedin.com/jobs/view/software-engineer-ii-at-mastercard-4353124234?trk=public_jobs_topcard-title</t>
  </si>
  <si>
    <t>LI_4087202535</t>
  </si>
  <si>
    <t>eGestalt Technologies</t>
  </si>
  <si>
    <t>We are looking for highly motivated Software Engineers (Java/JavaEE) to augment our product development team at eGestalt Technologies Pvt Ltd., Bangalore.
Responsibilities
Design and implementation of the overall web architecture (RESTful Services, Java Middleware, SQL Database...</t>
  </si>
  <si>
    <t>https://in.linkedin.com/jobs/view/software-engineer-at-egestalt-technologies-4087202535?trk=public_jobs_topcard-title</t>
  </si>
  <si>
    <t>LI_4433887895</t>
  </si>
  <si>
    <t>https://in.linkedin.com/jobs/view/custom-software-engineer-at-accenture-in-india-4433887895?trk=public_jobs_topcard-title</t>
  </si>
  <si>
    <t>LI_4433893674</t>
  </si>
  <si>
    <t>https://in.linkedin.com/jobs/view/custom-software-engineer-at-accenture-in-india-4433893674?trk=public_jobs_topcard-title</t>
  </si>
  <si>
    <t>LI_4346121454</t>
  </si>
  <si>
    <t>https://in.linkedin.com/jobs/view/custom-software-engineer-at-accenture-in-india-4346121454?trk=public_jobs_topcard-title</t>
  </si>
  <si>
    <t>LI_4383765305</t>
  </si>
  <si>
    <t>https://in.linkedin.com/jobs/view/full-stack-engineer-at-accenture-in-india-4383765305?trk=public_jobs_topcard-title</t>
  </si>
  <si>
    <t>LI_4433893661</t>
  </si>
  <si>
    <t>https://in.linkedin.com/jobs/view/custom-software-engineer-at-accenture-in-india-4433893661?trk=public_jobs_topcard-title</t>
  </si>
  <si>
    <t>LI_4427406195</t>
  </si>
  <si>
    <t>Alightway Solutions Pvt. Ltd.</t>
  </si>
  <si>
    <t>Lucknow</t>
  </si>
  <si>
    <t>Home
About
Services
Online Marketing
Search Engine Optimization
Social Media Marketing
Email Marketing
Lead Generation
Content Marketing
WhatsApp Marketing
Performance Marketing
Design
Graphic
UI &amp; UX
Motion
Logo
Banner
Brochure
Packaging
Web Design
Development
WordPress
So...</t>
  </si>
  <si>
    <t>https://in.linkedin.com/jobs/view/web-developer-at-alightway-solutions-pvt-ltd-4427406195?trk=public_jobs_topcard-title</t>
  </si>
  <si>
    <t>LI_4310871124</t>
  </si>
  <si>
    <t>Project Role : Custom Software Engineer
Project Role Description : Design, build and configure applications to meet business process and application requirements.
Must have skills : Salesforce CG Cloud Trade Promotion Management Development
Good to have skills : NA
Minimum 3 ...</t>
  </si>
  <si>
    <t>https://in.linkedin.com/jobs/view/custom-software-engineer-at-accenture-in-india-4310871124?trk=public_jobs_topcard-title</t>
  </si>
  <si>
    <t>LI_4390353557</t>
  </si>
  <si>
    <t>https://in.linkedin.com/jobs/view/custom-software-engineer-at-accenture-in-india-4390353557?trk=public_jobs_topcard-title</t>
  </si>
  <si>
    <t>LI_4402047987</t>
  </si>
  <si>
    <t>https://in.linkedin.com/jobs/view/custom-software-engineer-at-accenture-in-india-4402047987?trk=public_jobs_topcard-title</t>
  </si>
  <si>
    <t>LI_4289959180</t>
  </si>
  <si>
    <t>Project Role : Custom Software Engineer
Project Role Description : Design, build and configure applications to meet business process and application requirements.
Must have skills : Apache Spark
Good to have skills : Apache Hadoop, PySpark, Python (Programming Language)
Minim...</t>
  </si>
  <si>
    <t>https://in.linkedin.com/jobs/view/custom-software-engineer-at-accenture-in-india-4289959180?trk=public_jobs_topcard-title</t>
  </si>
  <si>
    <t>LI_4415258642</t>
  </si>
  <si>
    <t>Greater Kolkata Area</t>
  </si>
  <si>
    <t>Project Role : Web Developer
Project Role Description : Design, build and test web-based applications for various site components and edit site content. Document technical designs and specifications. Research and incorporate updated content for websites.
Must have skills : SAP ...</t>
  </si>
  <si>
    <t>https://in.linkedin.com/jobs/view/web-developer-at-accenture-in-india-4415258642?trk=public_jobs_topcard-title</t>
  </si>
  <si>
    <t>LI_4436182264</t>
  </si>
  <si>
    <t>https://in.linkedin.com/jobs/view/custom-software-engineer-at-accenture-in-india-4436182264?trk=public_jobs_topcard-title</t>
  </si>
  <si>
    <t>LI_4436183266</t>
  </si>
  <si>
    <t>Project Role : Custom Software Engineer
Project Role Description : Design, build and configure applications to meet business process and application requirements.
Must have skills : Aras Innovator Customization
Good to have skills : NA
Minimum 3 Year(s) Of Experience Is Requi...</t>
  </si>
  <si>
    <t>https://in.linkedin.com/jobs/view/custom-software-engineer-at-accenture-in-india-4436183266?trk=public_jobs_topcard-title</t>
  </si>
  <si>
    <t>LI_4411224462</t>
  </si>
  <si>
    <t>Software Development Engineer, Andiamo</t>
  </si>
  <si>
    <t>Description
Are you ready to shape the future of e-commerce in Europe's emerging markets? Join Amazon's EU INTech E3 team as we build the next generation of shopping experiences for millions of customers across Europe.
As a Software Development Engineer in our team, you'll be a...</t>
  </si>
  <si>
    <t>https://in.linkedin.com/jobs/view/software-development-engineer-andiamo-at-amazon-4411224462?trk=public_jobs_topcard-title</t>
  </si>
  <si>
    <t>LI_4375670310</t>
  </si>
  <si>
    <t>https://in.linkedin.com/jobs/view/custom-software-engineer-at-accenture-in-india-4375670310?trk=public_jobs_topcard-title</t>
  </si>
  <si>
    <t>LI_4281441958</t>
  </si>
  <si>
    <t>Project Role : Custom Software Engineer
Project Role Description : Design, build and configure applications to meet business process and application requirements.
Must have skills : Duck Creek Claims
Good to have skills : NA
Minimum 3 Year(s) Of Experience Is Required
Educat...</t>
  </si>
  <si>
    <t>https://in.linkedin.com/jobs/view/custom-software-engineer-at-accenture-in-india-4281441958?trk=public_jobs_topcard-title</t>
  </si>
  <si>
    <t>LI_4310413759</t>
  </si>
  <si>
    <t>https://in.linkedin.com/jobs/view/custom-software-engineer-at-accenture-in-india-4310413759?trk=public_jobs_topcard-title</t>
  </si>
  <si>
    <t>LI_4411233137</t>
  </si>
  <si>
    <t>Project Role : Custom Software Engineer
Project Role Description : Lead the effort to design, build and configure applications, acting as the primary point of contact.
Must have skills : IBM Sterling Commerce
Good to have skills : A&amp;D Aftermarket
Minimum 3 Year(s) Of Experien...</t>
  </si>
  <si>
    <t>https://in.linkedin.com/jobs/view/custom-software-engineer-at-accenture-in-india-4411233137?trk=public_jobs_topcard-title</t>
  </si>
  <si>
    <t>LI_4433888870</t>
  </si>
  <si>
    <t>https://in.linkedin.com/jobs/view/custom-software-engineer-at-accenture-in-india-4433888870?trk=public_jobs_topcard-title</t>
  </si>
  <si>
    <t>LI_4419908728</t>
  </si>
  <si>
    <t>https://in.linkedin.com/jobs/view/custom-software-engineer-at-accenture-in-india-4419908728?trk=public_jobs_topcard-title</t>
  </si>
  <si>
    <t>LI_4409201973</t>
  </si>
  <si>
    <t>https://in.linkedin.com/jobs/view/custom-software-engineer-at-accenture-in-india-4409201973?trk=public_jobs_topcard-title</t>
  </si>
  <si>
    <t>LI_4366365576</t>
  </si>
  <si>
    <t>https://in.linkedin.com/jobs/view/custom-software-engineer-at-accenture-in-india-4366365576?trk=public_jobs_topcard-title</t>
  </si>
  <si>
    <t>LI_4423898788</t>
  </si>
  <si>
    <t>AlgoShack</t>
  </si>
  <si>
    <t>Junior JavaScript / React.js Developer (0–1 Years Experience)
We are looking for a passionate and motivated Junior JavaScript / React.js Developer to join our development team. This role is ideal for freshers or candidates with 1 +year of experience who have a strong foundation ...</t>
  </si>
  <si>
    <t>https://in.linkedin.com/jobs/view/software-engineer-at-algoshack-4423898788?trk=public_jobs_topcard-title</t>
  </si>
  <si>
    <t>LI_4281448124</t>
  </si>
  <si>
    <t>https://in.linkedin.com/jobs/view/custom-software-engineer-at-accenture-in-india-4281448124?trk=public_jobs_topcard-title</t>
  </si>
  <si>
    <t>LI_4427391687</t>
  </si>
  <si>
    <t>Back End Software Engineer</t>
  </si>
  <si>
    <t>SLB</t>
  </si>
  <si>
    <t>About Us
We are a global technology company, driving energy innovation for a balanced planet.
Together, we create amazing technology that unlocks access to energy for the benefit of all.
Our inclusive culture is the key to our success. We collaborate with our internal communit...</t>
  </si>
  <si>
    <t>https://in.linkedin.com/jobs/view/back-end-software-engineer-at-slb-4427391687?trk=public_jobs_topcard-title</t>
  </si>
  <si>
    <t>LI_4375454852</t>
  </si>
  <si>
    <t>https://in.linkedin.com/jobs/view/custom-software-engineer-at-accenture-in-india-4375454852?trk=public_jobs_topcard-title</t>
  </si>
  <si>
    <t>LI_4427534037</t>
  </si>
  <si>
    <t>- **Title:** Java Developer
- **Department:** Software Development
- **Location:** Pune
- **Work Mode:** Hybrid
**Key Responsibilities:**
6+ years of experience in Java, J2EE and related technologies.
UI Tier - Spring MVC, Angular 12, jQuery
• Business Tier - Proficient in REST ...</t>
  </si>
  <si>
    <t>https://in.linkedin.com/jobs/view/java-software-engineer-at-concentrix-4427534037?trk=public_jobs_topcard-title</t>
  </si>
  <si>
    <t>LI_4434069044</t>
  </si>
  <si>
    <t>https://in.linkedin.com/jobs/view/custom-software-engineer-at-accenture-in-india-4434069044?trk=public_jobs_topcard-title</t>
  </si>
  <si>
    <t>LI_4400636588</t>
  </si>
  <si>
    <t>https://in.linkedin.com/jobs/view/custom-software-engineer-at-accenture-in-india-4400636588?trk=public_jobs_topcard-title</t>
  </si>
  <si>
    <t>LI_4434720827</t>
  </si>
  <si>
    <t>https://in.linkedin.com/jobs/view/custom-software-engineer-at-accenture-in-india-4434720827?trk=public_jobs_topcard-title</t>
  </si>
  <si>
    <t>LI_4286834690</t>
  </si>
  <si>
    <t>Spectro Cloud</t>
  </si>
  <si>
    <t>Who We AreSpectro Cloud aims to make infrastructure boundaryless for the enterprise, from data center to edge and every platform in between. We provide solutions that help enterprises run applications on Kubernetes, their way, anywhere.
Established by a team of multi-cloud manag...</t>
  </si>
  <si>
    <t>https://in.linkedin.com/jobs/view/software-engineer-at-spectro-cloud-4286834690?trk=public_jobs_topcard-title</t>
  </si>
  <si>
    <t>LI_4361595236</t>
  </si>
  <si>
    <t>https://in.linkedin.com/jobs/view/full-stack-engineer-at-accenture-in-india-4361595236?trk=public_jobs_topcard-title</t>
  </si>
  <si>
    <t>LI_4437153799</t>
  </si>
  <si>
    <t>Freelance Full-Stack Web App Developer</t>
  </si>
  <si>
    <t>Mindrift</t>
  </si>
  <si>
    <t>Mindrift is looking for skilled Full-Stack Web App Developers (JavaScript/TypeScript + Python or Node) to join the Tendem project (https://tendem.ai/) and build interactive browser-based applications within our hybrid AI + human environment. In this role, as an AI Pilot - that's ...</t>
  </si>
  <si>
    <t>https://in.linkedin.com/jobs/view/freelance-full-stack-web-app-developer-at-mindrift-4437153799?trk=public_jobs_topcard-title</t>
  </si>
  <si>
    <t>LI_4419907717</t>
  </si>
  <si>
    <t>https://in.linkedin.com/jobs/view/custom-software-engineer-at-accenture-in-india-4419907717?trk=public_jobs_topcard-title</t>
  </si>
  <si>
    <t>LI_4139842127</t>
  </si>
  <si>
    <t>Software Development Engineer - Backend</t>
  </si>
  <si>
    <t>Expound Technivo</t>
  </si>
  <si>
    <t>Careers/All open positions
Software Development Engineer - BackendMumbai
Expound Technivo started as a group of team tech enthusiasts with a desire to do something new. Together, we wanted to help global enterprises with software and reinvent how business is done.
Today, the s...</t>
  </si>
  <si>
    <t>https://in.linkedin.com/jobs/view/software-development-engineer-backend-at-expound-technivo-4139842127?trk=public_jobs_topcard-title</t>
  </si>
  <si>
    <t>LI_4418757421</t>
  </si>
  <si>
    <t>Revenera</t>
  </si>
  <si>
    <t>Revenera helps product executives build better products, accelerate time to value and monetize what matters. Revenera’s leading solutions help software and technology companies drive top line revenue with modern software monetization, understand usage and compliance with software...</t>
  </si>
  <si>
    <t>https://in.linkedin.com/jobs/view/software-engineer-at-revenera-4418757421?trk=public_jobs_topcard-title</t>
  </si>
  <si>
    <t>LI_4399776115</t>
  </si>
  <si>
    <t>MTS 1, Software Engineer (Backend)</t>
  </si>
  <si>
    <t>https://in.linkedin.com/jobs/view/mts-1-software-engineer-backend-at-ebay-4399776115?trk=public_jobs_topcard-title</t>
  </si>
  <si>
    <t>LI_4402688266</t>
  </si>
  <si>
    <t>Java - Senior Software Engineer (7 to 12 Years)</t>
  </si>
  <si>
    <t>Sony India Software Centre</t>
  </si>
  <si>
    <t>Good to have knowledge and working experience with high volume systems.
Expert in Java 11+, Spring Boot, Rest API and AWS services (DynamoDB, UKS,SQS,Lambda)
Should be able to work with minimal guidance.
Expert in problem Debugging skills.
Added advantage if having exp with Payme...</t>
  </si>
  <si>
    <t>https://in.linkedin.com/jobs/view/java-senior-software-engineer-7-to-12-years-at-sony-india-software-centre-4402688266?trk=public_jobs_topcard-title</t>
  </si>
  <si>
    <t>LI_4436090246</t>
  </si>
  <si>
    <t>https://in.linkedin.com/jobs/view/software-engineer-at-hackajob-4436090246?trk=public_jobs_topcard-title</t>
  </si>
  <si>
    <t>LI_4398938547</t>
  </si>
  <si>
    <t>Software Development Engineer, MENA Payments, MENA Payments</t>
  </si>
  <si>
    <t>Description
We are looking for passionate and talented software engineers who have experience building innovative, critical, high volume applications that customers love. This is a high visibility team where you will get a chance to make a positive impact on customer experience....</t>
  </si>
  <si>
    <t>https://in.linkedin.com/jobs/view/software-development-engineer-mena-payments-mena-payments-at-amazon-4398938547?trk=public_jobs_topcard-title</t>
  </si>
  <si>
    <t>LI_4425602803</t>
  </si>
  <si>
    <t>software engineer</t>
  </si>
  <si>
    <t>NXP Semiconductors</t>
  </si>
  <si>
    <t>Responsibilities
Develop / port / maintain testing for MPU/MCU ROM software and tools to ensure functionality, compatibility, performance, and stability.
Validate ROM software for MPU/MCU chips on FPGA/Zebu environment and reference boards.
Design / develop / use test tools for ...</t>
  </si>
  <si>
    <t>https://in.linkedin.com/jobs/view/software-engineer-at-nxp-semiconductors-4425602803?trk=public_jobs_topcard-title</t>
  </si>
  <si>
    <t>LI_4060903567</t>
  </si>
  <si>
    <t>InCred Money</t>
  </si>
  <si>
    <t>Responsibilities
Develop cross platform application based on technical specifications
Maintain multiple releases and follow a seamless, friction-less process of version upgrade
Work closely with the backend team to understand and consume the data APIs as per the requirements
Re...</t>
  </si>
  <si>
    <t>https://in.linkedin.com/jobs/view/software-engineer-at-incred-money-4060903567?trk=public_jobs_topcard-title</t>
  </si>
  <si>
    <t>LI_4404918788</t>
  </si>
  <si>
    <t>https://in.linkedin.com/jobs/view/full-stack-engineer-at-accenture-in-india-4404918788?trk=public_jobs_topcard-title</t>
  </si>
  <si>
    <t>LI_4078492078</t>
  </si>
  <si>
    <t>Jr. Web Developer (PHP)</t>
  </si>
  <si>
    <t>Apex Tigre</t>
  </si>
  <si>
    <t>Skills Required
PHP Laravel Development
Duties &amp; Responsibilities
Strong knowledge of PHP web frameworks (such as Laravel)
Understanding the fully synchronous behavior of PHP
Understanding of MVC design patterns
Basic understanding of front-end technologies, such as JavaScript...</t>
  </si>
  <si>
    <t>https://in.linkedin.com/jobs/view/jr-web-developer-php-at-apex-tigre-4078492078?trk=public_jobs_topcard-title</t>
  </si>
  <si>
    <t>LI_4434653769</t>
  </si>
  <si>
    <t>LSEG</t>
  </si>
  <si>
    <t>LSEG Data &amp; Analytics is one of the world’s largest providers of financial markets data and infrastructure. With over 40,000 customers and 400,000 end users across approximately 190 markets, we are an essential partner to the global financial community and redefining the future o...</t>
  </si>
  <si>
    <t>https://in.linkedin.com/jobs/view/software-engineer-at-lseg-4434653769?trk=public_jobs_topcard-title</t>
  </si>
  <si>
    <t>LI_4423128956</t>
  </si>
  <si>
    <t>Lepide</t>
  </si>
  <si>
    <t>About Us
With Offices in Texas, London and New Delhi, Lepide is a global IT security organization, leading the data-centric audit and protection (DCAP) market with the award-winning Lepide Data Security Platform. Our mission is to change the way most organizations protect their u...</t>
  </si>
  <si>
    <t>https://in.linkedin.com/jobs/view/software-engineer-at-lepide-4423128956?trk=public_jobs_topcard-title</t>
  </si>
  <si>
    <t>LI_4418553786</t>
  </si>
  <si>
    <t>https://in.linkedin.com/jobs/view/software-engineer-at-docusign-4418553786?trk=public_jobs_topcard-title</t>
  </si>
  <si>
    <t>LI_4336983391</t>
  </si>
  <si>
    <t>Project Role : Custom Software Engineer
Project Role Description : Analyze, design, code and test multiple components of application code across one or more clients. Perform maintenance, enhancements and/or development work.
Must have skills : Oracle HCM Cloud Core HR
Good to ...</t>
  </si>
  <si>
    <t>https://in.linkedin.com/jobs/view/custom-software-engineer-at-accenture-in-india-4336983391?trk=public_jobs_topcard-title</t>
  </si>
  <si>
    <t>LI_4437166121</t>
  </si>
  <si>
    <t>https://in.linkedin.com/jobs/view/freelance-full-stack-web-app-developer-at-mindrift-4437166121?trk=public_jobs_topcard-title</t>
  </si>
  <si>
    <t>LI_4400243259</t>
  </si>
  <si>
    <t>Project Role : Custom Software Engineer
Project Role Description : Design, build and configure applications to meet business process and application requirements.
Must have skills : Workday Advanced Reporting
Good to have skills : NA
Minimum 3 Year(s) Of Experience Is Require...</t>
  </si>
  <si>
    <t>https://in.linkedin.com/jobs/view/custom-software-engineer-at-accenture-in-india-4400243259?trk=public_jobs_topcard-title</t>
  </si>
  <si>
    <t>LI_4415512832</t>
  </si>
  <si>
    <t>https://in.linkedin.com/jobs/view/custom-software-engineer-at-accenture-in-india-4415512832?trk=public_jobs_topcard-title</t>
  </si>
  <si>
    <t>LI_4434005064</t>
  </si>
  <si>
    <t>https://in.linkedin.com/jobs/view/custom-software-engineer-at-accenture-in-india-4434005064?trk=public_jobs_topcard-title</t>
  </si>
  <si>
    <t>LI_4415513829</t>
  </si>
  <si>
    <t>https://in.linkedin.com/jobs/view/custom-software-engineer-at-accenture-in-india-4415513829?trk=public_jobs_topcard-title</t>
  </si>
  <si>
    <t>LI_4419906701</t>
  </si>
  <si>
    <t>Project Role : Custom Software Engineer
Project Role Description : Design, build and configure applications to meet business process and application requirements.
Must have skills : SAP S/4HANA Embedded Production Planning and Detailed Scheduling (EPPDS)
Good to have skills : ...</t>
  </si>
  <si>
    <t>https://in.linkedin.com/jobs/view/custom-software-engineer-at-accenture-in-india-4419906701?trk=public_jobs_topcard-title</t>
  </si>
  <si>
    <t>LI_4405892731</t>
  </si>
  <si>
    <t>https://in.linkedin.com/jobs/view/custom-software-engineer-at-accenture-in-india-4405892731?trk=public_jobs_topcard-title</t>
  </si>
  <si>
    <t>LI_4429101687</t>
  </si>
  <si>
    <t>https://in.linkedin.com/jobs/view/custom-software-engineer-at-accenture-in-india-4429101687?trk=public_jobs_topcard-title</t>
  </si>
  <si>
    <t>LI_4416273858</t>
  </si>
  <si>
    <t>https://in.linkedin.com/jobs/view/custom-software-engineer-at-accenture-in-india-4416273858?trk=public_jobs_topcard-title</t>
  </si>
  <si>
    <t>LI_4406456529</t>
  </si>
  <si>
    <t>Software Engineer III</t>
  </si>
  <si>
    <t>About Team:
Personalization team at Walmart is dedicated to the mission of knowing our customers better and making it frictionless and faster for them to get what they want while building a trusted partnership with Walmart. We help bring a seamless experience to our customers ir...</t>
  </si>
  <si>
    <t>https://in.linkedin.com/jobs/view/software-engineer-iii-at-walmart-global-tech-india-4406456529?trk=public_jobs_topcard-title</t>
  </si>
  <si>
    <t>LI_4432777388</t>
  </si>
  <si>
    <t>https://in.linkedin.com/jobs/view/custom-software-engineer-at-accenture-in-india-4432777388?trk=public_jobs_topcard-title</t>
  </si>
  <si>
    <t>LI_4429046198</t>
  </si>
  <si>
    <t>CrimsonLogic</t>
  </si>
  <si>
    <t>CrimsonLogic is a leading global technology company specializing in digital transformation solutions for trade, logistics, government, and financial services. With a strong presence across multiple countries, it focuses on delivering innovative, secure, and scalable platforms to ...</t>
  </si>
  <si>
    <t>https://in.linkedin.com/jobs/view/java-software-engineer-at-crimsonlogic-4429046198?trk=public_jobs_topcard-title</t>
  </si>
  <si>
    <t>LI_4432771508</t>
  </si>
  <si>
    <t>https://in.linkedin.com/jobs/view/custom-software-engineer-at-accenture-in-india-4432771508?trk=public_jobs_topcard-title</t>
  </si>
  <si>
    <t>LI_4432779326</t>
  </si>
  <si>
    <t>https://in.linkedin.com/jobs/view/custom-software-engineer-at-accenture-in-india-4432779326?trk=public_jobs_topcard-title</t>
  </si>
  <si>
    <t>LI_4416447583</t>
  </si>
  <si>
    <t>https://in.linkedin.com/jobs/view/custom-software-engineer-at-accenture-in-india-4416447583?trk=public_jobs_topcard-title</t>
  </si>
  <si>
    <t>LI_4436763997</t>
  </si>
  <si>
    <t>https://in.linkedin.com/jobs/view/custom-software-engineer-at-accenture-in-india-4436763997?trk=public_jobs_topcard-title</t>
  </si>
  <si>
    <t>LI_4426916939</t>
  </si>
  <si>
    <t>Software Engineer (Node.js/React) | Remote</t>
  </si>
  <si>
    <t>Position: Software Engineer, Financial Platform
Type: Full-Time
Compensation: $180K - $230K/yr
Location: Remote
Role Responsibilities
Write, ship, and maintain production code daily across fullstack applications using Node.js, React.js, Next.js, and PostgreSQL.
Build scalable ba...</t>
  </si>
  <si>
    <t>https://in.linkedin.com/jobs/view/software-engineer-node-js-react-remote-at-crossing-hurdles-4426916939?trk=public_jobs_topcard-title</t>
  </si>
  <si>
    <t>LI_4344854950</t>
  </si>
  <si>
    <t>https://in.linkedin.com/jobs/view/custom-software-engineer-at-accenture-in-india-4344854950?trk=public_jobs_topcard-title</t>
  </si>
  <si>
    <t>LI_4248974185</t>
  </si>
  <si>
    <t>Software Quality Engineer</t>
  </si>
  <si>
    <t>UPS</t>
  </si>
  <si>
    <t>Before you apply to a job, select your language preference from the options available at the top right of this page.
Explore your next opportunity at a Fortune Global 500 organization. Envision innovative possibilities, experience our rewarding culture, and work with talented te...</t>
  </si>
  <si>
    <t>https://in.linkedin.com/jobs/view/software-quality-engineer-at-ups-4248974185?trk=public_jobs_topcard-title</t>
  </si>
  <si>
    <t>LI_4306114556</t>
  </si>
  <si>
    <t>Software Engineer Python</t>
  </si>
  <si>
    <t>Pinnacle Seven Technologies</t>
  </si>
  <si>
    <t>Job Description
Programming Language: Python. 
Familiarity with some ORM (Object Relational Mapper) libraries Experience in Python web framework such as Django, Flask, etc.
Good Knowledge in any SQL database administration Understanding of the threading limitations of Python, an...</t>
  </si>
  <si>
    <t>https://in.linkedin.com/jobs/view/software-engineer-python-at-pinnacle-seven-technologies-4306114556?trk=public_jobs_topcard-title</t>
  </si>
  <si>
    <t>LI_4414904759</t>
  </si>
  <si>
    <t>Software Engineer (Java and React)</t>
  </si>
  <si>
    <t>ISS-Corporate</t>
  </si>
  <si>
    <t>Let’s be #BrilliantTogether
ISS STOXX is looking for a Full Stack Developer (Java and React) to join our team in Mumbai (Goregaon East), India
Overview
We’re seeking a driven and technically grounded Software Engineer (3–5 years of experience) to join our Engineering team and ...</t>
  </si>
  <si>
    <t>https://in.linkedin.com/jobs/view/software-engineer-java-and-react-at-iss-corporate-4414904759?trk=public_jobs_topcard-title</t>
  </si>
  <si>
    <t>LI_4421940715</t>
  </si>
  <si>
    <t>Software Engineer - C++ Linux</t>
  </si>
  <si>
    <t>https://in.linkedin.com/jobs/view/software-engineer-c%2B%2B-linux-at-harman-india-4421940715?trk=public_jobs_topcard-title</t>
  </si>
  <si>
    <t>LI_4437435430</t>
  </si>
  <si>
    <t>https://in.linkedin.com/jobs/view/custom-software-engineer-at-accenture-in-india-4437435430?trk=public_jobs_topcard-title</t>
  </si>
  <si>
    <t>LI_4428839991</t>
  </si>
  <si>
    <t>Sr. Software Engineer</t>
  </si>
  <si>
    <t>geidea</t>
  </si>
  <si>
    <t>Established in 2008, Geidea epitomises customer focused empowerment and commercial success through continuous innovation
Geidea makes best in class digital payment solutions available for all by attracting and leveraging the best creative &amp; entrepreneurial talent in the market
Ou...</t>
  </si>
  <si>
    <t>https://in.linkedin.com/jobs/view/sr-software-engineer-at-geidea-4428839991?trk=public_jobs_topcard-title</t>
  </si>
  <si>
    <t>LI_4371516951</t>
  </si>
  <si>
    <t>Software Engineer 3</t>
  </si>
  <si>
    <t>Job Description
The selected candidate will join the development engineering team as an individual contributor. The role involves developing new features, maintaining existing ones, and participating in all phases of the development lifecycle — from early requirements and techni...</t>
  </si>
  <si>
    <t>https://in.linkedin.com/jobs/view/software-engineer-3-at-adobe-4371516951?trk=public_jobs_topcard-title</t>
  </si>
  <si>
    <t>LI_4430479363</t>
  </si>
  <si>
    <t>Software Development Engineer-2</t>
  </si>
  <si>
    <t>Tessell</t>
  </si>
  <si>
    <t>About Us:
Tessell is a fast-growing company focused on data management. We're building cutting-edge
products that will disrupt the data management industry. Our team is composed of talented
individuals who are passionate about pushing the boundaries of technology and innovatio...</t>
  </si>
  <si>
    <t>https://in.linkedin.com/jobs/view/software-development-engineer-2-at-tessell-4430479363?trk=public_jobs_topcard-title</t>
  </si>
  <si>
    <t>LI_4373623706</t>
  </si>
  <si>
    <t>Software Development Engineer in Test (SDET)</t>
  </si>
  <si>
    <t>Trivelta</t>
  </si>
  <si>
    <t>About The Role
Trivelta powers sportsbook and casino platforms used by operators around the world. As we continue to scale our global offering, we’re looking for a hands-on Software Development Engineer in Test (SDET) to help us build quality into our product from day one. As an...</t>
  </si>
  <si>
    <t>https://in.linkedin.com/jobs/view/software-development-engineer-in-test-sdet-at-trivelta-4373623706?trk=public_jobs_topcard-title</t>
  </si>
  <si>
    <t>LI_4395032401</t>
  </si>
  <si>
    <t>SOFTWARE ENGINEER III</t>
  </si>
  <si>
    <t>About Team:
Team is looking for a strong Software Engineer who will drive building next generation Walmart suite of products and platform by designing, coding, building, and deploying highly scalable and robust cloud-based solutions. The role is expected to make a difference to ...</t>
  </si>
  <si>
    <t>https://in.linkedin.com/jobs/view/software-engineer-iii-at-walmart-global-tech-india-4395032401?trk=public_jobs_topcard-title</t>
  </si>
  <si>
    <t>LI_4436456011</t>
  </si>
  <si>
    <t>Software Development Engineer II</t>
  </si>
  <si>
    <t>Description
We are the guardians of the Amazon galaxy. The Account Compliance team strives to ensure that Amazon remains compliant and the cost of being compliant is never the reason where the business or our sellers cannot scale. Our diverse team innovates on behalf of their cu...</t>
  </si>
  <si>
    <t>https://in.linkedin.com/jobs/view/software-development-engineer-ii-at-amazon-4436456011?trk=public_jobs_topcard-title</t>
  </si>
  <si>
    <t>LI_4432645531</t>
  </si>
  <si>
    <t>Yield Engineering Systems</t>
  </si>
  <si>
    <t>YES (Yield Engineering Systems, Inc.) is a leading manufacturer of reliable, high-tech, cost-effective capital equipment that transforms materials and surfaces at the nanoscale. From startups to the Fortune 50, our customers rely on YES to help them unleash products that change l...</t>
  </si>
  <si>
    <t>https://in.linkedin.com/jobs/view/software-engineer-i-at-yield-engineering-systems-4432645531?trk=public_jobs_topcard-title</t>
  </si>
  <si>
    <t>LI_4436707398</t>
  </si>
  <si>
    <t>Newfold Digital</t>
  </si>
  <si>
    <t>Who Are We.
Newfold Digital is a leading web technology company serving nearly seven million customers globally. Established in 2021 through the combination of leading web services providers Endurance Web Presence and Web.com Group, our portfolio of brands includes: Bluehost, Bi...</t>
  </si>
  <si>
    <t>https://in.linkedin.com/jobs/view/software-engineer-at-newfold-digital-4436707398?trk=public_jobs_topcard-title</t>
  </si>
  <si>
    <t>LI_4401636978</t>
  </si>
  <si>
    <t>Project Role : Web Developer
Project Role Description : Design, build and test web-based applications for various site components and edit site content. Document technical designs and specifications. Research and incorporate updated content for websites.
Must have skills : Drup...</t>
  </si>
  <si>
    <t>https://in.linkedin.com/jobs/view/web-developer-at-accenture-in-india-4401636978?trk=public_jobs_topcard-title</t>
  </si>
  <si>
    <t>LI_4393270751</t>
  </si>
  <si>
    <t>Software Engineer - (Finacle)</t>
  </si>
  <si>
    <t>Global Software Solutions Group</t>
  </si>
  <si>
    <t>We are seeking an experienced Techno-Functional Consultant with strong expertise in Finacle Core Banking to join our team. The ideal candidate will possess a blend of technical and functional skills, enabling them to drive end-to-end solutioning, stakeholder engagement, and deliv...</t>
  </si>
  <si>
    <t>https://in.linkedin.com/jobs/view/software-engineer-finacle-at-global-software-solutions-group-4393270751?trk=public_jobs_topcard-title</t>
  </si>
  <si>
    <t>LI_4306134088</t>
  </si>
  <si>
    <t>Frontend Developer (web Developer)</t>
  </si>
  <si>
    <t>Kakatiya IT Solutions</t>
  </si>
  <si>
    <t>Hanamakonda</t>
  </si>
  <si>
    <t>Kakatiya Solutions is Looking For a "Front end Developer / Web Designer" with a minimum "Trained to 2 years " of experience.
Candidate Must have Good Knowledge or experience on HTML5, CSS3, Bootstrap -3/4, Java Script, Jquery, Php (any Framwork).
Can Understand the client requi...</t>
  </si>
  <si>
    <t>https://in.linkedin.com/jobs/view/frontend-developer-web-developer-at-kakatiya-it-solutions-4306134088?trk=public_jobs_topcard-title</t>
  </si>
  <si>
    <t>LI_4409375306</t>
  </si>
  <si>
    <t>Software Development Engineer I</t>
  </si>
  <si>
    <t>https://in.linkedin.com/jobs/view/software-development-engineer-i-at-commerceiq-4409375306?trk=public_jobs_topcard-title</t>
  </si>
  <si>
    <t>LI_4352870573</t>
  </si>
  <si>
    <t>Software Tester / QA Engineer</t>
  </si>
  <si>
    <t>LOVOJ</t>
  </si>
  <si>
    <t>Responsibilities
Understand product requirements and create test plans, test cases, and test scenarios
Perform manual testing of web and/or mobile applications
Identify, report, and track bugs using tools like JIRA or similar
Perform regression, smoke, functional, and UI testing...</t>
  </si>
  <si>
    <t>https://in.linkedin.com/jobs/view/software-tester-qa-engineer-at-lovoj-4352870573?trk=public_jobs_topcard-title</t>
  </si>
  <si>
    <t>LI_4432429586</t>
  </si>
  <si>
    <t>Software Development Engineer In Test</t>
  </si>
  <si>
    <t>DiligenceVault</t>
  </si>
  <si>
    <t>Location: India
We are looking for a Software Development Engineer in Test (SDET) with experience in manual testing of SaaS solutions in an Agile Development environment. You will work with the engineering team to plan and execute testing within our agile development sprints.
A...</t>
  </si>
  <si>
    <t>https://in.linkedin.com/jobs/view/software-development-engineer-in-test-at-diligencevault-4432429586?trk=public_jobs_topcard-title</t>
  </si>
  <si>
    <t>LI_4429153127</t>
  </si>
  <si>
    <t>Software Engineer, Java</t>
  </si>
  <si>
    <t>NatWest Group</t>
  </si>
  <si>
    <t>Join us as a Software Engineer
This is an opportunity for a driven Software Engineer to take on an exciting new career challenge
Day-to-day, you'll be engineering and maintaining innovative, customer centric, high performance, secure and robust solutions
It’s a chance to hone yo...</t>
  </si>
  <si>
    <t>https://in.linkedin.com/jobs/view/software-engineer-java-at-natwest-group-4429153127?trk=public_jobs_topcard-title</t>
  </si>
  <si>
    <t>LI_4433625496</t>
  </si>
  <si>
    <t>Microgenn Software Solutions</t>
  </si>
  <si>
    <t>Develop and maintain web applications for our hotel management software suite. Work with modern technologies to create responsive, user-friendly interfaces. 
Show more Show less</t>
  </si>
  <si>
    <t>https://in.linkedin.com/jobs/view/web-developer-at-microgenn-software-solutions-4433625496?trk=public_jobs_topcard-title</t>
  </si>
  <si>
    <t>LI_4406467577</t>
  </si>
  <si>
    <t>Project Role : Web Developer
Project Role Description : Design, build and test web-based applications for various site components and edit site content. Document technical designs and specifications. Research and incorporate updated content for websites.
Must have skills : Site...</t>
  </si>
  <si>
    <t>https://in.linkedin.com/jobs/view/web-developer-at-accenture-in-india-4406467577?trk=public_jobs_topcard-title</t>
  </si>
  <si>
    <t>LI_4430961930</t>
  </si>
  <si>
    <t>Deltek</t>
  </si>
  <si>
    <t>Company Summary
As the recognized global standard for project-based businesses, Deltek delivers software and information solutions to help organizations achieve their purpose. Our market leadership stems from the work of our diverse employees who are united by a passion for lear...</t>
  </si>
  <si>
    <t>https://in.linkedin.com/jobs/view/software-engineer-at-deltek-4430961930?trk=public_jobs_topcard-title</t>
  </si>
  <si>
    <t>LI_4412318829</t>
  </si>
  <si>
    <t>Location Name: Pune Corporate Office - Mantri
Job Purpose
To ensure high-quality software delivery by designing and implementing scalable automation frameworks from scratch, executing manual and performance testing, and integrating automation into CI/CD pipelines for efficient ...</t>
  </si>
  <si>
    <t>https://in.linkedin.com/jobs/view/software-engineer-at-bajaj-finserv-4412318829?trk=public_jobs_topcard-title</t>
  </si>
  <si>
    <t>LI_4400244176</t>
  </si>
  <si>
    <t>Project Role : Custom Software Engineer
Project Role Description : Design, build and configure applications to meet business process and application requirements.
Must have skills : Go Programming Language
Good to have skills : NA
Minimum 3 Year(s) Of Experience Is Required
...</t>
  </si>
  <si>
    <t>https://in.linkedin.com/jobs/view/custom-software-engineer-at-accenture-in-india-4400244176?trk=public_jobs_topcard-title</t>
  </si>
  <si>
    <t>LI_4431597272</t>
  </si>
  <si>
    <t>QA Test Engineer</t>
  </si>
  <si>
    <t>About Position: 
This role is for a QA Automation Engineer/SDET responsible for ensuring software quality through both manual and automated testing approaches. The candidate will focus on building scalable test frameworks, leveraging AI-driven tools, and collaborating with Agile...</t>
  </si>
  <si>
    <t>https://in.linkedin.com/jobs/view/qa-test-engineer-at-persistent-systems-4431597272?trk=public_jobs_topcard-title</t>
  </si>
  <si>
    <t>LI_4413758973</t>
  </si>
  <si>
    <t>Location Name: Pune Corporate Office - Mantri
Job Purpose
Job Description of the Role:
(E.g – Aligned to which business or Core KRA’S) We are looking for Developer – to handle our .net application and APIs
Duties And Responsibilities
Understand and troubleshoot technology pr...</t>
  </si>
  <si>
    <t>https://in.linkedin.com/jobs/view/software-engineer-at-bajaj-finserv-4413758973?trk=public_jobs_topcard-title</t>
  </si>
  <si>
    <t>LI_4304679799</t>
  </si>
  <si>
    <t>Project Role : Custom Software Engineer
Project Role Description : Analyze, design, code and test multiple components of application code across one or more clients. Perform maintenance, enhancements and/or development work.
Must have skills : Relex Platform
Good to have skill...</t>
  </si>
  <si>
    <t>https://in.linkedin.com/jobs/view/custom-software-engineer-at-accenture-in-india-4304679799?trk=public_jobs_topcard-title</t>
  </si>
  <si>
    <t>LI_4433898256</t>
  </si>
  <si>
    <t>https://in.linkedin.com/jobs/view/custom-software-engineer-at-accenture-in-india-4433898256?trk=public_jobs_topcard-title</t>
  </si>
  <si>
    <t>LI_4432368320</t>
  </si>
  <si>
    <t>Software Engineer (Full Stack)</t>
  </si>
  <si>
    <t>Ninja Van</t>
  </si>
  <si>
    <t>Ninja Van is a late-stage logtech startup that is disrupting a massive industry with innovation and cutting edge technology. Launched 2014 in Singapore, we have grown rapidly to become one of Southeast Asia's largest and fastest-growing express logistics companies. Since our ince...</t>
  </si>
  <si>
    <t>https://in.linkedin.com/jobs/view/software-engineer-full-stack-at-ninja-van-4432368320?trk=public_jobs_topcard-title</t>
  </si>
  <si>
    <t>LI_4382993780</t>
  </si>
  <si>
    <t>https://in.linkedin.com/jobs/view/custom-software-engineer-at-accenture-in-india-4382993780?trk=public_jobs_topcard-title</t>
  </si>
  <si>
    <t>LI_4387690916</t>
  </si>
  <si>
    <t>https://in.linkedin.com/jobs/view/custom-software-engineer-at-accenture-in-india-4387690916?trk=public_jobs_topcard-title</t>
  </si>
  <si>
    <t>LI_4433885954</t>
  </si>
  <si>
    <t>https://in.linkedin.com/jobs/view/custom-software-engineer-at-accenture-in-india-4433885954?trk=public_jobs_topcard-title</t>
  </si>
  <si>
    <t>LI_4409360669</t>
  </si>
  <si>
    <t>https://in.linkedin.com/jobs/view/software-engineer-at-infinite-convergence-solutions-4409360669?trk=public_jobs_topcard-title</t>
  </si>
  <si>
    <t>LI_4323326358</t>
  </si>
  <si>
    <t>https://in.linkedin.com/jobs/view/custom-software-engineer-at-accenture-in-india-4323326358?trk=public_jobs_topcard-title</t>
  </si>
  <si>
    <t>LI_4433892706</t>
  </si>
  <si>
    <t>https://in.linkedin.com/jobs/view/custom-software-engineer-at-accenture-in-india-4433892706?trk=public_jobs_topcard-title</t>
  </si>
  <si>
    <t>LI_4323236529</t>
  </si>
  <si>
    <t>https://in.linkedin.com/jobs/view/custom-software-engineer-at-accenture-in-india-4323236529?trk=public_jobs_topcard-title</t>
  </si>
  <si>
    <t>LI_4432963687</t>
  </si>
  <si>
    <t>Software Consulting Engineer | 5+ years, Java/Python</t>
  </si>
  <si>
    <t>Meet the Team
CX is a team of extraordinary technical guides whose #1 focus is to deliver a best-in-class customer experience. We help tackle the toughest business challenges with network-centric solutions that accelerate customer and partner success and dedication. Our success ...</t>
  </si>
  <si>
    <t>https://in.linkedin.com/jobs/view/software-consulting-engineer-5%2B-years-java-python-at-cisco-4432963687?trk=public_jobs_topcard-title</t>
  </si>
  <si>
    <t>LI_4424951126</t>
  </si>
  <si>
    <t>Project Role : Custom Software Engineer
Project Role Description : Design, build and configure applications to meet business process and application requirements.
Must have skills : Amazon Web Services (AWS)
Good to have skills : NA
Minimum 3 Year(s) Of Experience Is Required...</t>
  </si>
  <si>
    <t>https://in.linkedin.com/jobs/view/custom-software-engineer-at-accenture-in-india-4424951126?trk=public_jobs_topcard-title</t>
  </si>
  <si>
    <t>LI_4344676107</t>
  </si>
  <si>
    <t>https://in.linkedin.com/jobs/view/custom-software-engineer-at-accenture-in-india-4344676107?trk=public_jobs_topcard-title</t>
  </si>
  <si>
    <t>LI_4433375272</t>
  </si>
  <si>
    <t>https://in.linkedin.com/jobs/view/custom-software-engineer-at-accenture-in-india-4433375272?trk=public_jobs_topcard-title</t>
  </si>
  <si>
    <t>LI_4334275863</t>
  </si>
  <si>
    <t>https://in.linkedin.com/jobs/view/custom-software-engineer-at-accenture-in-india-4334275863?trk=public_jobs_topcard-title</t>
  </si>
  <si>
    <t>LI_4433542186</t>
  </si>
  <si>
    <t>https://in.linkedin.com/jobs/view/custom-software-engineer-at-accenture-in-india-4433542186?trk=public_jobs_topcard-title</t>
  </si>
  <si>
    <t>LI_4434728480</t>
  </si>
  <si>
    <t>https://in.linkedin.com/jobs/view/custom-software-engineer-at-accenture-in-india-4434728480?trk=public_jobs_topcard-title</t>
  </si>
  <si>
    <t>LI_4371880958</t>
  </si>
  <si>
    <t>https://in.linkedin.com/jobs/view/custom-software-engineer-at-accenture-in-india-4371880958?trk=public_jobs_topcard-title</t>
  </si>
  <si>
    <t>LI_4335117198</t>
  </si>
  <si>
    <t>https://in.linkedin.com/jobs/view/custom-software-engineer-at-accenture-in-india-4335117198?trk=public_jobs_topcard-title</t>
  </si>
  <si>
    <t>LI_4427956399</t>
  </si>
  <si>
    <t>https://in.linkedin.com/jobs/view/custom-software-engineer-at-accenture-in-india-4427956399?trk=public_jobs_topcard-title</t>
  </si>
  <si>
    <t>LI_4434726568</t>
  </si>
  <si>
    <t>https://in.linkedin.com/jobs/view/custom-software-engineer-at-accenture-in-india-4434726568?trk=public_jobs_topcard-title</t>
  </si>
  <si>
    <t>LI_4419912663</t>
  </si>
  <si>
    <t>https://in.linkedin.com/jobs/view/custom-software-engineer-at-accenture-in-india-4419912663?trk=public_jobs_topcard-title</t>
  </si>
  <si>
    <t>LI_4434730437</t>
  </si>
  <si>
    <t>https://in.linkedin.com/jobs/view/custom-software-engineer-at-accenture-in-india-4434730437?trk=public_jobs_topcard-title</t>
  </si>
  <si>
    <t>LI_4384802144</t>
  </si>
  <si>
    <t>Project Role : Custom Software Engineer
Project Role Description : Design, build and configure applications to meet business process and application requirements.
Must have skills : SAP BRIM Convergent Invoicing CI
Good to have skills : NA
Minimum 3 Year(s) Of Experience Is R...</t>
  </si>
  <si>
    <t>https://in.linkedin.com/jobs/view/custom-software-engineer-at-accenture-in-india-4384802144?trk=public_jobs_topcard-title</t>
  </si>
  <si>
    <t>LI_4430999342</t>
  </si>
  <si>
    <t>https://in.linkedin.com/jobs/view/custom-software-engineer-at-accenture-in-india-4430999342?trk=public_jobs_topcard-title</t>
  </si>
  <si>
    <t>LI_4364343762</t>
  </si>
  <si>
    <t>Project Role : Custom Software Engineer
Project Role Description : Design, build and configure applications to meet business process and application requirements.
Must have skills : Adobe Experience Platform (AEP)
Good to have skills : Adobe Journey Optimizer
Minimum 3 Year(s...</t>
  </si>
  <si>
    <t>https://in.linkedin.com/jobs/view/custom-software-engineer-at-accenture-in-india-4364343762?trk=public_jobs_topcard-title</t>
  </si>
  <si>
    <t>LI_4431766043</t>
  </si>
  <si>
    <t>Software Development Engineer, FinTech, FinTech</t>
  </si>
  <si>
    <t>Description
Are you interested in building high-performance, globally scalable financial systems that support Amazon's current and future growth? Are you seeking an environment where you can drive innovation? Does the prospect of working with top engineering talent get you charg...</t>
  </si>
  <si>
    <t>https://in.linkedin.com/jobs/view/software-development-engineer-fintech-fintech-at-amazon-4431766043?trk=public_jobs_topcard-title</t>
  </si>
  <si>
    <t>LI_4433890887</t>
  </si>
  <si>
    <t>https://in.linkedin.com/jobs/view/custom-software-engineer-at-accenture-in-india-4433890887?trk=public_jobs_topcard-title</t>
  </si>
  <si>
    <t>LI_4433896406</t>
  </si>
  <si>
    <t>https://in.linkedin.com/jobs/view/custom-software-engineer-at-accenture-in-india-4433896406?trk=public_jobs_topcard-title</t>
  </si>
  <si>
    <t>LI_4427675577</t>
  </si>
  <si>
    <t>https://in.linkedin.com/jobs/view/full-stack-engineer-at-accenture-in-india-4427675577?trk=public_jobs_topcard-title</t>
  </si>
  <si>
    <t>LI_4430711350</t>
  </si>
  <si>
    <t>https://in.linkedin.com/jobs/view/custom-software-engineer-at-accenture-in-india-4430711350?trk=public_jobs_topcard-title</t>
  </si>
  <si>
    <t>LI_4436778444</t>
  </si>
  <si>
    <t>https://in.linkedin.com/jobs/view/custom-software-engineer-at-accenture-in-india-4436778444?trk=public_jobs_topcard-title</t>
  </si>
  <si>
    <t>LI_4437177372</t>
  </si>
  <si>
    <t>https://in.linkedin.com/jobs/view/custom-software-engineer-at-accenture-in-india-4437177372?trk=public_jobs_topcard-title</t>
  </si>
  <si>
    <t>LI_4419900958</t>
  </si>
  <si>
    <t>https://in.linkedin.com/jobs/view/custom-software-engineer-at-accenture-in-india-4419900958?trk=public_jobs_topcard-title</t>
  </si>
  <si>
    <t>LI_4436773562</t>
  </si>
  <si>
    <t>https://in.linkedin.com/jobs/view/custom-software-engineer-at-accenture-in-india-4436773562?trk=public_jobs_topcard-title</t>
  </si>
  <si>
    <t>LI_4436776418</t>
  </si>
  <si>
    <t>https://in.linkedin.com/jobs/view/custom-software-engineer-at-accenture-in-india-4436776418?trk=public_jobs_topcard-title</t>
  </si>
  <si>
    <t>LI_4402516592</t>
  </si>
  <si>
    <t>https://in.linkedin.com/jobs/view/custom-software-engineer-at-accenture-in-india-4402516592?trk=public_jobs_topcard-title</t>
  </si>
  <si>
    <t>LI_4417768801</t>
  </si>
  <si>
    <t>Software Dev Engineer II</t>
  </si>
  <si>
    <t>Description
Would you like to work on one of the world's largest transactional distributed systems? How about working with customers and peers from the entire range of Amazon's business on cool new features? Whether you're passionate about building highly scalable and reliable s...</t>
  </si>
  <si>
    <t>https://in.linkedin.com/jobs/view/software-dev-engineer-ii-at-amazon-4417768801?trk=public_jobs_topcard-title</t>
  </si>
  <si>
    <t>LI_4434716961</t>
  </si>
  <si>
    <t>https://in.linkedin.com/jobs/view/custom-software-engineer-at-accenture-in-india-4434716961?trk=public_jobs_topcard-title</t>
  </si>
  <si>
    <t>LI_4422466340</t>
  </si>
  <si>
    <t>https://in.linkedin.com/jobs/view/web-developer-at-accenture-in-india-4422466340?trk=public_jobs_topcard-title</t>
  </si>
  <si>
    <t>LI_4436382470</t>
  </si>
  <si>
    <t>https://in.linkedin.com/jobs/view/custom-software-engineer-at-accenture-in-india-4436382470?trk=public_jobs_topcard-title</t>
  </si>
  <si>
    <t>LI_4418252573</t>
  </si>
  <si>
    <t>Engineer - Embedded Software (System Engineer)</t>
  </si>
  <si>
    <t>Netradyne</t>
  </si>
  <si>
    <t>Netradyne harnesses the power of Computer Vision and Edge Computing to revolutionize the modern-day transportation ecosystem. We are a leader in fleet safety solutions. With growth exceeding 4x year over year, our solution is quickly being recognized as a significant disruptive t...</t>
  </si>
  <si>
    <t>https://in.linkedin.com/jobs/view/engineer-embedded-software-system-engineer-at-netradyne-4418252573?trk=public_jobs_topcard-title</t>
  </si>
  <si>
    <t>LI_4429652118</t>
  </si>
  <si>
    <t>Orange Business</t>
  </si>
  <si>
    <t>About Us
Join us at Orange Business!
We are a network and digital integrator that understands the entire value chain of the digital world, freeing our customers to focus on the strategic initiatives that shape their business.
Every day, you will collaborate with a team dedicat...</t>
  </si>
  <si>
    <t>https://in.linkedin.com/jobs/view/software-engineer-at-orange-business-4429652118?trk=public_jobs_topcard-title</t>
  </si>
  <si>
    <t>LI_4422386871</t>
  </si>
  <si>
    <t>KrazyBee</t>
  </si>
  <si>
    <t>We are seeking exceptional Software Engineers to join our Loan Management System (LMS) team as we embark on a transformative journey to build new features, extend current functionality and re-architect our platform for scale. As a member of our 200+ strong technology organisation...</t>
  </si>
  <si>
    <t>https://in.linkedin.com/jobs/view/software-engineer-at-krazybee-4422386871?trk=public_jobs_topcard-title</t>
  </si>
  <si>
    <t>LI_4437165180</t>
  </si>
  <si>
    <t>https://in.linkedin.com/jobs/view/freelance-full-stack-web-app-developer-at-mindrift-4437165180?trk=public_jobs_topcard-title</t>
  </si>
  <si>
    <t>LI_4436763999</t>
  </si>
  <si>
    <t>https://in.linkedin.com/jobs/view/custom-software-engineer-at-accenture-in-india-4436763999?trk=public_jobs_topcard-title</t>
  </si>
  <si>
    <t>LI_4401726777</t>
  </si>
  <si>
    <t>Full Stack Software Engineer (Java+React)</t>
  </si>
  <si>
    <t>Tavant</t>
  </si>
  <si>
    <t>As a Full Stack Software Engineer, you will own features end-to-end — from designing APIs and backend services to building interactive, high-performance front-end experiences used by millions of travelers. You will work with the team of frontend engineers, product managers, UX de...</t>
  </si>
  <si>
    <t>https://in.linkedin.com/jobs/view/full-stack-software-engineer-java%2Breact-at-tavant-4401726777?trk=public_jobs_topcard-title</t>
  </si>
  <si>
    <t>LI_4331164515</t>
  </si>
  <si>
    <t>Software Development Engineer, Last Mile Planning</t>
  </si>
  <si>
    <t>Description
The Routing and Planning (RaP) organization, within the Last Mile Technology (LMT) organization, plays a pivotal role in Amazon's mission to deliver packages to billions of customers worldwide. Our goal is to create the most efficient, reliable, and high-quality rout...</t>
  </si>
  <si>
    <t>https://in.linkedin.com/jobs/view/software-development-engineer-last-mile-planning-at-amazon-4331164515?trk=public_jobs_topcard-title</t>
  </si>
  <si>
    <t>LI_4427437389</t>
  </si>
  <si>
    <t>Senior Software Engineer</t>
  </si>
  <si>
    <t>Teradata</t>
  </si>
  <si>
    <t>Our Company:
At Teradata, we believe that people thrive when empowered with better information. Teradata Autonomous Knowledge Platform activates enterprise intelligence by unifying data, knowledge and business context to achieve tangible outcomes. With Teradata, organizations ca...</t>
  </si>
  <si>
    <t>https://in.linkedin.com/jobs/view/senior-software-engineer-at-teradata-4427437389?trk=public_jobs_topcard-title</t>
  </si>
  <si>
    <t>LI_4392261976</t>
  </si>
  <si>
    <t>https://in.linkedin.com/jobs/view/web-developer-at-accenture-in-india-4392261976?trk=public_jobs_topcard-title</t>
  </si>
  <si>
    <t>LI_4323436105</t>
  </si>
  <si>
    <t>https://in.linkedin.com/jobs/view/custom-software-engineer-at-accenture-in-india-4323436105?trk=public_jobs_topcard-title</t>
  </si>
  <si>
    <t>LI_4416277812</t>
  </si>
  <si>
    <t>https://in.linkedin.com/jobs/view/custom-software-engineer-at-accenture-in-india-4416277812?trk=public_jobs_topcard-title</t>
  </si>
  <si>
    <t>LI_4323376253</t>
  </si>
  <si>
    <t>https://in.linkedin.com/jobs/view/custom-software-engineer-at-accenture-in-india-4323376253?trk=public_jobs_topcard-title</t>
  </si>
  <si>
    <t>LI_4431936428</t>
  </si>
  <si>
    <t>https://in.linkedin.com/jobs/view/custom-software-engineer-at-accenture-in-india-4431936428?trk=public_jobs_topcard-title</t>
  </si>
  <si>
    <t>LI_4421265398</t>
  </si>
  <si>
    <t>https://in.linkedin.com/jobs/view/custom-software-engineer-at-accenture-in-india-4421265398?trk=public_jobs_topcard-title</t>
  </si>
  <si>
    <t>LI_4334540712</t>
  </si>
  <si>
    <t>https://in.linkedin.com/jobs/view/custom-software-engineer-at-accenture-in-india-4334540712?trk=public_jobs_topcard-title</t>
  </si>
  <si>
    <t>LI_4431928572</t>
  </si>
  <si>
    <t>https://in.linkedin.com/jobs/view/custom-software-engineer-at-accenture-in-india-4431928572?trk=public_jobs_topcard-title</t>
  </si>
  <si>
    <t>LI_4434279608</t>
  </si>
  <si>
    <t>FRND</t>
  </si>
  <si>
    <t>Position Overview:
As a Software Development Engineer ,you will be an integral part of our software development team, responsible for designing, implementing, and maintaining robust and scalable web applications using Python and the Django framework. You will collaborate closely ...</t>
  </si>
  <si>
    <t>https://in.linkedin.com/jobs/view/software-development-engineer-at-frnd-4434279608?trk=public_jobs_topcard-title</t>
  </si>
  <si>
    <t>LI_4428841062</t>
  </si>
  <si>
    <t>https://in.linkedin.com/jobs/view/custom-software-engineer-at-accenture-in-india-4428841062?trk=public_jobs_topcard-title</t>
  </si>
  <si>
    <t>LI_4413041041</t>
  </si>
  <si>
    <t>Software Engineer - E5 - Backend</t>
  </si>
  <si>
    <t>Whatfix</t>
  </si>
  <si>
    <t>Who are we?
Whatfix is a leading global B2B SaaS provider and the largest pure-play digital adoption platform (DAP). Whatfix empowers organizations to maximize the ROI of their digital investments by tailoring it for the needs of each unique user.
Spearheading the category with...</t>
  </si>
  <si>
    <t>https://in.linkedin.com/jobs/view/software-engineer-e5-backend-at-whatfix-4413041041?trk=public_jobs_topcard-title</t>
  </si>
  <si>
    <t>LI_4373807131</t>
  </si>
  <si>
    <t>https://in.linkedin.com/jobs/view/custom-software-engineer-at-accenture-in-india-4373807131?trk=public_jobs_topcard-title</t>
  </si>
  <si>
    <t>LI_4423125489</t>
  </si>
  <si>
    <t>https://in.linkedin.com/jobs/view/software-development-engineer-ii-tfs-at-amazon-4423125489?trk=public_jobs_topcard-title</t>
  </si>
  <si>
    <t>LI_4433537328</t>
  </si>
  <si>
    <t>https://in.linkedin.com/jobs/view/custom-software-engineer-at-accenture-in-india-4433537328?trk=public_jobs_topcard-title</t>
  </si>
  <si>
    <t>LI_4434004096</t>
  </si>
  <si>
    <t>https://in.linkedin.com/jobs/view/custom-software-engineer-at-accenture-in-india-4434004096?trk=public_jobs_topcard-title</t>
  </si>
  <si>
    <t>LI_4323436106</t>
  </si>
  <si>
    <t>https://in.linkedin.com/jobs/view/custom-software-engineer-at-accenture-in-india-4323436106?trk=public_jobs_topcard-title</t>
  </si>
  <si>
    <t>LI_4433892718</t>
  </si>
  <si>
    <t>https://in.linkedin.com/jobs/view/custom-software-engineer-at-accenture-in-india-4433892718?trk=public_jobs_topcard-title</t>
  </si>
  <si>
    <t>LI_4415527182</t>
  </si>
  <si>
    <t>https://in.linkedin.com/jobs/view/custom-software-engineer-at-accenture-in-india-4415527182?trk=public_jobs_topcard-title</t>
  </si>
  <si>
    <t>LI_4434005075</t>
  </si>
  <si>
    <t>https://in.linkedin.com/jobs/view/custom-software-engineer-at-accenture-in-india-4434005075?trk=public_jobs_topcard-title</t>
  </si>
  <si>
    <t>LI_4433883968</t>
  </si>
  <si>
    <t>https://in.linkedin.com/jobs/view/custom-software-engineer-at-accenture-in-india-4433883968?trk=public_jobs_topcard-title</t>
  </si>
  <si>
    <t>LI_4424754028</t>
  </si>
  <si>
    <t>Who You Will Work With
You’ll be part of a cross-functional team of engineers, business stakeholders, and product owners. You’ll also collaborate with stakeholders across Legal, Compliance, and Enterprise Platforms to deliver solutions that are secure, scalable, and aligned with...</t>
  </si>
  <si>
    <t>https://in.linkedin.com/jobs/view/software-engineer-iii-itc-at-nike-4424754028?trk=public_jobs_topcard-title</t>
  </si>
  <si>
    <t>LI_4426243126</t>
  </si>
  <si>
    <t>EliteRecruitments</t>
  </si>
  <si>
    <t>Greater Bengaluru Area</t>
  </si>
  <si>
    <t>Hiring: Multiple Java Engineering Roles (Mumbai &amp; Bangalore) with bug 4 firm.
We are expanding our engineering teams and looking for talented Java professionals across multiple skill areas. If you are passionate about backend engineering, distributed systems, and modern Java fram...</t>
  </si>
  <si>
    <t>https://in.linkedin.com/jobs/view/java-software-engineer-at-eliterecruitments-4426243126?trk=public_jobs_topcard-title</t>
  </si>
  <si>
    <t>LI_4432583482</t>
  </si>
  <si>
    <t>https://in.linkedin.com/jobs/view/remote-software-engineer-javascript-at-turing-4432583482?trk=public_jobs_topcard-title</t>
  </si>
  <si>
    <t>LI_4371885830</t>
  </si>
  <si>
    <t>https://in.linkedin.com/jobs/view/custom-software-engineer-at-accenture-in-india-4371885830?trk=public_jobs_topcard-title</t>
  </si>
  <si>
    <t>LI_4428293827</t>
  </si>
  <si>
    <t>https://in.linkedin.com/jobs/view/web-developer-at-accenture-in-india-4428293827?trk=public_jobs_topcard-title</t>
  </si>
  <si>
    <t>LI_4428677933</t>
  </si>
  <si>
    <t>Senior Software Engineer - Full Stack ( Java + ReactJs )</t>
  </si>
  <si>
    <t>Good to have knowledge and working experience with high volume systems.
Expert in Java 11+, Spring Boot, Rest API and AWS services (DynamoDB, UKS,SQS,Lambda)
Expert in TypeScript and React js
Added advantage if have hands on react-native
Should be able to work with minimal gu...</t>
  </si>
  <si>
    <t>https://in.linkedin.com/jobs/view/senior-software-engineer-full-stack-java-%2B-reactjs-at-sony-india-software-centre-4428677933?trk=public_jobs_topcard-title</t>
  </si>
  <si>
    <t>LI_4428241793</t>
  </si>
  <si>
    <t>Software Development Engineer - II, Android</t>
  </si>
  <si>
    <t>JioHotstar</t>
  </si>
  <si>
    <t>Job Summary: As a Software Development Engineer II – Android, you will be responsible for crafting performant and resilient Android applications, coupled with Android frameworks and APIs, and a passion for creating exceptional user experiences. You will play a critical role in im...</t>
  </si>
  <si>
    <t>https://in.linkedin.com/jobs/view/software-development-engineer-ii-android-at-jiohotstar-4428241793?trk=public_jobs_topcard-title</t>
  </si>
  <si>
    <t>LI_4395109023</t>
  </si>
  <si>
    <t>Senior Software Engineer - Backend</t>
  </si>
  <si>
    <t>Paytm</t>
  </si>
  <si>
    <t>Role description
About US:
Paytm is India's leading mobile payments and financial services distribution company. Pioneer of the mobile QR payments revolution in India, Paytm builds technologies that help small businesses with payments and commerce. Paytm’s mission is to serve ha...</t>
  </si>
  <si>
    <t>https://in.linkedin.com/jobs/view/senior-software-engineer-backend-at-paytm-4395109023?trk=public_jobs_topcard-title</t>
  </si>
  <si>
    <t>LI_4434053673</t>
  </si>
  <si>
    <t>https://in.linkedin.com/jobs/view/custom-software-engineer-at-accenture-in-india-4434053673?trk=public_jobs_topcard-title</t>
  </si>
  <si>
    <t>LI_4427961250</t>
  </si>
  <si>
    <t>Software Engineer - Mobile (iOS)</t>
  </si>
  <si>
    <t>YouTrip</t>
  </si>
  <si>
    <t>We Are
YouTrip is the leading and fastest-growing multi-currency payment platform in Asia Pacific. In 2018, we pioneered the region's first multi-currency digital wallet. Now, YouTrip is the #1 multi-currency digital wallet trusted by millions across the region, processing over ...</t>
  </si>
  <si>
    <t>https://in.linkedin.com/jobs/view/software-engineer-mobile-ios-at-youtrip-4427961250?trk=public_jobs_topcard-title</t>
  </si>
  <si>
    <t>LI_4382803636</t>
  </si>
  <si>
    <t>Texas Instruments India</t>
  </si>
  <si>
    <t>Job Description
Change the world. Love your job. 
As a Senior Engineer in the Application Drivers &amp; Software Infrastructure team, you will contribute to the design, development, and testing of customer-facing peripheral drivers (SPI, I2C, ADC, GPIO, etc.) and embedded software ...</t>
  </si>
  <si>
    <t>https://in.linkedin.com/jobs/view/software-engineer-at-texas-instruments-india-4382803636?trk=public_jobs_topcard-title</t>
  </si>
  <si>
    <t>LI_4436095465</t>
  </si>
  <si>
    <t>Full Stack Software Engineer</t>
  </si>
  <si>
    <t>We're looking for Full Stack Software Engineers (India)! 
Responsibilities
Work with the team to build solutions using React.js for the frontend and Node.js for the backend.
Review peers code to ensure quality and adherence to best practices.
Mentor junior members of the team, ...</t>
  </si>
  <si>
    <t>https://in.linkedin.com/jobs/view/full-stack-software-engineer-at-scoutit-4436095465?trk=public_jobs_topcard-title</t>
  </si>
  <si>
    <t>LI_4425625682</t>
  </si>
  <si>
    <t>SDET (Software Development Engineer in Test)</t>
  </si>
  <si>
    <t>This role is for one of the Weekday's clients
Salary range: Rs 2000000 - Rs 3000000 (ie INR 20-30 LPA)
Experience: 5+ yrs
Location: Hyderabad
Job Type: full-time
We are looking for a highly skilled Software Development Engineer in Test (SDET) to drive quality engineering ini...</t>
  </si>
  <si>
    <t>https://in.linkedin.com/jobs/view/sdet-software-development-engineer-in-test-at-weekday-ai-yc-w21-4425625682?trk=public_jobs_topcard-title</t>
  </si>
  <si>
    <t>LI_4432522332</t>
  </si>
  <si>
    <t>Software Engineer - iOS</t>
  </si>
  <si>
    <t>StockX</t>
  </si>
  <si>
    <t>Help empower our global customers to connect to culture through their passions.
About the role
We are looking for a motivated, highly enthusiastic, technical iOS engineer to join our Checkout and Payment Experience Team. This team is responsible for building the most critical, hi...</t>
  </si>
  <si>
    <t>https://in.linkedin.com/jobs/view/software-engineer-ios-at-stockx-4432522332?trk=public_jobs_topcard-title</t>
  </si>
  <si>
    <t>LI_4413405167</t>
  </si>
  <si>
    <t>Software Engineer | C/C++, Networking, Routing Protocol &amp; Infra | 4-8 years</t>
  </si>
  <si>
    <t>Meet the Team
The DSE Platform Independent Common (PI-Common) group develops high-performance, platform-independent system software that runs across Cisco’s flagship routers and switches. We design and deliver core routing protocols and infrastructure components that power Cisco...</t>
  </si>
  <si>
    <t>https://in.linkedin.com/jobs/view/software-engineer-c-c%2B%2B-networking-routing-protocol-infra-4-8-years-at-cisco-4413405167?trk=public_jobs_topcard-title</t>
  </si>
  <si>
    <t>LI_4401655230</t>
  </si>
  <si>
    <t>Project Role : Web Developer
Project Role Description : Design, build and test web-based applications for various site components and edit site content. Document technical designs and specifications. Research and incorporate updated content for websites.
Must have skills : Amaz...</t>
  </si>
  <si>
    <t>https://in.linkedin.com/jobs/view/web-developer-at-accenture-in-india-4401655230?trk=public_jobs_topcard-title</t>
  </si>
  <si>
    <t>LI_4399506621</t>
  </si>
  <si>
    <t>Senior, Software Engineer - Front End</t>
  </si>
  <si>
    <t>Job Description Summary:
Responsible for coding, unit testing, building high performance and scalable applications that meet the needs of millions of Walmart-International customers, in the areas of supply chain management &amp; Customer experience.
About Team:
Our team collaborat...</t>
  </si>
  <si>
    <t>https://in.linkedin.com/jobs/view/senior-software-engineer-front-end-at-walmart-global-tech-india-4399506621?trk=public_jobs_topcard-title</t>
  </si>
  <si>
    <t>LI_4283357518</t>
  </si>
  <si>
    <t>Responsibilities/Activities include:
3 years of experience as a Full stack developer with knowledge in front-end technologies like HTML5, CSS3, JavaScript.
Strong Development experience with C#, ASP.Net Core required
Strong knowledge of Oracle or MySQL or PL/SQL required
Expo...</t>
  </si>
  <si>
    <t>https://in.linkedin.com/jobs/view/software-engineer-at-lseg-4283357518?trk=public_jobs_topcard-title</t>
  </si>
  <si>
    <t>LI_4436394303</t>
  </si>
  <si>
    <t>https://in.linkedin.com/jobs/view/software-engineer-at-bajaj-finserv-4436394303?trk=public_jobs_topcard-title</t>
  </si>
  <si>
    <t>LI_4404352861</t>
  </si>
  <si>
    <t>Software Engineer - Frontend Development</t>
  </si>
  <si>
    <t>Vidwath</t>
  </si>
  <si>
    <t>Responsibilities
Develop and maintain user-facing features using modern JavaScript frameworks like React, Angular, or Vue.js.
Collaborate with UI/UX designers to implement responsive and visually appealing web interfaces.
Optimize applications for maximum speed and scalability.
...</t>
  </si>
  <si>
    <t>https://in.linkedin.com/jobs/view/software-engineer-frontend-development-at-vidwath-4404352861?trk=public_jobs_topcard-title</t>
  </si>
  <si>
    <t>LI_4429306328</t>
  </si>
  <si>
    <t>Associate Web Developer, IT</t>
  </si>
  <si>
    <t>Edwards Lifesciences</t>
  </si>
  <si>
    <t>Edwards Lifesciences is expanding its global technology capabilities with the launch of a new IT Innovation Hub in Pune, India. The Hub strengthens the technology foundation that supports our business worldwide, working in close partnership with teams across regions to deliver re...</t>
  </si>
  <si>
    <t>https://in.linkedin.com/jobs/view/associate-web-developer-it-at-edwards-lifesciences-4429306328?trk=public_jobs_topcard-title</t>
  </si>
  <si>
    <t>LI_4412736946</t>
  </si>
  <si>
    <t>Software Quality Engineer 2</t>
  </si>
  <si>
    <t>Adobe Document Cloud is revolutionizing the way the world works with documents. It’s a very exciting place to be. The Document Cloud (DC) combines a collection of online services integrated with Adobe Reader, Adobe Acrobat and Adobe Sign. Our subscription base is growing rapidly,...</t>
  </si>
  <si>
    <t>https://in.linkedin.com/jobs/view/software-quality-engineer-2-at-adobe-4412736946?trk=public_jobs_topcard-title</t>
  </si>
  <si>
    <t>LI_4432800172</t>
  </si>
  <si>
    <t>Software Engineer C/C++, Python</t>
  </si>
  <si>
    <t>Tomorrow World Technologies (TWT)</t>
  </si>
  <si>
    <t>Software Engineer
Experience: 3-5 Years
Location: Delhi &amp; Bangalore (Development Centers)
Qualification: B.Tech (Electrical / Electronics &amp; Communication)
Role Overview
As a Software Engineer, you will be a core contributor to the design, development, and testing
of advance...</t>
  </si>
  <si>
    <t>https://in.linkedin.com/jobs/view/software-engineer-c-c%2B%2B-python-at-tomorrow-world-technologies-twt-4432800172?trk=public_jobs_topcard-title</t>
  </si>
  <si>
    <t>LI_4435318188</t>
  </si>
  <si>
    <t>Software Test Engineer-SDET(Java ,Selenium)</t>
  </si>
  <si>
    <t>CGI</t>
  </si>
  <si>
    <t>Company Profile:
Founded in 1976, CGI is among the largest independent IT and business consulting services firms in the world. With 94,000 consultants and professionals across the globe, CGI delivers an end-to-end portfolio of capabilities, from strategic IT and business consult...</t>
  </si>
  <si>
    <t>https://in.linkedin.com/jobs/view/software-test-engineer-sdet-java-selenium-at-cgi-4435318188?trk=public_jobs_topcard-title</t>
  </si>
  <si>
    <t>LI_4431311972</t>
  </si>
  <si>
    <t>Software Development Engineer, Emerging Devices Software</t>
  </si>
  <si>
    <t>Description
We are looking for a skilled and motivated Software Development Engineer to join Amazon’s Emerging Devices Software (EDS) team. EDS works on new devices, such as Smart Eyewear. This is a unique opportunity to work on an emerging product at the intersection of mobile,...</t>
  </si>
  <si>
    <t>https://in.linkedin.com/jobs/view/software-development-engineer-emerging-devices-software-at-amazon-4431311972?trk=public_jobs_topcard-title</t>
  </si>
  <si>
    <t>LI_4420723015</t>
  </si>
  <si>
    <t>Software Engineer FY22</t>
  </si>
  <si>
    <t>Analog Devices</t>
  </si>
  <si>
    <t>About Analog Devices
Analog Devices, Inc. (NASDAQ: ADI) is a global semiconductor leader that bridges the physical and digital worlds to enable breakthroughs at the Intelligent Edge. ADI combines analog, digital, AI, and software technologies into solutions that combat climate c...</t>
  </si>
  <si>
    <t>https://in.linkedin.com/jobs/view/software-engineer-fy22-at-analog-devices-4420723015?trk=public_jobs_topcard-title</t>
  </si>
  <si>
    <t>LI_4368431355</t>
  </si>
  <si>
    <t>Software Engineer / Senior Software Engineer - Java Backend</t>
  </si>
  <si>
    <t>Cloudesign</t>
  </si>
  <si>
    <t>Software Engineer / Senior Software Engineer
Experience: 3 – 10 Years
Location: Pune (Baner) – Work from Office (5 Days a Week)
Interview Process
Round 1: Coding Assessment (Virtual – 60 Minutes)
Round 2: System Design (45 Minutes) + Data Structures &amp; Algorithms (45 Minutes)...</t>
  </si>
  <si>
    <t>https://in.linkedin.com/jobs/view/software-engineer-senior-software-engineer-java-backend-at-cloudesign-4368431355?trk=public_jobs_topcard-title</t>
  </si>
  <si>
    <t>LI_4432577567</t>
  </si>
  <si>
    <t>https://in.linkedin.com/jobs/view/remote-software-engineer-javascript-at-turing-4432577567?trk=public_jobs_topcard-title</t>
  </si>
  <si>
    <t>LI_4434712049</t>
  </si>
  <si>
    <t>Software Engineer - Backend Engineer ,  Python/Go , kubernetes, Database - 5 to 8 years</t>
  </si>
  <si>
    <t>https://in.linkedin.com/jobs/view/software-engineer-backend-engineer-python-go-kubernetes-database-5-to-8-years-at-cisco-4434712049?trk=public_jobs_topcard-title</t>
  </si>
  <si>
    <t>LI_4433375271</t>
  </si>
  <si>
    <t>https://in.linkedin.com/jobs/view/custom-software-engineer-at-accenture-in-india-4433375271?trk=public_jobs_topcard-title</t>
  </si>
  <si>
    <t>LI_4433354779</t>
  </si>
  <si>
    <t>https://in.linkedin.com/jobs/view/custom-software-engineer-at-accenture-in-india-4433354779?trk=public_jobs_topcard-title</t>
  </si>
  <si>
    <t>LI_4433361738</t>
  </si>
  <si>
    <t>https://in.linkedin.com/jobs/view/custom-software-engineer-at-accenture-in-india-4433361738?trk=public_jobs_topcard-title</t>
  </si>
  <si>
    <t>LI_4387857574</t>
  </si>
  <si>
    <t>https://in.linkedin.com/jobs/view/custom-software-engineer-at-accenture-in-india-4387857574?trk=public_jobs_topcard-title</t>
  </si>
  <si>
    <t>LI_4387859560</t>
  </si>
  <si>
    <t>https://in.linkedin.com/jobs/view/custom-software-engineer-at-accenture-in-india-4387859560?trk=public_jobs_topcard-title</t>
  </si>
  <si>
    <t>LI_4433897323</t>
  </si>
  <si>
    <t>https://in.linkedin.com/jobs/view/custom-software-engineer-at-accenture-in-india-4433897323?trk=public_jobs_topcard-title</t>
  </si>
  <si>
    <t>LI_4433883975</t>
  </si>
  <si>
    <t>https://in.linkedin.com/jobs/view/custom-software-engineer-at-accenture-in-india-4433883975?trk=public_jobs_topcard-title</t>
  </si>
  <si>
    <t>LI_4434001239</t>
  </si>
  <si>
    <t>https://in.linkedin.com/jobs/view/custom-software-engineer-at-accenture-in-india-4434001239?trk=public_jobs_topcard-title</t>
  </si>
  <si>
    <t>LI_4373595759</t>
  </si>
  <si>
    <t>https://in.linkedin.com/jobs/view/custom-software-engineer-at-accenture-in-india-4373595759?trk=public_jobs_topcard-title</t>
  </si>
  <si>
    <t>LI_4401034791</t>
  </si>
  <si>
    <t>Accellor</t>
  </si>
  <si>
    <t>We are seeking a highly skilled Software Development Engineer (SDET) to join our dedicated QA team. In this role, you will play a crucial part in ensuring the high quality of our software releases. You will be responsible for developing and executing detailed smoke and regression...</t>
  </si>
  <si>
    <t>https://in.linkedin.com/jobs/view/software-development-engineer-in-test-sdet-at-accellor-4401034791?trk=public_jobs_topcard-title</t>
  </si>
  <si>
    <t>LI_4430408583</t>
  </si>
  <si>
    <t>Software Engineer, Backend (mid level)</t>
  </si>
  <si>
    <t>Instabase</t>
  </si>
  <si>
    <t>At Instabase, we're passionate about democratizing access to cutting-edge AI innovation to enable any organization to solve previously unsolvable unstructured data problems in their industry. With customers representing some of the largest and most complex organizations in the wo...</t>
  </si>
  <si>
    <t>https://in.linkedin.com/jobs/view/software-engineer-backend-mid-level-at-instabase-4430408583?trk=public_jobs_topcard-title</t>
  </si>
  <si>
    <t>LI_4433373354</t>
  </si>
  <si>
    <t>https://in.linkedin.com/jobs/view/custom-software-engineer-at-accenture-in-india-4433373354?trk=public_jobs_topcard-title</t>
  </si>
  <si>
    <t>LI_4409602451</t>
  </si>
  <si>
    <t>Project Role : Web Developer
Project Role Description : Design, build and test web-based applications for various site components and edit site content. Document technical designs and specifications. Research and incorporate updated content for websites.
Must have skills : Tale...</t>
  </si>
  <si>
    <t>https://in.linkedin.com/jobs/view/web-developer-at-accenture-in-india-4409602451?trk=public_jobs_topcard-title</t>
  </si>
  <si>
    <t>LI_4433358719</t>
  </si>
  <si>
    <t>https://in.linkedin.com/jobs/view/custom-software-engineer-at-accenture-in-india-4433358719?trk=public_jobs_topcard-title</t>
  </si>
  <si>
    <t>LI_4337375817</t>
  </si>
  <si>
    <t>https://in.linkedin.com/jobs/view/custom-software-engineer-at-accenture-in-india-4337375817?trk=public_jobs_topcard-title</t>
  </si>
  <si>
    <t>LI_4433363643</t>
  </si>
  <si>
    <t>https://in.linkedin.com/jobs/view/custom-software-engineer-at-accenture-in-india-4433363643?trk=public_jobs_topcard-title</t>
  </si>
  <si>
    <t>LI_4232601133</t>
  </si>
  <si>
    <t>Backend Developer Trainee</t>
  </si>
  <si>
    <t>Gramik®</t>
  </si>
  <si>
    <t>Job Title: Backend Developer Intern
Location: Lucknow
Company: GRAMIK
Stipend: ₹7,000 – ₹8,000 per month
Employment Type: Internship (Full-time)
About GRAMIK
Gramik is an agri-tech startup focused on empowering farmers through technology and transparent last-mile delivery. ...</t>
  </si>
  <si>
    <t>https://in.linkedin.com/jobs/view/backend-developer-trainee-at-gramik%C2%AE-4232601133?trk=public_jobs_topcard-title</t>
  </si>
  <si>
    <t>LI_4337306030</t>
  </si>
  <si>
    <t>https://in.linkedin.com/jobs/view/custom-software-engineer-at-accenture-in-india-4337306030?trk=public_jobs_topcard-title</t>
  </si>
  <si>
    <t>LI_4430701914</t>
  </si>
  <si>
    <t>JavaScript Developer</t>
  </si>
  <si>
    <t>Dassault Systèmes</t>
  </si>
  <si>
    <t>JavaScript Developer :
Dassault Systemes' ENOVIA is the world's leading solution for collaborative product development and lifecycle management. Deployed by global leaders such as Honda, Toyota, Boeing, and Airbus — across 12 industries spanning mobility, aerospace, life science...</t>
  </si>
  <si>
    <t>https://in.linkedin.com/jobs/view/javascript-developer-at-dassault-syst%C3%A8mes-4430701914?trk=public_jobs_topcard-title</t>
  </si>
  <si>
    <t>LI_4417829963</t>
  </si>
  <si>
    <t>Neysa</t>
  </si>
  <si>
    <t>Position - Backend Engineer
Experience: 5 to 7 years
Primary Focus: Backend development, bug fixing, API/microservice development, production support
Project: Overwatch, a NestJS/Nx monorepo with gRPC-based backend microservices
Role Summary
We are looking for a backend engi...</t>
  </si>
  <si>
    <t>https://in.linkedin.com/jobs/view/backend-engineer-at-neysa-4417829963?trk=public_jobs_topcard-title</t>
  </si>
  <si>
    <t>LI_4365593215</t>
  </si>
  <si>
    <t>https://in.linkedin.com/jobs/view/custom-software-engineer-at-accenture-in-india-4365593215?trk=public_jobs_topcard-title</t>
  </si>
  <si>
    <t>LI_4368629697</t>
  </si>
  <si>
    <t>FastAPI Developer</t>
  </si>
  <si>
    <t>Epergne Solutions</t>
  </si>
  <si>
    <t>Mangaluru</t>
  </si>
  <si>
    <t>Job Role: -FastAPI Developer
Job Location: - Pune/Hyderabad/Chennai/Mysore/Bhubaneswar/Mangalore/Trivandrum/Chandigarh/Jaipur/Nagpur/Indore/Gurgaon/Noida/Bengaluru/Mohali/Coimbatore/Vijayawada/Madurai/Kochi
Experience: 5 Years
Roles &amp; Responsibilities:- 
Design, develop, and ...</t>
  </si>
  <si>
    <t>https://in.linkedin.com/jobs/view/fastapi-developer-at-epergne-solutions-4368629697?trk=public_jobs_topcard-title</t>
  </si>
  <si>
    <t>LI_4383139973</t>
  </si>
  <si>
    <t>Full Stack Developer</t>
  </si>
  <si>
    <t>Easebuzz</t>
  </si>
  <si>
    <t>About The Company
Easebuzz is a payment solutions (fintech) company that enables online merchants to accept, process, and disburse payments through developer-friendly APIs. We are focused on building plug-and-play products—including payment infrastructure—to solve end-to-end bus...</t>
  </si>
  <si>
    <t>https://in.linkedin.com/jobs/view/full-stack-developer-at-easebuzz-4383139973?trk=public_jobs_topcard-title</t>
  </si>
  <si>
    <t>LI_4432783324</t>
  </si>
  <si>
    <t>The team
Deloitte’s Technology &amp; Transformation practice can help you uncover and unlock the value buried deep inside vast amounts of data. Our global network provides strategic guidance and implementation services to help companies manage data from disparate sources and convert...</t>
  </si>
  <si>
    <t>https://in.linkedin.com/jobs/view/full-stack-engineer-at-deloitte-4432783324?trk=public_jobs_topcard-title</t>
  </si>
  <si>
    <t>LI_4426774016</t>
  </si>
  <si>
    <t>Java Fullstack Developer</t>
  </si>
  <si>
    <t>Tata Communications</t>
  </si>
  <si>
    <t>We are looking for a highly experienced Java Fullstack Developer with hands-on expertise in Rich Communication Services. The ideal candidate will design, develop, debug, and optimize carrier-grade real-time communication platforms supporting CPaaS use cases for A2P Messaging Cust...</t>
  </si>
  <si>
    <t>https://in.linkedin.com/jobs/view/java-fullstack-developer-at-tata-communications-4426774016?trk=public_jobs_topcard-title</t>
  </si>
  <si>
    <t>LI_4433189875</t>
  </si>
  <si>
    <t>The Back End Software Engineer is responsible for developing the back end of a web application, handling the logic, database interactions, user authentication, configuration, etc. The Back End Software Engineer evaluates emerging technologies and provides strategic, innovative an...</t>
  </si>
  <si>
    <t>https://in.linkedin.com/jobs/view/back-end-software-engineer-at-slb-4433189875?trk=public_jobs_topcard-title</t>
  </si>
  <si>
    <t>LI_4435329894</t>
  </si>
  <si>
    <t>Junior JavaScript Developer - Remote work | REF#296620</t>
  </si>
  <si>
    <t>BairesDev</t>
  </si>
  <si>
    <t>At BairesDev®, we've been leading the way in technology projects for over 15 years. We deliver cutting-edge solutions to giants like Google and the most innovative startups in Silicon Valley.
Our diverse 4,000+ team, composed of the world's Top 1% of tech talent, works remotely ...</t>
  </si>
  <si>
    <t>https://in.linkedin.com/jobs/view/junior-javascript-developer-remote-work-ref%23296620-at-bairesdev-4435329894?trk=public_jobs_topcard-title</t>
  </si>
  <si>
    <t>LI_4435344130</t>
  </si>
  <si>
    <t>Junior JavaScript Developer - Remote work | REF#296619</t>
  </si>
  <si>
    <t>https://in.linkedin.com/jobs/view/junior-javascript-developer-remote-work-ref%23296619-at-bairesdev-4435344130?trk=public_jobs_topcard-title</t>
  </si>
  <si>
    <t>LI_4421595286</t>
  </si>
  <si>
    <t>Back End Developer</t>
  </si>
  <si>
    <t>Paisabazaar</t>
  </si>
  <si>
    <t>Job Title: Backend Developer (Node.js) 
Experience: 3–5 Years Location: Gurgaon
Role Overview:
We are looking for a skilled and passionate Backend Developer with 3-5 years of experience in Node.js and Express.js to join our growing technology team. You will be responsible for de...</t>
  </si>
  <si>
    <t>https://in.linkedin.com/jobs/view/back-end-developer-at-paisabazaar-4421595286?trk=public_jobs_topcard-title</t>
  </si>
  <si>
    <t>LI_4306131130</t>
  </si>
  <si>
    <t>NodeJS Developer</t>
  </si>
  <si>
    <t>DIAGNAL</t>
  </si>
  <si>
    <t>Thiruvananthapuram</t>
  </si>
  <si>
    <t>Kerala</t>
  </si>
  <si>
    <t>Diagnal Technologies is a fully owned subsidiary of Diagnal Inc, Hong Kong. It’s a product company focusing on media and entertainment clients, creating Video on Demand apps for their customers. We are a team of OTT video solution specialists helping our customers build the new d...</t>
  </si>
  <si>
    <t>https://in.linkedin.com/jobs/view/nodejs-developer-at-diagnal-4306131130?trk=public_jobs_topcard-title</t>
  </si>
  <si>
    <t>LI_4433354771</t>
  </si>
  <si>
    <t>https://in.linkedin.com/jobs/view/custom-software-engineer-at-accenture-in-india-4433354771?trk=public_jobs_topcard-title</t>
  </si>
  <si>
    <t>LI_4431752295</t>
  </si>
  <si>
    <t>https://in.linkedin.com/jobs/view/custom-software-engineer-at-accenture-in-india-4431752295?trk=public_jobs_topcard-title</t>
  </si>
  <si>
    <t>LI_4415181156</t>
  </si>
  <si>
    <t>Software Developer – Golang</t>
  </si>
  <si>
    <t>The Future University</t>
  </si>
  <si>
    <t>Position: Software Developer – Golang
We are looking for a highly skilled and passionate Software Developer with strong expertise in the Golang tech stack and a solid understanding of trading platforms, financial markets, and trading workflows. The ideal candidate should be capa...</t>
  </si>
  <si>
    <t>https://in.linkedin.com/jobs/view/software-developer-%E2%80%93-golang-at-the-future-university-4415181156?trk=public_jobs_topcard-title</t>
  </si>
  <si>
    <t>LI_4436730057</t>
  </si>
  <si>
    <t>https://in.linkedin.com/jobs/view/custom-software-engineer-at-accenture-in-india-4436730057?trk=public_jobs_topcard-title</t>
  </si>
  <si>
    <t>LI_4313237936</t>
  </si>
  <si>
    <t>https://in.linkedin.com/jobs/view/custom-software-engineer-at-accenture-in-india-4313237936?trk=public_jobs_topcard-title</t>
  </si>
  <si>
    <t>LI_4436314089</t>
  </si>
  <si>
    <t>Codeyoung</t>
  </si>
  <si>
    <t>Senior Backend Developer (Node.js)
Location: Bengaluru, India (HSR Layout) / Remote Company: Codeyoung
About Codeyoung
At Codeyoung, we are on a mission to empower the next generation of innovators. We provide live, interactive online classes for K-12 students across the globe, ...</t>
  </si>
  <si>
    <t>https://in.linkedin.com/jobs/view/back-end-developer-at-codeyoung-4436314089?trk=public_jobs_topcard-title</t>
  </si>
  <si>
    <t>LI_4417416343</t>
  </si>
  <si>
    <t>https://in.linkedin.com/jobs/view/custom-software-engineer-at-accenture-in-india-4417416343?trk=public_jobs_topcard-title</t>
  </si>
  <si>
    <t>LI_4436362020</t>
  </si>
  <si>
    <t>Software Engineer (Fullstack)</t>
  </si>
  <si>
    <t>HireTalent - Staffing &amp; Recruiting Firm</t>
  </si>
  <si>
    <t>Senior Software Engineer
6 Months Contract 
Remote (EST hours)
Description:
We are seeking a highly skilled and experienced Senior Software Engineer to help support the Go-to-Market Systems team. In this role, you will be responsible for designing, developing, and maintaining hi...</t>
  </si>
  <si>
    <t>https://in.linkedin.com/jobs/view/software-engineer-fullstack-at-hiretalent-staffing-recruiting-firm-4436362020?trk=public_jobs_topcard-title</t>
  </si>
  <si>
    <t>LI_4367422311</t>
  </si>
  <si>
    <t>https://in.linkedin.com/jobs/view/custom-software-engineer-at-accenture-in-india-4367422311?trk=public_jobs_topcard-title</t>
  </si>
  <si>
    <t>LI_4435047791</t>
  </si>
  <si>
    <t>Staff Software Engineer</t>
  </si>
  <si>
    <t>ThoughtSpot</t>
  </si>
  <si>
    <t>About the team: 
The Core App Services team is the backbone of ThoughtSpot’s "Search &amp; AI" engine. We build the application platform that powers authentication, authorisation, metadata management, search infra, etc. for our global SaaS ecosystem. If you enjoy solving the "hard p...</t>
  </si>
  <si>
    <t>https://in.linkedin.com/jobs/view/staff-software-engineer-at-thoughtspot-4435047791?trk=public_jobs_topcard-title</t>
  </si>
  <si>
    <t>LI_4429233402</t>
  </si>
  <si>
    <t>JioStar</t>
  </si>
  <si>
    <t>Software Development Engineer II (Backend) - Adtech
Bengaluru
Software Engineering – Back-end Engineering /
Full Time /
On-site
Job Summary: As an SDE-II, you will design and build high-performance services that power mission-critical ad delivery, targeting, and measurement ...</t>
  </si>
  <si>
    <t>https://in.linkedin.com/jobs/view/software-development-engineer-ii-at-jiostar-4429233402?trk=public_jobs_topcard-title</t>
  </si>
  <si>
    <t>LI_4435055583</t>
  </si>
  <si>
    <t>Software Development Engineer 4 (C++)</t>
  </si>
  <si>
    <t>Role Overview
We are looking for a Software Engineer to contribute to the development of a large-scale Windows desktop photo editing application. The role involves building high-performance features in a complex, multi-process architecture while maintaining strong standards arou...</t>
  </si>
  <si>
    <t>https://in.linkedin.com/jobs/view/software-development-engineer-4-c%2B%2B-at-adobe-4435055583?trk=public_jobs_topcard-title</t>
  </si>
  <si>
    <t>LI_4432974480</t>
  </si>
  <si>
    <t>Mulshi</t>
  </si>
  <si>
    <t>https://in.linkedin.com/jobs/view/software-consulting-engineer-5%2B-years-java-python-at-cisco-4432974480?trk=public_jobs_topcard-title</t>
  </si>
  <si>
    <t>LI_4425079636</t>
  </si>
  <si>
    <t>Software Engineer – Full-stack Developer (React) - SWE-III</t>
  </si>
  <si>
    <t>FinacPlus</t>
  </si>
  <si>
    <t>Software Engineer – Full-stack Developer (React) - SWE-III
About FinacPlus
FinacPlus is a Great Place to Work® Certified organization — a recognition of our people first culture, collaborative environment, and focus on professional growth. We provide high-end virtual business ...</t>
  </si>
  <si>
    <t>https://in.linkedin.com/jobs/view/software-engineer-%E2%80%93-full-stack-developer-react-swe-iii-at-finacplus-4425079636?trk=public_jobs_topcard-title</t>
  </si>
  <si>
    <t>LI_4415197003</t>
  </si>
  <si>
    <t>Full Stack / DevOps Developer</t>
  </si>
  <si>
    <t>Meril</t>
  </si>
  <si>
    <t>Vapi</t>
  </si>
  <si>
    <t>We Are Hiring | Full-Stack Web Developer &amp; DevOps Engineer | R&amp;D
Vapi, Gujarat.
We are looking for a highly skilled Full-Stack Web Developer &amp; DevOps Engineer to design, develop, and scale the cloud platform powering our connected surgical ecosystem — from surgery licensing and ...</t>
  </si>
  <si>
    <t>https://in.linkedin.com/jobs/view/full-stack-devops-developer-at-meril-4415197003?trk=public_jobs_topcard-title</t>
  </si>
  <si>
    <t>LI_4435447370</t>
  </si>
  <si>
    <t>Junior React Developer</t>
  </si>
  <si>
    <t>NxtWave</t>
  </si>
  <si>
    <t>Junior React Developer (1 Year Experience)
Employment Type
1-Year Contract
Location
Hyderabad
Work Schedule
5 Days a Week
Working Hours: 9:30 AM – 5:30 PM
Responsibilities
Develop and maintain responsive user interfaces using React.js.
Build reusable components using React Hooks ...</t>
  </si>
  <si>
    <t>https://in.linkedin.com/jobs/view/junior-react-developer-at-nxtwave-4435447370?trk=public_jobs_topcard-title</t>
  </si>
  <si>
    <t>LI_4424647881</t>
  </si>
  <si>
    <t>Software Engineer (Code Review &amp; Quality) | $80/hr Remote</t>
  </si>
  <si>
    <t>Position: Software Engineer (Python, JavaScript/TypeScript, Go)
Type: Hourly contract
Compensation: $70 - $80/hour
Location: Remote
Commitment: 10 40 hours/week
Role Responsibilities
Conduct thorough code reviews and evaluate pull requests to ensure high code quality standards.
...</t>
  </si>
  <si>
    <t>https://in.linkedin.com/jobs/view/software-engineer-code-review-quality-%2480-hr-remote-at-crossing-hurdles-4424647881?trk=public_jobs_topcard-title</t>
  </si>
  <si>
    <t>LI_4433702404</t>
  </si>
  <si>
    <t>Backend Engineer (Desktop)</t>
  </si>
  <si>
    <t>Miratech</t>
  </si>
  <si>
    <t>Roorkee</t>
  </si>
  <si>
    <t>Uttarakhand</t>
  </si>
  <si>
    <t>Miratech helps visionaries change the world. We are a global IT services and consulting company that brings together enterprise and start-up innovation. Today, we support digital transformation for some of the world's largest enterprises. By partnering with both large and small p...</t>
  </si>
  <si>
    <t>https://in.linkedin.com/jobs/view/backend-engineer-desktop-at-miratech-4433702404?trk=public_jobs_topcard-title</t>
  </si>
  <si>
    <t>LI_4434744139</t>
  </si>
  <si>
    <t>Location Name: Pune Corporate Office - Mantri
Job Purpose
“This position is open with Bajaj Finance Ltd.”
Duties And Responsibilities
Responsible for Gathering and Consolidating of System requirement through Azure Board
Prioritization and Planning of Deliveries as per strateg...</t>
  </si>
  <si>
    <t>https://in.linkedin.com/jobs/view/software-engineer-at-bajaj-finserv-4434744139?trk=public_jobs_topcard-title</t>
  </si>
  <si>
    <t>LI_4407115471</t>
  </si>
  <si>
    <t>Blackhawk Network India</t>
  </si>
  <si>
    <t>Kozhikode</t>
  </si>
  <si>
    <t>About Blackhawk Network: 
Today, through BHN’s single global platform, businesses of all kinds can tap into the world’s largest network of branded payment solutions. BHN helps businesses grow revenue, increase loyalty, motivate and reward their teams, disburse funds and engage c...</t>
  </si>
  <si>
    <t>https://in.linkedin.com/jobs/view/software-engineer-at-blackhawk-network-india-4407115471?trk=public_jobs_topcard-title</t>
  </si>
  <si>
    <t>LI_4368172254</t>
  </si>
  <si>
    <t>Sr. Software Engineer - Cloud Networking</t>
  </si>
  <si>
    <t>Roku</t>
  </si>
  <si>
    <t>Teamwork makes the stream work.
Roku is changing how the world watches TV
Roku is the #1 TV streaming platform in the U.S., Canada, and Mexico, and we've set our sights on powering every television in the world. Roku pioneered streaming to the TV. Our mission is to be the TV stre...</t>
  </si>
  <si>
    <t>https://in.linkedin.com/jobs/view/sr-software-engineer-cloud-networking-at-roku-4368172254?trk=public_jobs_topcard-title</t>
  </si>
  <si>
    <t>LI_4399518521</t>
  </si>
  <si>
    <t>Software Development Engineer in Test II</t>
  </si>
  <si>
    <t>https://in.linkedin.com/jobs/view/software-development-engineer-in-test-ii-at-hackerrank-4399518521?trk=public_jobs_topcard-title</t>
  </si>
  <si>
    <t>LI_4280180709</t>
  </si>
  <si>
    <t>Project Role : Custom Software Engineer
Project Role Description : Design, build and configure applications to meet business process and application requirements.
Must have skills : Cloud Contact Center Implementation
Good to have skills : NA
Minimum 3 Year(s) Of Experience I...</t>
  </si>
  <si>
    <t>https://in.linkedin.com/jobs/view/custom-software-engineer-at-accenture-in-india-4280180709?trk=public_jobs_topcard-title</t>
  </si>
  <si>
    <t>LI_4436000135</t>
  </si>
  <si>
    <t>Software Engineer, Platform</t>
  </si>
  <si>
    <t>Jobgether</t>
  </si>
  <si>
    <t>This position is listed on behalf of a partner company, who manages all applications and next steps. Our partner is looking for a Software Engineer, Platform based in India.
This platform engineering role is focused on building the backend infrastructure that powers products use...</t>
  </si>
  <si>
    <t>https://in.linkedin.com/jobs/view/software-engineer-platform-at-jobgether-4436000135?trk=public_jobs_topcard-title</t>
  </si>
  <si>
    <t>LI_4415179164</t>
  </si>
  <si>
    <t>Mohali district</t>
  </si>
  <si>
    <t>https://in.linkedin.com/jobs/view/software-developer-%E2%80%93-golang-at-the-future-university-4415179164?trk=public_jobs_topcard-title</t>
  </si>
  <si>
    <t>LI_3631867155</t>
  </si>
  <si>
    <t>Fullstack Developer</t>
  </si>
  <si>
    <t>Fractal</t>
  </si>
  <si>
    <t>It's fun to work in a company where people truly BELIEVE in what they are doing!
We're committed to bringing passion and customer focus to the business.
Develop and maintain AWS Lex based chatbot workflow.
Develop and maintain integration with the backend system (API based)
D...</t>
  </si>
  <si>
    <t>https://in.linkedin.com/jobs/view/fullstack-developer-at-fractal-3631867155?trk=public_jobs_topcard-title</t>
  </si>
  <si>
    <t>LI_4407750482</t>
  </si>
  <si>
    <t>(IND) SENIOR, SOFTWARE ENGINEER - Front End</t>
  </si>
  <si>
    <t>https://in.linkedin.com/jobs/view/ind-senior-software-engineer-front-end-at-walmart-global-tech-india-4407750482?trk=public_jobs_topcard-title</t>
  </si>
  <si>
    <t>LI_4412747154</t>
  </si>
  <si>
    <t>(IND) Software Engineer III - Full Stack</t>
  </si>
  <si>
    <t>About Team:
Our team collaborates with Walmart International, which has over 5,900 retail units operating outside of the United States under 55 banners in 26 countries including Africa, Argentina, Canada, Central America, Chile, China, India, Japan, and Mexico, to name a few.
W...</t>
  </si>
  <si>
    <t>https://in.linkedin.com/jobs/view/ind-software-engineer-iii-full-stack-at-walmart-global-tech-india-4412747154?trk=public_jobs_topcard-title</t>
  </si>
  <si>
    <t>LI_4434961340</t>
  </si>
  <si>
    <t>Java Developer - Azure/GCP (Immediate Joiner)</t>
  </si>
  <si>
    <t>KPMG India</t>
  </si>
  <si>
    <t>About KPMG in India
KPMG entities in India are professional services firm(s). These Indian member firms are affiliated with KPMG International Limited. KPMG was established in India in August 1993. Our professionals leverage the global network of firms, and are conversant with l...</t>
  </si>
  <si>
    <t>https://in.linkedin.com/jobs/view/java-developer-azure-gcp-immediate-joiner-at-kpmg-india-4434961340?trk=public_jobs_topcard-title</t>
  </si>
  <si>
    <t>LI_4434727535</t>
  </si>
  <si>
    <t>https://in.linkedin.com/jobs/view/custom-software-engineer-at-accenture-in-india-4434727535?trk=public_jobs_topcard-title</t>
  </si>
  <si>
    <t>LI_4427162652</t>
  </si>
  <si>
    <t>noon</t>
  </si>
  <si>
    <t>About noon
We’re building an ecosystem of digital products and services that power everyday life across the Middle East—fast, scalable, and deeply customer-centric. Our mission is to deliver to every door every day. We want to redefine what technology can do in this region, and w...</t>
  </si>
  <si>
    <t>https://in.linkedin.com/jobs/view/backend-engineer-at-noon-4427162652?trk=public_jobs_topcard-title</t>
  </si>
  <si>
    <t>LI_4115785708</t>
  </si>
  <si>
    <t>Software Developer – Backend (JP)</t>
  </si>
  <si>
    <t>STCO India</t>
  </si>
  <si>
    <t>Share this job on
LinkedIn Facebook WhatsApp X Email Share
Software Engineer – Backend
Experience: Minimum 3-4 Years
Developing and maintaining all server-side network components.
Ensuring optimal performance of the central database and responsiveness to front-end requests.
D...</t>
  </si>
  <si>
    <t>https://in.linkedin.com/jobs/view/software-developer-%E2%80%93-backend-jp-at-stco-india-4115785708?trk=public_jobs_topcard-title</t>
  </si>
  <si>
    <t>LI_4401656007</t>
  </si>
  <si>
    <t>https://in.linkedin.com/jobs/view/web-developer-at-accenture-in-india-4401656007?trk=public_jobs_topcard-title</t>
  </si>
  <si>
    <t>LI_4341525422</t>
  </si>
  <si>
    <t>Node.js Developer</t>
  </si>
  <si>
    <t>TECHNIX TECHNOLOGY</t>
  </si>
  <si>
    <t>Patna</t>
  </si>
  <si>
    <t>Bihar</t>
  </si>
  <si>
    <t>PATNA
Opening: 02-Dec-2025
Skills Required: Node.js, JavaScript, TypeScript, Express.js or NestJS, REST APIs, GraphQL (optional), Microservices Architecture, Docker, CI/CD, Git, SQL, PostgreSQL or MySQL, MongoDB or DynamoDB, Redis or Memcached, JWT &amp; OAuth Authentication, Unit ...</t>
  </si>
  <si>
    <t>https://in.linkedin.com/jobs/view/node-js-developer-at-technix-technology-4341525422?trk=public_jobs_topcard-title</t>
  </si>
  <si>
    <t>LI_4411195175</t>
  </si>
  <si>
    <t>SDE 2 - Backend Java</t>
  </si>
  <si>
    <t>novio</t>
  </si>
  <si>
    <t>We are looking for a Backend Engineer with strong experience in building scalable, reliable, and high- performance systems. You will work on designing APIs, handling large-scale data, and building robust backend services using Java and Spring Boot.
Principal Duties/Responsibilit...</t>
  </si>
  <si>
    <t>https://in.linkedin.com/jobs/view/sde-2-backend-java-at-novio-4411195175?trk=public_jobs_topcard-title</t>
  </si>
  <si>
    <t>LI_4433885953</t>
  </si>
  <si>
    <t>https://in.linkedin.com/jobs/view/custom-software-engineer-at-accenture-in-india-4433885953?trk=public_jobs_topcard-title</t>
  </si>
  <si>
    <t>LI_4337495178</t>
  </si>
  <si>
    <t>https://in.linkedin.com/jobs/view/custom-software-engineer-at-accenture-in-india-4337495178?trk=public_jobs_topcard-title</t>
  </si>
  <si>
    <t>LI_4337346230</t>
  </si>
  <si>
    <t>https://in.linkedin.com/jobs/view/custom-software-engineer-at-accenture-in-india-4337346230?trk=public_jobs_topcard-title</t>
  </si>
  <si>
    <t>LI_4099685783</t>
  </si>
  <si>
    <t>https://in.linkedin.com/jobs/view/software-engineer-back-end-at-netsfere-4099685783?trk=public_jobs_topcard-title</t>
  </si>
  <si>
    <t>LI_4337375816</t>
  </si>
  <si>
    <t>https://in.linkedin.com/jobs/view/custom-software-engineer-at-accenture-in-india-4337375816?trk=public_jobs_topcard-title</t>
  </si>
  <si>
    <t>LI_4435556151</t>
  </si>
  <si>
    <t>Choosing Capgemini means choosing a company where you will be empowered to shape your career in the way you’d like, where you’ll be supported and inspired by a collaborative community of colleagues around the world, and where you’ll be able to reimagine what’s possible. Join us a...</t>
  </si>
  <si>
    <t>https://in.linkedin.com/jobs/view/test-automation-engineer-at-capgemini-4435556151?trk=public_jobs_topcard-title</t>
  </si>
  <si>
    <t>LI_4390354478</t>
  </si>
  <si>
    <t>https://in.linkedin.com/jobs/view/custom-software-engineer-at-accenture-in-india-4390354478?trk=public_jobs_topcard-title</t>
  </si>
  <si>
    <t>LI_4337365820</t>
  </si>
  <si>
    <t>https://in.linkedin.com/jobs/view/custom-software-engineer-at-accenture-in-india-4337365820?trk=public_jobs_topcard-title</t>
  </si>
  <si>
    <t>LI_4432241157</t>
  </si>
  <si>
    <t>Rakuten Symphony</t>
  </si>
  <si>
    <t>Job Title: Software Engineer/ Sr. Software Engineer
Experience: 3 – 7 years
Location: Indore (Onsite)
Why should you choose us? 
Rakuten Symphony is reimagining telecom, changing supply chain norms and disrupting outmoded thinking that threatens the industry’s pursuit of rapid i...</t>
  </si>
  <si>
    <t>https://in.linkedin.com/jobs/view/senior-software-engineer-at-rakuten-symphony-4432241157?trk=public_jobs_topcard-title</t>
  </si>
  <si>
    <t>LI_4373501026</t>
  </si>
  <si>
    <t>Full Stack AI Developer</t>
  </si>
  <si>
    <t>HJ Recruitment</t>
  </si>
  <si>
    <t>Full Stack AI Developer (Next.js • TypeScript • LLMs • Agents • RAG)
Location: Remote
Type: Full-time
Industry: AI Startup
We’re building next-generation AI systems real agents, real intelligence, real impact.
If you want to push the frontier of what’s possible with LLMs, auton...</t>
  </si>
  <si>
    <t>https://in.linkedin.com/jobs/view/full-stack-ai-developer-at-hj-recruitment-4373501026?trk=public_jobs_topcard-title</t>
  </si>
  <si>
    <t>LI_4430019065</t>
  </si>
  <si>
    <t>Software Engine</t>
  </si>
  <si>
    <t>StepSecurity</t>
  </si>
  <si>
    <t>About StepSecurity
StepSecurity prevents, detects, and responds to software supply chain attacks by analyzing behavior across the full software development lifecycle for both developers and AI coding agents. We are building a vertical AI agent for supply chain security across thr...</t>
  </si>
  <si>
    <t>https://in.linkedin.com/jobs/view/software-engine-at-stepsecurity-4430019065?trk=public_jobs_topcard-title</t>
  </si>
  <si>
    <t>LI_4342463307</t>
  </si>
  <si>
    <t>Experienced Software Engineer Java / Python (Full Stack or Back End)</t>
  </si>
  <si>
    <t>Job Description
Push the limits of what's possible with us as an experienced member of our Software Engineering team.
As an Experienced Software Engineer at JPMorganChase within the Global Technology team, you serve as member of an agile team to design and deliver trusted marke...</t>
  </si>
  <si>
    <t>https://in.linkedin.com/jobs/view/experienced-software-engineer-java-python-full-stack-or-back-end-at-jpmorganchase-4342463307?trk=public_jobs_topcard-title</t>
  </si>
  <si>
    <t>LI_4430384592</t>
  </si>
  <si>
    <t>Python Backend Developer IRC297068</t>
  </si>
  <si>
    <t>GlobalLogic</t>
  </si>
  <si>
    <t>Description
GlobalLogic, a Hitachi Group Company, is a leader in digital engineering. We help brands design and build innovative products, platforms, and digital experiences for the modern world. By integrating experience design, complex engineering, and vertical industry expert...</t>
  </si>
  <si>
    <t>https://in.linkedin.com/jobs/view/python-backend-developer-irc297068-at-globallogic-4430384592?trk=public_jobs_topcard-title</t>
  </si>
  <si>
    <t>LI_4306132133</t>
  </si>
  <si>
    <t>Java Developer</t>
  </si>
  <si>
    <t>MyInsuranceClub</t>
  </si>
  <si>
    <t>Position
Java Developer
Requirements
Good knowledge and hands on experience in Java development with.
Good knowledge of Java and J2EE internals (Multi threading, Memory Management, Transaction
management etc.)
Good knowledge of Relational Databases, SQL and ORM technologies ...</t>
  </si>
  <si>
    <t>https://in.linkedin.com/jobs/view/java-developer-at-myinsuranceclub-4306132133?trk=public_jobs_topcard-title</t>
  </si>
  <si>
    <t>LI_4341797497</t>
  </si>
  <si>
    <t>Associate - Backend Software Development</t>
  </si>
  <si>
    <t>Pocketful</t>
  </si>
  <si>
    <t>Who are we looking for?
○ Backend Developer, who is proficient in Java/Golang/C++/Python Golang is must
Minimum 2 years of work experience in backend development &amp; building scalable products
Work on a category creating, possibly disruptive, fintech products in early stages. Des...</t>
  </si>
  <si>
    <t>https://in.linkedin.com/jobs/view/associate-backend-software-development-at-pocketful-4341797497?trk=public_jobs_topcard-title</t>
  </si>
  <si>
    <t>LI_4423620680</t>
  </si>
  <si>
    <t>About Position: 
We are looking for an experienced Lead Java Developer who can drive backend engineering initiatives, lead modules, mentor developers, and design scalable microservices in a fast‑paced delivery environment. The ideal candidate will have strong hands‑on experience...</t>
  </si>
  <si>
    <t>https://in.linkedin.com/jobs/view/java-developer-at-persistent-systems-4423620680?trk=public_jobs_topcard-title</t>
  </si>
  <si>
    <t>LI_4425074047</t>
  </si>
  <si>
    <t>Python Developer</t>
  </si>
  <si>
    <t>unreconciled</t>
  </si>
  <si>
    <t>We need a senior backend engineer who can own systems end-to-end — not someone who writes APIs and hands off the rest. You'll work directly with the CTO, lead projects from blank repo to production, switch between product lines as priorities shift, and use AI dev tools (Claude Co...</t>
  </si>
  <si>
    <t>https://in.linkedin.com/jobs/view/python-developer-at-unreconciled-4425074047?trk=public_jobs_topcard-title</t>
  </si>
  <si>
    <t>LI_4426925700</t>
  </si>
  <si>
    <t>Lingaro</t>
  </si>
  <si>
    <t>Backend Developer
India, Remote
Growth through diversity, equity, and inclusion. As an ethical business, we do what is right — including ensuring equal opportunities and fostering a safe, respectful workplace for each of us. We believe diversity fuels both personal and business ...</t>
  </si>
  <si>
    <t>https://in.linkedin.com/jobs/view/back-end-developer-at-lingaro-4426925700?trk=public_jobs_topcard-title</t>
  </si>
  <si>
    <t>LI_4429656040</t>
  </si>
  <si>
    <t>Zoca</t>
  </si>
  <si>
    <t>About Zoca
Zoca is a fast-growing local business marketing platform that helps salons, spas, and wellness businesses attract, convert, and retain more clients through AI-powered tools. Backed by real-time data and automation, we simplify growth for beauty professionals.
Role Ov...</t>
  </si>
  <si>
    <t>https://in.linkedin.com/jobs/view/backend-engineer-at-zoca-4429656040?trk=public_jobs_topcard-title</t>
  </si>
  <si>
    <t>LI_4430608995</t>
  </si>
  <si>
    <t>SDE-3 Backend Engineer - Node.js</t>
  </si>
  <si>
    <t>We are looking for an experienced SDE-3 Backend Engineer (Node.js) to lead the backend engineering pod responsible for third-party integrations, observability, and engineering support.
The role requires someone who is technically strong in Node.js, TypeScript, databases, and bac...</t>
  </si>
  <si>
    <t>https://in.linkedin.com/jobs/view/sde-3-backend-engineer-node-js-at-novio-4430608995?trk=public_jobs_topcard-title</t>
  </si>
  <si>
    <t>LI_4418226092</t>
  </si>
  <si>
    <t>Bakcend Developer</t>
  </si>
  <si>
    <t>Twixor</t>
  </si>
  <si>
    <t>Skills:
Java, Core Java, Spring Boot, REST APIs, Microservices, MYSQL or SQL or SQL or PostgreSQL, MongoDB,
Company Overview
Twixor is a global leader in enabling business transactions over messaging channels, specializing in digital customer journeys, intelligent business proc...</t>
  </si>
  <si>
    <t>https://in.linkedin.com/jobs/view/bakcend-developer-at-twixor-4418226092?trk=public_jobs_topcard-title</t>
  </si>
  <si>
    <t>LI_4435437891</t>
  </si>
  <si>
    <t>Infios</t>
  </si>
  <si>
    <t>Itanagar</t>
  </si>
  <si>
    <t>Arunachal Pradesh</t>
  </si>
  <si>
    <t>If you are looking for a meaningful career where people work and act with passion, rethink the existing and always strive to find the best solution - you have come to the right place. We develop future technologies to relentlessly make supply chains better.
We are a leader in su...</t>
  </si>
  <si>
    <t>https://in.linkedin.com/jobs/view/software-engineer-at-infios-4435437891?trk=public_jobs_topcard-title</t>
  </si>
  <si>
    <t>LI_4321237434</t>
  </si>
  <si>
    <t>Roles &amp; Responsibility
Lead and mentor a team of backend engineers
Design, develop, and maintain highly scalable and reliable backend applications
Work with a team of engineers to implement new features and improve existing ones
Have deep knowledge of software architecture princ...</t>
  </si>
  <si>
    <t>https://in.linkedin.com/jobs/view/backend-engineer-at-kodo-4321237434?trk=public_jobs_topcard-title</t>
  </si>
  <si>
    <t>LI_4422999282</t>
  </si>
  <si>
    <t>Senior Software Engineer - Backend - Remote</t>
  </si>
  <si>
    <t>Jitterbit</t>
  </si>
  <si>
    <t>Jitterbit automates and orchestrates business systems to empower teams, unlock value, and accelerate business transformation. With Jitterbit, organizations can streamline operations, enhance data accessibility, and deliver on a growing list of IT needs more quickly and confidentl...</t>
  </si>
  <si>
    <t>https://in.linkedin.com/jobs/view/senior-software-engineer-backend-remote-at-jitterbit-4422999282?trk=public_jobs_topcard-title</t>
  </si>
  <si>
    <t>LI_4433821159</t>
  </si>
  <si>
    <t>Xebia</t>
  </si>
  <si>
    <t>Hi ,
Xebia is looking for Senior Node.js Developer
Experience- 7-12 years
Location- Bangalore, Pune, Gurgaon, Chennai, Hyderabad, Bhopal, Jaipur
Mandatory Skills- Node.js, Nest.js, Express.js
Passport is Mandatory
Interested candidates can share your CV at mansi.savant@xebia.c...</t>
  </si>
  <si>
    <t>https://in.linkedin.com/jobs/view/back-end-developer-at-xebia-4433821159?trk=public_jobs_topcard-title</t>
  </si>
  <si>
    <t>LI_4394534224</t>
  </si>
  <si>
    <t>Appscrip</t>
  </si>
  <si>
    <t>Surat</t>
  </si>
  <si>
    <t>Be open to learn new frameworks like Hapi.JS , Typescript , Nest.JS
Strong DB concepts , and hands on knowledge on MongoDB , REDIS
Experience working with micro-services will be a plus
Experience working with JWT and IAM systems will be a plus
Experience working with Postman , Sw...</t>
  </si>
  <si>
    <t>https://in.linkedin.com/jobs/view/nodejs-developer-at-appscrip-4394534224?trk=public_jobs_topcard-title</t>
  </si>
  <si>
    <t>LI_4430384694</t>
  </si>
  <si>
    <t>Recro</t>
  </si>
  <si>
    <t>Role - Golang Developer
Experience - 3+Yrs
Location - Bangalore
As an SDE-2, you will be responsible for building and scaling backend systems that are
reliable, efficient, and production-ready. This is a hands-on coding role, where you’re
expected to independently solve engineer...</t>
  </si>
  <si>
    <t>https://in.linkedin.com/jobs/view/back-end-developer-at-recro-4430384694?trk=public_jobs_topcard-title</t>
  </si>
  <si>
    <t>LI_4429994165</t>
  </si>
  <si>
    <t>https://in.linkedin.com/jobs/view/custom-software-engineer-at-accenture-in-india-4429994165?trk=public_jobs_topcard-title</t>
  </si>
  <si>
    <t>LI_4435263024</t>
  </si>
  <si>
    <t>Full stack Developer (Python with React)</t>
  </si>
  <si>
    <t>Primary skills:Technology-&gt;OpenSystem-&gt;Python - OpenSystem-&gt;Python,Technology-&gt;Reactive Programming-&gt;react JS
A day in the life of an Infoscion
As part of the Infosys delivery team, your primary role would be to ensure effective Design, Development, Validation and Support activ...</t>
  </si>
  <si>
    <t>https://in.linkedin.com/jobs/view/full-stack-developer-python-with-react-at-infosys-4435263024?trk=public_jobs_topcard-title</t>
  </si>
  <si>
    <t>LI_4376057028</t>
  </si>
  <si>
    <t>Kuku</t>
  </si>
  <si>
    <t>Software Development Engineer (SDE) – Python/Django
Experience: 0–3 Years
Employment Type: Full-Time
About The Role
We are looking for a passionate and driven Software Development Engineer (SDE) with
0–3 years of experience to join our engineering team. The ideal candidate i...</t>
  </si>
  <si>
    <t>https://in.linkedin.com/jobs/view/backend-engineer-at-kuku-4376057028?trk=public_jobs_topcard-title</t>
  </si>
  <si>
    <t>LI_4410555623</t>
  </si>
  <si>
    <t>Safe Security</t>
  </si>
  <si>
    <t>Most boards and executives are currently flying blind when it comes to cyber risk. They are guessing. At Safe, we’ve built an AI-driven engine that finally gives the C-Suite a clear, quantified, and real-time view of their security posture. We don’t just provide data; we provide ...</t>
  </si>
  <si>
    <t>https://in.linkedin.com/jobs/view/software-development-engineer-ii-at-safe-security-4410555623?trk=public_jobs_topcard-title</t>
  </si>
  <si>
    <t>LI_4312543743</t>
  </si>
  <si>
    <t>OMS Developer</t>
  </si>
  <si>
    <t>Litmus7</t>
  </si>
  <si>
    <t>Trivandrum</t>
  </si>
  <si>
    <t>Must Have
3+ years of Blue Yonder/Manhattan Active Omni/Fluent Ecommerce OMS/Kibo Commerce / Sterling OMS experience is highly preferred.
Good hands on experience in developing enterprise microservices applications. Java Springboot being the preferred one.
Should possess a good ...</t>
  </si>
  <si>
    <t>https://in.linkedin.com/jobs/view/oms-developer-at-litmus7-4312543743?trk=public_jobs_topcard-title</t>
  </si>
  <si>
    <t>LI_4435842060</t>
  </si>
  <si>
    <t>Software Engineer III, Geo, Full Stack</t>
  </si>
  <si>
    <t>Google</t>
  </si>
  <si>
    <t>Minimum qualifications:
Bachelor’s degree or equivalent practical experience.
2 years of experience with full stack development, across back-end such as Java, Python, GO, or C++ codebases, and front-end experience including JavaScript or TypeScript, HTML, CSS or equivalent.
2 ye...</t>
  </si>
  <si>
    <t>https://in.linkedin.com/jobs/view/software-engineer-iii-geo-full-stack-at-google-4435842060?trk=public_jobs_topcard-title</t>
  </si>
  <si>
    <t>LI_4434348807</t>
  </si>
  <si>
    <t>Min. 3 years of relevant experience
Must have design experience using best practices, Design Patterns, SDLC, OOP, OOD
Must have experience in leading and mentoring teams
Must be experienced in developing applications using SQL databases, schema, SQL queries
Must be experienced in...</t>
  </si>
  <si>
    <t>https://in.linkedin.com/jobs/view/java-developer-at-infosys-4434348807?trk=public_jobs_topcard-title</t>
  </si>
  <si>
    <t>LI_4427466517</t>
  </si>
  <si>
    <t>Javascript Developer</t>
  </si>
  <si>
    <t>Role - React Developer
Experience - 3+Yrs
Location - Bangalore
Roles and Responsibilities
:
Agentic Development Direction: Effectively direct AI agents end-to-end through scoped vertical slices from scaffolding and core feature development to unit and E2E testin
g.Context &amp; Pr...</t>
  </si>
  <si>
    <t>https://in.linkedin.com/jobs/view/javascript-developer-at-recro-4427466517?trk=public_jobs_topcard-title</t>
  </si>
  <si>
    <t>LI_4434302723</t>
  </si>
  <si>
    <t>Primary skills:Technology-&gt;Java-&gt;Java - ALL,Technology-&gt;Java-&gt;Springboot,Technology-&gt;Microservices-&gt;Microservices API Management
A day in the life of an Infoscion
As part of the Infosys Delivery team, you will work on implementing designs, developing high quality programs and s...</t>
  </si>
  <si>
    <t>https://in.linkedin.com/jobs/view/java-developer-at-infosys-4434302723?trk=public_jobs_topcard-title</t>
  </si>
  <si>
    <t>LI_4399007372</t>
  </si>
  <si>
    <t>RGB Web Tech</t>
  </si>
  <si>
    <t>We are looking for a skilled and innovative Back-End Developer to join our development team. The ideal candidate will have a strong foundation in server-side technologies, a passion for creating efficient and scalable web applications, and the ability to collaborate effectively w...</t>
  </si>
  <si>
    <t>https://in.linkedin.com/jobs/view/back-end-developer-at-rgb-web-tech-4399007372?trk=public_jobs_topcard-title</t>
  </si>
  <si>
    <t>LI_4413985079</t>
  </si>
  <si>
    <t>Backend Developer</t>
  </si>
  <si>
    <t>Company: Amura Health
Website: Visit Website
LinkedIn: Visit LinkedIn
Business Type: Startup
Company Type: Service
Business Model: B2C
Funding Stage: Pre-seed
Industry: Healthcare
Salary Range: ₹ 10-40 Lacs PA
Job Description
Amura Health is building a transformative he...</t>
  </si>
  <si>
    <t>https://in.linkedin.com/jobs/view/backend-developer-at-sourcingxpress-4413985079?trk=public_jobs_topcard-title</t>
  </si>
  <si>
    <t>LI_4362040005</t>
  </si>
  <si>
    <t>Backend Engineer - SDE2</t>
  </si>
  <si>
    <t>Zerodha Fund House</t>
  </si>
  <si>
    <t>Zerodha Fund House
Enabling the Next Generation of Indian Investors
At Zerodha Fund House, we are redefining the mutual funds landscape to create simple, transparent, and cost-effective investment solutions for millions of Indians. Built by the pioneers behind Zerodha Broking L...</t>
  </si>
  <si>
    <t>https://in.linkedin.com/jobs/view/backend-engineer-sde2-at-zerodha-fund-house-4362040005?trk=public_jobs_topcard-title</t>
  </si>
  <si>
    <t>LI_4432177674</t>
  </si>
  <si>
    <t>AES - DE - FS - Full-Stack Developer (React + Node.js)</t>
  </si>
  <si>
    <t>Zensar Technologies</t>
  </si>
  <si>
    <t>Job Description
We are seeking a motivated and detail-oriented Junior Full-Stack Developer to join our engineering team. The role involves working across both frontend and backend layers, contributing to the development of scalable web applications using modern technologies such...</t>
  </si>
  <si>
    <t>https://in.linkedin.com/jobs/view/aes-de-fs-full-stack-developer-react-%2B-node-js-at-zensar-technologies-4432177674?trk=public_jobs_topcard-title</t>
  </si>
  <si>
    <t>LI_4401949760</t>
  </si>
  <si>
    <t>https://in.linkedin.com/jobs/view/software-engineer-iii-at-walmart-global-tech-india-4401949760?trk=public_jobs_topcard-title</t>
  </si>
  <si>
    <t>LI_4413855553</t>
  </si>
  <si>
    <t>Full stack Developer(Java)</t>
  </si>
  <si>
    <t>ZEISS India</t>
  </si>
  <si>
    <t>Job purpose
Be a part of the international PIT development team within ZEISS Vision Care. Work on the different technologies used globally. Extend an existing MES solution within a modern hybrid-cloud microservice environment to fulfill requirements for ZEISS Vision Mass Product...</t>
  </si>
  <si>
    <t>https://in.linkedin.com/jobs/view/full-stack-developer-java-at-zeiss-india-4413855553?trk=public_jobs_topcard-title</t>
  </si>
  <si>
    <t>LI_4368626717</t>
  </si>
  <si>
    <t>Mysore</t>
  </si>
  <si>
    <t>https://in.linkedin.com/jobs/view/fastapi-developer-at-epergne-solutions-4368626717?trk=public_jobs_topcard-title</t>
  </si>
  <si>
    <t>LI_4424780322</t>
  </si>
  <si>
    <t>https://in.linkedin.com/jobs/view/full-stack-engineer-at-accenture-in-india-4424780322?trk=public_jobs_topcard-title</t>
  </si>
  <si>
    <t>LI_4430452294</t>
  </si>
  <si>
    <t>Impetus</t>
  </si>
  <si>
    <t>About Impetus
Impetus Technologies is a digital engineering company focused on delivering expert services and products to help enterprises achieve their transformation goals. We solve the analytics, AI, and cloud puzzle, enabling businesses to drive unmatched innovation and grow...</t>
  </si>
  <si>
    <t>https://in.linkedin.com/jobs/view/java-software-engineer-at-impetus-4430452294?trk=public_jobs_topcard-title</t>
  </si>
  <si>
    <t>LI_4428480672</t>
  </si>
  <si>
    <t>Backend Lead-Kochi</t>
  </si>
  <si>
    <t>Mygate</t>
  </si>
  <si>
    <t>Kochi</t>
  </si>
  <si>
    <t>Backend Lead
Location: Kochi
Experience: 4–7 Years
Notice Period: Immediate to 30 Days Preferred
About the Role
Mygate is looking for a Backend Lead to drive the development of scalable, reliable, and high-performance backend systems that power products used by millions of users....</t>
  </si>
  <si>
    <t>https://in.linkedin.com/jobs/view/backend-lead-kochi-at-mygate-4428480672?trk=public_jobs_topcard-title</t>
  </si>
  <si>
    <t>LI_4398637240</t>
  </si>
  <si>
    <t>Andhra Pradesh</t>
  </si>
  <si>
    <t>We are seeking an experienced (4-6) and highly skilled SNET Core Developer to join our dynamic engineering team. The ideal candidate will have a strong background in designing, developing, and maintaining high-performance, scalable applications using the .NET Core ecosystem, with...</t>
  </si>
  <si>
    <t>https://in.linkedin.com/jobs/view/java-developer-at-virtusa-4398637240?trk=public_jobs_topcard-title</t>
  </si>
  <si>
    <t>LI_4418686754</t>
  </si>
  <si>
    <t>Back-End Developer - Professional</t>
  </si>
  <si>
    <t>Worldline</t>
  </si>
  <si>
    <t>Who We Are
Worldline helps businesses of all shapes and sizes to accelerate their growth journey - quickly, simply, and securely. We are the innovators at the heart of the payments technology industry, shaping how the world pays and gets paid. Our technology powers the growth of...</t>
  </si>
  <si>
    <t>https://in.linkedin.com/jobs/view/back-end-developer-professional-at-worldline-4418686754?trk=public_jobs_topcard-title</t>
  </si>
  <si>
    <t>LI_4418226064</t>
  </si>
  <si>
    <t>Skills:
Java, Spring Boot, MYSQL or SQL, REST API, MongoDB, Agile Methodologies, Microservices,
Company Overview
Twixor is a global IT consulting and services company, enabling end-to-end digital customer journeys and business transactions over messaging channels. Headquartered...</t>
  </si>
  <si>
    <t>https://in.linkedin.com/jobs/view/backend-developer-at-twixor-4418226064?trk=public_jobs_topcard-title</t>
  </si>
  <si>
    <t>LI_4397174237</t>
  </si>
  <si>
    <t>https://in.linkedin.com/jobs/view/web-developer-at-accenture-in-india-4397174237?trk=public_jobs_topcard-title</t>
  </si>
  <si>
    <t>LI_4388403137</t>
  </si>
  <si>
    <t>Software Engineering (Back-End Developer BluViu)</t>
  </si>
  <si>
    <t>Cargill</t>
  </si>
  <si>
    <t>Cargill is committed to providing food and agricultural solutions to nourish the world in a safe, responsible, and sustainable way. Sitting at the heart of the supply chain, we partner with farmers and customers to source, make and deliver products that are vital for living.
Our...</t>
  </si>
  <si>
    <t>https://in.linkedin.com/jobs/view/software-engineering-back-end-developer-bluviu-at-cargill-4388403137?trk=public_jobs_topcard-title</t>
  </si>
  <si>
    <t>LI_4432172354</t>
  </si>
  <si>
    <t>Python Full Stack Developer Fresher</t>
  </si>
  <si>
    <t>CargoFL</t>
  </si>
  <si>
    <t>Job Title: Full Stack Developer (Python &amp; React) - 6-Month Internship (Freshers)
Level: Internship / Fresher
Location: Kharadi, Pune
Employment Type: Internship (6 months)
Stipend: ₹12,000 per month
About CargoFL
CargoFL is an AI-driven Logistics &amp; Supply Chain SaaS platfor...</t>
  </si>
  <si>
    <t>https://in.linkedin.com/jobs/view/python-full-stack-developer-fresher-at-cargofl-4432172354?trk=public_jobs_topcard-title</t>
  </si>
  <si>
    <t>LI_4430376697</t>
  </si>
  <si>
    <t>Hiring!!!
Notice Period: Immediate joiner (Maximum till 15 July joiner)
Role Summary
We’re seeking a senior Backend Developer with deep experience in C# and containerized architectures to join our Treasury technology team. This role involves building resilient, scalable backend...</t>
  </si>
  <si>
    <t>https://in.linkedin.com/jobs/view/back-end-developer-at-zensar-technologies-4430376697?trk=public_jobs_topcard-title</t>
  </si>
  <si>
    <t>LI_4435231313</t>
  </si>
  <si>
    <t>Java and Python Developer</t>
  </si>
  <si>
    <t>We are seeking an Applications Development Intermediate Programmer Analyst to join our Technology team. This role is crucial for the establishment and implementation of new or revised application systems and programs, contributing significantly to application systems analysis and...</t>
  </si>
  <si>
    <t>https://in.linkedin.com/jobs/view/java-and-python-developer-at-citi-4435231313?trk=public_jobs_topcard-title</t>
  </si>
  <si>
    <t>LI_4425992149</t>
  </si>
  <si>
    <t>Associate Principal Software Engineer - Java</t>
  </si>
  <si>
    <t>Saviynt</t>
  </si>
  <si>
    <t>Saviynt's AI-powered identity platform manages and governs human and non-human access to all of an organization's applications, data, and business processes. Customers trust Saviynt to safeguard their digital assets, drive operational efficiency, and reduce compliance costs. Buil...</t>
  </si>
  <si>
    <t>https://in.linkedin.com/jobs/view/associate-principal-software-engineer-java-at-saviynt-4425992149?trk=public_jobs_topcard-title</t>
  </si>
  <si>
    <t>LI_4432365025</t>
  </si>
  <si>
    <t>Assystem</t>
  </si>
  <si>
    <t>Job Description
We're looking for a talented Full Stack Developer to join our growing engineering team in Gurugram, India. In this role, you will design, develop, and maintain scalable web applications using modern technologies across both front-end and back-end environments. Yo...</t>
  </si>
  <si>
    <t>https://in.linkedin.com/jobs/view/full-stack-developer-at-assystem-4432365025?trk=public_jobs_topcard-title</t>
  </si>
  <si>
    <t>LI_4422402784</t>
  </si>
  <si>
    <t>VAHAN Jewelry</t>
  </si>
  <si>
    <t>Responsibilities
Build and Maintain Backend Services: Develop scalable and robust backend services and APIs using Node.js, ensuring high performance and responsiveness.
Optimise Database Performance: Design and optimise database schemas, queries, and indexes for efficient data s...</t>
  </si>
  <si>
    <t>https://in.linkedin.com/jobs/view/backend-engineer-at-vahan-jewelry-4422402784?trk=public_jobs_topcard-title</t>
  </si>
  <si>
    <t>LI_4435204675</t>
  </si>
  <si>
    <t>Publicis Sapient</t>
  </si>
  <si>
    <t>Looking for Senior Associate Level 1/2 (Core Java + Microservices) (Immediate Joiners) to join our team of bright thinkers and doers.
(NOTE- People with only 5+ YOE apply) Immediate joiners or serving notice perio
d
Responsibilitie
s:
Experience range: 5 - 10 ye
arsStrong exp...</t>
  </si>
  <si>
    <t>https://in.linkedin.com/jobs/view/java-software-engineer-at-publicis-sapient-4435204675?trk=public_jobs_topcard-title</t>
  </si>
  <si>
    <t>LI_4426618890</t>
  </si>
  <si>
    <t>Application Engineer, Full Stack</t>
  </si>
  <si>
    <t>Minimum qualifications:
Bachelor's degree in Computer Science, Engineering, or equivalent practical experience.
Experience in designing and integration of internal and third-party applications.
Experience in driving engineering and architecture strategies.
Experience programming...</t>
  </si>
  <si>
    <t>https://in.linkedin.com/jobs/view/application-engineer-full-stack-at-google-4426618890?trk=public_jobs_topcard-title</t>
  </si>
  <si>
    <t>LI_4433476671</t>
  </si>
  <si>
    <t>Java Springboot Developer</t>
  </si>
  <si>
    <t>Primary skills:Technology-&gt;Java-&gt;Springboot
A day in the life of an Infoscion
As part of the Infosys delivery team, your primary role would be to ensure effective Design, Development, Validation and Support activities, to assure that our clients are satisfied with the high leve...</t>
  </si>
  <si>
    <t>https://in.linkedin.com/jobs/view/java-springboot-developer-at-infosys-4433476671?trk=public_jobs_topcard-title</t>
  </si>
  <si>
    <t>LI_4432362126</t>
  </si>
  <si>
    <t>Coforge</t>
  </si>
  <si>
    <t>Task Description: • Experience in the design and construction of web-based solutions using Javascript Full stack developer - React, Node, Nest, Typescript, SQL Ser
• Familiarity with architecture styles/APIs (REST, RPC)
• Previous experience in application support
• Strong analyt...</t>
  </si>
  <si>
    <t>https://in.linkedin.com/jobs/view/full-stack-engineer-at-coforge-4432362126?trk=public_jobs_topcard-title</t>
  </si>
  <si>
    <t>LI_4325866630</t>
  </si>
  <si>
    <t>Software Engineer - Backend (Node.js) - 3-Month Engagement</t>
  </si>
  <si>
    <t>42Peaks</t>
  </si>
  <si>
    <t>Compensation: ₹75,000 – ₹1,00,000 (total for the full duration)
Location: Remote (India)
We’re looking for a backend engineer to join us for a 3-month, fixed-duration contract at 42Peaks.
This contract role is for someone who writes clean, predictable systems, communicates wel...</t>
  </si>
  <si>
    <t>https://in.linkedin.com/jobs/view/software-engineer-backend-node-js-3-month-engagement-at-42peaks-4325866630?trk=public_jobs_topcard-title</t>
  </si>
  <si>
    <t>LI_4418491348</t>
  </si>
  <si>
    <t>Backend SDE-2</t>
  </si>
  <si>
    <t>PW (PhysicsWallah)</t>
  </si>
  <si>
    <t>Job Description:
As a Backend Developer at Physics Wallah, you will be responsible for developing and maintaining server-side logic, ensuring high performance and responsiveness to requests from the frontend. You will work closely with our front-end developers and other team memb...</t>
  </si>
  <si>
    <t>https://in.linkedin.com/jobs/view/backend-sde-2-at-pw-physicswallah-4418491348?trk=public_jobs_topcard-title</t>
  </si>
  <si>
    <t>LI_4311591680</t>
  </si>
  <si>
    <t>BY OMS Developer</t>
  </si>
  <si>
    <t>Key Skill Sets
Minimum 4 years of eCommerce/OMS experience.
2+ years of Blue Yonder/Manhattan Active Omni/Fluent Ecommerce OMS/Sterling. OMS experience is a must.
Good hands on experience in developing enterprise microservices applications. Java Springboot being the preferred on...</t>
  </si>
  <si>
    <t>https://in.linkedin.com/jobs/view/by-oms-developer-at-litmus7-4311591680?trk=public_jobs_topcard-title</t>
  </si>
  <si>
    <t>LI_4428056617</t>
  </si>
  <si>
    <t>Full Stack Developer (Node.js/Python) - Software Engineer III</t>
  </si>
  <si>
    <t>Summary
Position Summary 
National Consulting Services 
The National Office, a key Strategic Enabler in our new model, is comprised of professionals with various areas of focus that collectively provide mission critical services to support Deloitte’s overall success. Whether f...</t>
  </si>
  <si>
    <t>https://in.linkedin.com/jobs/view/full-stack-developer-node-js-python-software-engineer-iii-at-deloitte-4428056617?trk=public_jobs_topcard-title</t>
  </si>
  <si>
    <t>LI_4436237261</t>
  </si>
  <si>
    <t>Expedia Group</t>
  </si>
  <si>
    <t>At Expedia Group, we help travelers explore the world, one journey at a time. As a global travel company powered by passionate people, trusted partnerships, and leading technology, we connect travelers, partners, and advertisers through our consumer brands, B2B network, and trave...</t>
  </si>
  <si>
    <t>https://in.linkedin.com/jobs/view/software-development-engineer-ii-at-expedia-group-4436237261?trk=public_jobs_topcard-title</t>
  </si>
  <si>
    <t>LI_4431244161</t>
  </si>
  <si>
    <t>Back End Developer (Nodejs)</t>
  </si>
  <si>
    <t>HabileLabs</t>
  </si>
  <si>
    <t>Job Description – Node.js Developer (4+ Years Experience)
Company: Habilelabs Pvt. Ltd.
Location: Jaipur (Work from Office)
Experience: 4+ Years
Employment Type: Full-Time
About Habilelabs
Habilelabs is a technology-driven organization focused on delivering innovative digital sol...</t>
  </si>
  <si>
    <t>https://in.linkedin.com/jobs/view/back-end-developer-nodejs-at-habilelabs-4431244161?trk=public_jobs_topcard-title</t>
  </si>
  <si>
    <t>LI_4258066169</t>
  </si>
  <si>
    <t>Junior JavaScript Developer - Remote work | REF#283767</t>
  </si>
  <si>
    <t>https://in.linkedin.com/jobs/view/junior-javascript-developer-remote-work-ref%23283767-at-bairesdev-4258066169?trk=public_jobs_topcard-title</t>
  </si>
  <si>
    <t>LI_4220088070</t>
  </si>
  <si>
    <t>Software Engineer -Backend</t>
  </si>
  <si>
    <t>Modulr</t>
  </si>
  <si>
    <t>Are you curious, excited by experimentation and always looking to innovate?
Do you want to work in embedded payments where you can keep learning and developing whilst getting hands-on experience?
Do you want to have the opportunity to play an important role in a rapidly growing a...</t>
  </si>
  <si>
    <t>https://in.linkedin.com/jobs/view/software-engineer-backend-at-modulr-4220088070?trk=public_jobs_topcard-title</t>
  </si>
  <si>
    <t>LI_3635759841</t>
  </si>
  <si>
    <t>Backend Software Engineer (Job ID: 2283)</t>
  </si>
  <si>
    <t>ConverseNow.AI</t>
  </si>
  <si>
    <t>ConverseNow is the leading conversational AI platform for restaurants, automating the process of taking orders across voice channels such as phone, drive-thru and mobile live chat. With cutting-edge technology and a passion for service, we sit at the intersection of Tech, B2B Saa...</t>
  </si>
  <si>
    <t>https://in.linkedin.com/jobs/view/backend-software-engineer-job-id-2283-at-conversenow-ai-3635759841?trk=public_jobs_topcard-title</t>
  </si>
  <si>
    <t>LI_4418703714</t>
  </si>
  <si>
    <t>Software Engineer - Backend [Bengaluru, India]</t>
  </si>
  <si>
    <t>Locad</t>
  </si>
  <si>
    <t>About Locad
Locad is the logistics engine enabling e-commerce brands to systematically store, pack, ship, and track orders across Asia-Pacific, GCC and the USA. Our tech platform syncs inventory across online channels and organises end-to-end order fulfilment through our reliabl...</t>
  </si>
  <si>
    <t>https://in.linkedin.com/jobs/view/software-engineer-backend-bengaluru-india-at-locad-4418703714?trk=public_jobs_topcard-title</t>
  </si>
  <si>
    <t>LI_4433627403</t>
  </si>
  <si>
    <t>Primary skills:Technology-&gt;Java-&gt;Springboot
A day in the life of an Infoscion
As part of the Infosys Delivery team, you will work on implementing designs, developing high quality programs and systems, partnering with our clients to ensure high quality deliverables.
You will cre...</t>
  </si>
  <si>
    <t>https://in.linkedin.com/jobs/view/java-developer-at-infosys-4433627403?trk=public_jobs_topcard-title</t>
  </si>
  <si>
    <t>LI_4436272549</t>
  </si>
  <si>
    <t>Ripik.AI</t>
  </si>
  <si>
    <t>About Ripik.AI
Ripik.ai is an Accel-backed Applied AI company building computer vision and process-optimization agents for the world's largest industrial enterprises across steel, cement, aluminum, chemicals, pharma, and power. Our Vision AI platform acts as an automated pair of...</t>
  </si>
  <si>
    <t>https://in.linkedin.com/jobs/view/backend-engineer-at-ripik-ai-4436272549?trk=public_jobs_topcard-title</t>
  </si>
  <si>
    <t>LI_4408768447</t>
  </si>
  <si>
    <t>Java developer</t>
  </si>
  <si>
    <t>Job Description
Job Description - Grade Specific
Is fully competent in its own area and has a deep understanding of related programming concepts software design and software development principles. Works autonomously with minimal supervision. Able to act as a key contributor in...</t>
  </si>
  <si>
    <t>https://in.linkedin.com/jobs/view/java-developer-at-capgemini-4408768447?trk=public_jobs_topcard-title</t>
  </si>
  <si>
    <t>LI_4429673010</t>
  </si>
  <si>
    <t>About Persistent
We are an AI-led, platform-driven Digital Engineering and Enterprise Modernization partner, combining deep technical expertise and industry experience to help our clients anticipate what’s next. Our offerings and proven solutions create a unique competitive adva...</t>
  </si>
  <si>
    <t>https://in.linkedin.com/jobs/view/backend-engineer-at-persistent-systems-4429673010?trk=public_jobs_topcard-title</t>
  </si>
  <si>
    <t>LI_4367151021</t>
  </si>
  <si>
    <t>Sriggle</t>
  </si>
  <si>
    <t>Responsibilities
Developing front-end website architecture.
Designing user interactions on web pages.
Developing back-end website applications.
Writing and modifying medium to complex stored procedures, Functions and Triggers.
Ensuring cross-platform optimisation for mobile phon...</t>
  </si>
  <si>
    <t>https://in.linkedin.com/jobs/view/full-stack-developer-at-sriggle-4367151021?trk=public_jobs_topcard-title</t>
  </si>
  <si>
    <t>LI_4435443927</t>
  </si>
  <si>
    <t>LexisNexis</t>
  </si>
  <si>
    <t>Karahal</t>
  </si>
  <si>
    <t>Would you like to be part of a team that delivers high-quality software to our customers?
Are you a highly visible champion with a ‘can do’ attitude and enthusiasm that inspires others?
About The Team
The WAM (Web Access Management) team owns the authentication, identity, and ...</t>
  </si>
  <si>
    <t>https://in.linkedin.com/jobs/view/software-engineer-iii-at-lexisnexis-4435443927?trk=public_jobs_topcard-title</t>
  </si>
  <si>
    <t>LI_4424201308</t>
  </si>
  <si>
    <t>SDE II</t>
  </si>
  <si>
    <t>Olive Crypto Systems Pvt. Ltd.</t>
  </si>
  <si>
    <t>Core Java &amp; Advanced Java Concepts
Data Structures &amp; Algorithms (DSA)
Object-Oriented Programming (OOP) &amp; Design Principles
Design Patterns &amp; System Design
Spring Boot &amp; Microservices Architecture
REST APIs &amp; Web Services Development
Database &amp; SQL/NoSQL Technologies
Multi...</t>
  </si>
  <si>
    <t>https://in.linkedin.com/jobs/view/sde-ii-at-olive-crypto-systems-pvt-ltd-4424201308?trk=public_jobs_topcard-title</t>
  </si>
  <si>
    <t>LI_4422933832</t>
  </si>
  <si>
    <t>WeCredit</t>
  </si>
  <si>
    <t>Responsibilities
Design, develop, and maintain scalable backend services and RESTful APIs using Node.js .
Build robust and high-performance server-side applications.
Collaborate with cross-functional teams including frontend, product, and DevOps teams.
Optimize applications for ...</t>
  </si>
  <si>
    <t>https://in.linkedin.com/jobs/view/node-js-developer-at-wecredit-4422933832?trk=public_jobs_topcard-title</t>
  </si>
  <si>
    <t>LI_4361276299</t>
  </si>
  <si>
    <t>Full Stack Engineer - Python+React</t>
  </si>
  <si>
    <t>Creative Chaos</t>
  </si>
  <si>
    <t>Job Summary:
As a Full Stack Engineer, you'll be responsible for developing and maintaining modern web applications using Python (FastAPI) on the backend and React.js on the frontend. You'll work closely with designers, engineers, and product stakeholders while contributing to a...</t>
  </si>
  <si>
    <t>https://in.linkedin.com/jobs/view/full-stack-engineer-python%2Breact-at-creative-chaos-4361276299?trk=public_jobs_topcard-title</t>
  </si>
  <si>
    <t>LI_4423079517</t>
  </si>
  <si>
    <t>Interesting Job Opportunity: Flobiz - Software Development Engineer II - Backend Technologies</t>
  </si>
  <si>
    <t>FloBiz | myBillBook</t>
  </si>
  <si>
    <t>Description
Backend Engineer
Key Responsibilities
Design, develop, maintain and optimise complex, scalable and distributed systems capable of handling large-scale datasets and high-throughput workloads.
Optimise performance, reliability and availability across the whole system...</t>
  </si>
  <si>
    <t>https://in.linkedin.com/jobs/view/interesting-job-opportunity-flobiz-software-development-engineer-ii-backend-technologies-at-flobiz-mybillbook-4423079517?trk=public_jobs_topcard-title</t>
  </si>
  <si>
    <t>LI_4406879005</t>
  </si>
  <si>
    <t>Credflow AI</t>
  </si>
  <si>
    <t>We are looking for a Backend Engineer with 3+ years of experience to design, build, and scale robust backend systems and APIs. You will collaborate closely with product and frontend teams to deliver high-performance, reliable, and secure services that power our platform.
Respons...</t>
  </si>
  <si>
    <t>https://in.linkedin.com/jobs/view/backend-engineer-at-credflow-ai-4406879005?trk=public_jobs_topcard-title</t>
  </si>
  <si>
    <t>LI_4429657833</t>
  </si>
  <si>
    <t>About Persistent
We are an AI-led, platform-driven Digital Engineering and Enterprise Modernization partner, combining deep technical expertise and industry experience to help our clients anticipate what?s next. Our offerings and proven solutions create a unique competitive adva...</t>
  </si>
  <si>
    <t>https://in.linkedin.com/jobs/view/java-developer-at-persistent-systems-4429657833?trk=public_jobs_topcard-title</t>
  </si>
  <si>
    <t>LI_4436408106</t>
  </si>
  <si>
    <t>Backend Engineer (NodeJS)</t>
  </si>
  <si>
    <t>VML</t>
  </si>
  <si>
    <t>Who We Are
VML, part of WPP, is a leading creative company that combines brand experience, customer experience, and commerce, creating connected brands to drive growth. VML is celebrated for its innovative and human first, award-winning work for blue chip client partners includi...</t>
  </si>
  <si>
    <t>https://in.linkedin.com/jobs/view/backend-engineer-nodejs-at-vml-4436408106?trk=public_jobs_topcard-title</t>
  </si>
  <si>
    <t>LI_4432755356</t>
  </si>
  <si>
    <t>Python Backend Engineer</t>
  </si>
  <si>
    <t>About Position:
We are seeking an experienced Backend Engineer with strong expertise in Python to design and build scalable, secure, and high-performance backend systems. The role focuses on developing APIs, managing data workflows, and building automation through cron jobs whil...</t>
  </si>
  <si>
    <t>https://in.linkedin.com/jobs/view/python-backend-engineer-at-persistent-systems-4432755356?trk=public_jobs_topcard-title</t>
  </si>
  <si>
    <t>LI_4432121864</t>
  </si>
  <si>
    <t>Nivoda - Senior Software Engineer - Node.js</t>
  </si>
  <si>
    <t>Nivoda</t>
  </si>
  <si>
    <t>Description
Job Title : Senior Software Engineer - Finance
Experience : 5+ Years
Location : Remote (Aligned to Mumbai Timezone)
Employment Type : Full-Time
About The Role
We are looking for a Senior Software Engineer - Finance to build and scale the financial backbone of a ...</t>
  </si>
  <si>
    <t>https://in.linkedin.com/jobs/view/nivoda-senior-software-engineer-node-js-at-nivoda-4432121864?trk=public_jobs_topcard-title</t>
  </si>
  <si>
    <t>LI_4433471833</t>
  </si>
  <si>
    <t>React.js Developer</t>
  </si>
  <si>
    <t>Primary skills:Technology-&gt;Reactive Programming-&gt;NodeJS,Technology-&gt;Reactive Programming-&gt;react JS,Technology-&gt;UI &amp; Markup Language-&gt;TypeScript
A day in the life of an Infoscion
As part of the Infosys Delivery team, you will work on implementing designs, developing high quality...</t>
  </si>
  <si>
    <t>https://in.linkedin.com/jobs/view/react-js-developer-at-infosys-4433471833?trk=public_jobs_topcard-title</t>
  </si>
  <si>
    <t>LI_4276144424</t>
  </si>
  <si>
    <t>JavaScript Developer - Front-end</t>
  </si>
  <si>
    <t>Pippin Technologies India</t>
  </si>
  <si>
    <t>We're looking for an experienced Associate Cloud and Dev-ops Administrator to join our growing company. Pippin is a real estate tech startup specializing in title services in the US. Through our advanced technology, we help insurance companies, property developers, governments, a...</t>
  </si>
  <si>
    <t>https://in.linkedin.com/jobs/view/javascript-developer-front-end-at-pippin-technologies-india-4276144424?trk=public_jobs_topcard-title</t>
  </si>
  <si>
    <t>LI_4426467641</t>
  </si>
  <si>
    <t>Konrad</t>
  </si>
  <si>
    <t>Who We Are
Konrad is a next generation digital consultancy. We are dedicated to solving complex business problems for our global clients with creative and forward-thinking solutions. Our employees enjoy a culture built on innovation and a commitment to creating best-in-class dig...</t>
  </si>
  <si>
    <t>https://in.linkedin.com/jobs/view/java-developer-at-konrad-4426467641?trk=public_jobs_topcard-title</t>
  </si>
  <si>
    <t>LI_4421528330</t>
  </si>
  <si>
    <t>Back End Engineer</t>
  </si>
  <si>
    <t>Tredence Inc.</t>
  </si>
  <si>
    <t>Role description
Job Title: Back End Engineer 
Location: Bangalore, India (Work from Office) 
Industry/Field: Retail 
Experience: 2-5 years 
Company: Tredence 
About Us: 
Tredence differentiates itself from other analytics services firms by enabling last mile adoption of insight...</t>
  </si>
  <si>
    <t>https://in.linkedin.com/jobs/view/back-end-engineer-at-tredence-inc-4421528330?trk=public_jobs_topcard-title</t>
  </si>
  <si>
    <t>LI_4375807986</t>
  </si>
  <si>
    <t>https://in.linkedin.com/jobs/view/full-stack-engineer-at-accenture-in-india-4375807986?trk=public_jobs_topcard-title</t>
  </si>
  <si>
    <t>LI_4432422273</t>
  </si>
  <si>
    <t>TECHNIX INDIA</t>
  </si>
  <si>
    <t>Description
As a Senior Software Engineer, you will have the responsibility to drive projects forward, mentor junior team members, and contribute to continuous improvement initiatives. By delivering innovative and reliable software, you will contribute to the success of our orga...</t>
  </si>
  <si>
    <t>https://in.linkedin.com/jobs/view/senior-software-engineer-at-technix-india-4432422273?trk=public_jobs_topcard-title</t>
  </si>
  <si>
    <t>LI_4306125307</t>
  </si>
  <si>
    <t>Planify Capital Limited</t>
  </si>
  <si>
    <t>Candidate Should Have
Strong technical background in Java, spring (MVC), RESTFUL Web services and Postgres DB
Thorough understanding of the responsibilities of the platform, database, API, caching layer, proxies, and other web services used in the system
Validating user action...</t>
  </si>
  <si>
    <t>https://in.linkedin.com/jobs/view/java-developer-at-planify-capital-limited-4306125307?trk=public_jobs_topcard-title</t>
  </si>
  <si>
    <t>LI_4425600471</t>
  </si>
  <si>
    <t>Full Stack Developer Intern</t>
  </si>
  <si>
    <t>BotMakers Private Limited</t>
  </si>
  <si>
    <t>About Us
Botmakers Pvt. Ltd. is a leading STEM and robotics-focused company based in Pune. We specialise in creating fun and educational experiences through our Robo Playzone, a unique space offering interactive robotics and tech-based games like RC Racing, Drone Racing, Robo Fi...</t>
  </si>
  <si>
    <t>https://in.linkedin.com/jobs/view/full-stack-developer-intern-at-botmakers-private-limited-4425600471?trk=public_jobs_topcard-title</t>
  </si>
  <si>
    <t>LI_4434659759</t>
  </si>
  <si>
    <t>Backend Developer – B2B Platform</t>
  </si>
  <si>
    <t>Levi Strauss &amp; Co.</t>
  </si>
  <si>
    <t>Calling all originals: At Levi Strauss &amp; Co., you can be yourself — and be part of something bigger. We’re a company of people who like to forge our own path and leave the world better than we found it. Who believe that what makes us different makes us stronger. So add your voice...</t>
  </si>
  <si>
    <t>https://in.linkedin.com/jobs/view/backend-developer-%E2%80%93-b2b-platform-at-levi-strauss-co-4434659759?trk=public_jobs_topcard-title</t>
  </si>
  <si>
    <t>LI_4367150052</t>
  </si>
  <si>
    <t>INFINITIQ</t>
  </si>
  <si>
    <t>Requirements
BE/BTech degree in CS/IT or MCA with more than 7 CGPA or similar.
3 to 5 years of proven experience as a backend engineer or in a similar role.
Must have a good understanding of algorithms/databases and other CS concepts.
Should be able to design/implement/deploy en...</t>
  </si>
  <si>
    <t>https://in.linkedin.com/jobs/view/backend-engineer-at-infinitiq-4367150052?trk=public_jobs_topcard-title</t>
  </si>
  <si>
    <t>LI_4403349484</t>
  </si>
  <si>
    <t>Developer</t>
  </si>
  <si>
    <t>IDFC FIRST Bank</t>
  </si>
  <si>
    <t>Job Requirements
Developer (2005758)
Role: Java Backend Developer
Function/ Department: Information Technology
Business Unit: New Age
Job Purpose: 
Looking for enthusiast developers who would be willing to be a part of Cutting-Edge Technology Team of IDFC First bank.
Roles...</t>
  </si>
  <si>
    <t>https://in.linkedin.com/jobs/view/developer-at-idfc-first-bank-4403349484?trk=public_jobs_topcard-title</t>
  </si>
  <si>
    <t>LI_4428923955</t>
  </si>
  <si>
    <t>Backend Engineer (Chennai &amp; Pune)</t>
  </si>
  <si>
    <t>Money Forward India</t>
  </si>
  <si>
    <t>Who we are
We are a start-up team for establishing a new digital bank, partnering with one of the largest banks in Japan. We are building embedded finance products from the ground up. Our focus is on empowering small and medium businesses (SMBs) and putting their needs at the hea...</t>
  </si>
  <si>
    <t>https://in.linkedin.com/jobs/view/backend-engineer-chennai-pune-at-money-forward-india-4428923955?trk=public_jobs_topcard-title</t>
  </si>
  <si>
    <t>LI_4303974438</t>
  </si>
  <si>
    <t>GunjanApps Studios and Solutions LLP</t>
  </si>
  <si>
    <t>Job Description
Who are we?
Ahoy there, fellow gamers and game lovers! Have you heard of GunjanApps Studios? Of course, you have, silly! We're the largest gaming company in the early years learning space in India! With over 200 million downloads, 50 million reviews, and 40+ gam...</t>
  </si>
  <si>
    <t>https://in.linkedin.com/jobs/view/full-stack-developer-at-gunjanapps-studios-and-solutions-llp-4303974438?trk=public_jobs_topcard-title</t>
  </si>
  <si>
    <t>LI_4426771760</t>
  </si>
  <si>
    <t>https://in.linkedin.com/jobs/view/software-engineer-at-docusign-4426771760?trk=public_jobs_topcard-title</t>
  </si>
  <si>
    <t>LI_4302396475</t>
  </si>
  <si>
    <t>AISquared</t>
  </si>
  <si>
    <t>Who are we looking for?
We are seeking a talented and experienced Backend Engineer (SDE – 2) to join our distributed team. In this role, you will be responsible for designing, developing, and maintaining scalable and secure backend systems. As a key contributor, you will collabo...</t>
  </si>
  <si>
    <t>https://in.linkedin.com/jobs/view/backend-engineer-sde2-at-aisquared-4302396475?trk=public_jobs_topcard-title</t>
  </si>
  <si>
    <t>LI_4429244264</t>
  </si>
  <si>
    <t>Software Development Engineer II (Backend) - Viewer Experience</t>
  </si>
  <si>
    <t>Job Summary: 
As an SDE-II, you’ll build backend systems that power the most critical moments in a user’s journey — from opening the app, to experiencing personalized, dynamic content, to experiencing. Your primary focus will be on scaling our platform infrastructure, architecti...</t>
  </si>
  <si>
    <t>https://in.linkedin.com/jobs/view/software-development-engineer-ii-backend-viewer-experience-at-jiostar-4429244264?trk=public_jobs_topcard-title</t>
  </si>
  <si>
    <t>LI_4410446310</t>
  </si>
  <si>
    <t>PDI Technologies</t>
  </si>
  <si>
    <t>At PDI Technologies, we empower some of the world's leading convenience retail and petroleum brands with cutting-edge technology solutions that drive growth and operational efficiency.
By “Connecting Convenience” across the globe, we empower businesses to increase productivity,...</t>
  </si>
  <si>
    <t>https://in.linkedin.com/jobs/view/software-engineer-ii-at-pdi-technologies-4410446310?trk=public_jobs_topcard-title</t>
  </si>
  <si>
    <t>LI_4386701035</t>
  </si>
  <si>
    <t>Full Stack Developer (Backend)</t>
  </si>
  <si>
    <t>RevenueBase</t>
  </si>
  <si>
    <t>RevenueBase:
We're building the data infrastructure that makes AI agents trustworthy instead of error-prone. 
We provide continuously refreshed, verified B2B data for autonomous AI agents and GTM workflows. 
We've tripled growth while maintaining 100% gross dollar retention and ...</t>
  </si>
  <si>
    <t>https://in.linkedin.com/jobs/view/full-stack-developer-backend-at-revenuebase-4386701035?trk=public_jobs_topcard-title</t>
  </si>
  <si>
    <t>LI_4370372757</t>
  </si>
  <si>
    <t>Senior Specialist - Backend Software Development</t>
  </si>
  <si>
    <t>Who are we looking for?
○ Backend Developer, who is proficient in Java/C++/Python/ Golang, is a must
Minimum 4 years of work experience in backend development &amp; building scalable products
Work on a category creating, possibly disruptive, fintech products in early stages.
Design...</t>
  </si>
  <si>
    <t>https://in.linkedin.com/jobs/view/senior-specialist-backend-software-development-at-pocketful-4370372757?trk=public_jobs_topcard-title</t>
  </si>
  <si>
    <t>LI_4417313757</t>
  </si>
  <si>
    <t>Lead Engineer (Golang)</t>
  </si>
  <si>
    <t>Armada</t>
  </si>
  <si>
    <t>About the Company
Armada is the hyperscaler for the edge, delivering modular AI infrastructure from first deployment to AI factory with speed, scale and sovereignty. Named one of Fast Company's Most Innovative Companies and to the CNBC Disruptor 50, Armada’s solutions are deploye...</t>
  </si>
  <si>
    <t>https://in.linkedin.com/jobs/view/lead-engineer-golang-at-armada-4417313757?trk=public_jobs_topcard-title</t>
  </si>
  <si>
    <t>LI_4402388129</t>
  </si>
  <si>
    <t>Senior Backend Engineer</t>
  </si>
  <si>
    <t>Job Requirements
At Quest Global, it’s not just what we do but how and why we do it that makes us different. With over 25 years as an engineering services provider, we believe in the power of doing things differently to make the impossible possible. Our people are driven by the ...</t>
  </si>
  <si>
    <t>https://in.linkedin.com/jobs/view/senior-backend-engineer-at-quest-global-4402388129?trk=public_jobs_topcard-title</t>
  </si>
  <si>
    <t>LI_4306115463</t>
  </si>
  <si>
    <t>Backend Developer/Node.js</t>
  </si>
  <si>
    <t>Rejolut- A GenAI &amp; Web 3.0 Company</t>
  </si>
  <si>
    <t>Rejolut is among the fastest-growing and award winning Tech companies working on leading technologies namely Blockchain, Machine Learning &amp; Artificial Intelligence, Complex mobile &amp; Web Apps, IoT, etc.Rejolut is a venture-backed company with clients in over several countries name...</t>
  </si>
  <si>
    <t>https://in.linkedin.com/jobs/view/backend-developer-node-js-at-rejolut-a-genai-web-3-0-company-4306115463?trk=public_jobs_topcard-title</t>
  </si>
  <si>
    <t>LI_4424708711</t>
  </si>
  <si>
    <t>Software Engineer, IAM</t>
  </si>
  <si>
    <t>Postman</t>
  </si>
  <si>
    <t>Who Are We?
Postman is the world’s leading API platform, used by more than 45 million+ developers and 500,000 organizations, including 98% of the Fortune 500. Postman is helping developers and professionals across the globe build the API-first world by simplifying each step of t...</t>
  </si>
  <si>
    <t>https://in.linkedin.com/jobs/view/software-engineer-iam-at-postman-4424708711?trk=public_jobs_topcard-title</t>
  </si>
  <si>
    <t>LI_4436958044</t>
  </si>
  <si>
    <t>Geta AI Labs Private Limited</t>
  </si>
  <si>
    <t>We are looking for a skilled and adaptable Software Developer with 4+ years of experience in either Python or Node.js to join our engineering team. The ideal candidate should have strong technical fundamentals, experience working with modern development practices, and the ability...</t>
  </si>
  <si>
    <t>https://in.linkedin.com/jobs/view/software-engineer-at-geta-ai-labs-private-limited-4436958044?trk=public_jobs_topcard-title</t>
  </si>
  <si>
    <t>LI_4437140110</t>
  </si>
  <si>
    <t>Software Engineer, Platform - Hyderabad, India</t>
  </si>
  <si>
    <t>https://in.linkedin.com/jobs/view/software-engineer-platform-hyderabad-india-at-speechify-4437140110?trk=public_jobs_topcard-title</t>
  </si>
  <si>
    <t>LI_4426375691</t>
  </si>
  <si>
    <t>Backend Engineer [Mid-Level]</t>
  </si>
  <si>
    <t>Portcast</t>
  </si>
  <si>
    <t>Portcast is a venture-backed, Singapore-based logistics technology startup building a real-time transportation visibility platform for global supply chains. We help shippers, manufacturers, and logistics service providers turn data into decisions and decisions into measurable bus...</t>
  </si>
  <si>
    <t>https://in.linkedin.com/jobs/view/backend-engineer-mid-level-at-portcast-4426375691?trk=public_jobs_topcard-title</t>
  </si>
  <si>
    <t>LI_4431181043</t>
  </si>
  <si>
    <t>Sedin Technologies - Golang Developer</t>
  </si>
  <si>
    <t>Sedin Technologies</t>
  </si>
  <si>
    <t>Job Description
Key Responsibilities :
Design, develop, test, deploy, and maintain scalable backend applications using Golang.
Write clean, efficient, reusable, and maintainable code following software engineering best practices.
Translate business and technical requirements in...</t>
  </si>
  <si>
    <t>https://in.linkedin.com/jobs/view/sedin-technologies-golang-developer-at-sedin-technologies-4431181043?trk=public_jobs_topcard-title</t>
  </si>
  <si>
    <t>LI_4432970133</t>
  </si>
  <si>
    <t>XHawk</t>
  </si>
  <si>
    <t>Company Description
XHawk is a technology company focused on applying advanced AI to solve complex real-world problems across industries.
Job Requirements 
Experience building and operating large-scale distributed systems capable of running across hundreds of nodes and handling ...</t>
  </si>
  <si>
    <t>https://in.linkedin.com/jobs/view/staff-software-engineer-at-xhawk-4432970133?trk=public_jobs_topcard-title</t>
  </si>
  <si>
    <t>LI_4377172517</t>
  </si>
  <si>
    <t>Software Developer</t>
  </si>
  <si>
    <t>Oreqo</t>
  </si>
  <si>
    <t>We are seeking an experienced Django REST Framework Developer to build and enhance the backend API services for large-scale ERP software using a microservices architecture. The ideal candidate should have strong proficiency in Python, Django, Django Rest Framework, and relational...</t>
  </si>
  <si>
    <t>https://in.linkedin.com/jobs/view/software-developer-at-oreqo-4377172517?trk=public_jobs_topcard-title</t>
  </si>
  <si>
    <t>LI_4434962677</t>
  </si>
  <si>
    <t>IDfy</t>
  </si>
  <si>
    <t>Here’s what your day would look like...
Ideating new approaches to detect and prevent fraud at scale
Designing and building scalable, cloud-native applications from the ground up
Developing zero-defect software and writing test cases alongside implementation
Performing code r...</t>
  </si>
  <si>
    <t>https://in.linkedin.com/jobs/view/senior-software-engineer-at-idfy-4434962677?trk=public_jobs_topcard-title</t>
  </si>
  <si>
    <t>LI_4278819862</t>
  </si>
  <si>
    <t>Deqode</t>
  </si>
  <si>
    <t>🔴 Profile: Java Developer
🔷 Experience: 2+ Years
🔷 Location: Mumbai
🔷 Mode: Immediate joiners preferred
✨ What We Want
✅ Core Java expertise (Java 8+, Collections, Multithreading)
✅ Spring Framework proficiency (Spring Boot, Spring MVC, Spring Security)
✅ Database skills (...</t>
  </si>
  <si>
    <t>https://in.linkedin.com/jobs/view/java-developer-at-deqode-4278819862?trk=public_jobs_topcard-title</t>
  </si>
  <si>
    <t>LI_4436075304</t>
  </si>
  <si>
    <t>Redient Security</t>
  </si>
  <si>
    <t>Experience
6+ Years
Employment Type
Full-Time
Work Locations
Chennai | Bangalore | Hyderabad
Work Mode
Hybrid
About The Role
We are looking for an experienced Backend Developer (.NET Core) with strong expertise in designing, developing, and maintaining scalable backend a...</t>
  </si>
  <si>
    <t>https://in.linkedin.com/jobs/view/backend-developer-at-redient-security-4436075304?trk=public_jobs_topcard-title</t>
  </si>
  <si>
    <t>LI_4431979518</t>
  </si>
  <si>
    <t>Software Developer 3</t>
  </si>
  <si>
    <t>Oracle</t>
  </si>
  <si>
    <t>Job Description
The Developer Platform Builder Tools organization is responsible for building the next generation of developer productivity platforms, intelligent development workflows, and AI-powered engineering tools that accelerate software delivery across the enterprise. We ...</t>
  </si>
  <si>
    <t>https://in.linkedin.com/jobs/view/software-developer-3-at-oracle-4431979518?trk=public_jobs_topcard-title</t>
  </si>
  <si>
    <t>LI_4435481124</t>
  </si>
  <si>
    <t>Java Full Stack Developer</t>
  </si>
  <si>
    <t>PwC India</t>
  </si>
  <si>
    <t>Job Description &amp; Summary: 
We are looking for a Senior Full Stack Developer / Tech Lead with 4–8 years of experience in Java Full Stack development. The ideal candidate should have strong expertise in Java, Spring Boot, REST APIs, frontend technologies, cloud/platform exposure,...</t>
  </si>
  <si>
    <t>https://in.linkedin.com/jobs/view/java-full-stack-developer-at-pwc-india-4435481124?trk=public_jobs_topcard-title</t>
  </si>
  <si>
    <t>LI_4343576097</t>
  </si>
  <si>
    <t>GreenChoice, PBC</t>
  </si>
  <si>
    <t>Company: GreenChoice, PBC – the food intelligence company
Employment Type: Full-Time
Location: Hybrid in Pune, India (preferred) or Remote
Experience: 3–5 years
About GreenChoice
GreenChoice, PBC is a U.S.-based, leading provider of food health and sustainability data and pe...</t>
  </si>
  <si>
    <t>https://in.linkedin.com/jobs/view/full-stack-engineer-at-greenchoice-pbc-4343576097?trk=public_jobs_topcard-title</t>
  </si>
  <si>
    <t>LI_4435795152</t>
  </si>
  <si>
    <t>Shortlist Design</t>
  </si>
  <si>
    <t>About us:
We are an hiring brand that helps companies hire Design &amp; Tech Talents. We are known for Hiring Designers and now building even tech teams for our partner organisations across India &amp; Offshore.
What you will be doing:
We are looking for Backend Engineers with (Java /...</t>
  </si>
  <si>
    <t>https://in.linkedin.com/jobs/view/senior-software-engineer-at-shortlist-design-4435795152?trk=public_jobs_topcard-title</t>
  </si>
  <si>
    <t>LI_4434341886</t>
  </si>
  <si>
    <t>Node JS, Graph QL, AWS/Azure Developer</t>
  </si>
  <si>
    <t>Minimum Qualifications:
9+ years of overall experience in backend engineering with strong hands-on expertise in Node.js.
Proven experience designing and implementing GraphQL APIs, including schema design and resolver patterns.
Strong experience delivering solutions on AWS and Az...</t>
  </si>
  <si>
    <t>https://in.linkedin.com/jobs/view/node-js-graph-ql-aws-azure-developer-at-infosys-4434341886?trk=public_jobs_topcard-title</t>
  </si>
  <si>
    <t>LI_4341580403</t>
  </si>
  <si>
    <t>Java Software Developer</t>
  </si>
  <si>
    <t>Sns System Pvt. Ltd.</t>
  </si>
  <si>
    <t>Gwalior</t>
  </si>
  <si>
    <t>About Us
SNS System specialize in global business consulting and IT services, delivering innovative solutions to optimize your operations, accelerate digital transformation, and drive sustainable growth
As a Java Developer, you’ll play a key role in developing and maintaining r...</t>
  </si>
  <si>
    <t>https://in.linkedin.com/jobs/view/java-software-developer-at-sns-system-pvt-ltd-4341580403?trk=public_jobs_topcard-title</t>
  </si>
  <si>
    <t>LI_4435459303</t>
  </si>
  <si>
    <t>Backend Java Developer</t>
  </si>
  <si>
    <t>About Persistent
We are an AI-led, platform-driven Digital Engineering and Enterprise Modernization partner, combining deep technical expertise and industry experience to help our clients anticipate what's next. Our offerings and proven solutions create a unique competitive adva...</t>
  </si>
  <si>
    <t>https://in.linkedin.com/jobs/view/backend-java-developer-at-persistent-systems-4435459303?trk=public_jobs_topcard-title</t>
  </si>
  <si>
    <t>LI_4401086380</t>
  </si>
  <si>
    <t>Nightfall AI</t>
  </si>
  <si>
    <t>As a Backend Engineer at Nightfall, you'll enable us to deliver our platform reliably, securely, and at a massive scale. You'll help architect low-latency, real-time microservices that process and detect sensitive data at scale.
Responsibilities
Building highly available and se...</t>
  </si>
  <si>
    <t>https://in.linkedin.com/jobs/view/backend-engineer-at-nightfall-ai-4401086380?trk=public_jobs_topcard-title</t>
  </si>
  <si>
    <t>LI_4255527098</t>
  </si>
  <si>
    <t>Backend Engineer - Distributed Systems (India)</t>
  </si>
  <si>
    <t>Onehouse</t>
  </si>
  <si>
    <t>About Onehouse
Onehouse is a mission-driven company dedicated to freeing data from data platform lock-in. We deliver the industry’s most interoperable data lakehouse through a cloud-native managed service built on Apache Hudi. Onehouse enables organizations to ingest data at sca...</t>
  </si>
  <si>
    <t>https://in.linkedin.com/jobs/view/backend-engineer-distributed-systems-india-at-onehouse-4255527098?trk=public_jobs_topcard-title</t>
  </si>
  <si>
    <t>LI_4385563316</t>
  </si>
  <si>
    <t>https://in.linkedin.com/jobs/view/full-stack-engineer-at-accenture-in-india-4385563316?trk=public_jobs_topcard-title</t>
  </si>
  <si>
    <t>LI_4430934394</t>
  </si>
  <si>
    <t>Symphony Talent Middleware Test Company</t>
  </si>
  <si>
    <t>Senior Software Engineer Responsibilities include:
Directing software development projects
Producing, testing and debugging code
Leading engineers and developers
Job brief
We are looking for a Senior Software Engineer to produce and implement functional software solutions. Yo...</t>
  </si>
  <si>
    <t>https://in.linkedin.com/jobs/view/software-engineer-at-symphony-talent-middleware-test-company-4430934394?trk=public_jobs_topcard-title</t>
  </si>
  <si>
    <t>LI_4431357089</t>
  </si>
  <si>
    <t>BackEnd Engineer</t>
  </si>
  <si>
    <t>Avahi</t>
  </si>
  <si>
    <t>Company Overview
At Avahi, we’re redefining what it means to be a premier cloud-first consulting company, recognized for our people, culture, and innovative solutions. With expertise in Managed Services, Reselling, Staffing, and Professional Services, we are dedicated to deliver...</t>
  </si>
  <si>
    <t>https://in.linkedin.com/jobs/view/backend-engineer-at-avahi-4431357089?trk=public_jobs_topcard-title</t>
  </si>
  <si>
    <t>LI_4427060675</t>
  </si>
  <si>
    <t>Intermediate Backend Engineer (C), Tenant Scale: Git</t>
  </si>
  <si>
    <t>GitLab</t>
  </si>
  <si>
    <t>Greater Delhi Area</t>
  </si>
  <si>
    <t>GitLab is the intelligent orchestration platform for DevSecOps. GitLab enables organizations to increase developer productivity, improve operational efficiency, reduce security and compliance risk, and accelerate digital transformation. More than 50 million registered users and m...</t>
  </si>
  <si>
    <t>https://in.linkedin.com/jobs/view/intermediate-backend-engineer-c-tenant-scale-git-at-gitlab-4427060675?trk=public_jobs_topcard-title</t>
  </si>
  <si>
    <t>LI_4432593555</t>
  </si>
  <si>
    <t>Software Engineer III - Backend, ITC</t>
  </si>
  <si>
    <t>Who You’ll Work With
You will be part of the Supply Chain and Planning Technology organization and report to the Engineering Manager. On a daily basis, you will collaborate with peer software engineers, product managers, and architects on product teams to achieve business object...</t>
  </si>
  <si>
    <t>https://in.linkedin.com/jobs/view/software-engineer-iii-backend-itc-at-nike-4432593555?trk=public_jobs_topcard-title</t>
  </si>
  <si>
    <t>LI_4377163903</t>
  </si>
  <si>
    <t>WheelsEye</t>
  </si>
  <si>
    <t>Responsibilities
Monitor and optimise business metrics within the POD.
Manage Microservices effectively.
Maintain Service Uptime.
Achieve zero or negligible errors in production.
Ensure code quality standards meet Sonar criteria.
Requirements
Minimum 3+ year of work experience...</t>
  </si>
  <si>
    <t>https://in.linkedin.com/jobs/view/software-engineer-at-wheelseye-4377163903?trk=public_jobs_topcard-title</t>
  </si>
  <si>
    <t>LI_4436434875</t>
  </si>
  <si>
    <t>https://in.linkedin.com/jobs/view/custom-software-engineer-at-accenture-in-india-4436434875?trk=public_jobs_topcard-title</t>
  </si>
  <si>
    <t>LI_4426486570</t>
  </si>
  <si>
    <t>Specialist II - Software Engineering</t>
  </si>
  <si>
    <t>UST</t>
  </si>
  <si>
    <t>Role Description
Job Overview
We are looking for a skilled Java Developer with strong expertise in backend development and modern frameworks. The ideal candidate should have hands-on experience in building scalable, high-performance applications using Java technologies.
Key Re...</t>
  </si>
  <si>
    <t>https://in.linkedin.com/jobs/view/specialist-ii-software-engineering-at-ust-4426486570?trk=public_jobs_topcard-title</t>
  </si>
  <si>
    <t>LI_4435050842</t>
  </si>
  <si>
    <t>Kata Travels</t>
  </si>
  <si>
    <t>New Delhi</t>
  </si>
  <si>
    <t>Location
📍 Delhi, India (On-site)
🕒 Full-time
About Kata Travels
Kata Travels is a growing travel company focused on delivering seamless travel experiences and building efficient internal systems to support operations, bookings, and customer management.
Role
We are looking for a ...</t>
  </si>
  <si>
    <t>https://in.linkedin.com/jobs/view/back-end-developer-at-kata-travels-4435050842?trk=public_jobs_topcard-title</t>
  </si>
  <si>
    <t>LI_4423879436</t>
  </si>
  <si>
    <t>Lead Backend Engineer</t>
  </si>
  <si>
    <t>Sequoia</t>
  </si>
  <si>
    <t>Responsibilities: 
Design and implementation of low-latency, high-availability, and performance applications.
Integration of user-facing elements developed by front-end developers with server-side logic.
Be an Architect for your module and scale the application.
Writing reusable,...</t>
  </si>
  <si>
    <t>https://in.linkedin.com/jobs/view/lead-backend-engineer-at-sequoia-4423879436?trk=public_jobs_topcard-title</t>
  </si>
  <si>
    <t>LI_4433638928</t>
  </si>
  <si>
    <t>SID Global Solutions</t>
  </si>
  <si>
    <t>Design, develop, and maintain scalable backend services using Node.js. Build and consume RESTful APIs and integrate with third-party services. Develop microservices and event-driven applications. Deploy, monitor, and maintain applications in cloud environments (AWS/Azure/GCP). Wo...</t>
  </si>
  <si>
    <t>https://in.linkedin.com/jobs/view/node-js-developer-at-sid-global-solutions-4433638928?trk=public_jobs_topcard-title</t>
  </si>
  <si>
    <t>LI_4418220091</t>
  </si>
  <si>
    <t>Software Development Engineer III</t>
  </si>
  <si>
    <t>Clearwater Analytics</t>
  </si>
  <si>
    <t>Job Summary:
The Software Development Engineer role at Clearwater Analytics spans a spectrum of responsibilities with a focus on designing, implementing, and managing software systems. The role requires continuous learning and application of new technologies and trends. Engineer...</t>
  </si>
  <si>
    <t>https://in.linkedin.com/jobs/view/software-development-engineer-iii-at-clearwater-analytics-4418220091?trk=public_jobs_topcard-title</t>
  </si>
  <si>
    <t>LI_4421896452</t>
  </si>
  <si>
    <t>Blitzy</t>
  </si>
  <si>
    <t>About Blitzy
Blitzy is a Cambridge, MA based AI software development platform on a mission to revolutionize the software development life cycle by autonomously building custom software to unlock the next industrial revolution. We’re transforming how enterprises build software, t...</t>
  </si>
  <si>
    <t>https://in.linkedin.com/jobs/view/senior-backend-engineer-at-blitzy-4421896452?trk=public_jobs_topcard-title</t>
  </si>
  <si>
    <t>LI_4434930836</t>
  </si>
  <si>
    <t>Infosys Finacle</t>
  </si>
  <si>
    <t>5+ years of experience in building Java application
Strong proficiency in RESTful APIs and microservices architecture in Spring boot, with 2+ years of experience in designing applications
Expertise in design patterns and principles ( eg.., SOLID ), its usage and ability to apply ...</t>
  </si>
  <si>
    <t>https://in.linkedin.com/jobs/view/java-developer-at-infosys-finacle-4434930836?trk=public_jobs_topcard-title</t>
  </si>
  <si>
    <t>LI_4276260350</t>
  </si>
  <si>
    <t>🚀 Hiring: Python Developer
⭐ Experience: 2+ Years
📍 Location: Mumbai
⭐ Work Mode:- 5 Days Work From Office
⏱️ Notice Period: Immediate Joiners
(Only immediate joiners &amp; candidates serving notice period)
Looking for a skilled Python Developer with experience in Django / Fast...</t>
  </si>
  <si>
    <t>https://in.linkedin.com/jobs/view/python-developer-at-deqode-4276260350?trk=public_jobs_topcard-title</t>
  </si>
  <si>
    <t>LI_4428853028</t>
  </si>
  <si>
    <t>Golang Developer</t>
  </si>
  <si>
    <t>Softcell Technologies Global Pvt. Ltd.</t>
  </si>
  <si>
    <t>Role – Software Developer (Golang)
Please find job description.
Responsibilities:
• Design, develop, and maintain backend APIs using Golang and the Gin framework
• Write clean, well-documented, and maintainable code • Implement unit and integration tests for code coverage
• Par...</t>
  </si>
  <si>
    <t>https://in.linkedin.com/jobs/view/golang-developer-at-softcell-technologies-global-pvt-ltd-4428853028?trk=public_jobs_topcard-title</t>
  </si>
  <si>
    <t>LI_4421948032</t>
  </si>
  <si>
    <t>Java Backend Software Engineer</t>
  </si>
  <si>
    <t>Deltatre</t>
  </si>
  <si>
    <t>Position
This role sits within the Vesper team at Deltatre — the platform responsible for delivering VOD and live events to users at global scale. You will work across Java services, event-driven processes, RESTful APIs, and the AWS infrastructure that underpins our streaming pla...</t>
  </si>
  <si>
    <t>https://in.linkedin.com/jobs/view/java-backend-software-engineer-at-deltatre-4421948032?trk=public_jobs_topcard-title</t>
  </si>
  <si>
    <t>LI_4427671685</t>
  </si>
  <si>
    <t>Full Stack Developer (Node.js/Nest.js/React.js) Internship in Pune</t>
  </si>
  <si>
    <t>Roxiler Systems</t>
  </si>
  <si>
    <t>We are seeking a highly skilled and passionate full-stack developer intern who can work across multiple technologies. The ideal candidate should have a good understanding of JavaScript-based backend and frontend frameworks, including ExpressJS/NestJS/Loopback and ReactJS, while a...</t>
  </si>
  <si>
    <t>https://in.linkedin.com/jobs/view/full-stack-developer-node-js-nest-js-react-js-internship-in-pune-at-roxiler-systems-4427671685?trk=public_jobs_topcard-title</t>
  </si>
  <si>
    <t>LI_4433223622</t>
  </si>
  <si>
    <t>Developer/Senior Developer – Node.js - Goa</t>
  </si>
  <si>
    <t>HYrEzy Tech Solutions</t>
  </si>
  <si>
    <t>Goa</t>
  </si>
  <si>
    <t>This position involves developing and maintaining scalable server-side applications using Node.js to deliver high-quality, efficient solutions for web applications. You will work closely with front-end developers, designers, and other team members to ensure seamless integration, ...</t>
  </si>
  <si>
    <t>https://in.linkedin.com/jobs/view/developer-senior-developer-%E2%80%93-node-js-goa-at-hyrezy-tech-solutions-4433223622?trk=public_jobs_topcard-title</t>
  </si>
  <si>
    <t>LI_4426942419</t>
  </si>
  <si>
    <t>Creospan Private Limited</t>
  </si>
  <si>
    <t>Job Title : Backend Developer (Java- Spring Frameworks)
Location : Kharadi - Pune
Full time - Creospan
Hybrid 3Days/Week Office
Experience : 8+ Years
Baking Exposure Preferred
Role Overview:-
-We are seeking a highly skilled Backend Developer with strong expertise in modern Jav...</t>
  </si>
  <si>
    <t>https://in.linkedin.com/jobs/view/back-end-developer-at-creospan-private-limited-4426942419?trk=public_jobs_topcard-title</t>
  </si>
  <si>
    <t>LI_4382272487</t>
  </si>
  <si>
    <t>Python Backend Engineer (2-3 Years)</t>
  </si>
  <si>
    <t>Crest Ventures Limited</t>
  </si>
  <si>
    <t>Job Title: Python Backend Engineer
Location: Nariman Point, Mumbai 
Experience: 2-3 Years
Position Overview
We are seeking an experienced Python Backend Engineer to join our team in building high-performance, scalable backend systems for algorithmic trading. The ideal candida...</t>
  </si>
  <si>
    <t>https://in.linkedin.com/jobs/view/python-backend-engineer-2-3-years-at-crest-ventures-limited-4382272487?trk=public_jobs_topcard-title</t>
  </si>
  <si>
    <t>LI_4409538652</t>
  </si>
  <si>
    <t>Promaynov Advisory Services Pvt. Ltd</t>
  </si>
  <si>
    <t>Bawana</t>
  </si>
  <si>
    <t>Job Title: Backend Developer
Location: New Delhi
Role Overview
We are seeking a Backend Engineer with 5-6 years of hands-on and leadership
experience in Java and Node tech stack, who thrives in a fast-paced, product-focused
environment. In this role, you will architect, buil...</t>
  </si>
  <si>
    <t>https://in.linkedin.com/jobs/view/backend-engineer-at-promaynov-advisory-services-pvt-ltd-4409538652?trk=public_jobs_topcard-title</t>
  </si>
  <si>
    <t>LI_4408678584</t>
  </si>
  <si>
    <t>Chegg India</t>
  </si>
  <si>
    <t>Job Description
Job Description - SSE Backend Engineer
Position: Senior Software Engineer, Backend
Base Location: New Delhi
Location:
India (Remote / Hybrid)
Experience
7+ years
About Chegg Skills
As Chegg Skills engineers, our software empowers students to move from "le...</t>
  </si>
  <si>
    <t>https://in.linkedin.com/jobs/view/senior-software-engineer-at-chegg-india-4408678584?trk=public_jobs_topcard-title</t>
  </si>
  <si>
    <t>LI_4422684680</t>
  </si>
  <si>
    <t>Full Stack Developer (India)</t>
  </si>
  <si>
    <t>Allucent</t>
  </si>
  <si>
    <t>At Allucent™, we are dedicated to helping small-medium biopharmaceutical companies efficiently navigate the complex world of clinical trials to bring life-changing therapies to patients in need across the globe.
Allucent (India) Pvt. Ltd. is seeking for Full Stack Developer to jo...</t>
  </si>
  <si>
    <t>https://in.linkedin.com/jobs/view/full-stack-developer-india-at-allucent-4422684680?trk=public_jobs_topcard-title</t>
  </si>
  <si>
    <t>LI_4421058091</t>
  </si>
  <si>
    <t>Fireblaze AI School</t>
  </si>
  <si>
    <t>About Us
Fireblaze AI School is a part of Fireblaze Technologies which was started in April 2018 with a Vision to Up-Skill and Train in emerging technologies.
Mission Statement
“To Provide Measurable &amp; Transformational Value To Learners Career”
Vision Statement
““To Be The M...</t>
  </si>
  <si>
    <t>https://in.linkedin.com/jobs/view/full-stack-developer-at-fireblaze-ai-school-4421058091?trk=public_jobs_topcard-title</t>
  </si>
  <si>
    <t>LI_4367163264</t>
  </si>
  <si>
    <t>Senior Backend Developer</t>
  </si>
  <si>
    <t>Eazybe</t>
  </si>
  <si>
    <t>Responsibilities
Take complete ownership of backend systems, from architecture and design to deployment and optimization.
Develop scalable APIs and microservices using Node.js, Express.js, or Nest.js .
Manage and optimize databases (MongoDB, PostgreSQL, Redis) for performance an...</t>
  </si>
  <si>
    <t>https://in.linkedin.com/jobs/view/senior-backend-developer-at-eazybe-4367163264?trk=public_jobs_topcard-title</t>
  </si>
  <si>
    <t>LI_4371029485</t>
  </si>
  <si>
    <t>Software Development Engineer Backend III</t>
  </si>
  <si>
    <t>TELUS Digital Philippines</t>
  </si>
  <si>
    <t>Build services and platform which power TI AI
Understand, follow and contribute to TI AI's standards for the software development life cycle
Work closely with product and tech team to deliver efficient, maintainable and unit tested software
Collaborate with product &amp; business tea...</t>
  </si>
  <si>
    <t>https://in.linkedin.com/jobs/view/software-development-engineer-backend-iii-at-telus-digital-philippines-4371029485?trk=public_jobs_topcard-title</t>
  </si>
  <si>
    <t>LI_4422236368</t>
  </si>
  <si>
    <t>Lead Software Engineer - Backend</t>
  </si>
  <si>
    <t>Guwahati</t>
  </si>
  <si>
    <t>Assam</t>
  </si>
  <si>
    <t>Job Role: 
Strong hands-on experience Full Stack development Java microservices/NodeJS/GoLang. Mobile app development experience is a big plus.
Strong systems design experience with DS/ Algo
Hands-on Java, Multi-threading Concurrency and Performance Tuning approaches.
Proven expe...</t>
  </si>
  <si>
    <t>https://in.linkedin.com/jobs/view/lead-software-engineer-backend-at-hdfc-bank-4422236368?trk=public_jobs_topcard-title</t>
  </si>
  <si>
    <t>LI_4346652855</t>
  </si>
  <si>
    <t>Technical Lead - Backend</t>
  </si>
  <si>
    <t>As a Tech Lead, you take end-to-end ownership of backend initiatives, leading design, planning, and execution in close collaboration with engineers and stakeholders. You lead by example through hands-on development, setting high standards for code quality, testing, and architectu...</t>
  </si>
  <si>
    <t>https://in.linkedin.com/jobs/view/technical-lead-backend-at-kodo-4346652855?trk=public_jobs_topcard-title</t>
  </si>
  <si>
    <t>LI_4417149200</t>
  </si>
  <si>
    <t>Software Development Engineer II, Backend</t>
  </si>
  <si>
    <t>ZöTok.AI</t>
  </si>
  <si>
    <t>Job Title : Software Engineer - Backend
Job Location : Hyderabad
Experience Required : 3- 6 years
Position Overview
Are you a coding wizard with a passion for innovation and a knack for turning ideas into reality? ZoTok TradeTech
is on the lookout for a Backend Developer to ...</t>
  </si>
  <si>
    <t>https://in.linkedin.com/jobs/view/software-development-engineer-ii-backend-at-z%C3%B6tok-ai-4417149200?trk=public_jobs_topcard-title</t>
  </si>
  <si>
    <t>LI_4434516057</t>
  </si>
  <si>
    <t>Aspire</t>
  </si>
  <si>
    <t>About The Company
Founders today are building global companies from day one — but the systems that manage their money were built for a different era. Aspire exists to change that!
We’re building the financial operating system for global founders, bringing banking, software, and...</t>
  </si>
  <si>
    <t>https://in.linkedin.com/jobs/view/lead-backend-engineer-at-aspire-4434516057?trk=public_jobs_topcard-title</t>
  </si>
  <si>
    <t>LI_4333246825</t>
  </si>
  <si>
    <t>Application Developer</t>
  </si>
  <si>
    <t>Project Role : Application Developer
Project Role Description : Design, build and configure applications to meet business process and application requirements.
Must have skills : Spring Boot
Good to have skills : NA
Minimum 3 Year(s) Of Experience Is Required
Educational Qua...</t>
  </si>
  <si>
    <t>https://in.linkedin.com/jobs/view/application-developer-at-accenture-in-india-4333246825?trk=public_jobs_topcard-title</t>
  </si>
  <si>
    <t>LI_4306121407</t>
  </si>
  <si>
    <t>Growisto</t>
  </si>
  <si>
    <t>About the role: We’re looking for a Node.Js Developer who can adapt to new tech stacks and innovate with cutting-edge technology solutions, to build eCommerce platforms that are unique, disruptive, and powerful.
What You'll Do
Integrate user-facing elements developed by front-e...</t>
  </si>
  <si>
    <t>https://in.linkedin.com/jobs/view/nodejs-developer-at-growisto-4306121407?trk=public_jobs_topcard-title</t>
  </si>
  <si>
    <t>LI_4437177370</t>
  </si>
  <si>
    <t>https://in.linkedin.com/jobs/view/custom-software-engineer-at-accenture-in-india-4437177370?trk=public_jobs_topcard-title</t>
  </si>
  <si>
    <t>LI_4398226246</t>
  </si>
  <si>
    <t>METRO Global Solution Center IN</t>
  </si>
  <si>
    <t>About us: 
Passion for food. Hunger for tech. We make METRO digital.
Today technology is driving the world. And at METRO.digital we are driving the technology for one of the leading international wholesalers specializing in food - METRO. From e-commerce to checkout, to delivery...</t>
  </si>
  <si>
    <t>https://in.linkedin.com/jobs/view/backend-engineer-at-metro-global-solution-center-in-4398226246?trk=public_jobs_topcard-title</t>
  </si>
  <si>
    <t>LI_4432767099</t>
  </si>
  <si>
    <t>Cyncly</t>
  </si>
  <si>
    <t>Job Title: Software Engineer
Location: Kochi, India (Onsite)
Permanent - Full Time
About Us
Cyncly is a global technology powerhouse with 2,400+ employees and 70,000+ customers across 100+ countries. Cyncly transforms the way customizable products and spaces are imagined, desig...</t>
  </si>
  <si>
    <t>https://in.linkedin.com/jobs/view/software-engineer-at-cyncly-4432767099?trk=public_jobs_topcard-title</t>
  </si>
  <si>
    <t>LI_4421432376</t>
  </si>
  <si>
    <t>Commergence</t>
  </si>
  <si>
    <t>Position: Java Developer
Experience: 5–9 Years
Location: Chennai, India
Work Mode: 5 Days Work from Office
Required Skills
Strong experience in Java and Spring Boot development
Hands-on experience with AWS Cloud
Good exposure to Jenkins and CI/CD pipelines
Experience in Micr...</t>
  </si>
  <si>
    <t>https://in.linkedin.com/jobs/view/java-developer-at-commergence-4421432376?trk=public_jobs_topcard-title</t>
  </si>
  <si>
    <t>LI_4407182030</t>
  </si>
  <si>
    <t>ekhool</t>
  </si>
  <si>
    <t>Careers
Python Developer
Python Developer Job Description
Over 3+ years of extensive experience and certified python developer having knowledge of multi-purpose programming languages. Delivers a proactive approach, great work ethic and ability to function well in deadline-drive...</t>
  </si>
  <si>
    <t>https://in.linkedin.com/jobs/view/python-developer-at-ekhool-4407182030?trk=public_jobs_topcard-title</t>
  </si>
  <si>
    <t>LI_4436439663</t>
  </si>
  <si>
    <t>https://in.linkedin.com/jobs/view/application-developer-at-accenture-in-india-4436439663?trk=public_jobs_topcard-title</t>
  </si>
  <si>
    <t>LI_4420422992</t>
  </si>
  <si>
    <t>Software Developer (Backend), LiveDesign - Hyderabad</t>
  </si>
  <si>
    <t>Schrödinger</t>
  </si>
  <si>
    <t>Schrödinger is on the cutting edge of computer-aided drug discovery and materials science. Our software platform continues to revolutionize the design of therapeutics and materials, and we leverage this platform to advance a pipeline of internal, wholly-owned drug discovery progr...</t>
  </si>
  <si>
    <t>https://in.linkedin.com/jobs/view/software-developer-backend-livedesign-hyderabad-at-schr%C3%B6dinger-4420422992?trk=public_jobs_topcard-title</t>
  </si>
  <si>
    <t>LI_4337717225</t>
  </si>
  <si>
    <t>https://in.linkedin.com/jobs/view/custom-software-engineer-at-accenture-in-india-4337717225?trk=public_jobs_topcard-title</t>
  </si>
  <si>
    <t>LI_4346590086</t>
  </si>
  <si>
    <t>GreyOrange</t>
  </si>
  <si>
    <t>Role: Software Development Engineer II (SDE II)
Location: Gurugram, HR Type: Full-Time
Responsibilities
Code critical sections and key features of the product.
Lead and solve key technical challenges in the overall system.
Work in collaboration with architects to write low-lev...</t>
  </si>
  <si>
    <t>https://in.linkedin.com/jobs/view/software-development-engineer-ii-at-greyorange-4346590086?trk=public_jobs_topcard-title</t>
  </si>
  <si>
    <t>LI_4430960200</t>
  </si>
  <si>
    <t>RoboMQ</t>
  </si>
  <si>
    <t>Job Summary:
RoboMQ is a fast-growing SaaS company delivering disruptive Identity Governance and Administration (IGA) solutions to mid-market enterprise customers. Our flagship product, Hire2Retire, automates the employee identity lifecycle by integrating HR systems with Identity...</t>
  </si>
  <si>
    <t>https://in.linkedin.com/jobs/view/senior-java-software-engineer-at-robomq-4430960200?trk=public_jobs_topcard-title</t>
  </si>
  <si>
    <t>LI_4306122390</t>
  </si>
  <si>
    <t>REDVision Technologies</t>
  </si>
  <si>
    <t>1: proficient in python, flask, pandas, GitHub and AWS
2: good knowledge of databases both SQL and NoSQL
3:Strong experience in REST and SOAP APIs
4: Experience with working on scalable interactive web applications
5:Basic knowledge of JavaScript and Html
6: Automation and c...</t>
  </si>
  <si>
    <t>https://in.linkedin.com/jobs/view/python-developer-at-redvision-technologies-4306122390?trk=public_jobs_topcard-title</t>
  </si>
  <si>
    <t>LI_4436451075</t>
  </si>
  <si>
    <t>https://in.linkedin.com/jobs/view/custom-software-engineer-at-accenture-in-india-4436451075?trk=public_jobs_topcard-title</t>
  </si>
  <si>
    <t>LI_4435520441</t>
  </si>
  <si>
    <t>Appian</t>
  </si>
  <si>
    <t>Here at Appian, our values of Intensity and Excellence define who we are. We set high standards and live up to them, ensuring that everything we do is done with care and quality. We approach every challenge with ambition and commitment, holding ourselves and each other accountabl...</t>
  </si>
  <si>
    <t>https://in.linkedin.com/jobs/view/software-engineer-ii-at-appian-4435520441?trk=public_jobs_topcard-title</t>
  </si>
  <si>
    <t>LI_4432050813</t>
  </si>
  <si>
    <t>https://in.linkedin.com/jobs/view/custom-software-engineer-at-accenture-in-india-4432050813?trk=public_jobs_topcard-title</t>
  </si>
  <si>
    <t>LI_4399803237</t>
  </si>
  <si>
    <t>React.js Developer - Javascript/TypeScript</t>
  </si>
  <si>
    <t>VAYUZ Technologies</t>
  </si>
  <si>
    <t>Company Overview
VAYUZ Technologies is a dynamic and innovative technology company specializing in developing cutting-edge software solutions for the financial technology (FinTech) sector. We empower businesses with robust, scalable, and secure platforms for online trading, inve...</t>
  </si>
  <si>
    <t>https://in.linkedin.com/jobs/view/react-js-developer-javascript-typescript-at-vayuz-technologies-4399803237?trk=public_jobs_topcard-title</t>
  </si>
  <si>
    <t>LI_4426381523</t>
  </si>
  <si>
    <t>https://in.linkedin.com/jobs/view/backend-engineer-mid-level-at-portcast-4426381523?trk=public_jobs_topcard-title</t>
  </si>
  <si>
    <t>LI_4306120385</t>
  </si>
  <si>
    <t>Fullstack/Mern Developer</t>
  </si>
  <si>
    <t>iDreamCareer.com</t>
  </si>
  <si>
    <t>Ghaziabad</t>
  </si>
  <si>
    <t>Responsibilities
Writing code for both the front end and the back end using MERN stack [MongoDB, Express.js, React.js and Node. js]
Creating RESTful API with Node.js
Maintaining all the required documents for your project.
Constantly coming up with new ideas and also implementin...</t>
  </si>
  <si>
    <t>https://in.linkedin.com/jobs/view/fullstack-mern-developer-at-idreamcareer-com-4306120385?trk=public_jobs_topcard-title</t>
  </si>
  <si>
    <t>LI_4368318782</t>
  </si>
  <si>
    <t>Project Role : Custom Software Engineer
Project Role Description : Analyze, design, code and test multiple components of application code across one or more clients. Perform maintenance, enhancements and/or development work.
Must have skills : Graph Databases
Good to have skil...</t>
  </si>
  <si>
    <t>https://in.linkedin.com/jobs/view/custom-software-engineer-at-accenture-in-india-4368318782?trk=public_jobs_topcard-title</t>
  </si>
  <si>
    <t>LI_4424085503</t>
  </si>
  <si>
    <t>SDE 3</t>
  </si>
  <si>
    <t>Nutrabay</t>
  </si>
  <si>
    <t>Job Role: Software Engineer – Python (SDE-3)
You should apply if you have:
Strong experience designing and building large-scale distributed backend systems
Proven ability to architect systems end-to-end, not just implement features
Deep expertise in Python (Django REST/FastAPI) ...</t>
  </si>
  <si>
    <t>https://in.linkedin.com/jobs/view/sde-3-at-nutrabay-4424085503?trk=public_jobs_topcard-title</t>
  </si>
  <si>
    <t>LI_4435270326</t>
  </si>
  <si>
    <t>hackajob is collaborating with Barclays to connect them with exceptional professionals for this role.
Join us as a Full Stack Developer at Barclays, responsible for supporting the successful delivery of location strategy projects to plan, budget, agreed quality and governance st...</t>
  </si>
  <si>
    <t>https://in.linkedin.com/jobs/view/full-stack-developer-at-hackajob-4435270326?trk=public_jobs_topcard-title</t>
  </si>
  <si>
    <t>LI_4410799638</t>
  </si>
  <si>
    <t>Project Role : Custom Software Engineer
Project Role Description : Design, build and configure applications to meet business process and application requirements.
Must have skills : Siemens Mendix
Good to have skills : NA
Minimum 3 Year(s) Of Experience Is Required
Education...</t>
  </si>
  <si>
    <t>https://in.linkedin.com/jobs/view/custom-software-engineer-at-accenture-in-india-4410799638?trk=public_jobs_topcard-title</t>
  </si>
  <si>
    <t>LI_4437172553</t>
  </si>
  <si>
    <t>https://in.linkedin.com/jobs/view/custom-software-engineer-at-accenture-in-india-4437172553?trk=public_jobs_topcard-title</t>
  </si>
  <si>
    <t>LI_4410479767</t>
  </si>
  <si>
    <t>Java Developer | $27/hr Remote</t>
  </si>
  <si>
    <t>Position: Software Engineer
Type: Contract
Compensation: $27/hr
Location: Remote
Commitment: 10-40 hrs/week
Role Responsibilities
Contribute to product-level software engineering tasks across real-world codebases and development workflows.
Write, debug, test, and maintain scalab...</t>
  </si>
  <si>
    <t>https://in.linkedin.com/jobs/view/java-developer-%2427-hr-remote-at-crossing-hurdles-4410479767?trk=public_jobs_topcard-title</t>
  </si>
  <si>
    <t>LI_4435467485</t>
  </si>
  <si>
    <t>https://in.linkedin.com/jobs/view/software-developer-engineer-frontend-reactjs-at-siemens-4435467485?trk=public_jobs_topcard-title</t>
  </si>
  <si>
    <t>LI_4368619191</t>
  </si>
  <si>
    <t>Java Backend Developer</t>
  </si>
  <si>
    <t>Boolment Software Development Pvt Ltd.</t>
  </si>
  <si>
    <t>Department: Software Development
Location: Gurgaon, Haryana
Employment Type: Full-Time
Working Mode: On-site
Shifts: Regular Day Shift (9:30 AM – 6:30 PM), Monday to Saturday
Reporting To: Manager
Vacancies: 3
Experience: 2–4 years (Backend / Java Development)
Salary Rang...</t>
  </si>
  <si>
    <t>https://in.linkedin.com/jobs/view/java-backend-developer-at-boolment-software-development-pvt-ltd-4368619191?trk=public_jobs_topcard-title</t>
  </si>
  <si>
    <t>LI_4425834288</t>
  </si>
  <si>
    <t>Abnormal AI</t>
  </si>
  <si>
    <t>The Opportunity
Abnormal AI is revolutionizing cybersecurity by leveraging AI-native technologies to combat modern cyber threats. We’re building a team of top-tier engineers who are excited to use Generative AI tools like Cursor, GitHub Copilot, and Claude to redefine how softwa...</t>
  </si>
  <si>
    <t>https://in.linkedin.com/jobs/view/software-engineer-2-at-abnormal-ai-4425834288?trk=public_jobs_topcard-title</t>
  </si>
  <si>
    <t>LI_4379575660</t>
  </si>
  <si>
    <t>Software Developer Engineer</t>
  </si>
  <si>
    <t>CtrlB</t>
  </si>
  <si>
    <t>As a Software Engineer at CtrlB, you will build a fast, intuitive, and reliable product that developers rely on to monitor and troubleshoot systems at scale. You'll work across high-volume data pipelines, distributed systems, and customer-facing features, streamlining how data fl...</t>
  </si>
  <si>
    <t>https://in.linkedin.com/jobs/view/software-developer-engineer-at-ctrlb-4379575660?trk=public_jobs_topcard-title</t>
  </si>
  <si>
    <t>LI_4428538401</t>
  </si>
  <si>
    <t>Attentions AI</t>
  </si>
  <si>
    <t>About the Role:
We are looking for a strong Python Backend Developer (3–5 years experience) to build scalable, high-performance backend systems. This role requires hands-on expertise in API development, real-time systems, distributed workflows, and production-grade infrastructure...</t>
  </si>
  <si>
    <t>https://in.linkedin.com/jobs/view/backend-developer-at-attentions-ai-4428538401?trk=public_jobs_topcard-title</t>
  </si>
  <si>
    <t>LI_4356518947</t>
  </si>
  <si>
    <t>Full Stack Software Engineer – Backend</t>
  </si>
  <si>
    <t>RhythmX AI</t>
  </si>
  <si>
    <t>About RhythmX AI
RhythmX AI is a generative AI-native health tech company driving a paradigm shift in hyper-personalized care. RhythmX AI’s precision care platform helps physicians pioneer a new era of whole-person care through generative and predictive AI-powered copilots. An S...</t>
  </si>
  <si>
    <t>https://in.linkedin.com/jobs/view/full-stack-software-engineer-%E2%80%93-backend-at-rhythmx-ai-4356518947?trk=public_jobs_topcard-title</t>
  </si>
  <si>
    <t>LI_4426550905</t>
  </si>
  <si>
    <t>https://in.linkedin.com/jobs/view/custom-software-engineer-at-accenture-in-india-4426550905?trk=public_jobs_topcard-title</t>
  </si>
  <si>
    <t>LI_4433094740</t>
  </si>
  <si>
    <t>https://in.linkedin.com/jobs/view/custom-software-engineer-at-accenture-in-india-4433094740?trk=public_jobs_topcard-title</t>
  </si>
  <si>
    <t>LI_4419905669</t>
  </si>
  <si>
    <t>https://in.linkedin.com/jobs/view/custom-software-engineer-at-accenture-in-india-4419905669?trk=public_jobs_topcard-title</t>
  </si>
  <si>
    <t>LI_4424195188</t>
  </si>
  <si>
    <t>Aspora</t>
  </si>
  <si>
    <t>About Aspora
People on the move deserve a bank that moves with them. Since 2022, Aspora has been building a borderless financial operating system that makes money as mobile and transparent as its users.
Backed by influential venture capitalists like Sequoia Capital, Greylock Pa...</t>
  </si>
  <si>
    <t>https://in.linkedin.com/jobs/view/backend-engineer-sde2-at-aspora-4424195188?trk=public_jobs_topcard-title</t>
  </si>
  <si>
    <t>LI_4431696162</t>
  </si>
  <si>
    <t>https://in.linkedin.com/jobs/view/custom-software-engineer-at-accenture-in-india-4431696162?trk=public_jobs_topcard-title</t>
  </si>
  <si>
    <t>LI_4422927773</t>
  </si>
  <si>
    <t>Amura Marketing Technologies</t>
  </si>
  <si>
    <t>We're hiring a Senior Backend Engineer who can build high-performance backend systems using Node.js . You'll work on complex engineering problems, optimize for scale, and own features end-to-end.
Responsibilities
Develop backend services, APIs, and microservices using Node.js f...</t>
  </si>
  <si>
    <t>https://in.linkedin.com/jobs/view/senior-backend-engineer-at-amura-marketing-technologies-4422927773?trk=public_jobs_topcard-title</t>
  </si>
  <si>
    <t>LI_4426568777</t>
  </si>
  <si>
    <t>https://in.linkedin.com/jobs/view/custom-software-engineer-at-accenture-in-india-4426568777?trk=public_jobs_topcard-title</t>
  </si>
  <si>
    <t>LI_4434065347</t>
  </si>
  <si>
    <t>https://in.linkedin.com/jobs/view/custom-software-engineer-at-accenture-in-india-4434065347?trk=public_jobs_topcard-title</t>
  </si>
  <si>
    <t>LI_4429727987</t>
  </si>
  <si>
    <t>Practo - Senior Software Engineer - Backend Development</t>
  </si>
  <si>
    <t>Practo</t>
  </si>
  <si>
    <t>Role : Senior Software Engineer - Backend
The Mission : Scalability Meets Exploration : 
At Practo, we are solving healthcare accessibility for over a billion people. To do this, we run a massive, high-throughput ecosystem of microservices that handle millions of highly sensiti...</t>
  </si>
  <si>
    <t>https://in.linkedin.com/jobs/view/practo-senior-software-engineer-backend-development-at-practo-4429727987?trk=public_jobs_topcard-title</t>
  </si>
  <si>
    <t>LI_4428170941</t>
  </si>
  <si>
    <t>Kredivo Group - Software Development Engineer II - Backend Technologies</t>
  </si>
  <si>
    <t>Kredivo Group</t>
  </si>
  <si>
    <t>Responsibilities
Successfully and independently deliver large-scale projects, including scoping, planning, design, development, testing, rollout and maintenance.
Write clean, concise, modular and well-tested code.
Review code from junior engineers and provide constant and constr...</t>
  </si>
  <si>
    <t>https://in.linkedin.com/jobs/view/kredivo-group-software-development-engineer-ii-backend-technologies-at-kredivo-group-4428170941?trk=public_jobs_topcard-title</t>
  </si>
  <si>
    <t>LI_4422275600</t>
  </si>
  <si>
    <t>Backend Engineer III (Hybrid)</t>
  </si>
  <si>
    <t>CrowdStrike</t>
  </si>
  <si>
    <t>As a global leader in cybersecurity, CrowdStrike protects the people, processes and technologies that drive modern organizations. Since 2011, our mission hasn’t changed — we’re here to stop breaches, and we’ve redefined modern security with the world’s most advanced AI-native pla...</t>
  </si>
  <si>
    <t>https://in.linkedin.com/jobs/view/backend-engineer-iii-hybrid-at-crowdstrike-4422275600?trk=public_jobs_topcard-title</t>
  </si>
  <si>
    <t>LI_4431693187</t>
  </si>
  <si>
    <t>https://in.linkedin.com/jobs/view/custom-software-engineer-at-accenture-in-india-4431693187?trk=public_jobs_topcard-title</t>
  </si>
  <si>
    <t>LI_4431699125</t>
  </si>
  <si>
    <t>https://in.linkedin.com/jobs/view/custom-software-engineer-at-accenture-in-india-4431699125?trk=public_jobs_topcard-title</t>
  </si>
  <si>
    <t>LI_4432945937</t>
  </si>
  <si>
    <t>Software Engineer III -Backend</t>
  </si>
  <si>
    <t>Suki</t>
  </si>
  <si>
    <t>What we want to accomplish and why we need you
Suki is a leading technology company that provides AI voice solutions for healthcare. Its mission is to reimagine the healthcare technology stack, making it invisible and assistive to lift the administrative burden from clinicians. ...</t>
  </si>
  <si>
    <t>https://in.linkedin.com/jobs/view/software-engineer-iii-backend-at-suki-4432945937?trk=public_jobs_topcard-title</t>
  </si>
  <si>
    <t>LI_4431667095</t>
  </si>
  <si>
    <t>Role: SDE (Full Stack)
Experience: 2+ Years
Location: Bangalore
Work Mode: 5 Days (WFO)
Job Summary:
Looking for a Full Stack Developer experienced in building scalable web applications across frontend and backend. Candidate should be flexible to work in a 24/7 environment with o...</t>
  </si>
  <si>
    <t>https://in.linkedin.com/jobs/view/full-stack-engineer-at-quest-global-4431667095?trk=public_jobs_topcard-title</t>
  </si>
  <si>
    <t>LI_4335150646</t>
  </si>
  <si>
    <t>https://in.linkedin.com/jobs/view/custom-software-engineer-at-accenture-in-india-4335150646?trk=public_jobs_topcard-title</t>
  </si>
  <si>
    <t>LI_4343704290</t>
  </si>
  <si>
    <t>Project Role : Custom Software Engineer
Project Role Description : Develop and configure software systems either end-to-end or for a specific stage of product lifecycle. Apply knowledge of technologies, applications, methodologies, processes and tools to support a client, projec...</t>
  </si>
  <si>
    <t>https://in.linkedin.com/jobs/view/custom-software-engineer-at-accenture-in-india-4343704290?trk=public_jobs_topcard-title</t>
  </si>
  <si>
    <t>LI_4430438159</t>
  </si>
  <si>
    <t>Full-Stack Software Engineer | $80/hr Remote</t>
  </si>
  <si>
    <t>Position: Senior Full-Stack Software Engineer
Type: Contract
Compensation: $30 - $80/hour
Location: Remote
Commitment: 10-40 hrs/week
Role Responsibilities
Lead the end-to-end design, development, and deployment of robust web applications leveraging React and Node.js.
Define and...</t>
  </si>
  <si>
    <t>https://in.linkedin.com/jobs/view/full-stack-software-engineer-%2480-hr-remote-at-crossing-hurdles-4430438159?trk=public_jobs_topcard-title</t>
  </si>
  <si>
    <t>LI_4427462858</t>
  </si>
  <si>
    <t>Kuoni Tumlare</t>
  </si>
  <si>
    <t>About Kuoni Tumlare:
At Kuoni Tumlare, we deliver truly inspiring and innovative solutions and experiences that create value both for our Partners and Society at large. Our wide portfolio of products and solutions is built on 100+ years of destination management experience.
Our s...</t>
  </si>
  <si>
    <t>https://in.linkedin.com/jobs/view/senior-backend-developer-at-kuoni-tumlare-4427462858?trk=public_jobs_topcard-title</t>
  </si>
  <si>
    <t>LI_4411292218</t>
  </si>
  <si>
    <t>Dicetek LLC</t>
  </si>
  <si>
    <t>We are looking for a Senior Development Engineer for Backend Development to help us keep growing. This includes anything between complex groups of back-end services and their client-end (desktop and mobile) counterparts. As a Lead Development Engineer, you’re a highly detail-orie...</t>
  </si>
  <si>
    <t>https://in.linkedin.com/jobs/view/backend-developer-at-dicetek-llc-4411292218?trk=public_jobs_topcard-title</t>
  </si>
  <si>
    <t>LI_4428490193</t>
  </si>
  <si>
    <t>Java Developer | $80/hr Remote</t>
  </si>
  <si>
    <t>Position: Java Developer
Type: Hourly contract
Compensation: $30 $80/hour
Location: Remote
Commitment: 10 40 hours/week
Role Responsibilities
Design, develop, and maintain backend applications using Java and Spring frameworks. 
Build secure, scalable, and high-performance b...</t>
  </si>
  <si>
    <t>https://in.linkedin.com/jobs/view/java-developer-%2480-hr-remote-at-crossing-hurdles-4428490193?trk=public_jobs_topcard-title</t>
  </si>
  <si>
    <t>LI_4337201282</t>
  </si>
  <si>
    <t>BNP Paribas</t>
  </si>
  <si>
    <t>About BNP Paribas India Solutions
Established in 2005, BNP Paribas India Solutions is a wholly owned subsidiary of BNP Paribas SA, European Union’s leading bank with an international reach. With delivery centers located in Bengaluru, Chennai and Mumbai, we are a 24x7 global deli...</t>
  </si>
  <si>
    <t>https://in.linkedin.com/jobs/view/full-stack-developer-at-bnp-paribas-4337201282?trk=public_jobs_topcard-title</t>
  </si>
  <si>
    <t>LI_4434904987</t>
  </si>
  <si>
    <t>Java full stack, React Developer</t>
  </si>
  <si>
    <t>Technology-&gt;Devops-&gt;Ansible,Technology-&gt;Java-&gt;Apache-&gt;Kafka,Technology-&gt;Java-&gt;Java - ALL,Technology-&gt;Java-&gt;Springboot,Technology-&gt;Reactive Programming-&gt;react JS
Primary skill: Well-versed with Java Best practices, Microservice Architecture &amp; Design Patterns, API Development &amp; De...</t>
  </si>
  <si>
    <t>https://in.linkedin.com/jobs/view/java-full-stack-react-developer-at-infosys-4434904987?trk=public_jobs_topcard-title</t>
  </si>
  <si>
    <t>LI_4408266192</t>
  </si>
  <si>
    <t>Company: NIUM
Website: Visit Website
LinkedIn: Visit LinkedIn
Business Type: Enterprise
Company Type: Product
Business Model: B2B
Funding Stage: Series D+
Industry: FinTech
Salary Range: ₹ 30-40 Lacs PA
Job Description
We are looking for a skilled Backend Engineer with ...</t>
  </si>
  <si>
    <t>https://in.linkedin.com/jobs/view/backend-developer-at-sourcingxpress-4408266192?trk=public_jobs_topcard-title</t>
  </si>
  <si>
    <t>LI_4368622761</t>
  </si>
  <si>
    <t>https://in.linkedin.com/jobs/view/fastapi-developer-at-epergne-solutions-4368622761?trk=public_jobs_topcard-title</t>
  </si>
  <si>
    <t>LI_4436419301</t>
  </si>
  <si>
    <t>Software Engineer III - Fullstack, ITC</t>
  </si>
  <si>
    <t>https://in.linkedin.com/jobs/view/software-engineer-iii-fullstack-itc-at-nike-4436419301?trk=public_jobs_topcard-title</t>
  </si>
  <si>
    <t>LI_4426373843</t>
  </si>
  <si>
    <t>Project Role : Custom Software Engineer
Project Role Description : Design, build and configure applications to meet business process and application requirements.
Must have skills : Spring Boot
Good to have skills : NA
Minimum 3 Year(s) Of Experience Is Required
Educational ...</t>
  </si>
  <si>
    <t>https://in.linkedin.com/jobs/view/custom-software-engineer-at-accenture-in-india-4426373843?trk=public_jobs_topcard-title</t>
  </si>
  <si>
    <t>LI_4323446088</t>
  </si>
  <si>
    <t>https://in.linkedin.com/jobs/view/custom-software-engineer-at-accenture-in-india-4323446088?trk=public_jobs_topcard-title</t>
  </si>
  <si>
    <t>LI_4434063505</t>
  </si>
  <si>
    <t>Project Role : Custom Software Engineer
Project Role Description : Lead the effort to design, build and configure applications, acting as the primary point of contact.
Must have skills : Microsoft Azure PaaS
Good to have skills : NA
Minimum 3 Year(s) Of Experience Is Required...</t>
  </si>
  <si>
    <t>https://in.linkedin.com/jobs/view/custom-software-engineer-at-accenture-in-india-4434063505?trk=public_jobs_topcard-title</t>
  </si>
  <si>
    <t>LI_4343782567</t>
  </si>
  <si>
    <t>https://in.linkedin.com/jobs/view/custom-software-engineer-at-accenture-in-india-4343782567?trk=public_jobs_topcard-title</t>
  </si>
  <si>
    <t>LI_4323406174</t>
  </si>
  <si>
    <t>https://in.linkedin.com/jobs/view/custom-software-engineer-at-accenture-in-india-4323406174?trk=public_jobs_topcard-title</t>
  </si>
  <si>
    <t>LI_4323246478</t>
  </si>
  <si>
    <t>https://in.linkedin.com/jobs/view/custom-software-engineer-at-accenture-in-india-4323246478?trk=public_jobs_topcard-title</t>
  </si>
  <si>
    <t>LI_4434005069</t>
  </si>
  <si>
    <t>https://in.linkedin.com/jobs/view/custom-software-engineer-at-accenture-in-india-4434005069?trk=public_jobs_topcard-title</t>
  </si>
  <si>
    <t>LI_4432524233</t>
  </si>
  <si>
    <t>Java Developer (OCI) - IC3</t>
  </si>
  <si>
    <t>Job Description
As a Core Infrastructure Engineer, you will design and deliver major features while leveraging AI to improve engineering productivity, operational excellence, and business outcomes. You will build secure, scalable, and maintainable systems, lead feature and subsys...</t>
  </si>
  <si>
    <t>https://in.linkedin.com/jobs/view/java-developer-oci-ic3-at-oracle-4432524233?trk=public_jobs_topcard-title</t>
  </si>
  <si>
    <t>LI_4333250613</t>
  </si>
  <si>
    <t>https://in.linkedin.com/jobs/view/custom-software-engineer-at-accenture-in-india-4333250613?trk=public_jobs_topcard-title</t>
  </si>
  <si>
    <t>LI_4372725779</t>
  </si>
  <si>
    <t>https://in.linkedin.com/jobs/view/custom-software-engineer-at-accenture-in-india-4372725779?trk=public_jobs_topcard-title</t>
  </si>
  <si>
    <t>LI_4423679168</t>
  </si>
  <si>
    <t>About Position: 
We are seeking for Java Developer with hands on experience in Java, Spring boot, microservices, etc.,
Role: Java Developer
Location: All Persistent Locations
Experience: 6 to 10 Years
Job Type: Full Time Employment
What You'll Do: 
5+ years of experience with...</t>
  </si>
  <si>
    <t>https://in.linkedin.com/jobs/view/java-developer-at-persistent-systems-4423679168?trk=public_jobs_topcard-title</t>
  </si>
  <si>
    <t>LI_4435042574</t>
  </si>
  <si>
    <t>Python Backend developer</t>
  </si>
  <si>
    <t>https://in.linkedin.com/jobs/view/python-backend-developer-at-persistent-systems-4435042574?trk=public_jobs_topcard-title</t>
  </si>
  <si>
    <t>LI_4436315509</t>
  </si>
  <si>
    <t>At Capgemini Engineering, the world leader in engineering services, we bring together a global team of engineers, scientists, and architects to help the world’s most innovative companies unleash their potential. From autonomous cars to life-saving robots, our digital and software...</t>
  </si>
  <si>
    <t>https://in.linkedin.com/jobs/view/full-stack-developer-at-capgemini-4436315509?trk=public_jobs_topcard-title</t>
  </si>
  <si>
    <t>LI_4416232418</t>
  </si>
  <si>
    <t>Company: People Impact
LinkedIn: Visit LinkedIn
Business Type: Startup
Company Type: Product
Business Model: B2B
Funding Stage: Pre-seed
Industry: Information Technology
Salary Range: ₹ 14-19 Lacs PA
Job Description
We are looking for a talented and passionate Java/Micro...</t>
  </si>
  <si>
    <t>https://in.linkedin.com/jobs/view/software-engineer-at-sourcingxpress-4416232418?trk=public_jobs_topcard-title</t>
  </si>
  <si>
    <t>LI_4425229735</t>
  </si>
  <si>
    <t>Silvermine Group</t>
  </si>
  <si>
    <t>We are looking for a highly skilled Backend Developer with 4–6 years of experience in building scalable, secure, and high-performance applications. The ideal candidate should have strong expertise in Java, Spring Boot, system design, and cloud technologies, along with a solid fou...</t>
  </si>
  <si>
    <t>https://in.linkedin.com/jobs/view/back-end-developer-at-silvermine-group-4425229735?trk=public_jobs_topcard-title</t>
  </si>
  <si>
    <t>LI_4431102282</t>
  </si>
  <si>
    <t>https://in.linkedin.com/jobs/view/custom-software-engineer-at-accenture-in-india-4431102282?trk=public_jobs_topcard-title</t>
  </si>
  <si>
    <t>LI_4354037883</t>
  </si>
  <si>
    <t>Full Stack Developer (Backend &amp; DevOps)</t>
  </si>
  <si>
    <t>2070 Health</t>
  </si>
  <si>
    <t>About 2070Health
2070Health is a healthcare venture studio building the future of health technology. We incubate, build, and scale multiple portfolio companies that leverage AI to transform healthcare delivery, talent management, and patient outcomes.
Our portfolio includes pro...</t>
  </si>
  <si>
    <t>https://in.linkedin.com/jobs/view/full-stack-developer-backend-devops-at-2070-health-4354037883?trk=public_jobs_topcard-title</t>
  </si>
  <si>
    <t>LI_4399227986</t>
  </si>
  <si>
    <t>https://in.linkedin.com/jobs/view/custom-software-engineer-at-accenture-in-india-4399227986?trk=public_jobs_topcard-title</t>
  </si>
  <si>
    <t>LI_4256813124</t>
  </si>
  <si>
    <t>Heptarc Talent Acquisition</t>
  </si>
  <si>
    <t>Type: Contract with client
Exp: 5-7 Years
Location: Bangalore and Hyderabad
JD
A highly skilled and motivated Backend Developer with a strong focus on Node.js. This role involves developing and maintaining robust server-side applications and improving existing systems. The id...</t>
  </si>
  <si>
    <t>https://in.linkedin.com/jobs/view/back-end-developer-at-heptarc-talent-acquisition-4256813124?trk=public_jobs_topcard-title</t>
  </si>
  <si>
    <t>LI_4323306353</t>
  </si>
  <si>
    <t>https://in.linkedin.com/jobs/view/custom-software-engineer-at-accenture-in-india-4323306353?trk=public_jobs_topcard-title</t>
  </si>
  <si>
    <t>LI_4306114558</t>
  </si>
  <si>
    <t>1+ years of experience in MEAN Stack Hands on experience in coding using Node
Js and Express . js Hands on experience in UI dev using Angular
Js Hands on experience in working on Rest API based communications
Hands on experience in developing Web Socket
Perform 3rd party API int...</t>
  </si>
  <si>
    <t>https://in.linkedin.com/jobs/view/nodejs-developer-at-vayuz-technologies-4306114558?trk=public_jobs_topcard-title</t>
  </si>
  <si>
    <t>LI_4424682235</t>
  </si>
  <si>
    <t>Microservices JAVA with Node JS-Software Engineer II</t>
  </si>
  <si>
    <t>Summary
Position Summary 
Artificial Intelligence &amp; Engineering 
AI &amp; Engineering leverages cutting-edge engineering capabilities to help build, deploy, and operate integrated/verticalized sector solutions in software, data, AI, network, and hybrid cloud infrastructure. These ...</t>
  </si>
  <si>
    <t>https://in.linkedin.com/jobs/view/microservices-java-with-node-js-software-engineer-ii-at-deloitte-4424682235?trk=public_jobs_topcard-title</t>
  </si>
  <si>
    <t>LI_4391595805</t>
  </si>
  <si>
    <t>https://in.linkedin.com/jobs/view/custom-software-engineer-at-accenture-in-india-4391595805?trk=public_jobs_topcard-title</t>
  </si>
  <si>
    <t>LI_4393854508</t>
  </si>
  <si>
    <t>Full Stack Developer (React JS + Node JS) | 6 YoE | Any UST Location | Immediate Joiner</t>
  </si>
  <si>
    <t>Candidates ready to join immediately can share their details via email for quick processing.
📌 CCTC | ECTC | Notice Period | Location Preference
nitin.patil@ust.com
Act fast for immediate attention! ⏳📩
Must Have Skills:
Strong hands-on experience in React JS
Strong hands-on expe...</t>
  </si>
  <si>
    <t>https://in.linkedin.com/jobs/view/full-stack-developer-react-js-%2B-node-js-6-yoe-any-ust-location-immediate-joiner-at-ust-4393854508?trk=public_jobs_topcard-title</t>
  </si>
  <si>
    <t>LI_4431900509</t>
  </si>
  <si>
    <t>Full stack Engineer</t>
  </si>
  <si>
    <t>Mondelēz International</t>
  </si>
  <si>
    <t>Job Description
Are You Ready to Make It Happen at Mondelēz International?
Join our Mission to Lead the Future of Snacking. Make It Uniquely Yours.
You provide software and application expertise and analysis to support implementation of the strategy and the solution.
How You ...</t>
  </si>
  <si>
    <t>https://in.linkedin.com/jobs/view/full-stack-engineer-at-mondel%C4%93z-international-4431900509?trk=public_jobs_topcard-title</t>
  </si>
  <si>
    <t>LI_4306114570</t>
  </si>
  <si>
    <t>Unify Technologies</t>
  </si>
  <si>
    <t>Skills Required for Back-End (NodeJS) JR Developer (2-4 Yrs) /Sr Developer (4-8 Yrs) /Lead Developer (8-10 Yrs) /Architect (10-12 Yrs):
Must: Strong experience and understanding of NodeJS and JavaScript Programming, Good at Native Cloud or AWS
Good knowledge of MongoDB or any ot...</t>
  </si>
  <si>
    <t>https://in.linkedin.com/jobs/view/nodejs-developer-at-unify-technologies-4306114570?trk=public_jobs_topcard-title</t>
  </si>
  <si>
    <t>LI_4424805528</t>
  </si>
  <si>
    <t>Backend developers</t>
  </si>
  <si>
    <t>IBM</t>
  </si>
  <si>
    <t>Introduction
A career in IBM Consulting is built on long-term client relationships and close collaboration worldwide. You’ll work with leading companies across industries, helping them shape their hybrid cloud and AI journeys. With support from our strategic partners, robust IBM...</t>
  </si>
  <si>
    <t>https://in.linkedin.com/jobs/view/backend-developers-at-ibm-4424805528?trk=public_jobs_topcard-title</t>
  </si>
  <si>
    <t>LI_4419100895</t>
  </si>
  <si>
    <t>LLM Full Stack Engineer</t>
  </si>
  <si>
    <t>Project Role : LLM Full Stack Engineer
Project Role Description : Develop and integrate applications with Large Language Models (LLMs) and other enterprise services. Leverage front-end and server-side technologies to develop APIs, implement DevOps practices, and optimize Artific...</t>
  </si>
  <si>
    <t>https://in.linkedin.com/jobs/view/llm-full-stack-engineer-at-accenture-in-india-4419100895?trk=public_jobs_topcard-title</t>
  </si>
  <si>
    <t>LI_4431301465</t>
  </si>
  <si>
    <t>Backend Engineer (India)</t>
  </si>
  <si>
    <t>Genios AI</t>
  </si>
  <si>
    <t>We are on a mission to build the AI-native platform for finance—a multi-agent system that reimagines how investment teams make decisions and empowers them to move faster, think deeper, and operate smarter. Our backend engineers are at the heart of this transformation, building th...</t>
  </si>
  <si>
    <t>https://in.linkedin.com/jobs/view/backend-engineer-india-at-genios-ai-4431301465?trk=public_jobs_topcard-title</t>
  </si>
  <si>
    <t>LI_4323286373</t>
  </si>
  <si>
    <t>https://in.linkedin.com/jobs/view/custom-software-engineer-at-accenture-in-india-4323286373?trk=public_jobs_topcard-title</t>
  </si>
  <si>
    <t>LI_4306116478</t>
  </si>
  <si>
    <t>java Developer</t>
  </si>
  <si>
    <t>3i Infotech Ltd.</t>
  </si>
  <si>
    <t>Full Stack Java Developer-
Java, Angular 5+, html, css, Springboot, microservices, hibernate, mysql, sql server.
Skills:- J2EE, Spring Boot, Hibernate (Java), Angular (2+) and SQL server 
Show more Show less</t>
  </si>
  <si>
    <t>https://in.linkedin.com/jobs/view/java-developer-at-3i-infotech-ltd-4306116478?trk=public_jobs_topcard-title</t>
  </si>
  <si>
    <t>LI_4397180023</t>
  </si>
  <si>
    <t>https://in.linkedin.com/jobs/view/custom-software-engineer-at-accenture-in-india-4397180023?trk=public_jobs_topcard-title</t>
  </si>
  <si>
    <t>LI_4326773571</t>
  </si>
  <si>
    <t>Software Engineer - Java Fullstack</t>
  </si>
  <si>
    <t>Societe Generale Global Solution Centre</t>
  </si>
  <si>
    <t>Reference 24000G6O
Responsibilities 
Java Full stack development of UI’s , RESTFUL APIs and process automation using Java and AngualJS
Develop code using Software Craftmanship best practices such as continuous integration, continuous delivery and Clean coding principles.
Taking...</t>
  </si>
  <si>
    <t>https://in.linkedin.com/jobs/view/software-engineer-java-fullstack-at-societe-generale-global-solution-centre-4326773571?trk=public_jobs_topcard-title</t>
  </si>
  <si>
    <t>LI_4436944008</t>
  </si>
  <si>
    <t>Full Stack Software Developer (React, Python)</t>
  </si>
  <si>
    <t>iocombats</t>
  </si>
  <si>
    <t>svg]:size-3 gap-1 [&amp;&gt;svg]:pointer-events-none focus-visible:border-ring focus-visible:ring-ring/50 focus-visible:ring-[3px] aria-invalid:ring-destructive/20 dark:aria-invalid:ring-destructive/40 aria-invalid:border-destructive transition-[color,box-shadow] overflow-hidden border-...</t>
  </si>
  <si>
    <t>https://in.linkedin.com/jobs/view/full-stack-software-developer-react-python-at-iocombats-4436944008?trk=public_jobs_topcard-title</t>
  </si>
  <si>
    <t>LI_4426943006</t>
  </si>
  <si>
    <t>Full Stack Developer (Node.js)</t>
  </si>
  <si>
    <t>Dr Reddy's Foundation</t>
  </si>
  <si>
    <t>Job Title: Full Stack Developer (Node.js)
Experience Required: 3+ Years
Position Overview
We are looking for a skilled Full Stack Developer with strong experience in Node.js to design, develop, and maintain scalable web applications. This role involves end-to-end ownership of ap...</t>
  </si>
  <si>
    <t>https://in.linkedin.com/jobs/view/full-stack-developer-node-js-at-dr-reddy-s-foundation-4426943006?trk=public_jobs_topcard-title</t>
  </si>
  <si>
    <t>LI_4358257230</t>
  </si>
  <si>
    <t>Power Bridge</t>
  </si>
  <si>
    <t>About Us
Power Bridge is a customer centric AV &amp; IT Infrastructure Solution &amp; Services Provider, pivoting to bridge the Gap between innovative IT products, solutions and Customer needs.
With Offices in Bangalore (HQ) and Hyderabad, we boast the capabilities and operational exce...</t>
  </si>
  <si>
    <t>https://in.linkedin.com/jobs/view/full-stack-developer-at-power-bridge-4358257230?trk=public_jobs_topcard-title</t>
  </si>
  <si>
    <t>LI_4432963029</t>
  </si>
  <si>
    <t>https://in.linkedin.com/jobs/view/full-stack-developer-at-persistent-systems-4432963029?trk=public_jobs_topcard-title</t>
  </si>
  <si>
    <t>LI_4413212174</t>
  </si>
  <si>
    <t>LTM - Native Android Developer - Java/Kotlin</t>
  </si>
  <si>
    <t>Experience : 4 to10 : Type : FullTime
Job Summary
We are looking for a Native Android Developer with strong hands on experience in Java, Kotlin, and Jetpack Compose to design, develop, and maintain high quality Android applications using modern Android development Responsibilit...</t>
  </si>
  <si>
    <t>https://in.linkedin.com/jobs/view/ltm-native-android-developer-java-kotlin-at-ltimindtree-4413212174?trk=public_jobs_topcard-title</t>
  </si>
  <si>
    <t>LI_4408233978</t>
  </si>
  <si>
    <t>https://in.linkedin.com/jobs/view/software-engineer-at-blackhawk-network-india-4408233978?trk=public_jobs_topcard-title</t>
  </si>
  <si>
    <t>LI_4418211464</t>
  </si>
  <si>
    <t>Skills:
Java, REST APIs, MySQL/SQL, MongoDB, Redis and Kafka, Spring Boot, Core Java, Object-Oriented Programming (OOP),
Company Overview
Twixor is a leader in enabling business transactions and digital customer journeys over popular messaging channels. By combining intelligent...</t>
  </si>
  <si>
    <t>https://in.linkedin.com/jobs/view/backend-developer-at-twixor-4418211464?trk=public_jobs_topcard-title</t>
  </si>
  <si>
    <t>LI_4435331908</t>
  </si>
  <si>
    <t>JavaScript Software Developer - Remote work | REF#296730</t>
  </si>
  <si>
    <t>https://in.linkedin.com/jobs/view/javascript-software-developer-remote-work-ref%23296730-at-bairesdev-4435331908?trk=public_jobs_topcard-title</t>
  </si>
  <si>
    <t>LI_4142489999</t>
  </si>
  <si>
    <t>Extension Technologies</t>
  </si>
  <si>
    <t>Job Description
Selected intern's day-to-day responsibilities include:
Working on web development
Working on JavaScript, its quirks, and workarounds 
Working on meta markup languages like XML and JSON
Meeting with the design team and functional team to discuss application featu...</t>
  </si>
  <si>
    <t>https://in.linkedin.com/jobs/view/javascript-developer-at-extension-technologies-4142489999?trk=public_jobs_topcard-title</t>
  </si>
  <si>
    <t>LI_4421355399</t>
  </si>
  <si>
    <t>Bhanzu</t>
  </si>
  <si>
    <t>We're looking for a Full Stack Engineer who enjoys working across the stack and is excited about building scalable, user-centric edtech products. You'll work on core platform features such as student management systems, payments, batch scheduling, assessments, and internal toolso...</t>
  </si>
  <si>
    <t>https://in.linkedin.com/jobs/view/full-stack-developer-at-bhanzu-4421355399?trk=public_jobs_topcard-title</t>
  </si>
  <si>
    <t>LI_4412874533</t>
  </si>
  <si>
    <t>Lead Java Developer</t>
  </si>
  <si>
    <t>Job Summary
We are seeking a skilled and motivated Lead - Go/Java with 5–8 years of hands-on experience in designing, developing, and maintaining high-performance Java applications. The ideal candidate has a strong understanding of object-oriented programming, backend developmen...</t>
  </si>
  <si>
    <t>https://in.linkedin.com/jobs/view/lead-java-developer-at-accenture-in-india-4412874533?trk=public_jobs_topcard-title</t>
  </si>
  <si>
    <t>LI_4425199475</t>
  </si>
  <si>
    <t>https://in.linkedin.com/jobs/view/sr-software-engineer-at-blackhawk-network-india-4425199475?trk=public_jobs_topcard-title</t>
  </si>
  <si>
    <t>LI_4419836923</t>
  </si>
  <si>
    <t>https://in.linkedin.com/jobs/view/custom-software-engineer-at-accenture-in-india-4419836923?trk=public_jobs_topcard-title</t>
  </si>
  <si>
    <t>LI_4419847757</t>
  </si>
  <si>
    <t>https://in.linkedin.com/jobs/view/custom-software-engineer-at-accenture-in-india-4419847757?trk=public_jobs_topcard-title</t>
  </si>
  <si>
    <t>LI_4432961084</t>
  </si>
  <si>
    <t>https://in.linkedin.com/jobs/view/full-stack-developer-at-persistent-systems-4432961084?trk=public_jobs_topcard-title</t>
  </si>
  <si>
    <t>LI_4291638971</t>
  </si>
  <si>
    <t>Project Role : Custom Software Engineer
Project Role Description : Analyze, design, code and test multiple components of application code across one or more clients. Perform maintenance, enhancements and/or development work.
Must have skills : Java Standard Edition
Good to hav...</t>
  </si>
  <si>
    <t>https://in.linkedin.com/jobs/view/custom-software-engineer-at-accenture-in-india-4291638971?trk=public_jobs_topcard-title</t>
  </si>
  <si>
    <t>LI_4434000264</t>
  </si>
  <si>
    <t>https://in.linkedin.com/jobs/view/custom-software-engineer-at-accenture-in-india-4434000264?trk=public_jobs_topcard-title</t>
  </si>
  <si>
    <t>LI_4343708770</t>
  </si>
  <si>
    <t>https://in.linkedin.com/jobs/view/custom-software-engineer-at-accenture-in-india-4343708770?trk=public_jobs_topcard-title</t>
  </si>
  <si>
    <t>LI_4424355305</t>
  </si>
  <si>
    <t>JavaScript Developer | $55/hr Remote</t>
  </si>
  <si>
    <t>Position: Javascript Developer
Type: Contract
Compensation: $20 - $55/hour
Location: Remote
Commitment: 10-40 hrs/week
Role Responsibilities
Design, develop, and optimize robust, efficient, and reusable JavaScript code for web applications.
Collaborate with cross-functional team...</t>
  </si>
  <si>
    <t>https://in.linkedin.com/jobs/view/javascript-developer-%2455-hr-remote-at-crossing-hurdles-4424355305?trk=public_jobs_topcard-title</t>
  </si>
  <si>
    <t>LI_4414017996</t>
  </si>
  <si>
    <t>PepsiCo</t>
  </si>
  <si>
    <t>Overview
We are seeking a highly motivated Backend Developer with strong expertise in Java and Spring Boot to design, build, and scale robust backend services. In this role, you will be responsible for developing high-performance APIs, contributing to microservices architecture,...</t>
  </si>
  <si>
    <t>https://in.linkedin.com/jobs/view/fullstack-developer-at-pepsico-4414017996?trk=public_jobs_topcard-title</t>
  </si>
  <si>
    <t>LI_4412146645</t>
  </si>
  <si>
    <t>https://in.linkedin.com/jobs/view/custom-software-engineer-at-accenture-in-india-4412146645?trk=public_jobs_topcard-title</t>
  </si>
  <si>
    <t>LI_4436312858</t>
  </si>
  <si>
    <t>Tipsons Group</t>
  </si>
  <si>
    <t>You'll be responsible for designing and developing high-performance backend services, RESTful APIs, and microservices using NestJS (Node.js) and Next.js. Experience with PHP Laravel is a plus, especially for supporting legacy applications and migration projects.
🔹 Key Responsibi...</t>
  </si>
  <si>
    <t>https://in.linkedin.com/jobs/view/back-end-developer-at-tipsons-group-4436312858?trk=public_jobs_topcard-title</t>
  </si>
  <si>
    <t>LI_4334460986</t>
  </si>
  <si>
    <t>https://in.linkedin.com/jobs/view/custom-software-engineer-at-accenture-in-india-4334460986?trk=public_jobs_topcard-title</t>
  </si>
  <si>
    <t>LI_4380323278</t>
  </si>
  <si>
    <t>https://in.linkedin.com/jobs/view/custom-software-engineer-at-accenture-in-india-4380323278?trk=public_jobs_topcard-title</t>
  </si>
  <si>
    <t>LI_4428819961</t>
  </si>
  <si>
    <t>https://in.linkedin.com/jobs/view/custom-software-engineer-at-accenture-in-india-4428819961?trk=public_jobs_topcard-title</t>
  </si>
  <si>
    <t>LI_4306126312</t>
  </si>
  <si>
    <t>Java API Developer</t>
  </si>
  <si>
    <t>Tetrasoft Inc.</t>
  </si>
  <si>
    <t>Role: Developer
Experience Level: 3 to 5 Years
Job Location: Hyderabad
Responsibilities
Excellent knowledge of Core Java and Spring
Candidate should have a working knowledge of web services
Should have worked in the distributed agile model and continuous integration
Should ha...</t>
  </si>
  <si>
    <t>https://in.linkedin.com/jobs/view/java-api-developer-at-tetrasoft-inc-4306126312?trk=public_jobs_topcard-title</t>
  </si>
  <si>
    <t>LI_4343569352</t>
  </si>
  <si>
    <t>https://in.linkedin.com/jobs/view/custom-software-engineer-at-accenture-in-india-4343569352?trk=public_jobs_topcard-title</t>
  </si>
  <si>
    <t>LI_4433802624</t>
  </si>
  <si>
    <t>Introduction
At IBM Infrastructure &amp; Technology, we design and operate the systems that keep the world running. From high-resiliency mainframes and hybrid cloud platforms to networking, automation, and site reliability. Our teams ensure the performance, security, and scalability...</t>
  </si>
  <si>
    <t>https://in.linkedin.com/jobs/view/backend-developer-at-ibm-4433802624?trk=public_jobs_topcard-title</t>
  </si>
  <si>
    <t>LI_4428039175</t>
  </si>
  <si>
    <t>Training Basket</t>
  </si>
  <si>
    <t>Develop, test, and maintain backend services and APIs.
Design and implement scalable and secure server-side applications.
Integrate front-end components with backend systems.
Manage and optimize databases for performance and reliability.
Write clean, maintainable, and efficient c...</t>
  </si>
  <si>
    <t>https://in.linkedin.com/jobs/view/backend-developer-at-training-basket-4428039175?trk=public_jobs_topcard-title</t>
  </si>
  <si>
    <t>LI_4306117451</t>
  </si>
  <si>
    <t>Full Stack JS Developer</t>
  </si>
  <si>
    <t>IA Labs</t>
  </si>
  <si>
    <t>you should be good in react node and javascript and able to build projects on the same.
You will be the part of India Accelerator tech team, the best startup Accelerator of india. Great learning and growth opportunity
Skills:- MongoDB, Express, NodeJS (Node.js) and React.js 
Sh...</t>
  </si>
  <si>
    <t>https://in.linkedin.com/jobs/view/full-stack-js-developer-at-ia-labs-4306117451?trk=public_jobs_topcard-title</t>
  </si>
  <si>
    <t>LI_4367165019</t>
  </si>
  <si>
    <t>Backend Developer - Python</t>
  </si>
  <si>
    <t>QX Impact</t>
  </si>
  <si>
    <t>Tirupati Urban</t>
  </si>
  <si>
    <t>We are seeking an experienced Python Backend Developer with strong expertise in SDK development, API design, and application security. The ideal candidate will build robust backend systems, integrate third-party services, and ensure secure, scalable backend operations.
Responsib...</t>
  </si>
  <si>
    <t>https://in.linkedin.com/jobs/view/backend-developer-python-at-qx-impact-4367165019?trk=public_jobs_topcard-title</t>
  </si>
  <si>
    <t>LI_4433957723</t>
  </si>
  <si>
    <t>NR Digital 360</t>
  </si>
  <si>
    <t>Role Overview
NR Digital 360 is looking for a Java Backend Developer to build secure and scalable backend services, APIs, and microservices for banking and financial services applications. Experience in banking, fintech, payments, lending, or digital banking will be preferred.
Ke...</t>
  </si>
  <si>
    <t>https://in.linkedin.com/jobs/view/back-end-developer-at-nr-digital-360-4433957723?trk=public_jobs_topcard-title</t>
  </si>
  <si>
    <t>LI_4356242274</t>
  </si>
  <si>
    <t>https://in.linkedin.com/jobs/view/custom-software-engineer-at-accenture-in-india-4356242274?trk=public_jobs_topcard-title</t>
  </si>
  <si>
    <t>LI_4429304977</t>
  </si>
  <si>
    <t>React.Js Developer</t>
  </si>
  <si>
    <t>https://in.linkedin.com/jobs/view/react-js-developer-at-persistent-systems-4429304977?trk=public_jobs_topcard-title</t>
  </si>
  <si>
    <t>LI_4433831804</t>
  </si>
  <si>
    <t>Software Engineer, Fullstack – AI Platform</t>
  </si>
  <si>
    <t>Addepar</t>
  </si>
  <si>
    <t>Who We Are
Addepar is a global data and AI platform empowering investment professionals to turn complex financial information into actionable intelligence. Addepar unifies portfolio, market and client data in a total portfolio view and delivers AI-powered insights within investm...</t>
  </si>
  <si>
    <t>https://in.linkedin.com/jobs/view/software-engineer-fullstack-%E2%80%93-ai-platform-at-addepar-4433831804?trk=public_jobs_topcard-title</t>
  </si>
  <si>
    <t>LI_4345871050</t>
  </si>
  <si>
    <t>https://in.linkedin.com/jobs/view/custom-software-engineer-at-accenture-in-india-4345871050?trk=public_jobs_topcard-title</t>
  </si>
  <si>
    <t>LI_4386021656</t>
  </si>
  <si>
    <t>LUXASIA</t>
  </si>
  <si>
    <t>Description
LUXASIA is the leading and largest beauty omnichannel brand-builder of Asia Pacific. Since 1986, it has successfully enabled market entry and brand growth for more than 100 luxury beauty brands, the likes of Albion, Aveda, Bvlgari, Calvin Klein, Creed, Diptyque, Herm...</t>
  </si>
  <si>
    <t>https://in.linkedin.com/jobs/view/full-stack-engineer-at-luxasia-4386021656?trk=public_jobs_topcard-title</t>
  </si>
  <si>
    <t>LI_4390331046</t>
  </si>
  <si>
    <t>Company: Antal International
Website: Visit Website
Business Type: Startup
Company Type: Service
Business Model: B2B
Funding Stage: Pre-seed
Industry: Information Technology
Salary Range: ₹ 10-20 Lacs PA
Job Description
We are actively hiring multiple Software Engineers ...</t>
  </si>
  <si>
    <t>https://in.linkedin.com/jobs/view/software-engineer-at-sourcingxpress-4390331046?trk=public_jobs_topcard-title</t>
  </si>
  <si>
    <t>LI_4433888847</t>
  </si>
  <si>
    <t>https://in.linkedin.com/jobs/view/custom-software-engineer-at-accenture-in-india-4433888847?trk=public_jobs_topcard-title</t>
  </si>
  <si>
    <t>LI_4428711242</t>
  </si>
  <si>
    <t>Job Requirements
Role/Job Title: Senior Developer/ Developer
Function/ Department: Information Technology
Job Purpose:
As a Backend Developer, you will play a crucial role in designing, developing, and maintaining complex backend systems. You will work closely with cross-func...</t>
  </si>
  <si>
    <t>https://in.linkedin.com/jobs/view/developer-at-idfc-first-bank-4428711242?trk=public_jobs_topcard-title</t>
  </si>
  <si>
    <t>LI_4319060111</t>
  </si>
  <si>
    <t>Project Role : Application Developer
Project Role Description : Design, build and configure applications to meet business process and application requirements.
Must have skills : Java Enterprise Edition
Good to have skills : NA
Minimum 3 Year(s) Of Experience Is Required
Edu...</t>
  </si>
  <si>
    <t>https://in.linkedin.com/jobs/view/application-developer-at-accenture-in-india-4319060111?trk=public_jobs_topcard-title</t>
  </si>
  <si>
    <t>LI_4426802897</t>
  </si>
  <si>
    <t>https://in.linkedin.com/jobs/view/custom-software-engineer-at-accenture-in-india-4426802897?trk=public_jobs_topcard-title</t>
  </si>
  <si>
    <t>LI_4366363764</t>
  </si>
  <si>
    <t>https://in.linkedin.com/jobs/view/custom-software-engineer-at-accenture-in-india-4366363764?trk=public_jobs_topcard-title</t>
  </si>
  <si>
    <t>LI_4414170154</t>
  </si>
  <si>
    <t>Full Stack Engineer - Java and React JS</t>
  </si>
  <si>
    <t>Summary
The people here at Apple dont just build products we craft the kind of wonder thats revolutionized entire industries. It's the diversity of those people and their ideas that supports the innovation that runs through everything we do, from amazing technology to industry-le...</t>
  </si>
  <si>
    <t>https://in.linkedin.com/jobs/view/full-stack-engineer-java-and-react-js-at-apple-4414170154?trk=public_jobs_topcard-title</t>
  </si>
  <si>
    <t>LI_4426570747</t>
  </si>
  <si>
    <t>https://in.linkedin.com/jobs/view/full-stack-engineer-at-accenture-in-india-4426570747?trk=public_jobs_topcard-title</t>
  </si>
  <si>
    <t>LI_4436505252</t>
  </si>
  <si>
    <t>Front End Developer Intern (HTML, CSS, JavaScript, React)</t>
  </si>
  <si>
    <t>ArGo Intern</t>
  </si>
  <si>
    <t>🚀 Hiring: Front End Developer Intern (HTML, CSS, JavaScript, React)
We are looking for creative and enthusiastic Front End Developer Interns who are passionate about building user-friendly and responsive web interfaces.
🔍 Roles &amp; Responsibilities
Develop responsive web pages usin...</t>
  </si>
  <si>
    <t>https://in.linkedin.com/jobs/view/front-end-developer-intern-html-css-javascript-react-at-argo-intern-4436505252?trk=public_jobs_topcard-title</t>
  </si>
  <si>
    <t>LI_4334510880</t>
  </si>
  <si>
    <t>https://in.linkedin.com/jobs/view/custom-software-engineer-at-accenture-in-india-4334510880?trk=public_jobs_topcard-title</t>
  </si>
  <si>
    <t>LI_4281445344</t>
  </si>
  <si>
    <t>https://in.linkedin.com/jobs/view/custom-software-engineer-at-accenture-in-india-4281445344?trk=public_jobs_topcard-title</t>
  </si>
  <si>
    <t>LI_4436776426</t>
  </si>
  <si>
    <t>https://in.linkedin.com/jobs/view/custom-software-engineer-at-accenture-in-india-4436776426?trk=public_jobs_topcard-title</t>
  </si>
  <si>
    <t>LI_4306114548</t>
  </si>
  <si>
    <t>Front-End Developer</t>
  </si>
  <si>
    <t>WEQ Technologies</t>
  </si>
  <si>
    <t>PRIMARY RESPONSIBILITIES :-
In-depth knowledge of JavaScript, CSS, HTML, and front-end languages.
Knowledge of Angular and its components.
Knowledge of REACT tools including React.js, Webpack, Enzyme, Redux, and Flux.
Experience with user interface design.
Knowledge of performan...</t>
  </si>
  <si>
    <t>https://in.linkedin.com/jobs/view/front-end-developer-at-weq-technologies-4306114548?trk=public_jobs_topcard-title</t>
  </si>
  <si>
    <t>LI_4306120381</t>
  </si>
  <si>
    <t>Frontend Developer</t>
  </si>
  <si>
    <t>Cerebry</t>
  </si>
  <si>
    <t>Responsibilities
Develop new user-facing features
Ensure the technical feasibility of UI/UX designs
Optimize application for maximum speed
Skills And Qualifications
2+ years of experience in ReactJS and Redux
1+ completed project of reasonable size using server-side rendering
...</t>
  </si>
  <si>
    <t>https://in.linkedin.com/jobs/view/frontend-developer-at-cerebry-4306120381?trk=public_jobs_topcard-title</t>
  </si>
  <si>
    <t>LI_4416972992</t>
  </si>
  <si>
    <t>https://in.linkedin.com/jobs/view/custom-software-engineer-at-accenture-in-india-4416972992?trk=public_jobs_topcard-title</t>
  </si>
  <si>
    <t>LI_4343139246</t>
  </si>
  <si>
    <t>https://in.linkedin.com/jobs/view/custom-software-engineer-at-accenture-in-india-4343139246?trk=public_jobs_topcard-title</t>
  </si>
  <si>
    <t>LI_4306118473</t>
  </si>
  <si>
    <t>Frontend-React.js</t>
  </si>
  <si>
    <t>Primathon</t>
  </si>
  <si>
    <t>Responsibilities
Review, Evaluate, and Validate technical requirements.
Work and lead other team members to translate the requirements into final deliverables.
Understand Storyboards and Visual mock-ups.
Understand and utilize the latest tools, technologies, and trends in Web de...</t>
  </si>
  <si>
    <t>https://in.linkedin.com/jobs/view/frontend-react-js-at-primathon-4306118473?trk=public_jobs_topcard-title</t>
  </si>
  <si>
    <t>LI_4366076044</t>
  </si>
  <si>
    <t>https://in.linkedin.com/jobs/view/custom-software-engineer-at-accenture-in-india-4366076044?trk=public_jobs_topcard-title</t>
  </si>
  <si>
    <t>LI_4390356449</t>
  </si>
  <si>
    <t>https://in.linkedin.com/jobs/view/custom-software-engineer-at-accenture-in-india-4390356449?trk=public_jobs_topcard-title</t>
  </si>
  <si>
    <t>LI_4398539925</t>
  </si>
  <si>
    <t>Project Role : Custom Software Engineer
Project Role Description : Design, build and configure applications to meet business process and application requirements.
Must have skills : Python (Programming Language)
Good to have skills : AWS Administration
Minimum 3 Year(s) Of Ex...</t>
  </si>
  <si>
    <t>https://in.linkedin.com/jobs/view/custom-software-engineer-at-accenture-in-india-4398539925?trk=public_jobs_topcard-title</t>
  </si>
  <si>
    <t>LI_4306126320</t>
  </si>
  <si>
    <t>Frontend Developer Trainee</t>
  </si>
  <si>
    <t>We are looking for a Front end Engineer with at least 1 year of experience. with a fast-moving organisation based out of Mumbai, India.
Skills Required:-
java script
React
React native
Knowledge of Angular, HTML/CSS3 is a plus
Roles and Responsibilities:-
Develop new user-fac...</t>
  </si>
  <si>
    <t>https://in.linkedin.com/jobs/view/frontend-developer-trainee-at-rejolut-a-genai-web-3-0-company-4306126320?trk=public_jobs_topcard-title</t>
  </si>
  <si>
    <t>LI_4433346405</t>
  </si>
  <si>
    <t>Target Edge</t>
  </si>
  <si>
    <t>Goregaon</t>
  </si>
  <si>
    <t>Filled
This role is filled right now. We are always looking for talented people to work with, so share your resume and we will reach out when something opens up.
Web On Site
Qualifications
BSc degree in Computer Science or relevant field.
Experience
4-5 Years
Job Summary
...</t>
  </si>
  <si>
    <t>https://in.linkedin.com/jobs/view/web-developer-at-target-edge-4433346405?trk=public_jobs_topcard-title</t>
  </si>
  <si>
    <t>LI_4434117912</t>
  </si>
  <si>
    <t>Java backend developer</t>
  </si>
  <si>
    <t>The Applications Development Programmer Analyst is an intermediate level position responsible for participation in the establishment and implementation of new or revised application systems and programs in coordination with the Technology team. The overall objective of this role ...</t>
  </si>
  <si>
    <t>https://in.linkedin.com/jobs/view/java-backend-developer-at-citi-4434117912?trk=public_jobs_topcard-title</t>
  </si>
  <si>
    <t>LI_4306122378</t>
  </si>
  <si>
    <t>Ditstek Innovations Pvt. Ltd. (DITS)</t>
  </si>
  <si>
    <t>We are looking for a motivated React js developer to come join our team.
Roles &amp; Responsibilities
React.js developers (about 3-5 years of experience) are involved in the interface
component design from implementation to testing.
Implement user interface components for JavaScrip...</t>
  </si>
  <si>
    <t>https://in.linkedin.com/jobs/view/react-js-developer-at-ditstek-innovations-pvt-ltd-dits-4306122378?trk=public_jobs_topcard-title</t>
  </si>
  <si>
    <t>LI_4436774575</t>
  </si>
  <si>
    <t>Java AWS Developer</t>
  </si>
  <si>
    <t>Key Responsibilities
Design, develop, and maintain scalable backend applications and data processing solutions.
Build and optimize cloud-native applications using AWS and Azure services.
Develop high-performance data pipelines and distributed processing systems using Spark.
Work ...</t>
  </si>
  <si>
    <t>https://in.linkedin.com/jobs/view/java-aws-developer-at-persistent-systems-4436774575?trk=public_jobs_topcard-title</t>
  </si>
  <si>
    <t>LI_4433367548</t>
  </si>
  <si>
    <t>Project Role : Custom Software Engineer
Project Role Description : Design, build and configure applications to meet business process and application requirements.
Must have skills : Python (Programming Language)
Good to have skills : Java Standard Edition, Microsoft Power Busi...</t>
  </si>
  <si>
    <t>https://in.linkedin.com/jobs/view/custom-software-engineer-at-accenture-in-india-4433367548?trk=public_jobs_topcard-title</t>
  </si>
  <si>
    <t>LI_4437719328</t>
  </si>
  <si>
    <t>Java Developer - Remote</t>
  </si>
  <si>
    <t>YO IT Consulting</t>
  </si>
  <si>
    <t>Job Description
Job Title: Java Developer
Job Type: Contract
Location: Remote
Job Summary: As a Java Developer, you'll apply your expertise to help train next-generation AI systems. Your work will shape how models learn, reason, and perform through high-quality, real-world in...</t>
  </si>
  <si>
    <t>https://in.linkedin.com/jobs/view/java-developer-remote-at-yo-it-consulting-4437719328?trk=public_jobs_topcard-title</t>
  </si>
  <si>
    <t>LI_4370841972</t>
  </si>
  <si>
    <t>https://in.linkedin.com/jobs/view/custom-software-engineer-at-accenture-in-india-4370841972?trk=public_jobs_topcard-title</t>
  </si>
  <si>
    <t>LI_4306112554</t>
  </si>
  <si>
    <t>Propelius Technologies</t>
  </si>
  <si>
    <t>We are hiring for a Silicon Valley start-up and you will be working directly with the team in San Francisco, CA so good communication is a must.
We are looking for a highly skilled computer programmer who is comfortable with both front and back-end programming.
Full-stack devel...</t>
  </si>
  <si>
    <t>https://in.linkedin.com/jobs/view/fullstack-developer-at-propelius-technologies-4306112554?trk=public_jobs_topcard-title</t>
  </si>
  <si>
    <t>LI_4437436412</t>
  </si>
  <si>
    <t>https://in.linkedin.com/jobs/view/custom-software-engineer-at-accenture-in-india-4437436412?trk=public_jobs_topcard-title</t>
  </si>
  <si>
    <t>LI_4366082023</t>
  </si>
  <si>
    <t>https://in.linkedin.com/jobs/view/custom-software-engineer-at-accenture-in-india-4366082023?trk=public_jobs_topcard-title</t>
  </si>
  <si>
    <t>LI_4371789140</t>
  </si>
  <si>
    <t>Founding engineer (Backend + AI)</t>
  </si>
  <si>
    <t>Narrative</t>
  </si>
  <si>
    <t>Introduction
Do you like testing? If not, you’re not alone—no engineer enjoys doing it. That’s why we’re building the most advanced AI agents for UI automation at Narrative.
Our goal is to help save engineering time while improving the quality of the products companies ship. Ou...</t>
  </si>
  <si>
    <t>https://in.linkedin.com/jobs/view/founding-engineer-backend-%2B-ai-at-narrative-4371789140?trk=public_jobs_topcard-title</t>
  </si>
  <si>
    <t>LI_4306132138</t>
  </si>
  <si>
    <t>Sveltetech Technologies</t>
  </si>
  <si>
    <t>Web Developer Job Responsibilities
The role is responsible for designing, coding and modifying websites, from layout to
function and according to a client's specifications. Strive to create visually appealing
sites that feature user-friendly design and clear navigation.
Web D...</t>
  </si>
  <si>
    <t>https://in.linkedin.com/jobs/view/web-developer-at-sveltetech-technologies-4306132138?trk=public_jobs_topcard-title</t>
  </si>
  <si>
    <t>LI_4434049895</t>
  </si>
  <si>
    <t>https://in.linkedin.com/jobs/view/custom-software-engineer-at-accenture-in-india-4434049895?trk=public_jobs_topcard-title</t>
  </si>
  <si>
    <t>LI_4437163795</t>
  </si>
  <si>
    <t>https://in.linkedin.com/jobs/view/custom-software-engineer-at-accenture-in-india-4437163795?trk=public_jobs_topcard-title</t>
  </si>
  <si>
    <t>LI_4427475636</t>
  </si>
  <si>
    <t>Fresher - Front End Developer</t>
  </si>
  <si>
    <t>Gravitix Tech</t>
  </si>
  <si>
    <t>About the Role
We are looking for a skilled and passionate Frontend Developer to join our team. The ideal candidate will be responsible for building responsive, user-friendly, and visually appealing web applications while ensuring excellent performance and seamless user experienc...</t>
  </si>
  <si>
    <t>https://in.linkedin.com/jobs/view/fresher-front-end-developer-at-gravitix-tech-4427475636?trk=public_jobs_topcard-title</t>
  </si>
  <si>
    <t>LI_4421944088</t>
  </si>
  <si>
    <t>Front-End Software Engineer</t>
  </si>
  <si>
    <t>This role sits within the Vesper team at Deltatre — the platform powering live and on-demand streaming experiences for some of the world's most recognised media brands. You will work across web, React Native mobile, and connected TV (10-foot) applications, contributing to the com...</t>
  </si>
  <si>
    <t>https://in.linkedin.com/jobs/view/front-end-software-engineer-at-deltatre-4421944088?trk=public_jobs_topcard-title</t>
  </si>
  <si>
    <t>LI_4353013794</t>
  </si>
  <si>
    <t>Frontend Developer (ReactJS + InertiaJS)</t>
  </si>
  <si>
    <t>Recooty</t>
  </si>
  <si>
    <t>🧩 About Recooty
Recooty is an AI-powered recruitment platform that helps companies automate hiring — from job postings to candidate shortlisting and interview scheduling. We build scalable SaaS products used by customers globally, with a strong focus on performance, usability, a...</t>
  </si>
  <si>
    <t>https://in.linkedin.com/jobs/view/frontend-developer-reactjs-%2B-inertiajs-at-recooty-4353013794?trk=public_jobs_topcard-title</t>
  </si>
  <si>
    <t>LI_4436909565</t>
  </si>
  <si>
    <t>XCaliber Health</t>
  </si>
  <si>
    <t>Greater Hyderabad Area</t>
  </si>
  <si>
    <t>Product
Platform
The Seamless Platform that Powers Real-Time Decision-Making and Automation in Healthcare.
Data Gateway
ETL++ for Modern Health Data.
FHIR Resource Catalog
Explore EHR FHIR Integrations.
Merlin
Your AI Assistant that executes care workflows across scheduli...</t>
  </si>
  <si>
    <t>https://in.linkedin.com/jobs/view/software-development-engineer-at-xcaliber-health-4436909565?trk=public_jobs_topcard-title</t>
  </si>
  <si>
    <t>LI_4403425640</t>
  </si>
  <si>
    <t>Software Developer II</t>
  </si>
  <si>
    <t>FedEx</t>
  </si>
  <si>
    <t>Under general guidance, the RPA / AI Engineer will be responsible for collaborating with the Information Security organization to analyse current-state business processes and develop automated workflows. This role involves building scalable automation using RPA platforms, Agentic...</t>
  </si>
  <si>
    <t>https://in.linkedin.com/jobs/view/software-developer-ii-at-fedex-4403425640?trk=public_jobs_topcard-title</t>
  </si>
  <si>
    <t>LI_4430719197</t>
  </si>
  <si>
    <t>https://in.linkedin.com/jobs/view/custom-software-engineer-at-accenture-in-india-4430719197?trk=public_jobs_topcard-title</t>
  </si>
  <si>
    <t>LI_4293701611</t>
  </si>
  <si>
    <t>Project Role : Custom Software Engineer
Project Role Description : Design, build and configure applications to meet business process and application requirements.
Must have skills : Node.js
Good to have skills : NA
Minimum 3 Year(s) Of Experience Is Required
Educational Qual...</t>
  </si>
  <si>
    <t>https://in.linkedin.com/jobs/view/custom-software-engineer-at-accenture-in-india-4293701611?trk=public_jobs_topcard-title</t>
  </si>
  <si>
    <t>LI_4435175757</t>
  </si>
  <si>
    <t>Software Engr I</t>
  </si>
  <si>
    <t>Honeywell Technologies</t>
  </si>
  <si>
    <t>Responsibilities
Software Engineer I position for frontend development with cloud knowledge
Ability to use logic and reasoning to identify the strengths and weaknesses of alternative solutions, conclusions or approaches to problems
Strong development knowledge in ReactJS
Strong ...</t>
  </si>
  <si>
    <t>https://in.linkedin.com/jobs/view/software-engr-i-at-honeywell-technologies-4435175757?trk=public_jobs_topcard-title</t>
  </si>
  <si>
    <t>LI_4348870118</t>
  </si>
  <si>
    <t>React Developer | Mumbai</t>
  </si>
  <si>
    <t>Tradelab Technologies</t>
  </si>
  <si>
    <t>Job Description: React Developer (3–5 Years Experience)
Location: Mumbai
Employment Type: Full-time
Role: Frontend Developer (React.js)
About The Role
We are looking for a highly skilled React Developer with 3–5 years of hands-on experience in building modern, scalable, and ...</t>
  </si>
  <si>
    <t>https://in.linkedin.com/jobs/view/react-developer-mumbai-at-tradelab-technologies-4348870118?trk=public_jobs_topcard-title</t>
  </si>
  <si>
    <t>LI_4432480394</t>
  </si>
  <si>
    <t>Full Stack Development Internship in Bangalore, Lucknow (Hybrid)</t>
  </si>
  <si>
    <t>Seed Studio LLP</t>
  </si>
  <si>
    <t>As a Web Development Intern, you will build modern, high-performing websites and web applications that deliver exceptional user experiences. You will collaborate with designers and developers to transform creative concepts into responsive, scalable digital platforms while gaining...</t>
  </si>
  <si>
    <t>https://in.linkedin.com/jobs/view/full-stack-development-internship-in-bangalore-lucknow-hybrid-at-seed-studio-llp-4432480394?trk=public_jobs_topcard-title</t>
  </si>
  <si>
    <t>LI_4433097363</t>
  </si>
  <si>
    <t>Luxoft</t>
  </si>
  <si>
    <t>Project Description:
The WMI Core stream provides Core Banking capabilities across WM International locations, and works towards integration and synergies across WMI locations, driving capability-driven and modular platform strategy for Core Banking.
You'll be working in the WMI ...</t>
  </si>
  <si>
    <t>https://in.linkedin.com/jobs/view/react-js-developer-at-luxoft-4433097363?trk=public_jobs_topcard-title</t>
  </si>
  <si>
    <t>LI_4184468595</t>
  </si>
  <si>
    <t>SDET</t>
  </si>
  <si>
    <t>Jules AI</t>
  </si>
  <si>
    <t>About Jules AI
At Jules AI, we're revolutionizing the recycled materials industry with cutting-edge software solutions. We innovate with speed, scale sustainably, and engineer for impact. Now, we’re looking for a rare breed: someone who’s a developer at heart and an automation s...</t>
  </si>
  <si>
    <t>https://in.linkedin.com/jobs/view/sdet-at-jules-ai-4184468595?trk=public_jobs_topcard-title</t>
  </si>
  <si>
    <t>LI_4306118466</t>
  </si>
  <si>
    <t>Fibonalabs</t>
  </si>
  <si>
    <t>Madurai</t>
  </si>
  <si>
    <t>Responsibilities
Developing new user-facing features using JavaScript framework React JS.
Building reusable components and front-end libraries for future use.
Translating designs and wireframes into high-quality code which works across platforms.
Optimizing components for maximu...</t>
  </si>
  <si>
    <t>https://in.linkedin.com/jobs/view/frontend-developer-at-fibonalabs-4306118466?trk=public_jobs_topcard-title</t>
  </si>
  <si>
    <t>LI_4405890750</t>
  </si>
  <si>
    <t>https://in.linkedin.com/jobs/view/custom-software-engineer-at-accenture-in-india-4405890750?trk=public_jobs_topcard-title</t>
  </si>
  <si>
    <t>LI_4434172133</t>
  </si>
  <si>
    <t>Cognizant</t>
  </si>
  <si>
    <t>Job Summary
The Sr Software Engineer B2 will design and deliver robust microservices and data driven solutions using Java SQL and JavaScript for complex enterprise applications in a hybrid work model. The role focuses on building scalable services improving performance ensuring ...</t>
  </si>
  <si>
    <t>https://in.linkedin.com/jobs/view/software-engineer-at-cognizant-4434172133?trk=public_jobs_topcard-title</t>
  </si>
  <si>
    <t>LI_4416232484</t>
  </si>
  <si>
    <t>Software Engineer - E6 - Frontend</t>
  </si>
  <si>
    <t>https://in.linkedin.com/jobs/view/software-engineer-e6-frontend-at-whatfix-4416232484?trk=public_jobs_topcard-title</t>
  </si>
  <si>
    <t>LI_4430653022</t>
  </si>
  <si>
    <t>Java FullStack</t>
  </si>
  <si>
    <t>What impact will you make?
Every day, your work will make an impact that matters, while you thrive in a dynamic culture of inclusion, collaboration and high performance. As the undisputed leader in professional services, Deloitte is where you will find unrivaled opportunities to ...</t>
  </si>
  <si>
    <t>https://in.linkedin.com/jobs/view/java-fullstack-at-deloitte-4430653022?trk=public_jobs_topcard-title</t>
  </si>
  <si>
    <t>LI_4290659687</t>
  </si>
  <si>
    <t>Quoqo</t>
  </si>
  <si>
    <t>Key Responsibilities
Develop and maintain scalable backend services in Python (Django/Flask)
Design and optimize REST APIs for consumption by TypeScript/Next.js frontends
Work with relational databases including PostgreSQL (preferred) and MySQL
Integrate with vector databases...</t>
  </si>
  <si>
    <t>https://in.linkedin.com/jobs/view/backend-developer-at-quoqo-4290659687?trk=public_jobs_topcard-title</t>
  </si>
  <si>
    <t>LI_4302011467</t>
  </si>
  <si>
    <t>Project Role : Application Developer
Project Role Description : Design, build and configure applications to meet business process and application requirements.
Must have skills : ASP.NET MVC
Good to have skills : NA
Minimum 3 Year(s) Of Experience Is Required
Educational Qua...</t>
  </si>
  <si>
    <t>https://in.linkedin.com/jobs/view/application-developer-at-accenture-in-india-4302011467?trk=public_jobs_topcard-title</t>
  </si>
  <si>
    <t>LI_4306122383</t>
  </si>
  <si>
    <t>Instazen Solutions Pvt. Ltd.</t>
  </si>
  <si>
    <t>We are looking for a skilled HTML/CSS developer to build an exciting SaaS product. 3-6 years of experience Skills:
Exceptional HTML / CSS skills
Responsive Layouts
Knowledge of fonts and typography
Knowledge of front-end frameworks
SASS / LESS
Pixel perfection
This is an opport...</t>
  </si>
  <si>
    <t>https://in.linkedin.com/jobs/view/web-developer-at-instazen-solutions-pvt-ltd-4306122383?trk=public_jobs_topcard-title</t>
  </si>
  <si>
    <t>LI_4431711025</t>
  </si>
  <si>
    <t>Engineer, AEM Front-end</t>
  </si>
  <si>
    <t>Code and Theory</t>
  </si>
  <si>
    <t>We are seeking an enthusiastic AEM Front-End Junior Developer to support development and maintenance of responsive web applications and digital experiences using Adobe Experience Manager. The candidate will work closely with senior developers, UX designers, and backend teams to b...</t>
  </si>
  <si>
    <t>https://in.linkedin.com/jobs/view/engineer-aem-front-end-at-code-and-theory-4431711025?trk=public_jobs_topcard-title</t>
  </si>
  <si>
    <t>LI_4427834305</t>
  </si>
  <si>
    <t>Takeda</t>
  </si>
  <si>
    <t>By clicking the “Apply” button, I understand that my employment application process with Takeda will commence and that the information I provide in my application will be processed in line with Takeda’s Privacy Notice and Terms of Use. I further attest that all information I subm...</t>
  </si>
  <si>
    <t>https://in.linkedin.com/jobs/view/software-developer-at-takeda-4427834305?trk=public_jobs_topcard-title</t>
  </si>
  <si>
    <t>LI_4436763990</t>
  </si>
  <si>
    <t>https://in.linkedin.com/jobs/view/custom-software-engineer-at-accenture-in-india-4436763990?trk=public_jobs_topcard-title</t>
  </si>
  <si>
    <t>LI_4393280964</t>
  </si>
  <si>
    <t>Typescript Developer</t>
  </si>
  <si>
    <t>StackNexus</t>
  </si>
  <si>
    <t>Job Title: Typescript Developer
Location: Ban/Hyd/Pune
Job Description
6-8 Years of experience
Expert-level proficiency in TypeScript and JavaScript (ES6+).
Experience with front-end frameworks like React, or Vue.js.
Strong back-end development experience using Node.js and Typ...</t>
  </si>
  <si>
    <t>https://in.linkedin.com/jobs/view/typescript-developer-at-stacknexus-4393280964?trk=public_jobs_topcard-title</t>
  </si>
  <si>
    <t>LI_4344705902</t>
  </si>
  <si>
    <t>Project Role : Application Developer
Project Role Description : Design, build and configure applications to meet business process and application requirements.
Must have skills : React.js
Good to have skills : Multiplatform Front End Development React
Minimum 3 Year(s) Of Exp...</t>
  </si>
  <si>
    <t>https://in.linkedin.com/jobs/view/application-developer-at-accenture-in-india-4344705902?trk=public_jobs_topcard-title</t>
  </si>
  <si>
    <t>LI_4423126463</t>
  </si>
  <si>
    <t>https://in.linkedin.com/jobs/view/full-stack-engineer-at-accenture-in-india-4423126463?trk=public_jobs_topcard-title</t>
  </si>
  <si>
    <t>LI_4436048369</t>
  </si>
  <si>
    <t>internmo</t>
  </si>
  <si>
    <t>Web Developer Intern
Company: Internmo
Location: Remote
Duration: Up to 6 months
Batch Start Date: 10th July
About the Program
At Internmo, we're doing things differently. This isn't a traditional job or a standard internship—it’s an open collaboration program designed for aspiri...</t>
  </si>
  <si>
    <t>https://in.linkedin.com/jobs/view/web-developer-at-internmo-4436048369?trk=public_jobs_topcard-title</t>
  </si>
  <si>
    <t>LI_4431103299</t>
  </si>
  <si>
    <t>https://in.linkedin.com/jobs/view/full-stack-engineer-at-accenture-in-india-4431103299?trk=public_jobs_topcard-title</t>
  </si>
  <si>
    <t>LI_3625989522</t>
  </si>
  <si>
    <t>Front End Engineer</t>
  </si>
  <si>
    <t>Explorex Technologies, Inc. (YC S20)</t>
  </si>
  <si>
    <t>At Explorex, we are on a mission to revolutionise the restaurant industry in India with our revolutionary Full-Stack OS. Unlike existing solutions, Explorex goes beyond the value adds of a software solution and leverages it's powerful platform to help restaurants of today evolve ...</t>
  </si>
  <si>
    <t>https://in.linkedin.com/jobs/view/front-end-engineer-at-explorex-technologies-inc-yc-s20-3625989522?trk=public_jobs_topcard-title</t>
  </si>
  <si>
    <t>LI_4437404004</t>
  </si>
  <si>
    <t>Develop, test, deploy and maintain user-facing features using HTML, CSS, and JavaScript and ReactJS.
• Collaborate with designers and back-end developers to create seamless and visually appealing web applications.
• Use development best practices to ensure a high standard of qual...</t>
  </si>
  <si>
    <t>https://in.linkedin.com/jobs/view/frontend-developer-at-persistent-systems-4437404004?trk=public_jobs_topcard-title</t>
  </si>
  <si>
    <t>LI_4426378718</t>
  </si>
  <si>
    <t>https://in.linkedin.com/jobs/view/custom-software-engineer-at-accenture-in-india-4426378718?trk=public_jobs_topcard-title</t>
  </si>
  <si>
    <t>LI_4264833835</t>
  </si>
  <si>
    <t>Web Development Trainer Pune Centre</t>
  </si>
  <si>
    <t>Bright Future</t>
  </si>
  <si>
    <t>Haveli</t>
  </si>
  <si>
    <t>We seek an experienced and enthusiastic Web Development Trainer to join our team and help inspire and educate aspiring web developers. The ideal candidate will have a strong foundation in web development technologies, excellent teaching abilities, and a passion for guiding studen...</t>
  </si>
  <si>
    <t>https://in.linkedin.com/jobs/view/web-development-trainer-pune-centre-at-bright-future-4264833835?trk=public_jobs_topcard-title</t>
  </si>
  <si>
    <t>LI_4427112985</t>
  </si>
  <si>
    <t>Front End Developer in Bangalore, Bangalore</t>
  </si>
  <si>
    <t>Myraid Media</t>
  </si>
  <si>
    <t>Key Responsibilities
Ship React/Next.js (TypeScript) features with clean, typed APIs.
Use Tailwind CSS to implement a shared component library/design system.
Manage state using TanStack Query, Zustand/Redux, Form Hook (react-hook-form).
Implement Real-time &amp; streaming (WebSoc...</t>
  </si>
  <si>
    <t>https://in.linkedin.com/jobs/view/front-end-developer-in-bangalore-bangalore-at-myraid-media-4427112985?trk=public_jobs_topcard-title</t>
  </si>
  <si>
    <t>LI_4436947577</t>
  </si>
  <si>
    <t>Frontend Engineer - Enterprise Portals</t>
  </si>
  <si>
    <t>KTech Products</t>
  </si>
  <si>
    <t>The candidate may work on AP and expense automation screens involving invoice intake, OCR extraction review, invoice header review, invoice line review, vendor validation, PO invoice matching, non-PO invoice coding, approval routing, expense report review, receipt matching, excep...</t>
  </si>
  <si>
    <t>https://in.linkedin.com/jobs/view/frontend-engineer-enterprise-portals-at-ktech-products-4436947577?trk=public_jobs_topcard-title</t>
  </si>
  <si>
    <t>LI_4337445243</t>
  </si>
  <si>
    <t>https://in.linkedin.com/jobs/view/web-developer-at-accenture-in-india-4337445243?trk=public_jobs_topcard-title</t>
  </si>
  <si>
    <t>LI_4432803130</t>
  </si>
  <si>
    <t>Front-end Developer</t>
  </si>
  <si>
    <t>Location: Noida (On-site or Hybrid 3 days working Noida)
Experience: 4-6 Years
About Us
With over 30 years in the business, we are a global educational technology company, partnering with the world’s leading publishers and eLearning content providers. We deliver consulting ser...</t>
  </si>
  <si>
    <t>https://in.linkedin.com/jobs/view/front-end-developer-at-tomorrow-world-technologies-twt-4432803130?trk=public_jobs_topcard-title</t>
  </si>
  <si>
    <t>LI_4429866585</t>
  </si>
  <si>
    <t>Abservetech Private Limited</t>
  </si>
  <si>
    <t>We are Hiring ReactJS (Lead) !!
Work Location: Madurai
Interview Process : Face to Face
Experiences : 2 Years to 8 Years
Please do share your resume to my inbox
Job Description : ReactJS (Lead)
In this role, you will be responsible for developing and implementing user inter...</t>
  </si>
  <si>
    <t>https://in.linkedin.com/jobs/view/react-js-developer-at-abservetech-private-limited-4429866585?trk=public_jobs_topcard-title</t>
  </si>
  <si>
    <t>LI_4287321907</t>
  </si>
  <si>
    <t>Frontend Developer (React Js)</t>
  </si>
  <si>
    <t>DecodeUp (P) Limited</t>
  </si>
  <si>
    <t>Chorasi</t>
  </si>
  <si>
    <t>Solutions
OUR KEY SOLUTIONS
Parking Management &amp; Permit Operations Platforms
Centralized platforms for permits, bookings, payments, visitor parking, and daily parking operations.
Commerce
e-commerce solutions
B2B solutions
Enterprise edge
B2C, D2C solutions
Customer firs...</t>
  </si>
  <si>
    <t>https://in.linkedin.com/jobs/view/frontend-developer-react-js-at-decodeup-p-limited-4287321907?trk=public_jobs_topcard-title</t>
  </si>
  <si>
    <t>LI_4432616046</t>
  </si>
  <si>
    <t>Dcluttr</t>
  </si>
  <si>
    <t>Dcluttr is an AI copilot for quick commerce. We are challenging a brand’s most trusted decision-making tool: gut feeling.
We are not looking for someone average. We are looking for one sharp person who can build exceptional user experiences, move fast, and take full ownership of ...</t>
  </si>
  <si>
    <t>https://in.linkedin.com/jobs/view/frontend-developer-at-dcluttr-4432616046?trk=public_jobs_topcard-title</t>
  </si>
  <si>
    <t>LI_4141152270</t>
  </si>
  <si>
    <t>REACT JS  DEVELOPER</t>
  </si>
  <si>
    <t>Sequoia Applied Technologies</t>
  </si>
  <si>
    <t>REACT FULL STACK DEVELOPER
At least 4 years of experience in design and development of frontend application using ReactJS / Angular framework
Expertise in designing responsive UI screens using HTML, CSS, bootstrap framework and JavaScript. Being up to date on the latest practice...</t>
  </si>
  <si>
    <t>https://in.linkedin.com/jobs/view/react-js-developer-at-sequoia-applied-technologies-4141152270?trk=public_jobs_topcard-title</t>
  </si>
  <si>
    <t>LI_4432199721</t>
  </si>
  <si>
    <t>https://in.linkedin.com/jobs/view/full-stack-developer-at-persistent-systems-4432199721?trk=public_jobs_topcard-title</t>
  </si>
  <si>
    <t>LI_4432110987</t>
  </si>
  <si>
    <t>Evolutyz Corp</t>
  </si>
  <si>
    <t>Summary
About the job :
Evolutyz is seeking a skilled Front-End Developer for a full-time position. The role involves building and maintaining interactive web UIs using Blazor and ASP.NET Core. The candidate will work independently within a SAFe/agile framework and collaborate ...</t>
  </si>
  <si>
    <t>https://in.linkedin.com/jobs/view/frontend-developer-at-evolutyz-corp-4432110987?trk=public_jobs_topcard-title</t>
  </si>
  <si>
    <t>LI_4356590646</t>
  </si>
  <si>
    <t>MERN Stack Developer</t>
  </si>
  <si>
    <t>Dofin</t>
  </si>
  <si>
    <t>Design, develop, and maintain full-stack web applications using the MERN stack (MongoDB, Express.js, React.js, Node.js)
Build reusable, efficient, and scalable front-end components using React.js and modern JavaScript (ES6+)
Develop RESTful APIs and microservices using Node.js ...</t>
  </si>
  <si>
    <t>https://in.linkedin.com/jobs/view/mern-stack-developer-at-dofin-4356590646?trk=public_jobs_topcard-title</t>
  </si>
  <si>
    <t>LI_4333937994</t>
  </si>
  <si>
    <t>Software Development Engineer II , Amazon Pay</t>
  </si>
  <si>
    <t>Description
Want to be part of a dynamic start-up environment within Amazon and be at the forefront of enabling "Amazon Pay" outside of Amazon?
Our team is looking for passionate, experienced software developer who can deliver high quality platform solutions to support our cust...</t>
  </si>
  <si>
    <t>https://in.linkedin.com/jobs/view/software-development-engineer-ii-amazon-pay-at-amazon-4333937994?trk=public_jobs_topcard-title</t>
  </si>
  <si>
    <t>LI_4310772851</t>
  </si>
  <si>
    <t>Angular JS Developer</t>
  </si>
  <si>
    <t>NEKSS PVT.  LTD.</t>
  </si>
  <si>
    <t>Job Title
Angular Developer
Salary: Negotiable (Based upon the Industry Standard for deserving candidates.)
Job Type: Full-time
Location: Bhubaneswar
Experience: 3 to 5 Yrs (Relevant)
Education: Bachelor’s (Graduation) / B.Tech (CSE, IT , MCA, ECE, ETC etc)(Preferred)
Job ...</t>
  </si>
  <si>
    <t>https://in.linkedin.com/jobs/view/angular-js-developer-at-nekss-pvt-ltd-4310772851?trk=public_jobs_topcard-title</t>
  </si>
  <si>
    <t>LI_4436075283</t>
  </si>
  <si>
    <t>Niyadina Solutions</t>
  </si>
  <si>
    <t>Company Description Niyadina Solutions Pvt Ltd is a multi-disciplinary business solutions provider delivering end-to-end services that help organizations grow, operate efficiently, and scale sustainably. The company combines creative, technical, and operational expertise to suppo...</t>
  </si>
  <si>
    <t>https://in.linkedin.com/jobs/view/web-developer-at-niyadina-solutions-4436075283?trk=public_jobs_topcard-title</t>
  </si>
  <si>
    <t>LI_4436726784</t>
  </si>
  <si>
    <t>Tech@Lenskart</t>
  </si>
  <si>
    <t>Lenskart.com</t>
  </si>
  <si>
    <t>5+ years of experience in software development with expertise in building scalable applications.
Proficient in Java, Spring Boot, Microservices, and SQL databases.
Experience with front-end technologies such as HTML, CSS, JavaScript, and frameworks like Angular or React.
Knowledg...</t>
  </si>
  <si>
    <t>https://in.linkedin.com/jobs/view/tech%40lenskart-at-lenskart-com-4436726784?trk=public_jobs_topcard-title</t>
  </si>
  <si>
    <t>LI_4437447624</t>
  </si>
  <si>
    <t>Full Stack Web Developer Intern</t>
  </si>
  <si>
    <t>Zenithbyte</t>
  </si>
  <si>
    <t>Full Stack Web Developer Intern (Paid)
Company: WEBBOOST SOLUTIONS BY UM
Location: Remote
Duration: 3 Months
For College Students Only!
Performance based stipend up-to 7500.00/-
This is a structured Career Launch Internship Program designed to help students gain practical projec...</t>
  </si>
  <si>
    <t>https://in.linkedin.com/jobs/view/full-stack-web-developer-intern-at-zenithbyte-4437447624?trk=public_jobs_topcard-title</t>
  </si>
  <si>
    <t>LI_4426946679</t>
  </si>
  <si>
    <t>Full Stack Developer I</t>
  </si>
  <si>
    <t>FedEx ACC</t>
  </si>
  <si>
    <t>Responsible for collaborating with advisors to define solution designs, developing scalable and high-performing code, ensuring code quality and security, leading code reviews, managing priorities, facilitating cross-team communication, acting as a demo content owner, mentoring ju...</t>
  </si>
  <si>
    <t>https://in.linkedin.com/jobs/view/full-stack-developer-i-at-fedex-acc-4426946679?trk=public_jobs_topcard-title</t>
  </si>
  <si>
    <t>LI_4404796322</t>
  </si>
  <si>
    <t>Software Engineer/Senior Software Engineer [Angular/React.JS]</t>
  </si>
  <si>
    <t>Citrus Informatics (India) Pvt Ltd</t>
  </si>
  <si>
    <t>Job Code: HR/SE-005
Job Type: Full Time
Job Location: Kochi
Education Qualifications: B.Tech/MSc/MCA/M.Tech in Computer Science
Experience: 2-8 years of relevant experience in medium to large-scale software development organizations are needed.
Desired Skills
Candidates are...</t>
  </si>
  <si>
    <t>https://in.linkedin.com/jobs/view/software-engineer-senior-software-engineer-angular-react-js-at-citrus-informatics-india-pvt-ltd-4404796322?trk=public_jobs_topcard-title</t>
  </si>
  <si>
    <t>LI_4429318148</t>
  </si>
  <si>
    <t>Om Ak Solutions</t>
  </si>
  <si>
    <t>Safipur</t>
  </si>
  <si>
    <t>Job Description
Web Developer Job Description
We are looking for a skilled web developer who will be responsible for developing and/or designing websites for our company. You will be working alongside a team of other developers in creating, maintaining, and updating our website...</t>
  </si>
  <si>
    <t>https://in.linkedin.com/jobs/view/web-developer-at-om-ak-solutions-4429318148?trk=public_jobs_topcard-title</t>
  </si>
  <si>
    <t>LI_4428222144</t>
  </si>
  <si>
    <t>Software Developer 3 (Frontend)</t>
  </si>
  <si>
    <t>Job Description
At Oracle, we are transforming healthcare by modernizing Electronic Health Record (EHR) systems to empower front-line healthcare professionals. Our mission is to enable them to focus more on patient care and less on administrative tasks, achieving peak efficiency...</t>
  </si>
  <si>
    <t>https://in.linkedin.com/jobs/view/software-developer-3-frontend-at-oracle-4428222144?trk=public_jobs_topcard-title</t>
  </si>
  <si>
    <t>LI_4407183022</t>
  </si>
  <si>
    <t>React Native</t>
  </si>
  <si>
    <t>Careers
React Native
React Native Developer Job Description
Dedicated and Top-quality React Native Developers for big mobile development projects with minimum 2 years of experience. Required to create a flexible and well-structured mobile app architecture along with APIs to sup...</t>
  </si>
  <si>
    <t>https://in.linkedin.com/jobs/view/react-native-at-ekhool-4407183022?trk=public_jobs_topcard-title</t>
  </si>
  <si>
    <t>IN_9ba0651e1da28399</t>
  </si>
  <si>
    <t>Financial Analyst - Financial Reporting</t>
  </si>
  <si>
    <t>go digit general insurance</t>
  </si>
  <si>
    <t>KA</t>
  </si>
  <si>
    <t>Job Description
About the Team
The Reporting team is responsible for financial analysis, reporting, and regulatory compliance across the organisation. The key activities of the team include:
Performance analysis: Review and analyse segment-wise Profit &amp; Loss, including premiums, ...</t>
  </si>
  <si>
    <t>https://indeed.com/viewjob?jk=9ba0651e1da28399</t>
  </si>
  <si>
    <t>IN_fc8ecce84a97819e</t>
  </si>
  <si>
    <t>Business Analyst Transformation</t>
  </si>
  <si>
    <t>EXL Service</t>
  </si>
  <si>
    <t>Job Description: Job Title: 
Manager / Senior Manager – Business Analyst (Digital Transformation – Finance &amp; Accounting) 
Experience: 
7–12 Years 
Location: Noida/Banglore 
Role Overview 
We are looking for a seasoned Manager / Senior Manager – Business Analyst with strong Financ...</t>
  </si>
  <si>
    <t>https://indeed.com/viewjob?jk=fc8ecce84a97819e</t>
  </si>
  <si>
    <t>IN_13cefa7f54a51879</t>
  </si>
  <si>
    <t>Manager I - Procurement Platform Operations &amp; Integration Analyst</t>
  </si>
  <si>
    <t>KL</t>
  </si>
  <si>
    <t>Role description
Job Title: Procurement Platform Operations &amp; Integration Analyst
We are seeking a Procurement Platform Operations &amp; Integration Analyst to support, enhance, and scale a modern Procure-to-Pay (P2P) platform. This role focuses on platform operations, production su...</t>
  </si>
  <si>
    <t>https://indeed.com/viewjob?jk=13cefa7f54a51879</t>
  </si>
  <si>
    <t>IN_4ad3e5e23d3dbbfa</t>
  </si>
  <si>
    <t>Principal RWE Scientific Research Analyst</t>
  </si>
  <si>
    <t>Novartis</t>
  </si>
  <si>
    <t>TS</t>
  </si>
  <si>
    <t>Summary 
The Principal Real-World Evidence (RWE) Research Analyst is responsible for the scientific and methodological aspects of all RWE projects as well as providing guidance for other members of the team.
About the Role 
Key Responsibilities :
Produce analytic deliverables, in...</t>
  </si>
  <si>
    <t>https://indeed.com/viewjob?jk=4ad3e5e23d3dbbfa</t>
  </si>
  <si>
    <t>IN_7637b26d5de240d2</t>
  </si>
  <si>
    <t>Data Analysis</t>
  </si>
  <si>
    <t>leventm technologies</t>
  </si>
  <si>
    <t>Job Description:
We are looking for a skilled HR manager to oversee all aspects of Human Resources practices and processes. You will support business needs and ensure the proper implementation of company strategy and objectives. The goal is to promote corporate values and enable ...</t>
  </si>
  <si>
    <t>https://indeed.com/viewjob?jk=7637b26d5de240d2</t>
  </si>
  <si>
    <t>IN_a5f370bda5950e67</t>
  </si>
  <si>
    <t>Business Analyst – BI</t>
  </si>
  <si>
    <t>About
Calpion is an 18-year-old Dallas-headquartered technology firm that offers customers artificial intelligence solutions by building custom deep learning and machine learning algorithms, custom enterprise application development and maintenance, RPA solutions, cloud services,...</t>
  </si>
  <si>
    <t>https://indeed.com/viewjob?jk=a5f370bda5950e67</t>
  </si>
  <si>
    <t>IN_d4e448a508444d00</t>
  </si>
  <si>
    <t>Business Intelligence Engineer, EU Prime and Marketing Analytics &amp; Science (PRIMAS)</t>
  </si>
  <si>
    <t>DESCRIPTION
Are you passionate about giving customers the richest, most inspiring experience in their shopping journey? Do you like to dive deep to understand how customer-centric solutions drive measurable results? Do you enjoy working closely with the business, scientists and s...</t>
  </si>
  <si>
    <t>https://indeed.com/viewjob?jk=d4e448a508444d00</t>
  </si>
  <si>
    <t>IN_00ead7dfddcee653</t>
  </si>
  <si>
    <t>Data Governance Analyst</t>
  </si>
  <si>
    <t>datAvail</t>
  </si>
  <si>
    <t>MH</t>
  </si>
  <si>
    <t>Title: Data Governance Analyst 
Location: Remote 
Education: Any Degree ( Computer Science ) 
Job Description:
Datavail is seeking a highly skilled Data Governance Analyst to aid in working with our clients to define and develop Data Governance solutions that meet defined busine...</t>
  </si>
  <si>
    <t>https://indeed.com/viewjob?jk=00ead7dfddcee653</t>
  </si>
  <si>
    <t>IN_d117c36fb4d137dc</t>
  </si>
  <si>
    <t>https://indeed.com/viewjob?jk=d117c36fb4d137dc</t>
  </si>
  <si>
    <t>IN_9e89e9d33016eadd</t>
  </si>
  <si>
    <t>Data Analyst Faculty</t>
  </si>
  <si>
    <t>Edure Learning</t>
  </si>
  <si>
    <t>INR</t>
  </si>
  <si>
    <t>MONTH</t>
  </si>
  <si>
    <t>We are seeking a knowledgeable and passionate Data Analyst Trainer to deliver high-quality training sessions in data analytics tools and technologies. The trainer will be responsible for teaching students, preparing course materials, conducting practical sessions, and ensuring st...</t>
  </si>
  <si>
    <t>https://indeed.com/viewjob?jk=9e89e9d33016eadd</t>
  </si>
  <si>
    <t>IN_5f9a403f68c7cdab</t>
  </si>
  <si>
    <t>https://indeed.com/viewjob?jk=5f9a403f68c7cdab</t>
  </si>
  <si>
    <t>IN_28debd94ab84a875</t>
  </si>
  <si>
    <t>India - Senior Business Analyst</t>
  </si>
  <si>
    <t>Inchcape Shipping Service</t>
  </si>
  <si>
    <t>TN</t>
  </si>
  <si>
    <t>Who We Are:
At Inchcape Shipping Services, our vision is to create a connected world where customers can trade successfully and make informed decisions in every port, everywhere. We achieve this by combining our worldwide infrastructure with local expertise, through our global n...</t>
  </si>
  <si>
    <t>https://indeed.com/viewjob?jk=28debd94ab84a875</t>
  </si>
  <si>
    <t>IN_039a6dc0e47a17a2</t>
  </si>
  <si>
    <t>Senior Analyst - Metrics - Analytics and Reporting</t>
  </si>
  <si>
    <t>Marsh</t>
  </si>
  <si>
    <t>UP</t>
  </si>
  <si>
    <t>Company:
Marsh 
Description:
We will count on you to: 
We are looking to hire a Senior Analyst in the Extended Market Support Team (Health Business) 
Extended Market Support (EMS) team is dedicated to driving business-to-business growth by offering strategic and operational assis...</t>
  </si>
  <si>
    <t>https://indeed.com/viewjob?jk=039a6dc0e47a17a2</t>
  </si>
  <si>
    <t>IN_48124587e6de9d4f</t>
  </si>
  <si>
    <t>https://indeed.com/viewjob?jk=48124587e6de9d4f</t>
  </si>
  <si>
    <t>IN_e18464d99c551b3e</t>
  </si>
  <si>
    <t>Senior Tax Analyst, VAT Compliance</t>
  </si>
  <si>
    <t>DESCRIPTION
Amazon's diverse business requires Indirect Tax (ITX) filings in a number of jurisdictions globally. Amazon is seeking an energetic and enthusiastic Senior Tax Analyst to work in its International Indirect Tax Compliance team based in Bangalore, India. Amazon Tax Depa...</t>
  </si>
  <si>
    <t>https://indeed.com/viewjob?jk=e18464d99c551b3e</t>
  </si>
  <si>
    <t>IN_1de4d9c3df1455b0</t>
  </si>
  <si>
    <t>Senior Data Analyst – AI&amp;ML</t>
  </si>
  <si>
    <t>Milestone Technologies</t>
  </si>
  <si>
    <t>li{ font-size: 14px;} p{ font-size: 14px;} 
Company Overview 
Milestone Technologies is a global IT managed services firm that partners with organizations to scale their technology, infrastructure and services to drive specific business outcomes such as digital transformation, i...</t>
  </si>
  <si>
    <t>https://indeed.com/viewjob?jk=1de4d9c3df1455b0</t>
  </si>
  <si>
    <t>IN_f803c468615df09e</t>
  </si>
  <si>
    <t>Business Intelligence Engineer, Last Mile BI</t>
  </si>
  <si>
    <t>DESCRIPTION
When you attract people who have the DNA of pioneers and the DNA of explorers, you build a company of like-minded people who want to invent. And that’s what they think about when they get up in the morning: how are we going to work backwards from customers and build a...</t>
  </si>
  <si>
    <t>https://indeed.com/viewjob?jk=f803c468615df09e</t>
  </si>
  <si>
    <t>IN_26561a1bcc295c35</t>
  </si>
  <si>
    <t>Apps Dev Intmd Programmer Analyst - C11 - PUNE</t>
  </si>
  <si>
    <t>Discover your future at Citi
Working at Citi is far more than just a job. A career with us means joining a team of more than 230,000 dedicated people from around the globe. At Citi, you’ll have the opportunity to grow your career, give back to your community and make a real impac...</t>
  </si>
  <si>
    <t>https://indeed.com/viewjob?jk=26561a1bcc295c35</t>
  </si>
  <si>
    <t>IN_1f5d5bb42f9c137b</t>
  </si>
  <si>
    <t>Barclays</t>
  </si>
  <si>
    <t>HR</t>
  </si>
  <si>
    <t>Date live: 07/06/2026
Business Area: Customer Experience
Area of Expertise: Data &amp; Analytics
Contract: Permanent
Reference Code: JR-0000119670
Join us as a "Data Analyst" at Barclays, where you'll leverage advanced data and analytics to identify and address the root causes of cu...</t>
  </si>
  <si>
    <t>https://indeed.com/viewjob?jk=1f5d5bb42f9c137b</t>
  </si>
  <si>
    <t>IN_3455a34df59250d2</t>
  </si>
  <si>
    <t>Business Analyst II, CMT</t>
  </si>
  <si>
    <t>DESCRIPTION
Amazon is seeking a Business Analyst in the Competitor monitoring team. 
We are looking for a self-starter with analytics experience who can work on complex business problems, help provide actionable recommendations in a structured and accurate manner. As a Business...</t>
  </si>
  <si>
    <t>https://indeed.com/viewjob?jk=3455a34df59250d2</t>
  </si>
  <si>
    <t>IN_617ee08dda2e2306</t>
  </si>
  <si>
    <t>Credit Risk Analyst - Middle Market Corporates</t>
  </si>
  <si>
    <t>JOB DESCRIPTION
Are you looking for an exciting opportunity to join a dynamic and growing team in a fast paced and challenging area? This is a unique opportunity for you to work in our team to partner with the Business to provide a comprehensive view.
As a Credit Risk Analyst –...</t>
  </si>
  <si>
    <t>https://indeed.com/viewjob?jk=617ee08dda2e2306</t>
  </si>
  <si>
    <t>IN_476c49c9aec8ea53</t>
  </si>
  <si>
    <t>Datawarehouse Application support analyst</t>
  </si>
  <si>
    <t>https://indeed.com/viewjob?jk=476c49c9aec8ea53</t>
  </si>
  <si>
    <t>IN_c61153437b14136c</t>
  </si>
  <si>
    <t>IN_Manager_Product Management_Data and Analytics_Advisory_Bangalore</t>
  </si>
  <si>
    <t>PwC</t>
  </si>
  <si>
    <t>Line of Service 
Advisory 
Industry/Sector 
Not Applicable 
Specialism 
Data, Analytics &amp; AI 
Management Level 
Manager 
Job Description &amp; Summary 
At PwC, our people in data and analytics focus on leveraging data to drive insights and make informed business decisions. They utili...</t>
  </si>
  <si>
    <t>https://indeed.com/viewjob?jk=c61153437b14136c</t>
  </si>
  <si>
    <t>IN_dcb658f9cc0f68fd</t>
  </si>
  <si>
    <t>IN-Manager_Business Analyst_Data and Analytics_Advisory_Hyderabad</t>
  </si>
  <si>
    <t>https://indeed.com/viewjob?jk=dcb658f9cc0f68fd</t>
  </si>
  <si>
    <t>IN_19c77a14485e8312</t>
  </si>
  <si>
    <t>Market Analyst</t>
  </si>
  <si>
    <t>Not Disclosed</t>
  </si>
  <si>
    <t>JH</t>
  </si>
  <si>
    <t>We are seeking a highly analytical and strategic Market Analyst to join our growing team. This is an exciting opportunity to leverage market intelligence, customer insights, and competitive analysis to support data-driven business decisions and identify new growth opportunities.
...</t>
  </si>
  <si>
    <t>https://indeed.com/viewjob?jk=19c77a14485e8312</t>
  </si>
  <si>
    <t>IN_17db03ac5435df02</t>
  </si>
  <si>
    <t>Compensation Analyst II</t>
  </si>
  <si>
    <t>UKG</t>
  </si>
  <si>
    <t>Job description 
Company and benefits
Job ID
COMPE019029
Employment Type
Regular
Work Style
on-site
Location
Noida,UP,India
Travel
Up to 25%
Role
Compensation Analyst II
Why UKG: 
At UKG, the work you do matters. The code you ship, the decisions you make, and the care you show a ...</t>
  </si>
  <si>
    <t>https://indeed.com/viewjob?jk=17db03ac5435df02</t>
  </si>
  <si>
    <t>IN_8913ba9dedf9a1fa</t>
  </si>
  <si>
    <t>IT Quality Analyst</t>
  </si>
  <si>
    <t>https://indeed.com/viewjob?jk=8913ba9dedf9a1fa</t>
  </si>
  <si>
    <t>IN_d9a208ebe41885ab</t>
  </si>
  <si>
    <t>Senior Information Security Analyst</t>
  </si>
  <si>
    <t>Wells Fargo</t>
  </si>
  <si>
    <t>About this role:
Wells Fargo is seeking a Senior Information Security Analyst
In this role, you will:
Provide information security consultation to improve awareness and compliance with Enterprise Information Security policy, processes and standards
Perform remediation of securit...</t>
  </si>
  <si>
    <t>https://indeed.com/viewjob?jk=d9a208ebe41885ab</t>
  </si>
  <si>
    <t>IN_1086eae35ed3344e</t>
  </si>
  <si>
    <t>Senior Research Analyst, Flows</t>
  </si>
  <si>
    <t>LSEG (London Stock Exchange Group)</t>
  </si>
  <si>
    <t>Conducts, collects and provides research as part of a team that delivers information and consulting services to clients, leading data investigation during the course of research projects.
Role Responsibilities &amp; Key Accountabilities:
Participates in design and development of qua...</t>
  </si>
  <si>
    <t>https://indeed.com/viewjob?jk=1086eae35ed3344e</t>
  </si>
  <si>
    <t>IN_bb71cf82011339a8</t>
  </si>
  <si>
    <t>Data Analytics Senior Integration Data Engineer</t>
  </si>
  <si>
    <t>Solventum</t>
  </si>
  <si>
    <t>Thank you for your interest in joining Solventum. Solventum is a new healthcare company with a long legacy of solving big challenges that improve lives and help healthcare professionals perform at their best. At Solventum, people are at the heart of every innovation we pursue. Gu...</t>
  </si>
  <si>
    <t>https://indeed.com/viewjob?jk=bb71cf82011339a8</t>
  </si>
  <si>
    <t>IN_c3a36b5f11a06dba</t>
  </si>
  <si>
    <t>Goyal Books Overseas</t>
  </si>
  <si>
    <t>Job Title: Data Analyst
Company: Goyal Brothers Prakashan
Location: Noida (Sector 63)
Employment Type: Full-Time
About Goyal Brothers Prakashan
Goyal Brothers Prakashan is one of India's leading educational publishers, dedicated to developing high-quality school books, academic r...</t>
  </si>
  <si>
    <t>https://indeed.com/viewjob?jk=c3a36b5f11a06dba</t>
  </si>
  <si>
    <t>IN_9ee8b2cb023a8780</t>
  </si>
  <si>
    <t>https://indeed.com/viewjob?jk=9ee8b2cb023a8780</t>
  </si>
  <si>
    <t>IN_383eb6f2e9de3eb4</t>
  </si>
  <si>
    <t>RCM Quality and Outcome Improvement Analyst</t>
  </si>
  <si>
    <t>Modernizing Medicine, Inc.</t>
  </si>
  <si>
    <t>Join the Team Modernizing Medicine
At ModMed, we’re not just building software—we’re reimagining the healthcare experience. Founded in 2010 by a practicing physician and a successful tech entrepreneur, we took a radically different approach: we hired doctors and taught them how t...</t>
  </si>
  <si>
    <t>https://indeed.com/viewjob?jk=383eb6f2e9de3eb4</t>
  </si>
  <si>
    <t>IN_a665c04c7ad13852</t>
  </si>
  <si>
    <t>Data Management Analyst</t>
  </si>
  <si>
    <t>About this role:
Wells Fargo is seeking a Data Management Analyst
In this role, you will:
Participate in less complex analysis to identify and remediate data quality or integrity issues and to identify and remediate process or control gaps
Adhere to data governance standards and...</t>
  </si>
  <si>
    <t>https://indeed.com/viewjob?jk=a665c04c7ad13852</t>
  </si>
  <si>
    <t>IN_45af8ba21046d880</t>
  </si>
  <si>
    <t>Healthcare Business Analyst</t>
  </si>
  <si>
    <t>Key Responsibilities:
A day in the life of an Infoscion
As part of the Infosys delivery team your primary role would be to interface with the client for quality assurance issue resolution and ensuring high customer satisfaction
You will understand requirements create and review ...</t>
  </si>
  <si>
    <t>https://indeed.com/viewjob?jk=45af8ba21046d880</t>
  </si>
  <si>
    <t>IN_67d202c0ff71166a</t>
  </si>
  <si>
    <t>Senior Analyst - Financial Reporting &amp; Controls</t>
  </si>
  <si>
    <t>Gallagher</t>
  </si>
  <si>
    <t>Introduction
Welcome to Gallagher in India — where expertise, technology, and purpose come together. Since 2006, Gallagher in India has supported global teams by delivering quality, service, and speed through deep expertise, smart technology, and specialized knowledge services. M...</t>
  </si>
  <si>
    <t>https://indeed.com/viewjob?jk=67d202c0ff71166a</t>
  </si>
  <si>
    <t>IN_6c17f735405b1ac1</t>
  </si>
  <si>
    <t>https://indeed.com/viewjob?jk=6c17f735405b1ac1</t>
  </si>
  <si>
    <t>IN_e3b1b2e55b6ce2a4</t>
  </si>
  <si>
    <t>Manager | Business Analyst | Kolkata | Regulatory &amp; Financial Risk</t>
  </si>
  <si>
    <t>WB</t>
  </si>
  <si>
    <t>Job requisition ID :: 106239 
Date: Jul 6, 2026 
Location: Kolkata 
Designation: Manager 
Entity: Deloitte South Asia LLP 
Manager | Business Analyst | Kolkata | Regulatory &amp; Financial Risk 
Job requisition ID : 106239
Location: Kolkata 
Entity: Deloitte South Asia LLP
The team
...</t>
  </si>
  <si>
    <t>https://indeed.com/viewjob?jk=e3b1b2e55b6ce2a4</t>
  </si>
  <si>
    <t>IN_8278b5ec071b0edb</t>
  </si>
  <si>
    <t>Credit Risk Controller - Analyst</t>
  </si>
  <si>
    <t>JOB DESCRIPTION
Are you looking for an exciting opportunity to join a dynamic and growing team in a fast paced and challenging area? This is a unique opportunity for you to work in our team to partner with the Business to provide a comprehensive view.
As an Analyst within Risk ...</t>
  </si>
  <si>
    <t>https://indeed.com/viewjob?jk=8278b5ec071b0edb</t>
  </si>
  <si>
    <t>IN_058073ff46ebd027</t>
  </si>
  <si>
    <t>Senior Data Management Analyst</t>
  </si>
  <si>
    <t>About this role:
Wells Fargo is seeking a Senior Data Management Analyst
In this role, you will:
Lead or participate in moderately complex programs and initiatives for data quality, governance, and metadata activities
Design and conduct moderately complex analysis to identify an...</t>
  </si>
  <si>
    <t>https://indeed.com/viewjob?jk=058073ff46ebd027</t>
  </si>
  <si>
    <t>IN_fc8ad817c2ef9c16</t>
  </si>
  <si>
    <t>Data Analyst Intern</t>
  </si>
  <si>
    <t>BizNest</t>
  </si>
  <si>
    <t>GA</t>
  </si>
  <si>
    <t>Job Title: Data Analyst Intern (GOA)
Job Summary:
We are looking for a Data Analyst Intern to help collect, organize, and analyze data to support business decisions. This internship is ideal for someone eager to learn data analysis and reporting.
Key Responsibilities:
Collect, cl...</t>
  </si>
  <si>
    <t>https://indeed.com/viewjob?jk=fc8ad817c2ef9c16</t>
  </si>
  <si>
    <t>IN_3b91b9d81efb13ea</t>
  </si>
  <si>
    <t>Associate, Services Business Intelligence</t>
  </si>
  <si>
    <t>Ciena</t>
  </si>
  <si>
    <t>As the global leader in high-speed connectivity, Ciena is committed to a people-first approach. Our teams enjoy a culture focused on prioritizing a flexible work environment that empowers individual growth, well-being, and belonging. We’re a technology company that leads with our...</t>
  </si>
  <si>
    <t>https://indeed.com/viewjob?jk=3b91b9d81efb13ea</t>
  </si>
  <si>
    <t>IN_3363267a476e63f3</t>
  </si>
  <si>
    <t>Comptech Motocorp pvt ltd.</t>
  </si>
  <si>
    <t>GJ</t>
  </si>
  <si>
    <t>Key Responsibilities
Prepare and maintain daily, weekly, and monthly MIS reports.
Analyze business data and generate meaningful insights.
Create and manage advanced Excel reports using formulas, Pivot Tables, Power Query, and dashboards.
Write and optimize SQL queries for data ex...</t>
  </si>
  <si>
    <t>https://indeed.com/viewjob?jk=3363267a476e63f3</t>
  </si>
  <si>
    <t>IN_39a549013f3cac40</t>
  </si>
  <si>
    <t>Sr. Analyst - BI, Reporting and Data Visualization 4A</t>
  </si>
  <si>
    <t>Genpact</t>
  </si>
  <si>
    <t>Sr. Analyst - BI, Reporting and Data Visualization
Ready to turn bold ideas into real-world impact?
At Genpact, we don’t just adapt to change, we lead it. AI and digital innovation are transforming the way businesses work, and we’re at the forefront of it. Genpact’s AI Gigafactor...</t>
  </si>
  <si>
    <t>https://indeed.com/viewjob?jk=39a549013f3cac40</t>
  </si>
  <si>
    <t>IN_34f731222f67ba55</t>
  </si>
  <si>
    <t>IT&amp;D Senior Business Analyst - Genesis Procurement</t>
  </si>
  <si>
    <t>Reckitt</t>
  </si>
  <si>
    <t>Home to the world's best loved and trusted hygiene, health, and nutrition brands. Our purpose defines why we exist: to protect, heal and nurture in the relentless pursuit of a cleaner, healthier world. We are a global team united by this purpose. Join us in our fight to make acce...</t>
  </si>
  <si>
    <t>https://indeed.com/viewjob?jk=34f731222f67ba55</t>
  </si>
  <si>
    <t>IN_d40f2afbe8e86c41</t>
  </si>
  <si>
    <t>Data Analytics Intern</t>
  </si>
  <si>
    <t>Akalp Techno Media Solutions</t>
  </si>
  <si>
    <t>MP</t>
  </si>
  <si>
    <t>Position: Data Scraping &amp; Data Analytics Intern
Experience Required: 0–6 Months (Freshers/Entry-Level Candidates Welcome)
Internship Duration: 3–4 Months
Location: Bhopal (Work from Office)
Working Hours: 5 to 6 Hours per Day
Equipment Requirement: Candidate must have their own l...</t>
  </si>
  <si>
    <t>https://indeed.com/viewjob?jk=d40f2afbe8e86c41</t>
  </si>
  <si>
    <t>IN_512f9933113e10a6</t>
  </si>
  <si>
    <t>Senior Analytics Engineer – Data Applications</t>
  </si>
  <si>
    <t>Intuitive (Intuitive Surgical)</t>
  </si>
  <si>
    <t>Bengaluru, INDIA, India 
Not Remote 
Information Technology &amp; Systems 
JOB215564
Company Description
It started with a simple idea: what if surgery could be less invasive and recovery less painful? Nearly 30 years later, that question still fuels everything we do at Intuitive. A...</t>
  </si>
  <si>
    <t>https://indeed.com/viewjob?jk=512f9933113e10a6</t>
  </si>
  <si>
    <t>IN_23aa00f25d1c9a40</t>
  </si>
  <si>
    <t>Senior Consultant, Data Analytics</t>
  </si>
  <si>
    <t>Consultant- ERC
Ready to turn bold ideas into real-world impact?
At Genpact, we don’t just adapt to change, we lead it. AI and digital innovation are transforming the way businesses work, and we’re at the forefront of it. Genpact’s AI Gigafactory, our industry-first accelerator, ...</t>
  </si>
  <si>
    <t>https://indeed.com/viewjob?jk=23aa00f25d1c9a40</t>
  </si>
  <si>
    <t>IN_bf2017f73c044e33</t>
  </si>
  <si>
    <t>Business Technology Analyst</t>
  </si>
  <si>
    <t>https://indeed.com/viewjob?jk=bf2017f73c044e33</t>
  </si>
  <si>
    <t>IN_579a7b2498039d3e</t>
  </si>
  <si>
    <t>Fraud Business Analyst</t>
  </si>
  <si>
    <t>Standard Chartered Bank</t>
  </si>
  <si>
    <t>#body.unify div.unify-button-container .unify-apply-now: focus, #body.unify div.unify-button-container .unify-apply-#body.unify div.unify-button-container .unify-apply-now: focus, #body.unify div.unify-button-container .unify-apply- 
Requisition Number: 57537 
Job Location: Banga...</t>
  </si>
  <si>
    <t>https://indeed.com/viewjob?jk=579a7b2498039d3e</t>
  </si>
  <si>
    <t>IN_9c167554094819ce</t>
  </si>
  <si>
    <t>DATA ANALYST L4</t>
  </si>
  <si>
    <t>Job Description #body.unify div.unify-button-container .unify-apply-now: focus, #body.unify div.unify-button-container .unify-apply-#body.unify div.unify-button-container .unify-apply-now: focus, #body.unify div.unify-button-container .unify-apply- 
Job Title: DATA ANALYST L4 
Ci...</t>
  </si>
  <si>
    <t>https://indeed.com/viewjob?jk=9c167554094819ce</t>
  </si>
  <si>
    <t>IN_8b993c13de8f43c9</t>
  </si>
  <si>
    <t>Business Systems Analyst-Tech</t>
  </si>
  <si>
    <t>Ameriprise Financial</t>
  </si>
  <si>
    <t>About Our Company
Ameriprise India LLP has been providing client based financial solutions to help clients plan and achieve their financial objectives for 20 years. We are part of Ameriprise Financial Inc., a US financial planning company headquartered in Minneapolis with a globa...</t>
  </si>
  <si>
    <t>https://indeed.com/viewjob?jk=8b993c13de8f43c9</t>
  </si>
  <si>
    <t>IN_8775263cbe345bd3</t>
  </si>
  <si>
    <t>Analyst - Business Consulting Risk - FS - CNS - RISK - PROCESS &amp; CONTROLS - Mumbai</t>
  </si>
  <si>
    <t>EY</t>
  </si>
  <si>
    <t>Location: Mumbai 
Other locations: Primary Location Only 
Salary: Competitive 
Date: Jul 6, 2026 
Job description
Requisition ID: 1723786</t>
  </si>
  <si>
    <t>https://indeed.com/viewjob?jk=8775263cbe345bd3</t>
  </si>
  <si>
    <t>IN_59f56a68872a2b7f</t>
  </si>
  <si>
    <t>FP&amp;A Data Analyst (Financial)</t>
  </si>
  <si>
    <t>https://indeed.com/viewjob?jk=59f56a68872a2b7f</t>
  </si>
  <si>
    <t>IN_77cd5c62b552485a</t>
  </si>
  <si>
    <t>Senior Data Engineer - BI Data Products &amp; Databricks (Channel)</t>
  </si>
  <si>
    <t>TE Connectivity</t>
  </si>
  <si>
    <t>About TE Connectivity &amp; the Channel BU
TE Connectivity is a global technology leader that designs and manufactures connectivity and sensor solutions, serving industries that are transforming the future. The Channel Business Unit (CBU) manages TE's global distribution network and ...</t>
  </si>
  <si>
    <t>https://indeed.com/viewjob?jk=77cd5c62b552485a</t>
  </si>
  <si>
    <t>IN_ceb2ea1aaff1043d</t>
  </si>
  <si>
    <t>#body.unify div.unify-button-container .unify-apply-now: focus, #body.unify div.unify-button-container .unify-apply-#body.unify div.unify-button-container .unify-apply-now: focus, #body.unify div.unify-button-container .unify-apply- 
Requisition Number: 52130 
Job Location: Banga...</t>
  </si>
  <si>
    <t>https://indeed.com/viewjob?jk=ceb2ea1aaff1043d</t>
  </si>
  <si>
    <t>IN_cdf7f3f77bef18b9</t>
  </si>
  <si>
    <t>Senior Business Analyst</t>
  </si>
  <si>
    <t>HSBC</t>
  </si>
  <si>
    <t>Some careers shine brighter than others.
If you’re looking for a career that will help you stand out, join HSBC and fulfil your potential. Whether you want a career that could take you to the top, or simply take you in an exciting new direction, HSBC offers opportunities, support...</t>
  </si>
  <si>
    <t>https://indeed.com/viewjob?jk=cdf7f3f77bef18b9</t>
  </si>
  <si>
    <t>IN_b4b90c917722be15</t>
  </si>
  <si>
    <t>Assoc Logistics Analyst</t>
  </si>
  <si>
    <t>MiniMed</t>
  </si>
  <si>
    <t>At MiniMed, you can begin a lifelong career of exploration and innovation, while helping make a difference in the lives of people living with diabetes around the globe. You'll lead with purpose, breaking down barriers to innovation for a more connected, compassionate world. 
Abou...</t>
  </si>
  <si>
    <t>https://indeed.com/viewjob?jk=b4b90c917722be15</t>
  </si>
  <si>
    <t>IN_3fc5b5ba323d6420</t>
  </si>
  <si>
    <t>Data Analyst Project Intern (Training &amp; Quality) - 2026 Start (BS/MS)</t>
  </si>
  <si>
    <t>ByteDance</t>
  </si>
  <si>
    <t>Location 
: 
Gurgaon 
Team 
: 
Global Operations 
Employment Type 
: 
Intern 
Job Code 
: 
A61852 
Responsibilities 
Our Operations team moderate millions of videos globally every day, ensuring we are bringing only safe content to our users. Workflow Management builds an...</t>
  </si>
  <si>
    <t>https://indeed.com/viewjob?jk=3fc5b5ba323d6420</t>
  </si>
  <si>
    <t>IN_ca2ac45bc1debfc8</t>
  </si>
  <si>
    <t>Senior BI Analyst - Power BI &amp; Commercial Analytics</t>
  </si>
  <si>
    <t>https://indeed.com/viewjob?jk=ca2ac45bc1debfc8</t>
  </si>
  <si>
    <t>IN_67a072926c76be3d</t>
  </si>
  <si>
    <t>Group Lead Research Analyst</t>
  </si>
  <si>
    <t>https://indeed.com/viewjob?jk=67a072926c76be3d</t>
  </si>
  <si>
    <t>IN_bf82010f1d89aa1a</t>
  </si>
  <si>
    <t>Team Lead Research Analyst</t>
  </si>
  <si>
    <t>https://indeed.com/viewjob?jk=bf82010f1d89aa1a</t>
  </si>
  <si>
    <t>IN_3bc38f6fd309d4d6</t>
  </si>
  <si>
    <t>Business Systems Analyst</t>
  </si>
  <si>
    <t>Optum</t>
  </si>
  <si>
    <t>Optum is a global organization that delivers care, aided by technology to help millions of people live healthier lives. The work you do with our team will directly improve health outcomes by connecting people with the care, pharmacy benefits, data and resources they need to feel ...</t>
  </si>
  <si>
    <t>https://indeed.com/viewjob?jk=3bc38f6fd309d4d6</t>
  </si>
  <si>
    <t>IN_a6238eaf80a4aed0</t>
  </si>
  <si>
    <t>Iris Software</t>
  </si>
  <si>
    <t>a.dialogApplyBtn { display: none; } 
Posted On: 6 Jul 2026 
Location: Gurugram, HR, India 
#job-location.job-location-inline { display: inline; } 
Company: Iris Software 
Why Join Iris? 
Are you ready to do the best work of your career at one of India’s Top 25 Best Workplace...</t>
  </si>
  <si>
    <t>https://indeed.com/viewjob?jk=a6238eaf80a4aed0</t>
  </si>
  <si>
    <t>IN_ce2438fb4e17d89c</t>
  </si>
  <si>
    <t>Technical Research Analyst</t>
  </si>
  <si>
    <t>Signal Expert Global LLP</t>
  </si>
  <si>
    <t>Roles and Responsibilities:
Conduct in-depth research on Forex and Comex markets, staying abreast of global economic trends, geopolitical events, and commodity market movements.
Analyze and interpret financial data, charts, and indicators to identify potential trading opportuniti...</t>
  </si>
  <si>
    <t>https://indeed.com/viewjob?jk=ce2438fb4e17d89c</t>
  </si>
  <si>
    <t>IN_eb1095f4d42d82ca</t>
  </si>
  <si>
    <t>Location 
: 
Gurgaon 
Team 
: 
Global Operations 
Employment Type 
: 
Intern 
Job Code 
: 
A09864 
Responsibilities 
Our Operations team moderate millions of videos globally every day, ensuring we are bringing only safe content to our users. Workflow Management builds an...</t>
  </si>
  <si>
    <t>https://indeed.com/viewjob?jk=eb1095f4d42d82ca</t>
  </si>
  <si>
    <t>IN_12ec9a1a730f7ba3</t>
  </si>
  <si>
    <t>Analyst, Marketing Analytics</t>
  </si>
  <si>
    <t>Data Axle</t>
  </si>
  <si>
    <t>Data Axle Inc. has been an industry leader in data, marketing solutions, sales, and research for over 50 years in the USA. Data Axle now has an established strategic global centre of excellence in Pune. This centre delivers mission critical data services to its global customers p...</t>
  </si>
  <si>
    <t>https://indeed.com/viewjob?jk=12ec9a1a730f7ba3</t>
  </si>
  <si>
    <t>IN_4f2fccf4742c62aa</t>
  </si>
  <si>
    <t>6030_Data Analyst</t>
  </si>
  <si>
    <t>Recruise</t>
  </si>
  <si>
    <t>Data &amp; Analytics Specialist: Power BI, SQL &amp; Automation 
We are seeking a highly motivated and skilled Data &amp; Analytics Specialist to join our growing team. The ideal candidate will have a strong background in developing insightful business intelligence solutions, automating data...</t>
  </si>
  <si>
    <t>https://indeed.com/viewjob?jk=4f2fccf4742c62aa</t>
  </si>
  <si>
    <t>IN_d4fec24dfdfb51b0</t>
  </si>
  <si>
    <t>Research Analyst, Investor Relations</t>
  </si>
  <si>
    <t>MUFG</t>
  </si>
  <si>
    <t>Overview 
The Research Analyst plays a key role in supporting corporate clients with their investor relations (IR) needs, ensuring accurate market data and insights. 
The role maintains Miraqle, a global database of 65,000 buy- and sell-side contacts and 19,000 listed companies, ...</t>
  </si>
  <si>
    <t>https://indeed.com/viewjob?jk=d4fec24dfdfb51b0</t>
  </si>
  <si>
    <t>IN_313d781ff3099db7</t>
  </si>
  <si>
    <t>https://indeed.com/viewjob?jk=313d781ff3099db7</t>
  </si>
  <si>
    <t>IN_959bd1f1f030574b</t>
  </si>
  <si>
    <t>Analyst ( SQL, Power BI, Supply Chain) Omni Fulfillment</t>
  </si>
  <si>
    <t>Lowe's Home Improvement</t>
  </si>
  <si>
    <t>Innovate in Bengaluru
This position is based at our on-site office in Bengaluru. Lowe's offers an ultramodern work environment, complete with cutting-edge technology, collaborative workspaces, an on-site gym and clinic, and other perks to enhance your work experience.
About Lowe...</t>
  </si>
  <si>
    <t>https://indeed.com/viewjob?jk=959bd1f1f030574b</t>
  </si>
  <si>
    <t>IN_72ac6247bd29283d</t>
  </si>
  <si>
    <t>Sr Software Quality Assurance Analyst</t>
  </si>
  <si>
    <t>Labcorp</t>
  </si>
  <si>
    <t>Labcorp is a leader in diagnostics, drug development and healthcare innovation. Across every role, we harness data and AI to work smarter, move faster and create breakthrough solutions that improve health outcomes for people. With our global scale and deep expertise, you'll do me...</t>
  </si>
  <si>
    <t>https://indeed.com/viewjob?jk=72ac6247bd29283d</t>
  </si>
  <si>
    <t>IN_c1a9227dc3912d0d</t>
  </si>
  <si>
    <t>Engineering Division - Data Quality &amp; Governance - Analyst - Bengaluru</t>
  </si>
  <si>
    <t>Goldman Sachs</t>
  </si>
  <si>
    <t>What We Do 
At Goldman Sachs, our Engineers don’t just make things – we make things possible. Change the world by connecting people and capital with ideas. Solve the most challenging and pressing engineering problems for our clients. Join our engineering teams that build massivel...</t>
  </si>
  <si>
    <t>https://indeed.com/viewjob?jk=c1a9227dc3912d0d</t>
  </si>
  <si>
    <t>IN_8a240ca49467553e</t>
  </si>
  <si>
    <t>https://indeed.com/viewjob?jk=8a240ca49467553e</t>
  </si>
  <si>
    <t>IN_bf16a0175b59901e</t>
  </si>
  <si>
    <t>metropolis</t>
  </si>
  <si>
    <t>Role summary
The role involves executing end-to-end analytics across the data lifecycle, including data collection, cleaning, analysis, and insight generation to support product, marketing, and business operations. The candidate will analyze large and complex datasets using tools...</t>
  </si>
  <si>
    <t>https://indeed.com/viewjob?jk=bf16a0175b59901e</t>
  </si>
  <si>
    <t>IN_9707b094a0ee0fd7</t>
  </si>
  <si>
    <t>Business Support Senior Analyst</t>
  </si>
  <si>
    <t>NTT DATA</t>
  </si>
  <si>
    <t>About NTT DATA:
With people at the heart of our success, NTT DATA is committed to attracting and growing the best talent and providing an environment where everyone feels they can belong and their contribution matters. It’s our belief in possibility that drives us, but it’s our p...</t>
  </si>
  <si>
    <t>https://indeed.com/viewjob?jk=9707b094a0ee0fd7</t>
  </si>
  <si>
    <t>IN_267d38c1ffc8249b</t>
  </si>
  <si>
    <t>Lead Solutions Analyst - Payments</t>
  </si>
  <si>
    <t>JOB DESCRIPTION
Lead the forefront of innovative solutions analysis in a dynamic tech environment, driving success through expertise in data analytics and technical program delivery.
As a Lead Solutions Analyst in Corporate and Investment Back -Payment Technology team, you will...</t>
  </si>
  <si>
    <t>https://indeed.com/viewjob?jk=267d38c1ffc8249b</t>
  </si>
  <si>
    <t>IN_59516236d84738ce</t>
  </si>
  <si>
    <t>IN_Senior Associate_Java Developer_Data and Analytics_Advisory_Bangalore</t>
  </si>
  <si>
    <t>Line of Service 
Advisory 
Industry/Sector 
Not Applicable 
Specialism 
Data, Analytics &amp; AI 
Management Level 
Senior Associate 
Job Description &amp; Summary 
At PwC, our people in data and analytics focus on leveraging data to drive insights and make informed business decisions. T...</t>
  </si>
  <si>
    <t>https://indeed.com/viewjob?jk=59516236d84738ce</t>
  </si>
  <si>
    <t>IN_7242e738107208be</t>
  </si>
  <si>
    <t>Business Analyst || Sales Operations</t>
  </si>
  <si>
    <t>REIZEND PRIVATE LIMITED</t>
  </si>
  <si>
    <t>YEAR</t>
  </si>
  <si>
    <t>Brief Description
Location – Onshore &amp; Offshore
Work from Office / Client Location
Experience – 0–2 Years
Salary – 4 - 6 LPA
Job Types: Full-time, Permanent
Malayalam is a prerequisite
Roles &amp; Responsibilities
● Monitor daily, weekly, and monthly business and sales data for accur...</t>
  </si>
  <si>
    <t>https://indeed.com/viewjob?jk=7242e738107208be</t>
  </si>
  <si>
    <t>IN_e7971a3895d20f59</t>
  </si>
  <si>
    <t>Senior Analyst - Financial Reporting</t>
  </si>
  <si>
    <t>freshworks</t>
  </si>
  <si>
    <t>Company Description
Organizations everywhere struggle under the crushing costs and complexities of “solutions” that promise to simplify their lives. To create a better experience for their customers and employees. To help them grow. Software is a choice that can make or break a ...</t>
  </si>
  <si>
    <t>https://indeed.com/viewjob?jk=e7971a3895d20f59</t>
  </si>
  <si>
    <t>IN_34cc1939b474bcbd</t>
  </si>
  <si>
    <t>Digital Technology Junior Analyst</t>
  </si>
  <si>
    <t>Req ID: 379908 
NTT DATA strives to hire exceptional, innovative and passionate individuals who want to grow with us. If you want to be part of an inclusive, adaptable, and forward-thinking organization, apply now. 
We are currently seeking a Digital Technology Junior Analyst t...</t>
  </si>
  <si>
    <t>https://indeed.com/viewjob?jk=34cc1939b474bcbd</t>
  </si>
  <si>
    <t>IN_4ba6c531e6c76827</t>
  </si>
  <si>
    <t>https://indeed.com/viewjob?jk=4ba6c531e6c76827</t>
  </si>
  <si>
    <t>IN_17f62df9d15c1096</t>
  </si>
  <si>
    <t>Analyst II</t>
  </si>
  <si>
    <t>Takeda Pharmaceuticals</t>
  </si>
  <si>
    <t>https://indeed.com/viewjob?jk=17f62df9d15c1096</t>
  </si>
  <si>
    <t>IN_009036222b9ea0dc</t>
  </si>
  <si>
    <t>Supply Chain Operations Analyst</t>
  </si>
  <si>
    <t>Skill required: Fulfill - Order Fulfillment Planning
Designation: Supply Chain Operations Analyst
Qualifications:Any Graduation 
Years of Experience:3 to 5 years 
About Accenture
Accenture is a global professional services company with leading capabilities in digital, cloud and s...</t>
  </si>
  <si>
    <t>https://indeed.com/viewjob?jk=009036222b9ea0dc</t>
  </si>
  <si>
    <t>IN_59a5a86d90c89afc</t>
  </si>
  <si>
    <t>Accounting &amp; Reporting Analyst- GA</t>
  </si>
  <si>
    <t>ABB</t>
  </si>
  <si>
    <t>At ABB, we help industries run leaner and cleaner—and every person here makes that happen. You’ll be empowered to lead, supported to grow, and proud of the impact we create together. Join us and help run what runs the world.
This Position reports to:
Team Lead- General Accounting...</t>
  </si>
  <si>
    <t>https://indeed.com/viewjob?jk=59a5a86d90c89afc</t>
  </si>
  <si>
    <t>IN_65592ef506242b9e</t>
  </si>
  <si>
    <t>Business Analyst 3-Ops</t>
  </si>
  <si>
    <t>Senior Specialist, Oracle Giving &amp; CSR, India 
Oracle's Social Impact team seeks a Senior Specialist to support and strengthen the company's Corporate Social Responsibility (CSR) activities in India, with a focus on education and community impact initiatives. 
The ideal candidate...</t>
  </si>
  <si>
    <t>https://indeed.com/viewjob?jk=65592ef506242b9e</t>
  </si>
  <si>
    <t>IN_3f79d3b167cd9372</t>
  </si>
  <si>
    <t>https://indeed.com/viewjob?jk=3f79d3b167cd9372</t>
  </si>
  <si>
    <t>IN_9635f381c6c35296</t>
  </si>
  <si>
    <t>Travel &amp; Expense Analyst</t>
  </si>
  <si>
    <t>GlobalFoundries</t>
  </si>
  <si>
    <t>About GlobalFoundries 
GlobalFoundries is a leading full-service semiconductor foundry providing a unique combination of design, development, and fabrication services to some of the world’s most inspired technology companies. With a global manufacturing footprint spanning three c...</t>
  </si>
  <si>
    <t>https://indeed.com/viewjob?jk=9635f381c6c35296</t>
  </si>
  <si>
    <t>IN_995c392115f8af5f</t>
  </si>
  <si>
    <t>Business Intelligence Analyst</t>
  </si>
  <si>
    <t>Cummins</t>
  </si>
  <si>
    <t>The Business Intelligence Analyst is responsible for preparing and delivering business intelligence (BI) analyses, dashboards, and reports for key stakeholders to support data-driven decision-making. This role gathers reporting requirements, extracts and analyzes data from multip...</t>
  </si>
  <si>
    <t>https://indeed.com/viewjob?jk=995c392115f8af5f</t>
  </si>
  <si>
    <t>IN_939f6fa6e1459b2b</t>
  </si>
  <si>
    <t>Finance Operations Analyst (FP&amp;A)</t>
  </si>
  <si>
    <t>Overview: 
Work Location: Hyderabad
Work Hours: 2 PM to 11PM IST (During day light savings 3PM to 12 AM)
Skills: FP&amp;A, Budgeting, Forecasting, Variance Analysis
About Omnicom Global Solutions
Omnicom Global Solutions (OGS) is an integral part of Omnicom Group, a leading global m...</t>
  </si>
  <si>
    <t>https://indeed.com/viewjob?jk=939f6fa6e1459b2b</t>
  </si>
  <si>
    <t>IN_7940a659718fec2a</t>
  </si>
  <si>
    <t>Avaloq Business Analyst</t>
  </si>
  <si>
    <t>Date live: 07/06/2026
Business Area: Private Bank Processing
Area of Expertise: Change
Contract: Permanent
Reference Code: JR-0000114055
Join us as an Avaloq Business Analyst at Barclays, responsible for supporting the successful delivery of Location Strategy projects to plan, b...</t>
  </si>
  <si>
    <t>https://indeed.com/viewjob?jk=7940a659718fec2a</t>
  </si>
  <si>
    <t>IN_c709043b9856e067</t>
  </si>
  <si>
    <t>Revenue Management Sr Analyst</t>
  </si>
  <si>
    <t>Overview: 
ICC is a growing function within PepsiCo that leverages one strategy and common approach to introduce new, technology-driven capabilities and elevate service quality while meeting current and future business needs. PEP RGM is a key priority function where transformatio...</t>
  </si>
  <si>
    <t>https://indeed.com/viewjob?jk=c709043b9856e067</t>
  </si>
  <si>
    <t>IN_ce69de7c5f497661</t>
  </si>
  <si>
    <t>Analyst - Treasury Governance and Control</t>
  </si>
  <si>
    <t>Date live: 07/06/2026
Business Area: Finance
Area of Expertise: Finance
Contract: Permanent
Reference Code: JR-0000119765
Join Barclays as an Analyst - Treasury Governance and Control role, where role will be focused on Governance and Controls area, within Treasury Governance CO...</t>
  </si>
  <si>
    <t>https://indeed.com/viewjob?jk=ce69de7c5f497661</t>
  </si>
  <si>
    <t>IN_d2a4e02c43bbce2d</t>
  </si>
  <si>
    <t>Reporting Analyst</t>
  </si>
  <si>
    <t>Date live: 07/06/2026
Business Area: BX COO Shared Services
Area of Expertise: Data &amp; Analytics
Contract: Permanent
Reference Code: JR-0000106345
Join us as a "Reporting Analyst" at Barclays, where you'll spearhead the evolution of our digital landscape, driving innovation and e...</t>
  </si>
  <si>
    <t>https://indeed.com/viewjob?jk=d2a4e02c43bbce2d</t>
  </si>
  <si>
    <t>IN_eec401c4d0b1c114</t>
  </si>
  <si>
    <t>https://indeed.com/viewjob?jk=eec401c4d0b1c114</t>
  </si>
  <si>
    <t>IN_46a67d8ba31700ab</t>
  </si>
  <si>
    <t>Analyst - Supply Planning - PLPM - Global Planning Hub</t>
  </si>
  <si>
    <t>General Mills</t>
  </si>
  <si>
    <t>: 
India is among the top ten priority markets for General Mills, and hosts our Global Shared Services Centre. This is the Global Shared Services arm of General Mills Inc., which supports its operations worldwide. With over 1,300 employees in Mumbai, the center has capabilities i...</t>
  </si>
  <si>
    <t>https://indeed.com/viewjob?jk=46a67d8ba31700ab</t>
  </si>
  <si>
    <t>IN_0e28b13ba0805747</t>
  </si>
  <si>
    <t>D&amp;T Analyst I – Master Data Operations</t>
  </si>
  <si>
    <t>https://indeed.com/viewjob?jk=0e28b13ba0805747</t>
  </si>
  <si>
    <t>IN_64d3d7bd980c29b8</t>
  </si>
  <si>
    <t>Analyst Accounts Payable</t>
  </si>
  <si>
    <t>Medline Industries</t>
  </si>
  <si>
    <t>Job Summary 
Job Description 
Create and maintain A/P’s internal controls and training documentation for all A/P processes. - Analyze and act upon results from automated audit software (Gold Prairie &amp; SAP). Review all Gold Prairie duplicate payment prevention reports prior to dis...</t>
  </si>
  <si>
    <t>https://indeed.com/viewjob?jk=64d3d7bd980c29b8</t>
  </si>
  <si>
    <t>IN_1bfb516a318cfab5</t>
  </si>
  <si>
    <t>Aditya Birla Group</t>
  </si>
  <si>
    <t>Designation: 
Location: India Maharashtra G-Corp Tech Park, Thane
Organization: Financial Services
Job Description:
Data Analyst - Roles and Responsibilities
Responsibilities
Business Objectives Recommendations
Collaborate with various teams to collect business data to complet...</t>
  </si>
  <si>
    <t>https://indeed.com/viewjob?jk=1bfb516a318cfab5</t>
  </si>
  <si>
    <t>IN_25f651b28d5006c1</t>
  </si>
  <si>
    <t>Senior Python Developer</t>
  </si>
  <si>
    <t>Tranetech Software Solution</t>
  </si>
  <si>
    <t>We are looking for a Senior Python Developer with 5–6 years of experience in designing and developing scalable backend applications using Python, Django, FastAPI, and Flask. The ideal candidate should have hands-on experience in Machine Learning, RESTful API development, database...</t>
  </si>
  <si>
    <t>https://indeed.com/viewjob?jk=25f651b28d5006c1</t>
  </si>
  <si>
    <t>IN_fbd879cbc1ef994a</t>
  </si>
  <si>
    <t>Full Stack Developer Internship</t>
  </si>
  <si>
    <t>Metsay Immigrations</t>
  </si>
  <si>
    <t>Job Title: Full Stack Developer Internship
Job Type: Internship
Job Description
We are looking for a motivated Full Stack Developer Intern to join our team and gain hands-on experience in web application development.
Requirements
Basic knowledge of HTML, CSS, and JavaScript
Under...</t>
  </si>
  <si>
    <t>https://indeed.com/viewjob?jk=fbd879cbc1ef994a</t>
  </si>
  <si>
    <t>IN_38d0b1bb5c043d18</t>
  </si>
  <si>
    <t>Cloud Infrastructure Engineer</t>
  </si>
  <si>
    <t>Programming.com</t>
  </si>
  <si>
    <t>Senior Cloud Infrastructure Engineer
Client: Threads Uniform Agency
Location: Any Madhya Pradesh (MP) Location (Remote / Offshore)
Shift: Noon Shift
Notice Period: Immediate Joiners Only
## About Threads Uniform Agency &amp; The Role
Threads Uniform Agency is seeking a Senior Cloud I...</t>
  </si>
  <si>
    <t>https://indeed.com/viewjob?jk=38d0b1bb5c043d18</t>
  </si>
  <si>
    <t>IN_c575cfe250eca408</t>
  </si>
  <si>
    <t>Inode Technologies Private Ltd</t>
  </si>
  <si>
    <t>We are looking for a talented and experienced Team Lead to join our dynamic team. The ideal candidate will guide a team in creating a innovative software application, utilizing Java Spring Boot ,Microservices for back-end development and Javascript ,Bootstrap for front-end develo...</t>
  </si>
  <si>
    <t>https://indeed.com/viewjob?jk=c575cfe250eca408</t>
  </si>
  <si>
    <t>IN_c3b63a12ada2bb5f</t>
  </si>
  <si>
    <t>React Native Developer</t>
  </si>
  <si>
    <t>Career Hotspot &amp; Services</t>
  </si>
  <si>
    <t>Job Title
React Native Developer
Location
Noida, Uttar Pradesh
Job Type
Full-time
Experience Required
2+ Years
Job Summary
The ideal candidate should have hands-on experience developing, testing, and maintaining high-performance mobile applications. You will collaborate with cros...</t>
  </si>
  <si>
    <t>https://indeed.com/viewjob?jk=c3b63a12ada2bb5f</t>
  </si>
  <si>
    <t>IN_999554ea94efafa3</t>
  </si>
  <si>
    <t>Platform Engineer - (Azure, IaC &amp; DevOps) - Husky (Guindy, Chennai)</t>
  </si>
  <si>
    <t>At Husky TechnologiesTM, our success is based on your success. Our ability to keep our customers in the lead is based on building the strongest team possible.
Husky TechnologiesTM has a strong foundation built on innovation, close customer relationships and a unique culture and v...</t>
  </si>
  <si>
    <t>https://indeed.com/viewjob?jk=999554ea94efafa3</t>
  </si>
  <si>
    <t>IN_12efa06f2ef9a9ea</t>
  </si>
  <si>
    <t>Software Development Intern</t>
  </si>
  <si>
    <t>LONGEFIT HEALTH PRIVATE LIMITED</t>
  </si>
  <si>
    <t>Job Type: Full-time Internship
Experience: Fresher / 0–1 Year
Job Summary
We are looking for a Software Development Intern to support the development of our CRM platform and its integration with hardware devices. This opportunity is suitable for engineering graduates who have an ...</t>
  </si>
  <si>
    <t>https://indeed.com/viewjob?jk=12efa06f2ef9a9ea</t>
  </si>
  <si>
    <t>IN_0a3e98fff56fe0ed</t>
  </si>
  <si>
    <t>Swaraa Tech Solutions</t>
  </si>
  <si>
    <t>We are Hiring Python Developer 
Experience: 2+ Years
Location: Ahemdabad, Work From Office
Shift: US Time Zone 6 PM to 3 AM (Rotational shift)
Immediate Joiner Preferred 
Job Description 
We are looking for a passionate Python Developer to join our engineering team. The ideal can...</t>
  </si>
  <si>
    <t>https://indeed.com/viewjob?jk=0a3e98fff56fe0ed</t>
  </si>
  <si>
    <t>IN_1d58bb3e3b679b62</t>
  </si>
  <si>
    <t>Developer – Azure Full Stack / Custom Business Applications - Husky (Guindy, Chennai)</t>
  </si>
  <si>
    <t>https://indeed.com/viewjob?jk=1d58bb3e3b679b62</t>
  </si>
  <si>
    <t>IN_1dc33458dae4245e</t>
  </si>
  <si>
    <t>DataArt</t>
  </si>
  <si>
    <t>Client: Our client is a leading technology and consulting organization focused on delivering cutting‑edge digital solutions, AI‑powered products, and enterprise‑scale transformation programs. They work with global partners to design, build, and operationalize innovative tools and...</t>
  </si>
  <si>
    <t>https://indeed.com/viewjob?jk=1dc33458dae4245e</t>
  </si>
  <si>
    <t>IN_853e66266acf564b</t>
  </si>
  <si>
    <t>Test Automation Engineer (Quality Engineering) - Husky (Guindy,Chennai)</t>
  </si>
  <si>
    <t>https://indeed.com/viewjob?jk=853e66266acf564b</t>
  </si>
  <si>
    <t>IN_8ad145a02814ff17</t>
  </si>
  <si>
    <t>Python/Django Developer</t>
  </si>
  <si>
    <t>ChicMic Studios</t>
  </si>
  <si>
    <t>PB</t>
  </si>
  <si>
    <t>Job Description:
We are looking for a highly skilled and experienced Python Developer to join our dynamic team. The ideal candidate will have a robust background in developing web applications using Django and Flask, with experience in deploying and managing applications on AWS. ...</t>
  </si>
  <si>
    <t>https://indeed.com/viewjob?jk=8ad145a02814ff17</t>
  </si>
  <si>
    <t>IN_3ed30281d0bf9e2a</t>
  </si>
  <si>
    <t>ITC Labs</t>
  </si>
  <si>
    <t>Job Title
Development Lead / Operation Manager
Job Summary
We are seeking an experienced Full Stack Technical Manager to lead software development teams, drive technical excellence, and ensure successful delivery of technology projects. The ideal candidate will combine strong tec...</t>
  </si>
  <si>
    <t>https://indeed.com/viewjob?jk=3ed30281d0bf9e2a</t>
  </si>
  <si>
    <t>IN_24d742cf50b4212f</t>
  </si>
  <si>
    <t>Pega Developer</t>
  </si>
  <si>
    <t>Job Summary
We are hiring experienced Pega Developers for one of our leading clients. We are looking for professionals with strong expertise in Pega and PRPC who are passionate about delivering enterprise-level solutions.
Key Responsibilities
Develop and maintain applications usi...</t>
  </si>
  <si>
    <t>https://indeed.com/viewjob?jk=24d742cf50b4212f</t>
  </si>
  <si>
    <t>IN_0ef502075c452522</t>
  </si>
  <si>
    <t>Wits Innovation Lab</t>
  </si>
  <si>
    <t>Job Description: DevOps Engineer
Experience-4.5+yrs
As a DevOps Engineer, you will be responsible for designing, implementing, and maintaining the infrastructure that supports our platform and solutions. You will work closely and collaborate with various development and operation...</t>
  </si>
  <si>
    <t>https://indeed.com/viewjob?jk=0ef502075c452522</t>
  </si>
  <si>
    <t>IN_86a00b332f4109cd</t>
  </si>
  <si>
    <t>Cloud IAM Security Engineer</t>
  </si>
  <si>
    <t>Job Description : Cloud IAM Security Engineer (Senior)
Location: Pune
Experience: 7+ Years
Role : Permanent
Budget: As per market Standards
Responsibilities:
Develop Cloud IAM strategies and security patterns to enable secure access to assets and services in public cloud.
Collabo...</t>
  </si>
  <si>
    <t>https://indeed.com/viewjob?jk=86a00b332f4109cd</t>
  </si>
  <si>
    <t>IN_e7fe212f53a40edc</t>
  </si>
  <si>
    <t>Cloud Security Engineer</t>
  </si>
  <si>
    <t>Job Description : Cloud Security Architect
Location: Pune
Experience: 7+ Years
Role : Permanent
Budget: As per market Standards
Roles &amp; Responsibilities :
The Cloud security Architect-CISO is a senior level professional position responsible for driving efforts to prevent, monitor...</t>
  </si>
  <si>
    <t>https://indeed.com/viewjob?jk=e7fe212f53a40edc</t>
  </si>
  <si>
    <t>IN_b0cb40a4cbc75437</t>
  </si>
  <si>
    <t>Development Designer : HMI-Development Engineering -Husky(India)Chennai,Guindy</t>
  </si>
  <si>
    <t>https://indeed.com/viewjob?jk=b0cb40a4cbc75437</t>
  </si>
  <si>
    <t>IN_8ecf1edb7c03a122</t>
  </si>
  <si>
    <t>The Enterprise Technology Services organization partners with every part of the American Express business to power the company’s growth and innovation with trust and efficiency, and drive competitive differentiation with speed. We support the delivery and operations of technology...</t>
  </si>
  <si>
    <t>https://indeed.com/viewjob?jk=8ecf1edb7c03a122</t>
  </si>
  <si>
    <t>IN_c9da8f0526bdebec</t>
  </si>
  <si>
    <t>Staff Software Engineer II - Java, Microservices &amp; Springboot</t>
  </si>
  <si>
    <t>Blue Yonder</t>
  </si>
  <si>
    <t>Scope:
Develop features across multiple sub modules within our applications, including collaboration in requirements definition, prototyping, design, coding, testing, debugging, effort estimation, and continuous quality improvement of the design &amp; code and deployment.
Design, dev...</t>
  </si>
  <si>
    <t>https://indeed.com/viewjob?jk=c9da8f0526bdebec</t>
  </si>
  <si>
    <t>IN_b3218cea7449cd76</t>
  </si>
  <si>
    <t>Mobile Application Developer (Android &amp; ios)</t>
  </si>
  <si>
    <t>CodeMind Staffing Solutions</t>
  </si>
  <si>
    <t>2+ years of experiene in mobile application development
Design, develop, test, and deploy mobile monitoring solutions (Plugin) for Android and iOS platforms.
Build and maintain a performance monitoring solution that captures real-time metrics such as CPU, memory, battery, network...</t>
  </si>
  <si>
    <t>https://indeed.com/viewjob?jk=b3218cea7449cd76</t>
  </si>
  <si>
    <t>IN_66d86a919c3a9f75</t>
  </si>
  <si>
    <t>Windows Desktop Software Engineer (.NET Developer)</t>
  </si>
  <si>
    <t>ibroad solutions</t>
  </si>
  <si>
    <t>Windows Desktop Software Engineer (.NET Developer)
Experience: 8 to 15 years
Location: Hyderabad
We are looking for a Software Engineer with strong expertise in C++, C#/.NET, and Windows Desktop application development to work on enterprise-grade Windows applications.
Key Skills:...</t>
  </si>
  <si>
    <t>https://indeed.com/viewjob?jk=66d86a919c3a9f75</t>
  </si>
  <si>
    <t>IN_bb55aa7ad2d4fbcd</t>
  </si>
  <si>
    <t>delphic</t>
  </si>
  <si>
    <t>Experience- 4+ Years
Role Overview
We are looking for a skilled MERN Full Stack Developer with 4+ years of experience in designing, developing, and maintaining scalable web applications. The ideal candidate should have strong expertise in the MERN stack, REST APIs, databases, and...</t>
  </si>
  <si>
    <t>https://indeed.com/viewjob?jk=bb55aa7ad2d4fbcd</t>
  </si>
  <si>
    <t>IN_8a1c89d40a7e9f21</t>
  </si>
  <si>
    <t>GenAI / Cloud / Terraform Engineer</t>
  </si>
  <si>
    <t>Delphic Global</t>
  </si>
  <si>
    <t>GenAI / Cloud / Terraform Engineer
Experience: 6+ Years
Location: Remote
Work Hours: 11:00 AM – 9:00 PM
Role Overview
We are seeking a highly skilled GenAI / Cloud / Terraform Engineer to design, develop, and deploy enterprise-scale AI solutions leveraging Generative AI, Azure Cl...</t>
  </si>
  <si>
    <t>https://indeed.com/viewjob?jk=8a1c89d40a7e9f21</t>
  </si>
  <si>
    <t>IN_ce22d0e18ac767bd</t>
  </si>
  <si>
    <t>Embedded Software Engineer – Drivers, RTOS &amp; Real-Time Control</t>
  </si>
  <si>
    <t>Technosoft Engineering Projects Limited</t>
  </si>
  <si>
    <t>Position: Embedded Software Engineer – Drivers, RTOS &amp; Real-Time Control
Experience: 4 – 8 Years
Qualifications: Bachelor’s / Master’s degree in Electronics/Computer Science/SW Engineering
Location: Pune
Key Responsibilities:
Design, develop, and validate low-level drivers for on...</t>
  </si>
  <si>
    <t>https://indeed.com/viewjob?jk=ce22d0e18ac767bd</t>
  </si>
  <si>
    <t>IN_1cbe4fa80e1370bf</t>
  </si>
  <si>
    <t>AI Video Editor</t>
  </si>
  <si>
    <t>JOB DESCRIPTION
Goyal Brothers Prakashan (GBP) Job Title: AI Video Editor Location: Noida, Sector 63 Employment Type: Full-Time Salary Budget: Up to ₹27,000 per month
About Us
Goyal Brothers Prakashan (GBP) is one of India's most reputed and long-established educational publishin...</t>
  </si>
  <si>
    <t>https://indeed.com/viewjob?jk=1cbe4fa80e1370bf</t>
  </si>
  <si>
    <t>IN_89319c53f3c25e4b</t>
  </si>
  <si>
    <t>Database Administrator</t>
  </si>
  <si>
    <t>CliniSys</t>
  </si>
  <si>
    <t>Clinisys is a global provider of intelligent diagnostic informatics solutions and expertise designed to redefine the modern laboratory, across healthcare, life sciences, and public health. Millions of diagnostic results and data insights are generated every day using Clinisys’ pl...</t>
  </si>
  <si>
    <t>https://indeed.com/viewjob?jk=89319c53f3c25e4b</t>
  </si>
  <si>
    <t>IN_83b1ad9749c2564f</t>
  </si>
  <si>
    <t>Associate Data Scientist - Enterprise &amp; Reporting</t>
  </si>
  <si>
    <t>Circle K</t>
  </si>
  <si>
    <t>Job Description
Alimentation Couche-Tard Inc., (ACT) is a global Fortune 200 company. A leader in the convenience store and fuel space, it has footprint across 31 countries and territories. The India Data &amp; Analytics Global Capability Centre is an integral part of ACT’s Global Da...</t>
  </si>
  <si>
    <t>https://indeed.com/viewjob?jk=83b1ad9749c2564f</t>
  </si>
  <si>
    <t>IN_30baee4bf6f7a980</t>
  </si>
  <si>
    <t>Java FSD (Angular)</t>
  </si>
  <si>
    <t>Tech Next</t>
  </si>
  <si>
    <t>Java Full Stack Developer (Java + Angular)
Experience: 6–8 Years
Employment Type: C2C
Location: Remote
Work Hours: 11:00 AM – 9:00 PM
Role Overview
We are seeking a highly skilled Java Full Stack Developer with strong expertise in Java, Spring Boot, and Angular to join our develo...</t>
  </si>
  <si>
    <t>https://indeed.com/viewjob?jk=30baee4bf6f7a980</t>
  </si>
  <si>
    <t>IN_a2877532341d3a94</t>
  </si>
  <si>
    <t>Data Entry Intern (6 Months|Full Time|Temporary)</t>
  </si>
  <si>
    <t>Karomi Technology Pvt Ltd</t>
  </si>
  <si>
    <t>About Karomi 
ManageArtworks (A flagship product brought to you by Karomi, a leading Enterprise SaaS provider) powers 5000+ leading Global and Indian brands by effectively managing every step of their packaging and artwork process. These companies reach markets faster with our en...</t>
  </si>
  <si>
    <t>https://indeed.com/viewjob?jk=a2877532341d3a94</t>
  </si>
  <si>
    <t>IN_1d94ca2414cb0b50</t>
  </si>
  <si>
    <t>Business Development Executive (BDE)</t>
  </si>
  <si>
    <t>Constems-AI</t>
  </si>
  <si>
    <t>About Constems-AI
Constems-AI is a fast-growing technology company delivering AI, machine learning, computer vision, IoT, and data analytics solutions to enterprise clients. We are looking for a technical sales executive/associate who can combine business development with pre-sal...</t>
  </si>
  <si>
    <t>https://indeed.com/viewjob?jk=1d94ca2414cb0b50</t>
  </si>
  <si>
    <t>IN_9010d6f2dda92f09</t>
  </si>
  <si>
    <t>Graphic / Multimedia Designer</t>
  </si>
  <si>
    <t>Ecrystal Digital Technology</t>
  </si>
  <si>
    <t>Job Details:
Position: Graphic / Multimedia Designer
Location: Coimbatore
Experience: 1–2 Years
Skills Required:
Must know Graphic Designing
Must know Video Editing
Knowledge of AI tools is an added advantage
Contact: HR - 7339558749
Pay: ₹10,000.00 - ₹15,000.00 per month
Work Lo...</t>
  </si>
  <si>
    <t>https://indeed.com/viewjob?jk=9010d6f2dda92f09</t>
  </si>
  <si>
    <t>IN_2a91f7024e9896a4</t>
  </si>
  <si>
    <t>Digital Marketing Executive</t>
  </si>
  <si>
    <t>Company: VGP Heritage
Position: Digital Marketing Executive
Location: VGP Heritage
Key Responsibilities
Plan, execute, and optimize digital marketing campaigns across various online platforms.
Manage and optimize Google Ads and YouTube Ads campaigns to generate quality leads and ...</t>
  </si>
  <si>
    <t>https://indeed.com/viewjob?jk=2a91f7024e9896a4</t>
  </si>
  <si>
    <t>IN_4b54b66ee1a9eb2f</t>
  </si>
  <si>
    <t>Blog &amp; Content Writer</t>
  </si>
  <si>
    <t>JAKS LLP</t>
  </si>
  <si>
    <t>Blog &amp; Content Writer
Location: Kochi
Experience: 2–5 Years
Qualification: Bachelor's Degree in English, Journalism, Mass Communication, Marketing, or a related field.
Salary: Best in the Industry
Immediate Joiners Preferred
Work Mode: Work from Office
Job Summary
We are looking ...</t>
  </si>
  <si>
    <t>https://indeed.com/viewjob?jk=4b54b66ee1a9eb2f</t>
  </si>
  <si>
    <t>IN_7a4219876fbfa244</t>
  </si>
  <si>
    <t>Quality Engineer</t>
  </si>
  <si>
    <t>Position Summary
As a Software Quality Engineer (IC IV) and member of a multi-functional Agile team, you will identify user-centric scenarios and build &amp; execute automation to ensure quality across our scientific and healthcare products.
You will report, track, and validate issue...</t>
  </si>
  <si>
    <t>https://indeed.com/viewjob?jk=7a4219876fbfa244</t>
  </si>
  <si>
    <t>IN_0411d4561b4da6d7</t>
  </si>
  <si>
    <t>Agentic AI Trainer</t>
  </si>
  <si>
    <t>Sikharthy</t>
  </si>
  <si>
    <t>DAY</t>
  </si>
  <si>
    <t>Description:
Looking for a trainer to conduct a 5 days practical-based training on Agentic AI. The role involves delivering hands-on sessions, live demonstrations, and guiding the candidates.
Preferred Skills:
Strong knowledge of AI, Machine Learning, and Autonomous Systems
Prior...</t>
  </si>
  <si>
    <t>https://indeed.com/viewjob?jk=0411d4561b4da6d7</t>
  </si>
  <si>
    <t>IN_4251fb9f02491d77</t>
  </si>
  <si>
    <t>Digital Marketing Executive / Manager (E-Commerce)</t>
  </si>
  <si>
    <t>Job Description
Position: Digital Marketing Executive (E-Commerce)
Experience : 2 to 5 years
Location : Bhopal
Job Summary
We are looking for a Digital Marketing Executive / Manager with 2–5 years of experience in e-commerce marketing. The ideal candidate should have expertise in...</t>
  </si>
  <si>
    <t>https://indeed.com/viewjob?jk=4251fb9f02491d77</t>
  </si>
  <si>
    <t>IN_ed0e4f8220a8aaa1</t>
  </si>
  <si>
    <t>VFX and Animation Faculty</t>
  </si>
  <si>
    <t>Margam Nirman Private Limited</t>
  </si>
  <si>
    <t>OR</t>
  </si>
  <si>
    <t>INSD – International School of Design, Bhubaneswar
Location: Bhubaneswar, OdishaJob Type: Full-TimeSalary: ₹25,000 – ₹38,000 per month (Based on interview performance)Work Location: In Person
About INSD
INSD (International School of Design), Bhubaneswar is a premier design instit...</t>
  </si>
  <si>
    <t>https://indeed.com/viewjob?jk=ed0e4f8220a8aaa1</t>
  </si>
  <si>
    <t>IN_ba480214d0a7ebdf</t>
  </si>
  <si>
    <t>Director - Brand Strategy Analytics</t>
  </si>
  <si>
    <t>MSD</t>
  </si>
  <si>
    <t>Job Description 
Director -Brand Strategy Analytics, Digital Human Health (DHH) 
Job Title 
Director — Brand Strategy Analytics, Digital Human Health 
Job Description 
This role sits within the Brand Strategy vertical of Digital Human Health (DHH), India Hub. As the patient-...</t>
  </si>
  <si>
    <t>https://indeed.com/viewjob?jk=ba480214d0a7ebdf</t>
  </si>
  <si>
    <t>IN_f450da96b8f818c3</t>
  </si>
  <si>
    <t>Associate Director, Commercial AI – Business Value Delivery</t>
  </si>
  <si>
    <t>Job Description 
Associate Director — Commercial AI – Business Value Delivery, Digital Human Health 
Job Description 
This role sits within the Commercial AI vertical of Digital Human Health (DHH), which is responsible for building and scaling AI capabilities across cross-func...</t>
  </si>
  <si>
    <t>https://indeed.com/viewjob?jk=f450da96b8f818c3</t>
  </si>
  <si>
    <t>IN_fc214cf2311fc71d</t>
  </si>
  <si>
    <t>Systems Integration Senior Specialist</t>
  </si>
  <si>
    <t>Req ID: 377287 
NTT DATA strives to hire exceptional, innovative and passionate individuals who want to grow with us. If you want to be part of an inclusive, adaptable, and forward-thinking organization, apply now. 
We are currently seeking a Systems Integration Senior Speciali...</t>
  </si>
  <si>
    <t>https://indeed.com/viewjob?jk=fc214cf2311fc71d</t>
  </si>
  <si>
    <t>IN_81e14a98daf55049</t>
  </si>
  <si>
    <t>Identity Governance &amp; Architect Saviyant</t>
  </si>
  <si>
    <t>Aliqan Technologies</t>
  </si>
  <si>
    <t>Job Description: Solutions Architect – Identity Governance &amp; Administration (Saviynt)
Job Title: Solutions Architect – Identity Governance &amp; Administration (Saviynt)
Experience: 12+ Years
Location: Trivandrum / Kochi / Remote
Employment Type: Contract to Hire (C2H)
Open Positions...</t>
  </si>
  <si>
    <t>https://indeed.com/viewjob?jk=81e14a98daf55049</t>
  </si>
  <si>
    <t>IN_5ae6804cbee34a03</t>
  </si>
  <si>
    <t>Director - Digital Content and Customer Experience</t>
  </si>
  <si>
    <t>Job Description 
Director - Digital Content and Customer Experience, Digital Human Health (DHH) 
Job Title 
Director — Digital Content and Customer Experience, Digital Human Health 
Job Description 
This role sits within the Digital Content and Customer Experience vertical o...</t>
  </si>
  <si>
    <t>https://indeed.com/viewjob?jk=5ae6804cbee34a03</t>
  </si>
  <si>
    <t>IN_3a82ebeab2b393bc</t>
  </si>
  <si>
    <t>Email Marketing Executive</t>
  </si>
  <si>
    <t>Qualysec Technologies Pvt Ltd</t>
  </si>
  <si>
    <t>Job Title: - Email Marketing Executive (Lead Generation) 
Job Description:
We are seeking a results-driven Email Marketing Executive to manage and execute email campaigns focused on lead generation and conversion. The ideal candidate should have hands-on experience in creating em...</t>
  </si>
  <si>
    <t>https://indeed.com/viewjob?jk=3a82ebeab2b393bc</t>
  </si>
  <si>
    <t>IN_080a501e636e5057</t>
  </si>
  <si>
    <t>Animator Fresher</t>
  </si>
  <si>
    <t>Enfec</t>
  </si>
  <si>
    <t>!! FreshersJob
Title: AI Content Design Intern
Location: Remote / Hybrid
Duration: Internship (PPO based on performance)
!!! Need people who are interested in Designing..!!!
About the RoleWe are looking for creative and enthusiastic interns who are interested in AI tools, visual ...</t>
  </si>
  <si>
    <t>https://indeed.com/viewjob?jk=080a501e636e5057</t>
  </si>
  <si>
    <t>IN_c95aa76c832a6051</t>
  </si>
  <si>
    <t>AI/ML Engineer / Python</t>
  </si>
  <si>
    <t>Experience-4+Years
Role Overview
We are looking for an experienced AI/ML Engineer with strong Python development skills to build, deploy, and optimize machine learning and Generative AI solutions. The ideal candidate should have hands-on experience in developing AI models, workin...</t>
  </si>
  <si>
    <t>https://indeed.com/viewjob?jk=c95aa76c832a6051</t>
  </si>
  <si>
    <t>IN_5547edfb9307fc7b</t>
  </si>
  <si>
    <t>Director - Data Products</t>
  </si>
  <si>
    <t>Job Description 
Director, Data Products, DHH India 
Our Digital Human Health (DHH) organization is charged with innovating how we understand our patients and their needs. Working cross functionally, we are inventing new ways of engaging with our customers and patients by lever...</t>
  </si>
  <si>
    <t>https://indeed.com/viewjob?jk=5547edfb9307fc7b</t>
  </si>
  <si>
    <t>IN_0f7e86f02bed3f17</t>
  </si>
  <si>
    <t>Video Editor</t>
  </si>
  <si>
    <t>Sage GFX Digital Solution</t>
  </si>
  <si>
    <t>We are looking for a creative and detail-oriented Video Editor with 1–2 years of professional experience to join our team. The ideal candidate should have strong editing skills, a good sense of storytelling, and the ability to create engaging videos for social media, digital mark...</t>
  </si>
  <si>
    <t>https://indeed.com/viewjob?jk=0f7e86f02bed3f17</t>
  </si>
  <si>
    <t>IN_2739289005f42dc0</t>
  </si>
  <si>
    <t>Import &amp; Marketing Intern</t>
  </si>
  <si>
    <t>Interbind Technologies Pvt Ltd</t>
  </si>
  <si>
    <t>Job Title: Import &amp; Marketing Intern
Location: Coimbatore
Company: Interbind Technologies Pvt. Ltd.
Job Type: Internship (In-person)
Duration: 6 to 12 Months
Stipend: ₹7,000 per month
About the Role:
We are looking for an enthusiastic and detail-oriented Import &amp; Marketing Intern...</t>
  </si>
  <si>
    <t>https://indeed.com/viewjob?jk=2739289005f42dc0</t>
  </si>
  <si>
    <t>IN_3c656c218b571043</t>
  </si>
  <si>
    <t>Internship HR Intern</t>
  </si>
  <si>
    <t>Tech Beam Design Private Limited</t>
  </si>
  <si>
    <t>We are looking for HR Intern basic Preferred from HR final year background.
AI skills + Prompts
Communication + (7/10)
Preferred from HR final year background.
Stay fund based on Target.
Email Draft + Respond to Remail.
Outlook skills
Excell skills
Target -&gt;
reaching out to aroun...</t>
  </si>
  <si>
    <t>https://indeed.com/viewjob?jk=3c656c218b571043</t>
  </si>
  <si>
    <t>IN_90e487baefa223eb</t>
  </si>
  <si>
    <t>Junior Data Engineer</t>
  </si>
  <si>
    <t>Ivy</t>
  </si>
  <si>
    <t>Company Description
Entain India is the engineering and delivery powerhouse for Entain, one of the world's leading global sports and gaming groups. Established in Hyderabad in 2001, we've grown from a small tech hub into a dynamic force, delivering the latest software solutions ...</t>
  </si>
  <si>
    <t>https://indeed.com/viewjob?jk=90e487baefa223eb</t>
  </si>
  <si>
    <t>IN_ef3b6cbb42f76583</t>
  </si>
  <si>
    <t>Director, Commercial Technology Solutions</t>
  </si>
  <si>
    <t>Job Description 
Director, Commercial Technology Solutions, DHH India Hub 
Job Description 
This role sits within the Commercial Technology Solutions (CTS) vertical of Digital Human Health (DHH), India Hub. The CTS organization is the engineering backbone of DHH, responsible for...</t>
  </si>
  <si>
    <t>https://indeed.com/viewjob?jk=ef3b6cbb42f76583</t>
  </si>
  <si>
    <t>IN_aad77cda2d62642a</t>
  </si>
  <si>
    <t>Reltio Developer</t>
  </si>
  <si>
    <t>Job Title: Reltio MDM Developer (Urgent Hiring)
Company: ProcDNA
Location: Kharadi, Pune (Hybrid)
Position Type: Contract (CTR)
Experience Level: 4–5 Years
Job Overview
ProcDNA is seeking a skilled and experienced Reltio MDM Developer for an urgent contract position based out of ...</t>
  </si>
  <si>
    <t>https://indeed.com/viewjob?jk=aad77cda2d62642a</t>
  </si>
  <si>
    <t>IN_13396b5c08f1e021</t>
  </si>
  <si>
    <t>Python &amp; InManta Automation</t>
  </si>
  <si>
    <t>Key Responsibilities:
Private Cloud OpenStack OpenShift infrastructure automation experience
Responsible for automation design development implementation operation improvement and debug in multi cloud environments
Technology consultation during the Architecture design review and...</t>
  </si>
  <si>
    <t>https://indeed.com/viewjob?jk=13396b5c08f1e021</t>
  </si>
  <si>
    <t>IN_63743131dcf8d453</t>
  </si>
  <si>
    <t>Agentic AI Engineer</t>
  </si>
  <si>
    <t>Job Description:
We are looking for an enthusiastic Agentic AI Engineer to join our team in building intelligent autonomous AI agents
You will contribute to designing and implementing LLM based systems and multi agent workflows under the guidance of senior engineers gaining deep...</t>
  </si>
  <si>
    <t>https://indeed.com/viewjob?jk=63743131dcf8d453</t>
  </si>
  <si>
    <t>IN_1d8ba09f46d2a1c2</t>
  </si>
  <si>
    <t>Comscore</t>
  </si>
  <si>
    <t>Some roles create and maintain internal and external user interface and reporting tools. These roles cross all Comscore product areas, including digital, mobile, OTT, and TV.
What You’ll Do:
Leads data investigations; owns solutions and delivery.
Collaborates with Sr. Data Analys...</t>
  </si>
  <si>
    <t>https://indeed.com/viewjob?jk=1d8ba09f46d2a1c2</t>
  </si>
  <si>
    <t>IN_436ffa3d052f8a56</t>
  </si>
  <si>
    <t>Robotics Trainer</t>
  </si>
  <si>
    <t>BCTLABS STEM Academy</t>
  </si>
  <si>
    <t>The Robotics Trainer will teach Robotics, Coding, Electronics, AI, IoT, and STEM concepts to school students through hands-on learning. The role involves conducting practical sessions, guiding student projects, and managing STEM lab activities.
Roles &amp; Responsibilities
Conduct Ro...</t>
  </si>
  <si>
    <t>https://indeed.com/viewjob?jk=436ffa3d052f8a56</t>
  </si>
  <si>
    <t>IN_0129808ac8dfbdef</t>
  </si>
  <si>
    <t>Executive Assistant to CEO</t>
  </si>
  <si>
    <t>The Impact Engine</t>
  </si>
  <si>
    <t>CT</t>
  </si>
  <si>
    <t>.Executive Assistant / Personal Assistant
Location: Industrial Area, Village Jarway, Hirapur, Raipur, Chhattisgarh
Job Type: Full-time
Work Mode: On-site
Working Days: Monday to Saturday
Working Hours: 9:00 AM – 6:00 PM
Salary: ₹25,000 – ₹35,000 per month
Job Summary
We are looki...</t>
  </si>
  <si>
    <t>https://indeed.com/viewjob?jk=0129808ac8dfbdef</t>
  </si>
  <si>
    <t>IN_addc1954fc37fe37</t>
  </si>
  <si>
    <t>Digital Solution Cnslt. Lead Consultant</t>
  </si>
  <si>
    <t>Minimum 8+ years of work experience in Salesforce.com Projects 
Key Skills Responsibilities:
Highly experienced in Administration and application development using Salesforce.com, with deep expertise in Service Cloud implementations for enterprise clients.
Proven track record in...</t>
  </si>
  <si>
    <t>https://indeed.com/viewjob?jk=addc1954fc37fe37</t>
  </si>
  <si>
    <t>IN_322a59787323cbb5</t>
  </si>
  <si>
    <t>Systems Architect</t>
  </si>
  <si>
    <t>https://indeed.com/viewjob?jk=322a59787323cbb5</t>
  </si>
  <si>
    <t>IN_ce3e4967fe124e0e</t>
  </si>
  <si>
    <t>Senior AI/Gen AI Consultant(Healthcare)</t>
  </si>
  <si>
    <t>WebSenor</t>
  </si>
  <si>
    <t>Senior AI/GenAI Consultant (Healthcare)
Location: Hyderabad (Onsite)
Job Type: Full-Time
Experience Required: 8+ Years
Job Summary
We are looking for an experienced Senior AI/GenAI Consultant (Healthcare) to join our team in Hyderabad. The ideal candidate will have strong experti...</t>
  </si>
  <si>
    <t>https://indeed.com/viewjob?jk=ce3e4967fe124e0e</t>
  </si>
  <si>
    <t>IN_750aca7bf2a08b7b</t>
  </si>
  <si>
    <t>AI 900 Trainier</t>
  </si>
  <si>
    <t>Netcraftz</t>
  </si>
  <si>
    <t>Job Title: Freelance AI-900 Trainer (Microsoft Azure AI Fundamentals)
Company: Netcraftz Edutech Pvt. Ltd.
Job Type: Freelance / Contract
Location: Multiple Locations (Offline/Online based on requirement)
Job Description:
Netcraftz Edutech Pvt. Ltd. is looking for experienced Fre...</t>
  </si>
  <si>
    <t>https://indeed.com/viewjob?jk=750aca7bf2a08b7b</t>
  </si>
  <si>
    <t>IN_147116e3cbf2a8aa</t>
  </si>
  <si>
    <t>https://indeed.com/viewjob?jk=147116e3cbf2a8aa</t>
  </si>
  <si>
    <t>IN_751ca6fba8a4ba65</t>
  </si>
  <si>
    <t>Test Automation Engineer (Full-Stack)</t>
  </si>
  <si>
    <t>Utimaco</t>
  </si>
  <si>
    <t>Location: India
Your tasks
Design, implement, and maintain automated tests across GUI, frontend, backend, and end-to-end workflows (Playwright, Pytest, Pytest BDD).
Develop and structure test scripts (fixtures, parameterized tests, utilities) ensuring compliance, traceability, an...</t>
  </si>
  <si>
    <t>https://indeed.com/viewjob?jk=751ca6fba8a4ba65</t>
  </si>
  <si>
    <t>IN_e2d33e0333a49eae</t>
  </si>
  <si>
    <t>TEAL- Software Engineer</t>
  </si>
  <si>
    <t>TITAN COMPANY</t>
  </si>
  <si>
    <t>Job Requirements
Design and develop Windows-based machine vision software using .NET, C#, and C++. This includes creating algorithms for image processing, implementing real-time image analysis, and integrating machine learning models for advanced vision applications.
Develop Win...</t>
  </si>
  <si>
    <t>https://indeed.com/viewjob?jk=e2d33e0333a49eae</t>
  </si>
  <si>
    <t>IN_2a67486190a0ba79</t>
  </si>
  <si>
    <t>Navagation_Validation</t>
  </si>
  <si>
    <t>Mercedes-Benz Group</t>
  </si>
  <si>
    <t>Tätigkeitsbereich:Forschung &amp; Entwicklung incl. Design
Fachabteilung:Connected Services 2
Gesellschaft:Mercedes-Benz Research and Development India Private Limited
Standort:Mercedes-Benz Research and Development India Private Limited, Bangalore
Startdatum:sofort
Veröffentlichungs...</t>
  </si>
  <si>
    <t>https://indeed.com/viewjob?jk=2a67486190a0ba79</t>
  </si>
  <si>
    <t>IN_e22e559335097693</t>
  </si>
  <si>
    <t>Software Test Engineer</t>
  </si>
  <si>
    <t>ApplogiQ</t>
  </si>
  <si>
    <t>Job Title: Software Test Engineer
Experience: Fresher
Location: Tiruppur
Employment Type: Full-Time
Job Summary
We are looking for a motivated Software Test Engineer Fresher to support the testing of web and software applications. The candidate will work with the development team...</t>
  </si>
  <si>
    <t>https://indeed.com/viewjob?jk=e22e559335097693</t>
  </si>
  <si>
    <t>IN_3c0a99d61d5e053f</t>
  </si>
  <si>
    <t>Mechanical Automation Engineer</t>
  </si>
  <si>
    <t>Position: Mechanical Automation Engineer
Experience: 5-8 years
Qualifications: B.E. / B. Tech Mechanical / Production
Location: Pune
Responsibilities:
Participate hands-on and oversee design, detail, BOMs, design reviews and check of all aspects of the mechanical design package.
...</t>
  </si>
  <si>
    <t>https://indeed.com/viewjob?jk=3c0a99d61d5e053f</t>
  </si>
  <si>
    <t>IN_fff93ef9222db168</t>
  </si>
  <si>
    <t>Senior Java Developer</t>
  </si>
  <si>
    <t>Gritsys Technologies</t>
  </si>
  <si>
    <t>S.N
Question
Description
1
Position Vacant
Senior Java Software Developers
2
Organization Name
Gritsys Technologies Private Limited 
3
Company Profile
Gritsys is a new generation information technology services &amp; solutions firm driven to create business value for our customers th...</t>
  </si>
  <si>
    <t>https://indeed.com/viewjob?jk=fff93ef9222db168</t>
  </si>
  <si>
    <t>IN_df7eb5ae43d41609</t>
  </si>
  <si>
    <t>Executive IT - SQL Query Developer</t>
  </si>
  <si>
    <t>Vitamed Logistics Private Limited</t>
  </si>
  <si>
    <t>Executive IT – SQL Query Developer - (Hyderabad)
Key Responsibilities:
- Write, optimize, and debug complex SQL queries (joins, subqueries, unions, indexing).
- Generate reports and extract data as per business requirements.
- Ensure query performance and data accuracy.
- Work cl...</t>
  </si>
  <si>
    <t>https://indeed.com/viewjob?jk=df7eb5ae43d41609</t>
  </si>
  <si>
    <t>IN_9def46ee02e227ef</t>
  </si>
  <si>
    <t>Junior Odoo Developer</t>
  </si>
  <si>
    <t xml:space="preserve">iCodeBees </t>
  </si>
  <si>
    <t>Job Title: Junior Odoo Developer
Education: Bachelor's/Master's
Experience: 1- 3 years
Location: Infopark, Kochi
We are looking for a passionate and skilled Odoo Developer with 1–3 years of hands-on experience in Odoo development and customization
Roles &amp; Responsibilities
Develop...</t>
  </si>
  <si>
    <t>https://indeed.com/viewjob?jk=9def46ee02e227ef</t>
  </si>
  <si>
    <t>IN_020038210ae0debd</t>
  </si>
  <si>
    <t>Angular Full Stack Developer</t>
  </si>
  <si>
    <t>Voicedots Infotech</t>
  </si>
  <si>
    <t>Full Stack Developer (Angular + .NET)
We are looking for a passionate Full Stack Developer (Intern/Fresher/Experienced) to join our development team. The ideal candidate should have a strong foundation in Angular and .NET technologies, with the ability to build scalable web appli...</t>
  </si>
  <si>
    <t>https://indeed.com/viewjob?jk=020038210ae0debd</t>
  </si>
  <si>
    <t>IN_4404b4ff5c92439e</t>
  </si>
  <si>
    <t>Software QA Engineer</t>
  </si>
  <si>
    <t>Xynosoft Solutions</t>
  </si>
  <si>
    <t>Job Description
We are looking for a detail-oriented Software QA Engineer to ensure the quality and reliability of our web and mobile applications. The ideal candidate will be responsible for testing software, identifying bugs, and working closely with developers to deliver high-...</t>
  </si>
  <si>
    <t>https://indeed.com/viewjob?jk=4404b4ff5c92439e</t>
  </si>
  <si>
    <t>IN_67e77cf29c96e680</t>
  </si>
  <si>
    <t>Java Full Stack Developer (Angular)</t>
  </si>
  <si>
    <t>Technology Next</t>
  </si>
  <si>
    <t>Java Full Stack Developer ( Angular)
Job Type: Contract (C2C)
Experience: 6–8 Years
Location: Remote
Work Hours: 11:00 AM – 9:00 PM
Job Summary
We are seeking an experienced Java Full Stack Developer with strong expertise in Java, Spring Boot, and Angular to develop and maintain ...</t>
  </si>
  <si>
    <t>https://indeed.com/viewjob?jk=67e77cf29c96e680</t>
  </si>
  <si>
    <t>IN_4682ba122a5de509</t>
  </si>
  <si>
    <t>.NET Full Stack Engineers</t>
  </si>
  <si>
    <t>Req ID: 376150 
NTT DATA strives to hire exceptional, innovative and passionate individuals who want to grow with us. If you want to be part of an inclusive, adaptable, and forward-thinking organization, apply now. 
We are currently seeking a .NET Full Stack Engineers to join o...</t>
  </si>
  <si>
    <t>https://indeed.com/viewjob?jk=4682ba122a5de509</t>
  </si>
  <si>
    <t>IN_c67bae08c397a93f</t>
  </si>
  <si>
    <t>System Software Engineer - GPU Profiling</t>
  </si>
  <si>
    <t>NVIDIA</t>
  </si>
  <si>
    <t>At NVIDIA, we build groundbreaking products for the following sectors: Deep Learning, High Performance Computing, Gaming, VR, and Automotive. See your efforts in action as developers use your tools to debug, profile and analyze the performance of their systems/applications using ...</t>
  </si>
  <si>
    <t>https://indeed.com/viewjob?jk=c67bae08c397a93f</t>
  </si>
  <si>
    <t>IN_edb9defdf4e6b0e1</t>
  </si>
  <si>
    <t>Android Developer</t>
  </si>
  <si>
    <t>Unikwork</t>
  </si>
  <si>
    <t>Qualification
BE (CSE/IT)/ B.TECH(CSE/IT)/ MCA/ME(CSE/IT)/ M.SC/ M.TECh(CSE/IT)
Location
Surat
Salary range
2,88,000 LPA - 3,25,000 LPA
Experience/Seniority level
1+ years
Job Time
Full-time
Requirements / Your Skills
Understanding of using Java or Kotlin
Designing and Implementi...</t>
  </si>
  <si>
    <t>https://indeed.com/viewjob?jk=edb9defdf4e6b0e1</t>
  </si>
  <si>
    <t>IN_c18990b8c4b13bf6</t>
  </si>
  <si>
    <t>iOS Developer</t>
  </si>
  <si>
    <t>Qualification
BE (CSE/IT)/ B.TECH(CSE/IT)/ MCA/ ME(CSE/IT)/ M.SC/ M.TECH(CSE/IT)
Location
Surat
Salary range
3,00,000 - 4,20,000 LPA
Experience/Seniority level
1+ years
Job Time
Full Time
Requirements / Your Skills
Assist in App Development: Work alongside senior developers to bu...</t>
  </si>
  <si>
    <t>https://indeed.com/viewjob?jk=c18990b8c4b13bf6</t>
  </si>
  <si>
    <t>IN_06bc7797cc549242</t>
  </si>
  <si>
    <t>Software Internship</t>
  </si>
  <si>
    <t>ASCENT E-DIGIT SOLUTIONS PVT LTD</t>
  </si>
  <si>
    <t>Job Description
We are looking for a motivated and enthusiastic Software Intern to join our development team. This internship provides an opportunity to gain hands-on experience in software development, collaborate with experienced engineers, and contribute to real-world projects...</t>
  </si>
  <si>
    <t>https://indeed.com/viewjob?jk=06bc7797cc549242</t>
  </si>
  <si>
    <t>IN_d59a27fc08a9d27b</t>
  </si>
  <si>
    <t>iOS Developer Intern</t>
  </si>
  <si>
    <t>Qualification
BE (CSE/IT)/ B.TECH(CSE/IT)/ MCA/ ME(CSE/IT)/ M.SC/ M.TECH(CSE/IT)
Location
Surat
Salary range
Experience/Seniority level
Fresher
Job Time
Full Time
Requirements / Your Skills
Assist in App Development: Work alongside senior developers to build, test, and maintain i...</t>
  </si>
  <si>
    <t>https://indeed.com/viewjob?jk=d59a27fc08a9d27b</t>
  </si>
  <si>
    <t>IN_1f54cf5029e3cd71</t>
  </si>
  <si>
    <t>Intermediate Application Developer.</t>
  </si>
  <si>
    <t>Before you apply to a job, select your language preference from the options available at the top right of this page.
Explore your next opportunity at a Fortune Global 500 organization. Envision innovative possibilities, experience our rewarding culture, and work with talented tea...</t>
  </si>
  <si>
    <t>https://indeed.com/viewjob?jk=1f54cf5029e3cd71</t>
  </si>
  <si>
    <t>IN_5d7407d8eedd3ba2</t>
  </si>
  <si>
    <t>JFS Technologies PVT. Ltd</t>
  </si>
  <si>
    <t>Job Overview
We are looking for an experienced Full Stack Engineer with a strong product mindset to join a fast-paced engineering team building a scalable mobility platform. The ideal candidate should have strong experience with microservices and distributed systems, customer-fac...</t>
  </si>
  <si>
    <t>https://indeed.com/viewjob?jk=5d7407d8eedd3ba2</t>
  </si>
  <si>
    <t>IN_78d3d06a8375ee4d</t>
  </si>
  <si>
    <t>Automation Engineer - Playwright</t>
  </si>
  <si>
    <t>https://indeed.com/viewjob?jk=78d3d06a8375ee4d</t>
  </si>
  <si>
    <t>IN_6f343cd1cef247ea</t>
  </si>
  <si>
    <t>Azure Cloud Solution Architect (DBA &amp; Data Migration)</t>
  </si>
  <si>
    <t>Job Title: Azure Cloud Solution Architect (DBA &amp; Data Migration)
Location: Hyderabad, Telangana (Onsite)
Job Type: Full-time
Experience: 15+ Years
Full Job Description
We are seeking an experienced Azure Cloud Solution Architect (DBA &amp; Data Migration) with 15+ years of expertise ...</t>
  </si>
  <si>
    <t>https://indeed.com/viewjob?jk=6f343cd1cef247ea</t>
  </si>
  <si>
    <t>IN_cee685820dd2c85c</t>
  </si>
  <si>
    <t>Golang Developer (Internship to Full-Time)
About the Role
We are seeking a versatile, analytical, and Self-Driven Golang Developer to join our engineering team for a 6-month internship/full-time conversion program. In this role, you will take complete ownership of our backend ser...</t>
  </si>
  <si>
    <t>https://indeed.com/viewjob?jk=cee685820dd2c85c</t>
  </si>
  <si>
    <t>IN_b4e4f7b68a175a47</t>
  </si>
  <si>
    <t>Sr Software Engineer (UI/UX Designer)</t>
  </si>
  <si>
    <t>HERE Technologies</t>
  </si>
  <si>
    <t>What's the role?: 
Highly skilled in frontend technologies including HTML5, CSS3, JavaScript, TypeScript, and modern frameworks such as Angular, React, or Vue.js.
Strong proficiency in responsive design, mobile-first development, cross-browser compatibility, and scalable componen...</t>
  </si>
  <si>
    <t>https://indeed.com/viewjob?jk=b4e4f7b68a175a47</t>
  </si>
  <si>
    <t>IN_6b15ee67c52d3704</t>
  </si>
  <si>
    <t>Software Engineer - SQL Developer</t>
  </si>
  <si>
    <t>https://indeed.com/viewjob?jk=6b15ee67c52d3704</t>
  </si>
  <si>
    <t>IN_41026b305642368a</t>
  </si>
  <si>
    <t>Android Developer Interns</t>
  </si>
  <si>
    <t>Qualification
BE (CSE/IT)/ B.TECH(CSE/IT)/ MCA/ ME(CSE/IT)/ M.SC/ M.TECH(CSE/IT)
Location
Surat
Salary range
Experience/Seniority level
Fresher
Job Time
Full Time
Requirements / Your Skills
Assist in App Development: Collaborate with the development team to build, test, and maint...</t>
  </si>
  <si>
    <t>https://indeed.com/viewjob?jk=41026b305642368a</t>
  </si>
  <si>
    <t>IN_8f8fef620da0376a</t>
  </si>
  <si>
    <t>Application Software Engineer 2, HDI</t>
  </si>
  <si>
    <t>Adheres to all phases of the application software development lifecycle. Applies working knowledge to develop and review code for application features and enhancements following design specifications, and develops documents to clarify application design and code. Conducts debuggi...</t>
  </si>
  <si>
    <t>https://indeed.com/viewjob?jk=8f8fef620da0376a</t>
  </si>
  <si>
    <t>IN_c7b24c24ae65bb01</t>
  </si>
  <si>
    <t>Wordpress Developer</t>
  </si>
  <si>
    <t>SocioLabs</t>
  </si>
  <si>
    <t>DL</t>
  </si>
  <si>
    <t>Job description:
Position: WordPress Developer
Employment Type: Full-time
Location: Lajpat Nagar , New Delhi (Monday - Friday)
Experience Level: 1.5 years to 2 years
Salary - upto 30k
About Socio Labs
Socio Labs is a leading Delhi-based digital company passionate about building t...</t>
  </si>
  <si>
    <t>https://indeed.com/viewjob?jk=c7b24c24ae65bb01</t>
  </si>
  <si>
    <t>IN_3c319b704cd0853e</t>
  </si>
  <si>
    <t>Software Engineering Manager - Java Full Stack</t>
  </si>
  <si>
    <t>https://indeed.com/viewjob?jk=3c319b704cd0853e</t>
  </si>
  <si>
    <t>IN_739b608998207f35</t>
  </si>
  <si>
    <t>Project Role : Full Stack Engineer
Project Role Description : Responsible for developing and/or engineering the end-to-end features of a system, from user experience to backend code. Use development skills to deliver innovative solutions that help our clients improve the services...</t>
  </si>
  <si>
    <t>https://indeed.com/viewjob?jk=739b608998207f35</t>
  </si>
  <si>
    <t>IN_9094d372e77d63b2</t>
  </si>
  <si>
    <t>Software Engineer - React</t>
  </si>
  <si>
    <t>https://indeed.com/viewjob?jk=9094d372e77d63b2</t>
  </si>
  <si>
    <t>IN_f73693fc7462a85f</t>
  </si>
  <si>
    <t>Azure Devops + Cloud Engineer</t>
  </si>
  <si>
    <t>Job Title: Azure DevOps + Cloud Engineer
Location: Hyderabad, Telangana (Onsite)
Job Type: Full-time
Experience: 6+ Years
Full Job Description
We are looking for a highly skilled Azure DevOps + Cloud Engineer with strong expertise in Microsoft Azure, DevOps practices, cloud infra...</t>
  </si>
  <si>
    <t>https://indeed.com/viewjob?jk=f73693fc7462a85f</t>
  </si>
  <si>
    <t>IN_787948117ea14de6</t>
  </si>
  <si>
    <t>Golden hippo technology Pvt Ltd</t>
  </si>
  <si>
    <t>GOLDEN HIPPO TECHNOLOGY PVT LTD 
We are seeking an experienced candidate with a strong passion for DevOps, ready to advance their career in a dynamic and collaborative environment.
As a DevOps Engineer, you will leverage your expertise through hands-on training and mentorship to ...</t>
  </si>
  <si>
    <t>https://indeed.com/viewjob?jk=787948117ea14de6</t>
  </si>
  <si>
    <t>IN_3e46dda2871ec4ff</t>
  </si>
  <si>
    <t>https://indeed.com/viewjob?jk=3e46dda2871ec4ff</t>
  </si>
  <si>
    <t>IN_b30bbade66206ba5</t>
  </si>
  <si>
    <t>Node.js Developer Intern</t>
  </si>
  <si>
    <t>Qualification
BE (CSE/IT)/ B.TECH(CSE/IT)/ MCA/ ME(CSE/IT)/ M.SC/ M.TECH(CSE/IT)
Location
Surat
Salary range
Experience/Seniority level
Fresher
Job Time
Full Time
Requirements / Your Skills
Design, build and implement applications based on specification
Working with different sta...</t>
  </si>
  <si>
    <t>https://indeed.com/viewjob?jk=b30bbade66206ba5</t>
  </si>
  <si>
    <t>IN_477c0be86889b065</t>
  </si>
  <si>
    <t>Senior Azure Cloud Solution Architect (Database &amp; Data Migration)</t>
  </si>
  <si>
    <t>UIDM</t>
  </si>
  <si>
    <t>Job Title: Senior Azure Cloud Solution Architect (Database &amp; Data Migration)
Location: Remote
Experience: 15+ Years
Employment Type: Full-Time
Job Summary
We are seeking an experienced Senior Azure Cloud Solution Architect with strong expertise in Database Administration (DBA), D...</t>
  </si>
  <si>
    <t>https://indeed.com/viewjob?jk=477c0be86889b065</t>
  </si>
  <si>
    <t>IN_8efe222272d54007</t>
  </si>
  <si>
    <t>https://indeed.com/viewjob?jk=8efe222272d54007</t>
  </si>
  <si>
    <t>IN_4c214b8cfcfe6f69</t>
  </si>
  <si>
    <t>OTBI/BI Publisher Developer</t>
  </si>
  <si>
    <t>Elfonze Technologies</t>
  </si>
  <si>
    <t>Job Information
Date Opened
07/07/2026 
Job Type
Full time 
Industry
IT Services 
City
Bengaluru 
State/Province
Karnataka 
Country
India 
Zip/Postal Code
560001 
Job Description
Oracle Fusion OTBI &amp; BI Publisher Developer with experience in designing, developing, and maintaining...</t>
  </si>
  <si>
    <t>https://indeed.com/viewjob?jk=4c214b8cfcfe6f69</t>
  </si>
  <si>
    <t>IN_de3c99e8a0513686</t>
  </si>
  <si>
    <t>Java Developer - GCP</t>
  </si>
  <si>
    <t>Fiddle Leaf Solutions</t>
  </si>
  <si>
    <t>Java Developer with GCP
Job Type: Contract
Experience: 5+ Years
Work Location: Remote (One-time Office Visit Required for Onboarding at Noida)
Job Overview
We are looking for an experienced Java Developer with GCP expertise to join our team on a contract basis. The ideal candidat...</t>
  </si>
  <si>
    <t>https://indeed.com/viewjob?jk=de3c99e8a0513686</t>
  </si>
  <si>
    <t>IN_54b502536abaea33</t>
  </si>
  <si>
    <t>Cluster Code Technology</t>
  </si>
  <si>
    <t>Role: Java Backend Developer
Employment Type: Permanent
Location: Bangalore
Mandate Skills: Java Backend, AWS, MySQL, Ci/Cd
Responsibilities
Design, develop, and maintain scalable backend applications using Java and related frameworks.
Develop RESTful APIs and microservices to su...</t>
  </si>
  <si>
    <t>https://indeed.com/viewjob?jk=54b502536abaea33</t>
  </si>
  <si>
    <t>IN_1dc5405a9ac1fd86</t>
  </si>
  <si>
    <t>Automation Engineer 3</t>
  </si>
  <si>
    <t>https://indeed.com/viewjob?jk=1dc5405a9ac1fd86</t>
  </si>
  <si>
    <t>IN_ea12d84a1169717c</t>
  </si>
  <si>
    <t>https://indeed.com/viewjob?jk=ea12d84a1169717c</t>
  </si>
  <si>
    <t>IN_5547a181ad2d3b9f</t>
  </si>
  <si>
    <t>Software Engineer - API</t>
  </si>
  <si>
    <t>https://indeed.com/viewjob?jk=5547a181ad2d3b9f</t>
  </si>
  <si>
    <t>IN_3455cf437da2438c</t>
  </si>
  <si>
    <t>Senior Manager Software Engineering</t>
  </si>
  <si>
    <t>https://indeed.com/viewjob?jk=3455cf437da2438c</t>
  </si>
  <si>
    <t>IN_7238b6e752d8f493</t>
  </si>
  <si>
    <t>https://indeed.com/viewjob?jk=7238b6e752d8f493</t>
  </si>
  <si>
    <t>IN_020e45622cbaa6ab</t>
  </si>
  <si>
    <t>RPA Developer (Blue Prism) and (Ui Path)</t>
  </si>
  <si>
    <t>Required Skills:
✔ Design, develop, test, and deploy Robotic Process Automation (RPA) and Robotic Desktop Automation (RDA) solutions.
✔ Analyze business processes and identify automation opportunities to improve operational efficiency.
✔ Develop reusable automation components and...</t>
  </si>
  <si>
    <t>https://indeed.com/viewjob?jk=020e45622cbaa6ab</t>
  </si>
  <si>
    <t>IN_e4b91bca2d1c7481</t>
  </si>
  <si>
    <t>https://indeed.com/viewjob?jk=e4b91bca2d1c7481</t>
  </si>
  <si>
    <t>IN_16c0e2b616794219</t>
  </si>
  <si>
    <t>Junior Backend Engineer</t>
  </si>
  <si>
    <t>Airavad Web Solutions</t>
  </si>
  <si>
    <t>Experience: 1–2 Years
Job Summary
We are looking for a Junior Backend Engineer with 1–2 years of experience in Python backend development. The ideal candidate should have hands-on experience building RESTful APIs using Django, FastAPI, or Flask, working with relational databases,...</t>
  </si>
  <si>
    <t>https://indeed.com/viewjob?jk=16c0e2b616794219</t>
  </si>
  <si>
    <t>IN_b407c4d60c77691e</t>
  </si>
  <si>
    <t>Project Role : Custom Software Engineer
Project Role Description : Develop custom software solutions to design, code, and enhance components across systems or applications. Use modern frameworks and agile practices to deliver scalable, high-performing solutions tailored to specif...</t>
  </si>
  <si>
    <t>https://indeed.com/viewjob?jk=b407c4d60c77691e</t>
  </si>
  <si>
    <t>IN_9f6d4f62be7bdbe5</t>
  </si>
  <si>
    <t>Tech Lead: Platform Engineering(Azure, IaC &amp; DevOps)- Husky(Guindy, Chennai)</t>
  </si>
  <si>
    <t>https://indeed.com/viewjob?jk=9f6d4f62be7bdbe5</t>
  </si>
  <si>
    <t>IN_ea34c8c9f8aac4f8</t>
  </si>
  <si>
    <t>Designer: IoT Connectivity-Development Engineering -Husky (India) Chennai,Guindy</t>
  </si>
  <si>
    <t>https://indeed.com/viewjob?jk=ea34c8c9f8aac4f8</t>
  </si>
  <si>
    <t>IN_28d6be80240ed20c</t>
  </si>
  <si>
    <t>Senior Software Engineer - Dot Net Full Stack</t>
  </si>
  <si>
    <t>https://indeed.com/viewjob?jk=28d6be80240ed20c</t>
  </si>
  <si>
    <t>IN_7f8997bf67ee742e</t>
  </si>
  <si>
    <t>Pay: ₹20,000.00 - ₹30,000.00 per month
Job description:
Location: Panampilly Nagar, Ernakulam
Job Type: Full-time, Onsite
Experience: 1–2 Years
About Longefit
Longefit Health Pvt. Ltd. is an innovative fitness and wellness company delivering science-backed, high-efficiency traini...</t>
  </si>
  <si>
    <t>https://indeed.com/viewjob?jk=7f8997bf67ee742e</t>
  </si>
  <si>
    <t>IN_4d50c35ca5b1f60b</t>
  </si>
  <si>
    <t>Cloud Engineer</t>
  </si>
  <si>
    <t>Req ID: 378487 
NTT DATA strives to hire exceptional, innovative and passionate individuals who want to grow with us. If you want to be part of an inclusive, adaptable, and forward-thinking organization, apply now. 
We are currently seeking a Cloud Engineer to join our team in ...</t>
  </si>
  <si>
    <t>https://indeed.com/viewjob?jk=4d50c35ca5b1f60b</t>
  </si>
  <si>
    <t>IN_d87b06f684eb7519</t>
  </si>
  <si>
    <t>Developer - Shotscope™ (.NET Full Stack) - Husky(Guindy, Chennai)</t>
  </si>
  <si>
    <t>https://indeed.com/viewjob?jk=d87b06f684eb7519</t>
  </si>
  <si>
    <t>IN_44d3b722ec023c0c</t>
  </si>
  <si>
    <t>https://indeed.com/viewjob?jk=44d3b722ec023c0c</t>
  </si>
  <si>
    <t>IN_8685abfbc37204e2</t>
  </si>
  <si>
    <t>https://indeed.com/viewjob?jk=8685abfbc37204e2</t>
  </si>
  <si>
    <t>IN_cd804e3cfa3012aa</t>
  </si>
  <si>
    <t>https://indeed.com/viewjob?jk=cd804e3cfa3012aa</t>
  </si>
  <si>
    <t>IN_df5264333452ba7d</t>
  </si>
  <si>
    <t>Software Engineer - DevOps Engineer</t>
  </si>
  <si>
    <t>https://indeed.com/viewjob?jk=df5264333452ba7d</t>
  </si>
  <si>
    <t>IN_c85b48921e722bfc</t>
  </si>
  <si>
    <t>Control Software Designer- Development Engineering-Husky (India) Chennai, Guindy</t>
  </si>
  <si>
    <t>https://indeed.com/viewjob?jk=c85b48921e722bfc</t>
  </si>
  <si>
    <t>IN_a32142bb4cb5ad46</t>
  </si>
  <si>
    <t>GEN AI  CLOUD TERRAFORM ENGINEER</t>
  </si>
  <si>
    <t>GenAI / Cloud / Terraform Engineer
Location: Hyderabad (Onsite – 5 Days/Week)
Employment Type: C2C
Priority: P1
Experience: 6+ Years
Job Summary
We are seeking an experienced GenAI / Cloud / Terraform Engineer to design, develop, and deploy enterprise-grade AI solutions leveragin...</t>
  </si>
  <si>
    <t>https://indeed.com/viewjob?jk=a32142bb4cb5ad46</t>
  </si>
  <si>
    <t>IN_b0f08a1c8fd35044</t>
  </si>
  <si>
    <t>https://indeed.com/viewjob?jk=b0f08a1c8fd35044</t>
  </si>
  <si>
    <t>IN_5f63a44500f281bf</t>
  </si>
  <si>
    <t>https://indeed.com/viewjob?jk=5f63a44500f281bf</t>
  </si>
  <si>
    <t>IN_2f8362767c75c591</t>
  </si>
  <si>
    <t>https://indeed.com/viewjob?jk=2f8362767c75c591</t>
  </si>
  <si>
    <t>IN_d366d1671ac8529c</t>
  </si>
  <si>
    <t>Software Engineer - Python</t>
  </si>
  <si>
    <t>https://indeed.com/viewjob?jk=d366d1671ac8529c</t>
  </si>
  <si>
    <t>IN_02e672cf3d0a171b</t>
  </si>
  <si>
    <t>Senior ServiceNow ITAM Developer</t>
  </si>
  <si>
    <t>Req ID: 374150 
NTT DATA strives to hire exceptional, innovative and passionate individuals who want to grow with us. If you want to be part of an inclusive, adaptable, and forward-thinking organization, apply now. 
We are currently seeking a Senior ServiceNow ITAM Developer to...</t>
  </si>
  <si>
    <t>https://indeed.com/viewjob?jk=02e672cf3d0a171b</t>
  </si>
  <si>
    <t>IN_60908bd1938a5237</t>
  </si>
  <si>
    <t>Regent Campus D2</t>
  </si>
  <si>
    <t>Job Title: DevOps Engineer
Department: Engineering / Platform Team
Employment Type: Full-time
Role Overview
We are seeking a highly skilled DevOps Engineer with a deep foundation in Linux administration to join our engineering team. In this role, you will be the primary driver of...</t>
  </si>
  <si>
    <t>https://indeed.com/viewjob?jk=60908bd1938a5237</t>
  </si>
  <si>
    <t>IN_0b574a29733572f3</t>
  </si>
  <si>
    <t>https://indeed.com/viewjob?jk=0b574a29733572f3</t>
  </si>
  <si>
    <t>IN_da49d83a52578bc8</t>
  </si>
  <si>
    <t>Developer – Azure Full Stack (Adv+Elite) - Husky (Guindy, Chennai)</t>
  </si>
  <si>
    <t>https://indeed.com/viewjob?jk=da49d83a52578bc8</t>
  </si>
  <si>
    <t>IN_0d2ea7b53c9df652</t>
  </si>
  <si>
    <t>Senior Developer – Azure Full Stack (Adv+Elite) (Guindy, Chennai)</t>
  </si>
  <si>
    <t>https://indeed.com/viewjob?jk=0d2ea7b53c9df652</t>
  </si>
  <si>
    <t>IN_07eb078164ca77b9</t>
  </si>
  <si>
    <t>Custom Software Engineering Lead</t>
  </si>
  <si>
    <t>Project Role : Custom Software Engineering Lead
Project Role Description : Own the technical direction and architecture of custom software solutions, leading teams through design and delivery. Set development standards and ensure code quality, scalability, and performance aligned...</t>
  </si>
  <si>
    <t>https://indeed.com/viewjob?jk=07eb078164ca77b9</t>
  </si>
  <si>
    <t>IN_4583d0fc1ff902f7</t>
  </si>
  <si>
    <t>Sr Developer - Shotscope™ (.NET Full Stack)- Husky (Guindy, Chennai)</t>
  </si>
  <si>
    <t>https://indeed.com/viewjob?jk=4583d0fc1ff902f7</t>
  </si>
  <si>
    <t>IN_b811b7f2bb56abee</t>
  </si>
  <si>
    <t>Angular /ionic developer</t>
  </si>
  <si>
    <t>1. Position Vacant: Angular /Ionic Developer
2. Organization Name: Gritsys Technologies Private Limited
3. Company Profile:
Gritsys is a new generation information technology services &amp; solutions firm driven to create business value for our customers
through the innovative integr...</t>
  </si>
  <si>
    <t>https://indeed.com/viewjob?jk=b811b7f2bb56abee</t>
  </si>
  <si>
    <t>IN_3d9fe0b175d764da</t>
  </si>
  <si>
    <t>Automation Engineer</t>
  </si>
  <si>
    <t>https://indeed.com/viewjob?jk=3d9fe0b175d764da</t>
  </si>
  <si>
    <t>IN_13444885136a11ec</t>
  </si>
  <si>
    <t>https://indeed.com/viewjob?jk=13444885136a11ec</t>
  </si>
  <si>
    <t>IN_afbf63b932cbd00e</t>
  </si>
  <si>
    <t>Digital R&amp;D Software Engineering Lead</t>
  </si>
  <si>
    <t>Sanofi</t>
  </si>
  <si>
    <t>Job Title: Digital R&amp;D Software Engineering Lead
Location: Hyderabad
Job type: Permanent, Full time
About the Team
We are an innovative global healthcare company driven by one purpose — to chase the miracles of science to improve people’s lives. With a presence in over 100 countr...</t>
  </si>
  <si>
    <t>https://indeed.com/viewjob?jk=afbf63b932cbd00e</t>
  </si>
  <si>
    <t>IN_2b27efbbeb375bb9</t>
  </si>
  <si>
    <t>Graphic Designer</t>
  </si>
  <si>
    <t>Cloutechs</t>
  </si>
  <si>
    <t>Cloutechs Business Enrichments is a fast-growing digital marketing and IT company helping businesses build strong brands through innovative design, AI-powered solutions, and creative marketing strategies.
Job Summary
We are looking for a creative and passionate Graphic Designer t...</t>
  </si>
  <si>
    <t>https://indeed.com/viewjob?jk=2b27efbbeb375bb9</t>
  </si>
  <si>
    <t>IN_55dd6c32887796f5</t>
  </si>
  <si>
    <t>https://indeed.com/viewjob?jk=55dd6c32887796f5</t>
  </si>
  <si>
    <t>IN_8d9d568c13b8095d</t>
  </si>
  <si>
    <t>IT Project Manager</t>
  </si>
  <si>
    <t>Job Title: IT Project Manager
Location: Bhopal, Madhya Pradesh
Experience: 3–5 Years
Employment Type: Full-Time (Work from Office)
Job Summary
We are looking for an experienced and proactive IT Manager to oversee the organization's IT operations, manage software and website devel...</t>
  </si>
  <si>
    <t>https://indeed.com/viewjob?jk=8d9d568c13b8095d</t>
  </si>
  <si>
    <t>IN_8849e1ee85bfb70f</t>
  </si>
  <si>
    <t>Agile Product Owner Advisor - HIH - Evernorth</t>
  </si>
  <si>
    <t>The Cigna Group</t>
  </si>
  <si>
    <t>Position Overview:
The Agile Product Owner Advisor is a strategic and collaborative leader within an agile development team, responsible for managing the product backlog and ensuring that development efforts align with customer needs and business goals. This role involves transla...</t>
  </si>
  <si>
    <t>https://indeed.com/viewjob?jk=8849e1ee85bfb70f</t>
  </si>
  <si>
    <t>IN_5ad466bc7178bf2a</t>
  </si>
  <si>
    <t>Oracle DBA III</t>
  </si>
  <si>
    <t>MRI Software</t>
  </si>
  <si>
    <t>Job Description:
We are looking for an experienced Oracle DBA with 5–7 years of hands-on experience in managing, maintaining, and optimizing Oracle database environments. The candidate should have strong expertise in database installation, configuration, backup &amp; recovery, perfor...</t>
  </si>
  <si>
    <t>https://indeed.com/viewjob?jk=5ad466bc7178bf2a</t>
  </si>
  <si>
    <t>IN_ab232e8b7267c09e</t>
  </si>
  <si>
    <t>Organisational Change Management (OCM) - Sr Analyst OCM</t>
  </si>
  <si>
    <t>Unisys</t>
  </si>
  <si>
    <t>What success looks like in this role: 
Job Title: Organisational Change Management (OCM) - Sr Analyst OCM 
Location: India 
Who we are: 
Unisys is a global information technology company that builds high-performance, security-centric solutions for the most digitally demanding bus...</t>
  </si>
  <si>
    <t>https://indeed.com/viewjob?jk=ab232e8b7267c09e</t>
  </si>
  <si>
    <t>IN_d48d93df451b0864</t>
  </si>
  <si>
    <t>UI/UX Designer</t>
  </si>
  <si>
    <t>Sekens creations india pvt ltd</t>
  </si>
  <si>
    <t>Job Title: UI/UX Designer
Location:Hybrid
Team: Design &amp; Product
Employment Type: Full-time
About Sekenz Group
Sekenz Group is a forward‑looking company . We build user-centered products that solve real problems for customers across industries/regions. Our team values collaborati...</t>
  </si>
  <si>
    <t>https://indeed.com/viewjob?jk=d48d93df451b0864</t>
  </si>
  <si>
    <t>IN_6fd2bbe676dec936</t>
  </si>
  <si>
    <t>Global Rewards Operations Analyst</t>
  </si>
  <si>
    <t>Sandvik</t>
  </si>
  <si>
    <t>Sandvik’s business concept is based on innovation, technology leadership and close, long-term customer relationships. In line with our vision and values, our ambition is always to set the industry standard in the areas in which we operate. Today, new technology paves the way for ...</t>
  </si>
  <si>
    <t>https://indeed.com/viewjob?jk=6fd2bbe676dec936</t>
  </si>
  <si>
    <t>IN_8490dafc143b3dc8</t>
  </si>
  <si>
    <t>Job Description:
We are seeking a skilled Agentic AI Engineer to independently design and build intelligent autonomous AI agents capable of reasoning planning and executing tasks in dynamic environments
You will lead feature development drive technical decisions within your work...</t>
  </si>
  <si>
    <t>https://indeed.com/viewjob?jk=8490dafc143b3dc8</t>
  </si>
  <si>
    <t>IN_39c58604d7df0b4e</t>
  </si>
  <si>
    <t>SEO Manager</t>
  </si>
  <si>
    <t>8 Views Digital Marketing Agency</t>
  </si>
  <si>
    <t>About the Role:We are looking for an experienced SEO Manager with 5+ years of agency experience to lead and scale our SEO function across multiple client accounts. This role focuses on strategic leadership, team management, client consulting, and operational excellence rather tha...</t>
  </si>
  <si>
    <t>https://indeed.com/viewjob?jk=39c58604d7df0b4e</t>
  </si>
  <si>
    <t>IN_c556322ff4825b9f</t>
  </si>
  <si>
    <t>Math Curriculum Specialist</t>
  </si>
  <si>
    <t>Brightchamps</t>
  </si>
  <si>
    <t>Job Title: Maths Curriculum Specialist
Company: BrightChamps Location: Bangalore, Karnataka (Work from Office) Job Type: Full-time Experience: 5–7 years
About the Role
BrightChamps is looking for a Maths Curriculum Specialist to improve our existing Maths learning experience acro...</t>
  </si>
  <si>
    <t>https://indeed.com/viewjob?jk=c556322ff4825b9f</t>
  </si>
  <si>
    <t>IN_8045d5633b51edea</t>
  </si>
  <si>
    <t>Delivery Manager</t>
  </si>
  <si>
    <t>Anblicks</t>
  </si>
  <si>
    <t>Delivery Manager - Data &amp; AI Managed Services
We are seeking a high-impact Delivery Manager - Data &amp; AI Managed Services to lead strategic enterprise engagements focused on modern data platforms, AI enablement, analytics transformation, and business value realization. This role ...</t>
  </si>
  <si>
    <t>https://indeed.com/viewjob?jk=8045d5633b51edea</t>
  </si>
  <si>
    <t>IN_f32638688cb255f1</t>
  </si>
  <si>
    <t>Presales Cyber Security</t>
  </si>
  <si>
    <t>Cloud one systems pvt ltd</t>
  </si>
  <si>
    <t>work closely with the sales team to identify and qualify cybersecurity opportunities
Design and propose solutions across:
o Network Security (Firewall, IPS/IDS, VPN)
o Endpoint Security (EDR/XDR)
o Email &amp; Web Security
o Identity &amp; Access Management (IAM)
o Cloud Security
Conduct...</t>
  </si>
  <si>
    <t>https://indeed.com/viewjob?jk=f32638688cb255f1</t>
  </si>
  <si>
    <t>IN_e7a6e26fcce768ee</t>
  </si>
  <si>
    <t>Senior Data Engineer I</t>
  </si>
  <si>
    <t>The Enterprise Technology Services organization partners with every part of the American Express business to power the company’s growth and innovation with trust and efficiency and drive competitive differentiation with speed. We support the delivery and operations of technology,...</t>
  </si>
  <si>
    <t>https://indeed.com/viewjob?jk=e7a6e26fcce768ee</t>
  </si>
  <si>
    <t>IN_bf5afe5be04e65ca</t>
  </si>
  <si>
    <t>AP</t>
  </si>
  <si>
    <t>Agile Product Owner Advisor - HIH - Evernorth
Position Overview:
The Agile Product Owner Advisor is a strategic and collaborative leader within an agile development team, responsible for managing the product backlog and ensuring that development efforts align with customer needs ...</t>
  </si>
  <si>
    <t>https://indeed.com/viewjob?jk=bf5afe5be04e65ca</t>
  </si>
  <si>
    <t>IN_86bff9ebf04a5ecc</t>
  </si>
  <si>
    <t>Linux/Windows System Administrator (L1)</t>
  </si>
  <si>
    <t>Brit Technology</t>
  </si>
  <si>
    <t>Job Position: Linux/Windows System Administrator (L1)
Experience
Minimum 1 year of experience in IT Infrastructure, System Administration, or Technical Support.
Qualification
Bachelor's Degree in Computer Science, Information Technology, Electronics, or a related discipline.
Rele...</t>
  </si>
  <si>
    <t>https://indeed.com/viewjob?jk=86bff9ebf04a5ecc</t>
  </si>
  <si>
    <t>IN_1f0fed71bbc11c09</t>
  </si>
  <si>
    <t>https://indeed.com/viewjob?jk=1f0fed71bbc11c09</t>
  </si>
  <si>
    <t>IN_4c7722d917763dbc</t>
  </si>
  <si>
    <t>Systems Integration Advisor</t>
  </si>
  <si>
    <t>Req ID: 377638 
NTT DATA strives to hire exceptional, innovative and passionate individuals who want to grow with us. If you want to be part of an inclusive, adaptable, and forward-thinking organization, apply now. 
We are currently seeking a Systems Integration Advisor to join...</t>
  </si>
  <si>
    <t>https://indeed.com/viewjob?jk=4c7722d917763dbc</t>
  </si>
  <si>
    <t>IN_b2cc1d4688f0400d</t>
  </si>
  <si>
    <t>Graphic Designer &amp; Video Editor</t>
  </si>
  <si>
    <t>AR Properties Hub</t>
  </si>
  <si>
    <t>Job Title: Graphic Designer &amp; Video Editor
Location: Attapur, Hyderabad
Employment Type: Full-Time
About the Role
We are looking for a creative and passionate Graphic Designer &amp; Video Editor to create engaging visual content for our real estate marketing campaigns. The ideal cand...</t>
  </si>
  <si>
    <t>https://indeed.com/viewjob?jk=b2cc1d4688f0400d</t>
  </si>
  <si>
    <t>IN_4c3525a535063387</t>
  </si>
  <si>
    <t>R&amp;D Data Engineering Lead</t>
  </si>
  <si>
    <t>Job Title: R&amp;D Data Engineering Lead
Location: Hyderabad
Job type: Permanent, Full time
About the Job
At Sanofi, we’re committed to providing the next-gen healthcare that patients and customers need. It’s about harnessing data insights and leveraging AI responsibly to search deep...</t>
  </si>
  <si>
    <t>https://indeed.com/viewjob?jk=4c3525a535063387</t>
  </si>
  <si>
    <t>IN_b3145cce6e082700</t>
  </si>
  <si>
    <t>Chief Technical Officer</t>
  </si>
  <si>
    <t>10 Fingers Solutions Pvt Ltd</t>
  </si>
  <si>
    <t>We are seeking an experienced and visionary Chief Technical Officer (CTO) to lead our technology division and drive innovation across the organization. The CTO will be responsible for defining and enhancing the company's technological strategy, overseeing the development of the c...</t>
  </si>
  <si>
    <t>https://indeed.com/viewjob?jk=b3145cce6e082700</t>
  </si>
  <si>
    <t>IN_05a60b48f3ebc6d2</t>
  </si>
  <si>
    <t>Motion Graphic Designer &amp; Video Editor</t>
  </si>
  <si>
    <t>Job Title: Video Editor
Location: Bhopal, Madhya Pradesh (On-site)
Experience: 3–4 Years
Employment Type: Full-Time
About the Role
We are looking for a creative and detail-oriented Video Editor with 3–4 years of professional experience to create engaging digital content for socia...</t>
  </si>
  <si>
    <t>https://indeed.com/viewjob?jk=05a60b48f3ebc6d2</t>
  </si>
  <si>
    <t>IN_46a1f31a8df56261</t>
  </si>
  <si>
    <t>Senior Executive - Sales &amp; Marketing</t>
  </si>
  <si>
    <t>Greenfield Housing India Private Limited</t>
  </si>
  <si>
    <t>Position: Senior Marketing Executive – Apartment Sales
Department: Sales &amp; Marketing
Industry: Real Estate / Construction
Experience: Minimum 5–8 Years
Location: Coimbatore
Reporting To: Marketing Head / General Manager – Sales &amp; Marketing
Job Summary
We are seeking an experience...</t>
  </si>
  <si>
    <t>https://indeed.com/viewjob?jk=46a1f31a8df56261</t>
  </si>
  <si>
    <t>IN_af6a6a0e88403812</t>
  </si>
  <si>
    <t>Digital Engineering Lead Engineer</t>
  </si>
  <si>
    <t>Req ID: 380002 
NTT DATA strives to hire exceptional, innovative and passionate individuals who want to grow with us. If you want to be part of an inclusive, adaptable, and forward-thinking organization, apply now. 
We are currently seeking a Digital Engineering Lead Engineer t...</t>
  </si>
  <si>
    <t>https://indeed.com/viewjob?jk=af6a6a0e88403812</t>
  </si>
  <si>
    <t>IN_8c592b3e25bb13a2</t>
  </si>
  <si>
    <t>Manual QA Tester</t>
  </si>
  <si>
    <t>Hind Social Network</t>
  </si>
  <si>
    <t>Manual QA Tester
Location: Ahmedabad (Work from Office)
Experience: 1–3 Years
Employment Type: Full-time
About Hind Social
Hind Social is building India's next-generation social platform that celebrates culture, communities, and meaningful connections. We're reimagining social ne...</t>
  </si>
  <si>
    <t>https://indeed.com/viewjob?jk=8c592b3e25bb13a2</t>
  </si>
  <si>
    <t>IN_16bdd4b2af7212d4</t>
  </si>
  <si>
    <t>Visual Communication Designer</t>
  </si>
  <si>
    <t>Bombay Hemp Company Pvt. Ltd.</t>
  </si>
  <si>
    <t>Job Objective -
Seeking a Graphic Designer who can not only interpret business requirements but also set new benchmarks in creativity as we continue to scale. Who is not afraid of trying something new.
This role is responsible for executing design concepts and brand guidelines ac...</t>
  </si>
  <si>
    <t>https://indeed.com/viewjob?jk=16bdd4b2af7212d4</t>
  </si>
  <si>
    <t>IN_afe9b160541b853f</t>
  </si>
  <si>
    <t>Senior PPC Analyst</t>
  </si>
  <si>
    <t>Elixir Web Solutions</t>
  </si>
  <si>
    <t>We’re seeking a data-driven PPC Analyst who thrives in the fast-paced world of digital advertising. This role is all about scaling visibility, driving qualified traffic, and maximizing ROI through paid media campaigns across search, social, and emerging platforms.
The ideal candi...</t>
  </si>
  <si>
    <t>https://indeed.com/viewjob?jk=afe9b160541b853f</t>
  </si>
  <si>
    <t>IN_e0d54c4c8c4b98cf</t>
  </si>
  <si>
    <t>Sr. Marketing Executive</t>
  </si>
  <si>
    <t>2CQR AUTOMATION PVT LTD</t>
  </si>
  <si>
    <t>Hiring for Senior Marketing Executive!!!
Experience: 3–6 Years
package: Upto 50000 per month
Shift Timing: 9.30 am to 6.30 pm (Monthly 2 saturdays off)
Location: Valasaravakkam, Chennai
About Us
2CQR Automation Pvt. Ltd. is a leading provider of RFID-based library automation solu...</t>
  </si>
  <si>
    <t>https://indeed.com/viewjob?jk=e0d54c4c8c4b98cf</t>
  </si>
  <si>
    <t>IN_500064ca1c6a65ad</t>
  </si>
  <si>
    <t>Senior Business Intelligence Consultant</t>
  </si>
  <si>
    <t>About this role:
Wells Fargo is seeking a Senior Business Intelligence Consultant.
In this role, you will:
Lead or participate in moderately complex initiatives within the Business Intelligence functional area and contribute to large-scale planning related to business intelligen...</t>
  </si>
  <si>
    <t>https://indeed.com/viewjob?jk=500064ca1c6a65ad</t>
  </si>
  <si>
    <t>IN_1588293734a09e70</t>
  </si>
  <si>
    <t>Analyst | Data Center Storage | Bengaluru | Engineering | Hybrid Cloud Engineering</t>
  </si>
  <si>
    <t>Job requisition ID :: 106505 
Date: Jul 6, 2026 
Location: Bengaluru 
Designation: Analyst 
Entity: Deloitte Touche Tohmatsu India LLP 
The team
Deloitte’s Technology &amp; Transformation practice can help you uncover and unlock the value buried deep inside vast amounts of data. Our...</t>
  </si>
  <si>
    <t>https://indeed.com/viewjob?jk=1588293734a09e70</t>
  </si>
  <si>
    <t>IN_c7485aa80dc5ef90</t>
  </si>
  <si>
    <t>SEM Analyst</t>
  </si>
  <si>
    <t>Active Fitness Store</t>
  </si>
  <si>
    <t>Company Description
Active Fitness Store is a leading provider of premium gym, fitness, and sports equipment across GCC countries. We cater to both home-use and commercial needs, offering top-tier products from industry-leading brands. Our mission is to support customers in achie...</t>
  </si>
  <si>
    <t>https://indeed.com/viewjob?jk=c7485aa80dc5ef90</t>
  </si>
  <si>
    <t>IN_4db7f70340874bed</t>
  </si>
  <si>
    <t>https://indeed.com/viewjob?jk=4db7f70340874bed</t>
  </si>
  <si>
    <t>IN_73f1e64c40e2d46b</t>
  </si>
  <si>
    <t>Data Scientist II - VR Performance Analytics</t>
  </si>
  <si>
    <t>https://indeed.com/viewjob?jk=73f1e64c40e2d46b</t>
  </si>
  <si>
    <t>IN_0d14105700d759f6</t>
  </si>
  <si>
    <t>Data Analyst Trainer From Kerala</t>
  </si>
  <si>
    <t>Neyyar Technologies Private Limited</t>
  </si>
  <si>
    <t>Viskool is looking for an experienced Data Analyst Trainer who can deliver practical, job-oriented training to students and working professionals. The trainer should have strong knowledge of data analysis tools, real-world project experience, and prior training experience.
The id...</t>
  </si>
  <si>
    <t>https://indeed.com/viewjob?jk=0d14105700d759f6</t>
  </si>
  <si>
    <t>IN_30ebfabe5f3eb462</t>
  </si>
  <si>
    <t>DEVELOPER L4</t>
  </si>
  <si>
    <t>Job Description #body.unify div.unify-button-container .unify-apply-now: focus, #body.unify div.unify-button-container .unify-apply-#body.unify div.unify-button-container .unify-apply-now: focus, #body.unify div.unify-button-container .unify-apply- 
Job Title: DEVELOPER L4 
City:...</t>
  </si>
  <si>
    <t>https://indeed.com/viewjob?jk=30ebfabe5f3eb462</t>
  </si>
  <si>
    <t>IN_444b4a516ffd2cb3</t>
  </si>
  <si>
    <t>DEVELOPER L3</t>
  </si>
  <si>
    <t>Job Description #body.unify div.unify-button-container .unify-apply-now: focus, #body.unify div.unify-button-container .unify-apply-#body.unify div.unify-button-container .unify-apply-now: focus, #body.unify div.unify-button-container .unify-apply- 
Job Title: DEVELOPER L3 
City:...</t>
  </si>
  <si>
    <t>https://indeed.com/viewjob?jk=444b4a516ffd2cb3</t>
  </si>
  <si>
    <t>IN_ffb4528256198559</t>
  </si>
  <si>
    <t>https://indeed.com/viewjob?jk=ffb4528256198559</t>
  </si>
  <si>
    <t>IN_50527fa8fbeed482</t>
  </si>
  <si>
    <t>SOFTWARE ENGINEER L3</t>
  </si>
  <si>
    <t>Job Description #body.unify div.unify-button-container .unify-apply-now: focus, #body.unify div.unify-button-container .unify-apply-#body.unify div.unify-button-container .unify-apply-now: focus, #body.unify div.unify-button-container .unify-apply- 
Job Title: SOFTWARE ENGINEER L...</t>
  </si>
  <si>
    <t>https://indeed.com/viewjob?jk=50527fa8fbeed482</t>
  </si>
  <si>
    <t>IN_3aef57c56cfe2544</t>
  </si>
  <si>
    <t>https://indeed.com/viewjob?jk=3aef57c56cfe2544</t>
  </si>
  <si>
    <t>IN_3d65dfa9f87e49c2</t>
  </si>
  <si>
    <t>https://indeed.com/viewjob?jk=3d65dfa9f87e49c2</t>
  </si>
  <si>
    <t>IN_012c414c5b08949a</t>
  </si>
  <si>
    <t>https://indeed.com/viewjob?jk=012c414c5b08949a</t>
  </si>
  <si>
    <t>IN_f3c7b7b0a18f8e8e</t>
  </si>
  <si>
    <t>https://indeed.com/viewjob?jk=f3c7b7b0a18f8e8e</t>
  </si>
  <si>
    <t>IN_6e7066c5041bf2c2</t>
  </si>
  <si>
    <t>https://indeed.com/viewjob?jk=6e7066c5041bf2c2</t>
  </si>
  <si>
    <t>IN_ab0a13457aadfc58</t>
  </si>
  <si>
    <t>https://indeed.com/viewjob?jk=ab0a13457aadfc58</t>
  </si>
  <si>
    <t>IN_317e6c243e308eca</t>
  </si>
  <si>
    <t>https://indeed.com/viewjob?jk=317e6c243e308eca</t>
  </si>
  <si>
    <t>IN_dfb1f84ea208ffbb</t>
  </si>
  <si>
    <t>Project Role : DevOps Engineer
Project Role Description : Responsible for building and setting up new development tools and infrastructure utilizing knowledge in continuous integration, delivery, and deployment (CI/CD), Cloud technologies, Container Orchestration and Security. Bu...</t>
  </si>
  <si>
    <t>https://indeed.com/viewjob?jk=dfb1f84ea208ffbb</t>
  </si>
  <si>
    <t>IN_76418206d0521e17</t>
  </si>
  <si>
    <t>https://indeed.com/viewjob?jk=76418206d0521e17</t>
  </si>
  <si>
    <t>IN_bc6bb06aa7e985d1</t>
  </si>
  <si>
    <t>https://indeed.com/viewjob?jk=bc6bb06aa7e985d1</t>
  </si>
  <si>
    <t>IN_08886d0274f40053</t>
  </si>
  <si>
    <t>Application Software Engineer</t>
  </si>
  <si>
    <t>https://indeed.com/viewjob?jk=08886d0274f40053</t>
  </si>
  <si>
    <t>IN_e32fbdabc29b72d2</t>
  </si>
  <si>
    <t>https://indeed.com/viewjob?jk=e32fbdabc29b72d2</t>
  </si>
  <si>
    <t>IN_8b7c0e39b293e032</t>
  </si>
  <si>
    <t>https://indeed.com/viewjob?jk=8b7c0e39b293e032</t>
  </si>
  <si>
    <t>IN_f10af6fbb6446dd9</t>
  </si>
  <si>
    <t>https://indeed.com/viewjob?jk=f10af6fbb6446dd9</t>
  </si>
  <si>
    <t>IN_f3aab858e061015a</t>
  </si>
  <si>
    <t>Senior Application Software Engineer</t>
  </si>
  <si>
    <t>Building off our Cloud momentum, Oracle has formed a new organization - Health Data Intelligence. This team will focus on product development and product strategy for Oracle Health, while building out a complete platform supporting modernized, automated healthcare. This is a net ...</t>
  </si>
  <si>
    <t>https://indeed.com/viewjob?jk=f3aab858e061015a</t>
  </si>
  <si>
    <t>IN_2f93537bee3d1bf7</t>
  </si>
  <si>
    <t>https://indeed.com/viewjob?jk=2f93537bee3d1bf7</t>
  </si>
  <si>
    <t>IN_b748df989b84129a</t>
  </si>
  <si>
    <t>Lead Software Engineer (Hybrid Work Model)</t>
  </si>
  <si>
    <t>Quorum Software</t>
  </si>
  <si>
    <t>Lead Software Engineer
Location: Pune, India
Model of Work: Hybrid
About Quorum Software
Quorum Software connects people and information across the energy value chain. Twenty years ago, we built the first software for gas plant accountants. Pipeline operators came next, followed...</t>
  </si>
  <si>
    <t>https://indeed.com/viewjob?jk=b748df989b84129a</t>
  </si>
  <si>
    <t>IN_a2808657a975652e</t>
  </si>
  <si>
    <t>https://indeed.com/viewjob?jk=a2808657a975652e</t>
  </si>
  <si>
    <t>IN_f59fff4ed587f8db</t>
  </si>
  <si>
    <t>https://indeed.com/viewjob?jk=f59fff4ed587f8db</t>
  </si>
  <si>
    <t>IN_05837d0380d9f6f9</t>
  </si>
  <si>
    <t>https://indeed.com/viewjob?jk=05837d0380d9f6f9</t>
  </si>
  <si>
    <t>IN_c9f0d91d5de0012e</t>
  </si>
  <si>
    <t>Senior Engineer - Java Full Stack</t>
  </si>
  <si>
    <t>EchoStar</t>
  </si>
  <si>
    <t>Company Summary: 
DISH Network Technologies India Pvt. Ltd is a technology subsidiary of EchoStar. Our organization is at the forefront of technology, serving as a disruptive force and driving innovation and value on behalf of our customers.
Our product portfolio includes Boost ...</t>
  </si>
  <si>
    <t>https://indeed.com/viewjob?jk=c9f0d91d5de0012e</t>
  </si>
  <si>
    <t>IN_01ec4c9a828a6d71</t>
  </si>
  <si>
    <t>https://indeed.com/viewjob?jk=01ec4c9a828a6d71</t>
  </si>
  <si>
    <t>IN_2adc5f8ff2a50736</t>
  </si>
  <si>
    <t>https://indeed.com/viewjob?jk=2adc5f8ff2a50736</t>
  </si>
  <si>
    <t>IN_9931f04e2478ae8f</t>
  </si>
  <si>
    <t>https://indeed.com/viewjob?jk=9931f04e2478ae8f</t>
  </si>
  <si>
    <t>IN_798d346e90fe1996</t>
  </si>
  <si>
    <t>https://indeed.com/viewjob?jk=798d346e90fe1996</t>
  </si>
  <si>
    <t>IN_5d96e0815f97e1c0</t>
  </si>
  <si>
    <t>https://indeed.com/viewjob?jk=5d96e0815f97e1c0</t>
  </si>
  <si>
    <t>IN_5ec0f593786dace2</t>
  </si>
  <si>
    <t>https://indeed.com/viewjob?jk=5ec0f593786dace2</t>
  </si>
  <si>
    <t>IN_9dc9905fc5a827d7</t>
  </si>
  <si>
    <t>Software Development Lead Engineer - Waters Connect</t>
  </si>
  <si>
    <t>Waters</t>
  </si>
  <si>
    <t>Overview: 
We are building a engineering team to explore new technologies and help shape the future direction of our software platform. You will work across existing applications, proof-of-concept development and integration work, with opportunities to explore areas such as AI an...</t>
  </si>
  <si>
    <t>https://indeed.com/viewjob?jk=9dc9905fc5a827d7</t>
  </si>
  <si>
    <t>IN_c11ace8cd10bc2e4</t>
  </si>
  <si>
    <t>https://indeed.com/viewjob?jk=c11ace8cd10bc2e4</t>
  </si>
  <si>
    <t>IN_7ab801dd4ca73bb2</t>
  </si>
  <si>
    <t>https://indeed.com/viewjob?jk=7ab801dd4ca73bb2</t>
  </si>
  <si>
    <t>IN_30b405aa30377ae2</t>
  </si>
  <si>
    <t>Developer III</t>
  </si>
  <si>
    <t>RealPage Inc</t>
  </si>
  <si>
    <t>Overview: 
As a Developer III (.Net), you will leverage cutting-edge technologies and development processes to transform complex requirements into intuitive, high-performance products and solutions. Your work will directly contribute to helping our customers succeed in their resp...</t>
  </si>
  <si>
    <t>https://indeed.com/viewjob?jk=30b405aa30377ae2</t>
  </si>
  <si>
    <t>IN_480f5a92c04945be</t>
  </si>
  <si>
    <t>https://indeed.com/viewjob?jk=480f5a92c04945be</t>
  </si>
  <si>
    <t>IN_2b4dd15210824395</t>
  </si>
  <si>
    <t>EDA Tool Developer</t>
  </si>
  <si>
    <t>AMD</t>
  </si>
  <si>
    <t>Overview: 
WHAT YOU DO AT AMD CHANGES EVERYTHING
At AMD, our mission is to build great products that accelerate next-generation computing experiences—from AI and data centers, to PCs, gaming and embedded systems. Grounded in a culture of innovation and collaboration, we believe r...</t>
  </si>
  <si>
    <t>https://indeed.com/viewjob?jk=2b4dd15210824395</t>
  </si>
  <si>
    <t>IN_56543048662638df</t>
  </si>
  <si>
    <t>https://indeed.com/viewjob?jk=56543048662638df</t>
  </si>
  <si>
    <t>IN_80438b6e875dd9a5</t>
  </si>
  <si>
    <t>https://indeed.com/viewjob?jk=80438b6e875dd9a5</t>
  </si>
  <si>
    <t>IN_d479b51729e4a167</t>
  </si>
  <si>
    <t>Senior Software Engineer, Bangalore</t>
  </si>
  <si>
    <t>Broccoli AI</t>
  </si>
  <si>
    <t>About Broccoli
Broccoli is building the AI operating system for home service businesses, an $800B+ market.
We work with plumbing, HVAC, and electrical contractors — the people who keep homes running — and we replace fragmented tools and manual workflows with AI agents that actual...</t>
  </si>
  <si>
    <t>https://indeed.com/viewjob?jk=d479b51729e4a167</t>
  </si>
  <si>
    <t>IN_f6f63c1f582abc18</t>
  </si>
  <si>
    <t>https://indeed.com/viewjob?jk=f6f63c1f582abc18</t>
  </si>
  <si>
    <t>IN_0ed8690145e7480f</t>
  </si>
  <si>
    <t>https://indeed.com/viewjob?jk=0ed8690145e7480f</t>
  </si>
  <si>
    <t>IN_1ac1116807bf0764</t>
  </si>
  <si>
    <t>https://indeed.com/viewjob?jk=1ac1116807bf0764</t>
  </si>
  <si>
    <t>IN_589f14869bea69b2</t>
  </si>
  <si>
    <t>https://indeed.com/viewjob?jk=589f14869bea69b2</t>
  </si>
  <si>
    <t>IN_6ae1c7f57cc282bf</t>
  </si>
  <si>
    <t>https://indeed.com/viewjob?jk=6ae1c7f57cc282bf</t>
  </si>
  <si>
    <t>IN_3878690754756fbf</t>
  </si>
  <si>
    <t>Senior Software Engineer - Miles</t>
  </si>
  <si>
    <t>Société Générale</t>
  </si>
  <si>
    <t>Responsibilities 
ERP Application Development &amp; Maintenance (Core System i.e. MILES) – Bringing solutions for the business requirements by implementing / modifying the Configurations with no regressions. 
Responsibility to manage the Change Request by following end to end softwar...</t>
  </si>
  <si>
    <t>https://indeed.com/viewjob?jk=3878690754756fbf</t>
  </si>
  <si>
    <t>IN_b55b44bf03f0fd21</t>
  </si>
  <si>
    <t>https://indeed.com/viewjob?jk=b55b44bf03f0fd21</t>
  </si>
  <si>
    <t>IN_49f7947b694d1637</t>
  </si>
  <si>
    <t>https://indeed.com/viewjob?jk=49f7947b694d1637</t>
  </si>
  <si>
    <t>IN_db36f2cad05951b2</t>
  </si>
  <si>
    <t>https://indeed.com/viewjob?jk=db36f2cad05951b2</t>
  </si>
  <si>
    <t>IN_a03f84aa1f8b0004</t>
  </si>
  <si>
    <t>https://indeed.com/viewjob?jk=a03f84aa1f8b0004</t>
  </si>
  <si>
    <t>IN_78e2195ca83500ba</t>
  </si>
  <si>
    <t>https://indeed.com/viewjob?jk=78e2195ca83500ba</t>
  </si>
  <si>
    <t>IN_8ba4600c6b69da7d</t>
  </si>
  <si>
    <t>https://indeed.com/viewjob?jk=8ba4600c6b69da7d</t>
  </si>
  <si>
    <t>IN_2e0d2bd047e6f37c</t>
  </si>
  <si>
    <t>https://indeed.com/viewjob?jk=2e0d2bd047e6f37c</t>
  </si>
  <si>
    <t>IN_d2bc1fedfbaa639c</t>
  </si>
  <si>
    <t>https://indeed.com/viewjob?jk=d2bc1fedfbaa639c</t>
  </si>
  <si>
    <t>IN_a5cebf0bf1123243</t>
  </si>
  <si>
    <t>Engineer II - SRE</t>
  </si>
  <si>
    <t>https://indeed.com/viewjob?jk=a5cebf0bf1123243</t>
  </si>
  <si>
    <t>IN_01fcef9a6ee2cdc4</t>
  </si>
  <si>
    <t>DEVOPS ENGINEER L4</t>
  </si>
  <si>
    <t>Job Description #body.unify div.unify-button-container .unify-apply-now: focus, #body.unify div.unify-button-container .unify-apply-#body.unify div.unify-button-container .unify-apply-now: focus, #body.unify div.unify-button-container .unify-apply- 
Job Title: DEVOPS ENGINEER L4 ...</t>
  </si>
  <si>
    <t>https://indeed.com/viewjob?jk=01fcef9a6ee2cdc4</t>
  </si>
  <si>
    <t>IN_520045a8fd4412dd</t>
  </si>
  <si>
    <t>Java SpringBoot with Azure DevOps Developer</t>
  </si>
  <si>
    <t>Job Description #body.unify div.unify-button-container .unify-apply-now: focus, #body.unify div.unify-button-container .unify-apply-#body.unify div.unify-button-container .unify-apply-now: focus, #body.unify div.unify-button-container .unify-apply- 
Job Title: Java SpringBoot wit...</t>
  </si>
  <si>
    <t>https://indeed.com/viewjob?jk=520045a8fd4412dd</t>
  </si>
  <si>
    <t>IN_a427403f8230f5ae</t>
  </si>
  <si>
    <t>https://indeed.com/viewjob?jk=a427403f8230f5ae</t>
  </si>
  <si>
    <t>IN_51a6e813ae8c6f26</t>
  </si>
  <si>
    <t>https://indeed.com/viewjob?jk=51a6e813ae8c6f26</t>
  </si>
  <si>
    <t>IN_94f2fa8a79e6179e</t>
  </si>
  <si>
    <t>Fujitsu</t>
  </si>
  <si>
    <t>Job Description 
Software Engineer II 
Job Location: Bangalore 
Location Flexibility: Primary Location Only 
Req Id: 9781 
Posting Start Date: 7/6/26 
Fujitsu’s R&amp;D vision is to create cutting-edge technologies that support society and prioritize the flow of data. Our five key te...</t>
  </si>
  <si>
    <t>https://indeed.com/viewjob?jk=94f2fa8a79e6179e</t>
  </si>
  <si>
    <t>IN_83215b471111162f</t>
  </si>
  <si>
    <t>PHP Backend Developer</t>
  </si>
  <si>
    <t>BHS Solution</t>
  </si>
  <si>
    <t>Department: Development, Vacancies: 1
We are looking for a senior software engineer with strong software development skills – from requirements to design to coding to testing and finally releasing in the market. Growth potential includes getting into senior leadership and lead th...</t>
  </si>
  <si>
    <t>https://indeed.com/viewjob?jk=83215b471111162f</t>
  </si>
  <si>
    <t>IN_331c17c0d9241bde</t>
  </si>
  <si>
    <t>https://indeed.com/viewjob?jk=331c17c0d9241bde</t>
  </si>
  <si>
    <t>IN_776c6e2eea94f179</t>
  </si>
  <si>
    <t>https://indeed.com/viewjob?jk=776c6e2eea94f179</t>
  </si>
  <si>
    <t>IN_b3379406f1530370</t>
  </si>
  <si>
    <t>Department: App Development, Vacancies: 1
We are looking for a talented and proactive iOS Developer who has 1-2 years of relevant experience. Should be a team player who can also work independently and doesn’t require micro management.
Key Skills
Apple foundation Libraries and kn...</t>
  </si>
  <si>
    <t>https://indeed.com/viewjob?jk=b3379406f1530370</t>
  </si>
  <si>
    <t>IN_882e0963fa816444</t>
  </si>
  <si>
    <t>https://indeed.com/viewjob?jk=882e0963fa816444</t>
  </si>
  <si>
    <t>IN_e29268f0592bf5ae</t>
  </si>
  <si>
    <t>https://indeed.com/viewjob?jk=e29268f0592bf5ae</t>
  </si>
  <si>
    <t>IN_2f82f0b8af357966</t>
  </si>
  <si>
    <t>https://indeed.com/viewjob?jk=2f82f0b8af357966</t>
  </si>
  <si>
    <t>IN_7c9d32ea6bb8413a</t>
  </si>
  <si>
    <t>AWS DevOps Developer</t>
  </si>
  <si>
    <t>Job Description #body.unify div.unify-button-container .unify-apply-now: focus, #body.unify div.unify-button-container .unify-apply-#body.unify div.unify-button-container .unify-apply-now: focus, #body.unify div.unify-button-container .unify-apply- 
Job Title: AWS DevOps Develope...</t>
  </si>
  <si>
    <t>https://indeed.com/viewjob?jk=7c9d32ea6bb8413a</t>
  </si>
  <si>
    <t>IN_871607e6e89d3dac</t>
  </si>
  <si>
    <t>https://indeed.com/viewjob?jk=871607e6e89d3dac</t>
  </si>
  <si>
    <t>IN_611ace81c5b73235</t>
  </si>
  <si>
    <t>https://indeed.com/viewjob?jk=611ace81c5b73235</t>
  </si>
  <si>
    <t>IN_19fefe40593337b9</t>
  </si>
  <si>
    <t>https://indeed.com/viewjob?jk=19fefe40593337b9</t>
  </si>
  <si>
    <t>IN_276bfbae2fcb131e</t>
  </si>
  <si>
    <t>https://indeed.com/viewjob?jk=276bfbae2fcb131e</t>
  </si>
  <si>
    <t>IN_86269910021dc05f</t>
  </si>
  <si>
    <t>https://indeed.com/viewjob?jk=86269910021dc05f</t>
  </si>
  <si>
    <t>IN_dd0d0acd6864056d</t>
  </si>
  <si>
    <t>https://indeed.com/viewjob?jk=dd0d0acd6864056d</t>
  </si>
  <si>
    <t>IN_4a221a54e0840b84</t>
  </si>
  <si>
    <t>https://indeed.com/viewjob?jk=4a221a54e0840b84</t>
  </si>
  <si>
    <t>IN_4961fafe7382b267</t>
  </si>
  <si>
    <t>https://indeed.com/viewjob?jk=4961fafe7382b267</t>
  </si>
  <si>
    <t>IN_b3bed2a902526ce7</t>
  </si>
  <si>
    <t>https://indeed.com/viewjob?jk=b3bed2a902526ce7</t>
  </si>
  <si>
    <t>IN_a18036372c92e282</t>
  </si>
  <si>
    <t>https://indeed.com/viewjob?jk=a18036372c92e282</t>
  </si>
  <si>
    <t>IN_31f164e92a5469dd</t>
  </si>
  <si>
    <t>https://indeed.com/viewjob?jk=31f164e92a5469dd</t>
  </si>
  <si>
    <t>IN_2944ebb5e20e0657</t>
  </si>
  <si>
    <t>https://indeed.com/viewjob?jk=2944ebb5e20e0657</t>
  </si>
  <si>
    <t>IN_a672bb5e458710a6</t>
  </si>
  <si>
    <t>https://indeed.com/viewjob?jk=a672bb5e458710a6</t>
  </si>
  <si>
    <t>IN_4d5ff332d567059b</t>
  </si>
  <si>
    <t>https://indeed.com/viewjob?jk=4d5ff332d567059b</t>
  </si>
  <si>
    <t>IN_b582b212c3185cfb</t>
  </si>
  <si>
    <t>https://indeed.com/viewjob?jk=b582b212c3185cfb</t>
  </si>
  <si>
    <t>IN_9d3df680bbf2ae45</t>
  </si>
  <si>
    <t>https://indeed.com/viewjob?jk=9d3df680bbf2ae45</t>
  </si>
  <si>
    <t>IN_bc593c1d7ee77977</t>
  </si>
  <si>
    <t>https://indeed.com/viewjob?jk=bc593c1d7ee77977</t>
  </si>
  <si>
    <t>IN_abc04f214a964bc6</t>
  </si>
  <si>
    <t>https://indeed.com/viewjob?jk=abc04f214a964bc6</t>
  </si>
  <si>
    <t>IN_55e995e7a37a01f9</t>
  </si>
  <si>
    <t>https://indeed.com/viewjob?jk=55e995e7a37a01f9</t>
  </si>
  <si>
    <t>IN_3c154f9d1d4c2749</t>
  </si>
  <si>
    <t>https://indeed.com/viewjob?jk=3c154f9d1d4c2749</t>
  </si>
  <si>
    <t>IN_11fa76323bb12da5</t>
  </si>
  <si>
    <t>https://indeed.com/viewjob?jk=11fa76323bb12da5</t>
  </si>
  <si>
    <t>IN_e5a4611aea8d0863</t>
  </si>
  <si>
    <t>https://indeed.com/viewjob?jk=e5a4611aea8d0863</t>
  </si>
  <si>
    <t>IN_2eaa05aad36058a7</t>
  </si>
  <si>
    <t>https://indeed.com/viewjob?jk=2eaa05aad36058a7</t>
  </si>
  <si>
    <t>IN_2594b82b61dd0b4e</t>
  </si>
  <si>
    <t>Cloud Platform Engineer</t>
  </si>
  <si>
    <t>Project Role : Cloud Platform Engineer
Project Role Description : Designs, builds, tests, and deploys cloud application solutions that integrate cloud and non-cloud infrastructure. Can deploy infrastructure and platform environments, creates a proof of architecture to test archit...</t>
  </si>
  <si>
    <t>https://indeed.com/viewjob?jk=2594b82b61dd0b4e</t>
  </si>
  <si>
    <t>IN_2243324ab0db257c</t>
  </si>
  <si>
    <t>https://indeed.com/viewjob?jk=2243324ab0db257c</t>
  </si>
  <si>
    <t>IN_1e70a729410ec7e3</t>
  </si>
  <si>
    <t>https://indeed.com/viewjob?jk=1e70a729410ec7e3</t>
  </si>
  <si>
    <t>IN_cf130d059da84a2d</t>
  </si>
  <si>
    <t>https://indeed.com/viewjob?jk=cf130d059da84a2d</t>
  </si>
  <si>
    <t>IN_9f96abbfd9781361</t>
  </si>
  <si>
    <t>https://indeed.com/viewjob?jk=9f96abbfd9781361</t>
  </si>
  <si>
    <t>IN_65cc4988d02d5e36</t>
  </si>
  <si>
    <t>https://indeed.com/viewjob?jk=65cc4988d02d5e36</t>
  </si>
  <si>
    <t>IN_fb7cc312808554cf</t>
  </si>
  <si>
    <t>https://indeed.com/viewjob?jk=fb7cc312808554cf</t>
  </si>
  <si>
    <t>IN_9b74357160dd55ed</t>
  </si>
  <si>
    <t>LEAD DATA ANALYST</t>
  </si>
  <si>
    <t>MSC Technology</t>
  </si>
  <si>
    <t>Mon, 07/06/2026 - 15:01 
Experience
5+
Job Description
Requirement:
Strong understanding of Dynamics 365 Customer Insights – Data concepts including data unification, matching rules, deduplication, segmentation, and measures.
Knowledge of Dataverse and customer data structures in...</t>
  </si>
  <si>
    <t>https://indeed.com/viewjob?jk=9b74357160dd55ed</t>
  </si>
  <si>
    <t>IN_1273b13cb1aff64f</t>
  </si>
  <si>
    <t>https://indeed.com/viewjob?jk=1273b13cb1aff64f</t>
  </si>
  <si>
    <t>IN_03aba5d087e4f6ef</t>
  </si>
  <si>
    <t>Infogence Marketing &amp; Advisory Services</t>
  </si>
  <si>
    <t>Position: Data Analyst
Experience: 1–3 Years (Candidates with 2–5 years of prior Sales experience will be preferred)
CTC: ₹6 LPA – ₹10 LPA
Location: Kharadi/Undri( Hybrid)
About the Role
We are looking for a detail-oriented and analytical Data Analyst who is highly proficient in ...</t>
  </si>
  <si>
    <t>https://indeed.com/viewjob?jk=03aba5d087e4f6ef</t>
  </si>
  <si>
    <t>IN_dbfb6ff30ce210d0</t>
  </si>
  <si>
    <t>MIS Manager / Analyst</t>
  </si>
  <si>
    <t>Renewcell Cosmedica</t>
  </si>
  <si>
    <t>Job Purpose
The MIS Manager / Analyst will be responsible for building and Scrutinizing accurate sales and data system The role owns end-to-end MIS operations — from expense and claim verification to salary working scrutiny, sales reporting, and market visit tracking — and is exp...</t>
  </si>
  <si>
    <t>https://indeed.com/viewjob?jk=dbfb6ff30ce210d0</t>
  </si>
  <si>
    <t>IN_baf0bdd92616647c</t>
  </si>
  <si>
    <t>IT&amp;D Senior Business Analyst, Industrial Automation</t>
  </si>
  <si>
    <t>https://indeed.com/viewjob?jk=baf0bdd92616647c</t>
  </si>
  <si>
    <t>IN_5b6427feb468ef21</t>
  </si>
  <si>
    <t>L35 - Specialist, Analytics and Insights - Data Engineer - Hyderabad</t>
  </si>
  <si>
    <t>Senior Analyst – Data Engineering – The Reporting Hub – Deloitte Support Services India Pvt. Ltd.
The Organization
Central Business Services (CBS) is part of the Enabling Functions (EF) service line supporting the whole of Deloitte UK. It provides services to the UK Firm includin...</t>
  </si>
  <si>
    <t>https://indeed.com/viewjob?jk=5b6427feb468ef21</t>
  </si>
  <si>
    <t>IN_29f15b347aba2174</t>
  </si>
  <si>
    <t>Research Analyst- Freshers</t>
  </si>
  <si>
    <t>Pana Corp Research Academy</t>
  </si>
  <si>
    <t>About the Role
We are looking for enthusiastic Research Analysts to join our Research &amp; Development team. This role offers an excellent opportunity for fresh graduates to build a career in academic research by working on literature reviews, research methodologies, technical docum...</t>
  </si>
  <si>
    <t>https://indeed.com/viewjob?jk=29f15b347aba2174</t>
  </si>
  <si>
    <t>IN_10067b1611e027bb</t>
  </si>
  <si>
    <t>Data Quality Analyst – People Services</t>
  </si>
  <si>
    <t>Bengaluru, INDIA, India 
Not Remote 
Human Resources 
JOB216539
Meet your manager, Nic
Nic Jagoe
VP, Talent Acquisition, Sunnyvale
Company Description
It started with a simple idea: what if surgery could be less invasive and recovery less painful? Nearly 30 years later, that que...</t>
  </si>
  <si>
    <t>https://indeed.com/viewjob?jk=10067b1611e027bb</t>
  </si>
  <si>
    <t>IN_6aefe04a5bc20461</t>
  </si>
  <si>
    <t>Data Science Analysis Manager</t>
  </si>
  <si>
    <t>Meet the team:
The AutoQuote team at Cisco builds and operates the automated quoting platform that powers Cisco's global renewals business. Our mission is to generate accurate, ready-to-order quotes at scale — minimizing manual effort for partners and distributors, reducing booki...</t>
  </si>
  <si>
    <t>https://indeed.com/viewjob?jk=6aefe04a5bc20461</t>
  </si>
  <si>
    <t>IN_bf969cda1af8c69f</t>
  </si>
  <si>
    <t>Data Science Analyst</t>
  </si>
  <si>
    <t>https://indeed.com/viewjob?jk=bf969cda1af8c69f</t>
  </si>
  <si>
    <t>IN_0e12b4c7c0eee684</t>
  </si>
  <si>
    <t>Analyst-Risk Management</t>
  </si>
  <si>
    <t>Analyst, International Enterprise Risk Management CoE, India 
The Risk Oversight organization within Global Risk and Compliance (GRC) is responsible for identifying and managing risk across all processes and geographies at American Express. 
Analyst, International Enterprise Risk...</t>
  </si>
  <si>
    <t>https://indeed.com/viewjob?jk=0e12b4c7c0eee684</t>
  </si>
  <si>
    <t>IN_b60dcbbb6b4b50bb</t>
  </si>
  <si>
    <t>Software Engineering Senior Analyst - HIH Evernorth</t>
  </si>
  <si>
    <t>INTRODUCTION TO EVERNORTH:
Evernorth Health Services India, established in Hyderabad in 2024, is an innovation hub for Evernorth Health Services, the pharmacy, care and benefits division of The Cigna Group. The innovation hub will support innovation-focused areas, such as generat...</t>
  </si>
  <si>
    <t>https://indeed.com/viewjob?jk=b60dcbbb6b4b50bb</t>
  </si>
  <si>
    <t>IN_769d548d1a4dd8cf</t>
  </si>
  <si>
    <t>WCR- Quantitative Research - Associate</t>
  </si>
  <si>
    <t>JOB DESCRIPTION
Job Summary:
We are seeking an AI/ML Engineer to support the design, development, and operationalization of AI/ML/LLM/GenAI solutions that deliver measurable business impact. Working under the guidance of senior engineers, you will help prepare and transform dat...</t>
  </si>
  <si>
    <t>https://indeed.com/viewjob?jk=769d548d1a4dd8cf</t>
  </si>
  <si>
    <t>IN_d68dcf82925b0721</t>
  </si>
  <si>
    <t>Lead I - Software Engineering</t>
  </si>
  <si>
    <t>Role description
A hands-on Principal Engineer to lead the design and development of advanced device identification capabilities for Cuctomer's fraud detection platform. This role focuses on building scalable backend systems that process device and browser signals to accurately ...</t>
  </si>
  <si>
    <t>https://indeed.com/viewjob?jk=d68dcf82925b0721</t>
  </si>
  <si>
    <t>IN_5b765bb5dc44602e</t>
  </si>
  <si>
    <t>Associate, SW Eng</t>
  </si>
  <si>
    <t>Northern Trust Corp.</t>
  </si>
  <si>
    <t>About Northern Trust
As a global leader in innovative wealth management, asset servicing, asset management and banking services, Northern Trust (Nasdaq: NTRS) is proud to guide the world’s most successful individuals, families, corporations and institutions.
Since 1889, we have...</t>
  </si>
  <si>
    <t>https://indeed.com/viewjob?jk=5b765bb5dc44602e</t>
  </si>
  <si>
    <t>IN_496944332ff299e1</t>
  </si>
  <si>
    <t>Unity Developer</t>
  </si>
  <si>
    <t>Role description
Who we are:
At UST, we help the world’s best organizations grow and succeed through transformation. Bringing together the right talent, tools, and ideas, we work with our client to co-create lasting change. Together, with over 30,000 employees in 30+ countries, ...</t>
  </si>
  <si>
    <t>https://indeed.com/viewjob?jk=496944332ff299e1</t>
  </si>
  <si>
    <t>IN_c22b7dbc22beb058</t>
  </si>
  <si>
    <t>Java Lead</t>
  </si>
  <si>
    <t>Bluebenz Digitalization Pvt Ltd</t>
  </si>
  <si>
    <t>Key skills: Core Java, Spring Boot, Struts, React JS/Angular
Exp: 6-8 yrs
Key Competencies 
1. Extensive Java and J2EE development experience, preferably gained on complex multi-tier web-based business applications
2. Should be able to convert requirements into solution.
3. Solid...</t>
  </si>
  <si>
    <t>https://indeed.com/viewjob?jk=c22b7dbc22beb058</t>
  </si>
  <si>
    <t>IN_7de3b0004c64e0e6</t>
  </si>
  <si>
    <t>RPA Developer - Core</t>
  </si>
  <si>
    <t>HCLTech</t>
  </si>
  <si>
    <t>Noida, Uttar Pradesh 
Job Summary 
About the Role 
We are looking for a GenAI Agentic Developer to design, build, integrate, test, and support intelligent applications powered by Large Language Models, Retrieval-Augmented Generation, tool-calling workflows, autonomous agents, a...</t>
  </si>
  <si>
    <t>https://indeed.com/viewjob?jk=7de3b0004c64e0e6</t>
  </si>
  <si>
    <t>IN_836a16f6bf280e0e</t>
  </si>
  <si>
    <t>FTVx Voice Experience - SDE II, FTVX Team (Voice Experience)</t>
  </si>
  <si>
    <t>DESCRIPTION
Amazon FireTV products are revolutionary consumer devices that have become the #1 best-selling Amazon products. They are among the most innovative and fastest growing businesses at both Amazon and the entire consumer electronics industry. We are looking for talented s...</t>
  </si>
  <si>
    <t>https://indeed.com/viewjob?jk=836a16f6bf280e0e</t>
  </si>
  <si>
    <t>IN_56f506e8cf181788</t>
  </si>
  <si>
    <t>Senior Mainframe Developer</t>
  </si>
  <si>
    <t>Date live: 07/06/2026
Business Area: Customer Digital and Data
Area of Expertise: Technology
Contract: Permanent
Reference Code: JR-0000113520
Join us as Senior Mainframe Developer at Barclays, where you will spearhead the evolution of our infrastructure and deployment pipelines...</t>
  </si>
  <si>
    <t>https://indeed.com/viewjob?jk=56f506e8cf181788</t>
  </si>
  <si>
    <t>IN_658d5e15006657ae</t>
  </si>
  <si>
    <t>DESCRIPTION
AWS Infrastructure Services owns the design, planning, delivery, and operation of all AWS global infrastructure. In other words, we’re the people who keep the cloud running. We support all AWS data centers and all of the servers, storage, networking, power, and coolin...</t>
  </si>
  <si>
    <t>https://indeed.com/viewjob?jk=658d5e15006657ae</t>
  </si>
  <si>
    <t>IN_cd29922d87d7702f</t>
  </si>
  <si>
    <t>Senior Developer</t>
  </si>
  <si>
    <t>Pune, Maharashtra 
Job Summary 
Codebeamer Developer (E1.2) with 2–4 years of experience in Codebeamer, 
Strong programming skills in Java for backend development and integrations, 
along with working knowledge of JavaScript for UI customization. 
Candidate should have hands-on ...</t>
  </si>
  <si>
    <t>https://indeed.com/viewjob?jk=cd29922d87d7702f</t>
  </si>
  <si>
    <t>IN_54b3220b0635cd64</t>
  </si>
  <si>
    <t>Senior Full Stack Developer</t>
  </si>
  <si>
    <t>Chennai, Tamil Nadu 
Job Summary 
To develop, test &amp; deploy an application/ product and also provide maintenance support for complex systems. 
Key Responsibilities 
1. To design and develop robust and scalable end-to-end solutions, covering both front-end and back-end development...</t>
  </si>
  <si>
    <t>https://indeed.com/viewjob?jk=54b3220b0635cd64</t>
  </si>
  <si>
    <t>IN_d001e2c802cd69d9</t>
  </si>
  <si>
    <t>Staff Engineer - Systems</t>
  </si>
  <si>
    <t>https://indeed.com/viewjob?jk=d001e2c802cd69d9</t>
  </si>
  <si>
    <t>IN_026e67a992dd6367</t>
  </si>
  <si>
    <t>Power Builder</t>
  </si>
  <si>
    <t>Senior PowerBuilder Developer (Direct Client-Facing)
Location: Any Offshore Location
Shift Timing: 4:00 PM – 1:00 AM IST (Noon/Overlap Shift)
Experience: 5+ Years
Notice Period: Immediate to 15 Days Preferred
## Role Overview
We are seeking a highly skilled Senior PowerBuilder De...</t>
  </si>
  <si>
    <t>https://indeed.com/viewjob?jk=026e67a992dd6367</t>
  </si>
  <si>
    <t>IN_ccd49afb1f8db804</t>
  </si>
  <si>
    <t>Tech Lead (Senior Backend)</t>
  </si>
  <si>
    <t>Khelo Tech &amp; Strategy Private Limited</t>
  </si>
  <si>
    <t>ML</t>
  </si>
  <si>
    <t>Company: Khelo Tech
Experience: 7+ Years (excluding internships)
Location: Shillong, Meghalaya
Employment Type: Contractual, 1 Year - (extendable every 6 months based on project
requirements, deliverables, and individual performance)
No. of openings: 2
Work Mode: Onsite (Mon-Sat)...</t>
  </si>
  <si>
    <t>https://indeed.com/viewjob?jk=ccd49afb1f8db804</t>
  </si>
  <si>
    <t>IN_379d5f47fa158ca6</t>
  </si>
  <si>
    <t>QA Automation Engineer</t>
  </si>
  <si>
    <t>QA Automation Engineer
EXperience 4+ Years
We are seeking a highly technical QA Automation Engineer to drive our end-to-end and integration testing efforts. In this role, you will take ownership of our automated testing infrastructure, heavily utilizing Playwright for UI automati...</t>
  </si>
  <si>
    <t>https://indeed.com/viewjob?jk=379d5f47fa158ca6</t>
  </si>
  <si>
    <t>IN_2e5d8599e2d3d5a9</t>
  </si>
  <si>
    <t>Senior Technical Specialist</t>
  </si>
  <si>
    <t>Chennai, Tamil Nadu 
Job Summary 
To conceptualize, design and deliver product / sustenance delivery through the team as per defined scope,by adopting industry-leading practices, thus contributing significantly to the advancement and success of the project. 
Key Responsibilities ...</t>
  </si>
  <si>
    <t>https://indeed.com/viewjob?jk=2e5d8599e2d3d5a9</t>
  </si>
  <si>
    <t>IN_4f9bb379d105ac09</t>
  </si>
  <si>
    <t>Software Engineer III - AWS Cloud Engineer + Java</t>
  </si>
  <si>
    <t>JOB DESCRIPTION
We have an exciting and rewarding opportunity for you to take your software engineering career to the next level. 
As a Software Engineer III - AWS Cloud Engineer + Java at JPMorgan Chase within the Commercial &amp; Investment Bank, you'll serve as a seasoned member...</t>
  </si>
  <si>
    <t>https://indeed.com/viewjob?jk=4f9bb379d105ac09</t>
  </si>
  <si>
    <t>IN_75283144f19211d6</t>
  </si>
  <si>
    <t>Nextjs Developer</t>
  </si>
  <si>
    <t>Hewlett Packard Enterprise | HPE</t>
  </si>
  <si>
    <t>Nextjs Developer
This role has been designed as ‘Hybrid’ with an expectation that you will work on average 2 days per week from an HPE office.
Who We Are:
Hewlett Packard Enterprise is the global edge-to-cloud company advancing the way people live and work. We help companies con...</t>
  </si>
  <si>
    <t>https://indeed.com/viewjob?jk=75283144f19211d6</t>
  </si>
  <si>
    <t>IN_0438e07cfdbdc358</t>
  </si>
  <si>
    <t>Senior Technical Lead</t>
  </si>
  <si>
    <t>Bengaluru, Karnataka 
Job Summary 
JD: We are primarily looking for someone with strong exposure on Backend development using latest skills like Microservice and Micro UI architecture,.NET Core ,SQL Servers, Azure RedHat Open shift, Azure DevOps. Exp – 5-8 yrs. 
Key Responsibil...</t>
  </si>
  <si>
    <t>https://indeed.com/viewjob?jk=0438e07cfdbdc358</t>
  </si>
  <si>
    <t>IN_1f1f56a7b7bbf438</t>
  </si>
  <si>
    <t>Senior SDET</t>
  </si>
  <si>
    <t>Automation Anywhere</t>
  </si>
  <si>
    <t>About Us
Automation Anywhere is the leader in Agentic Process Automation (APA), transforming how work gets done with AI-powered automation. Its APA system, built on the industry’s first Process Reasoning Engine (PRE) and specialized AI agents, combines process discovery, RPA, end...</t>
  </si>
  <si>
    <t>https://indeed.com/viewjob?jk=1f1f56a7b7bbf438</t>
  </si>
  <si>
    <t>IN_3cd559eac9f62f08</t>
  </si>
  <si>
    <t>Technical Lead</t>
  </si>
  <si>
    <t>Bengaluru, Karnataka 
Job Summary 
Description 
Digital Services is looking for an Java Developer that could be: 
Responsible for capturing additional detail information needed for the detailed design, construction and testing of the software units
Responsible for the detailed d...</t>
  </si>
  <si>
    <t>https://indeed.com/viewjob?jk=3cd559eac9f62f08</t>
  </si>
  <si>
    <t>IN_7d687724bfbe56f8</t>
  </si>
  <si>
    <t>Sr. Developer</t>
  </si>
  <si>
    <t>Azure iPaaS, Azure Logic Apps, Azure Functions, Azure API Management, Dot Net, C# 
Job Location: Chennai 
Experience: 5 to 14.</t>
  </si>
  <si>
    <t>https://indeed.com/viewjob?jk=7d687724bfbe56f8</t>
  </si>
  <si>
    <t>IN_b2ed215983f81ed8</t>
  </si>
  <si>
    <t>Senior Developer - Python and Spark</t>
  </si>
  <si>
    <t>https://indeed.com/viewjob?jk=b2ed215983f81ed8</t>
  </si>
  <si>
    <t>IN_bd11c98d8278b47b</t>
  </si>
  <si>
    <t>SQL Developer</t>
  </si>
  <si>
    <t>https://indeed.com/viewjob?jk=bd11c98d8278b47b</t>
  </si>
  <si>
    <t>IN_5363198879b7b540</t>
  </si>
  <si>
    <t>Java</t>
  </si>
  <si>
    <t>Tata Consultancy Services (TCS)</t>
  </si>
  <si>
    <t>Experience using and developing RESTful APIs using JAX-RS, JSON
Experience in use of source code management system like SVN or GIT and build tools like ant, maven, Gradle.
Hands on with Maven build scripts/ Curie moving to Git Hub.
Experience in developing and deploying Microserv...</t>
  </si>
  <si>
    <t>https://indeed.com/viewjob?jk=5363198879b7b540</t>
  </si>
  <si>
    <t>IN_8e1e793e7cac614e</t>
  </si>
  <si>
    <t>6030_ML Engineer I</t>
  </si>
  <si>
    <t>Key Responsibilities 
ML Model Development &amp; Optimization: Design, develop, and implement robust machine learning models using Python and its associated libraries. You will be responsible for the end-to-end model lifecycle, including data preprocessing, feature engineering, model...</t>
  </si>
  <si>
    <t>https://indeed.com/viewjob?jk=8e1e793e7cac614e</t>
  </si>
  <si>
    <t>IN_d7d5c202797f2de8</t>
  </si>
  <si>
    <t>AI Solution Architect I</t>
  </si>
  <si>
    <t>Gautam Buddha Nagar, Uttar Pradesh 
Job Summary 
Position Summary The Mid-Level AI Architect is responsible for designing and implementing AI and cloud architectures, with a focus on integrating generative AI technologies. This role requires a solid understanding of AI and cloud...</t>
  </si>
  <si>
    <t>https://indeed.com/viewjob?jk=d7d5c202797f2de8</t>
  </si>
  <si>
    <t>IN_27f44d4993ace511</t>
  </si>
  <si>
    <t>Senior Analyst - Billing/Invoicing Lead to cash</t>
  </si>
  <si>
    <t>Gurugram, Haryana 
Job Summary 
We are seeking a highly skilled Vendor Security Assessment Engineer to evaluate and ensure the security posture of third-party vendors, partners, and suppliers. This role involves assessing vendor compliance with security policies, industry standa...</t>
  </si>
  <si>
    <t>https://indeed.com/viewjob?jk=27f44d4993ace511</t>
  </si>
  <si>
    <t>IN_c77fdd1f308138b2</t>
  </si>
  <si>
    <t>Platform Engineer II</t>
  </si>
  <si>
    <t>Banglore, Karnataka 
Job Summary 
The Agentic AI Engineer will be responsible for designing, developing, and deploying AI-driven solutions leveraging large language models (LLMs), diffusion models, and other generative frameworks. The role involves collaborating closely with dat...</t>
  </si>
  <si>
    <t>https://indeed.com/viewjob?jk=c77fdd1f308138b2</t>
  </si>
  <si>
    <t>IN_f1dac3874f931382</t>
  </si>
  <si>
    <t>Helius Technologies</t>
  </si>
  <si>
    <t>We are currently hiring for the position of Performance Tester (Python) with Helius Technologies for our Hyderabad office.
Experience: 5–12 Years
Location: Hyderabad
Work Mode: This is a STRICTLY Work From Office (WFO) role.
Preference: Candidates currently based in Hyderabad are...</t>
  </si>
  <si>
    <t>https://indeed.com/viewjob?jk=f1dac3874f931382</t>
  </si>
  <si>
    <t>IN_ee30ae8563d80185</t>
  </si>
  <si>
    <t>6030_Data Engineer I</t>
  </si>
  <si>
    <t>Data Engineer 
We are seeking a highly skilled and motivated Data Engineer to join our growing team. The ideal candidate will have a strong background in building and maintaining scalable data pipelines, with hands-on experience in ETL processes, Python programming, Apache Airflo...</t>
  </si>
  <si>
    <t>https://indeed.com/viewjob?jk=ee30ae8563d80185</t>
  </si>
  <si>
    <t>IN_38c6ed913cc338c3</t>
  </si>
  <si>
    <t>UniAthena Pvt. Ltd.</t>
  </si>
  <si>
    <t>The Email Marketing Executive will support the planning, execution, and optimization of email marketing campaigns to engage target audiences, improve user progression, and contribute to business growth. This role focuses on executing data-driven campaigns, maintaining communicati...</t>
  </si>
  <si>
    <t>https://indeed.com/viewjob?jk=38c6ed913cc338c3</t>
  </si>
  <si>
    <t>IN_98cf3f1e3628ea9e</t>
  </si>
  <si>
    <t>Data Engineer III</t>
  </si>
  <si>
    <t>Thermo Fisher Scientific</t>
  </si>
  <si>
    <t>Work Schedule
Standard (Mon-Fri)
Environmental Conditions
Office
Job Description
About Company:
ThermoFisher Scientific Inc. is the world leader in serving science, with revenues of more than $40 billion and approximately 1,20,000 employees globally. Our Mission is to enable our ...</t>
  </si>
  <si>
    <t>https://indeed.com/viewjob?jk=98cf3f1e3628ea9e</t>
  </si>
  <si>
    <t>IN_d72f224aca79bc7f</t>
  </si>
  <si>
    <t>Lorry driver 5 numbers with Heavy Driving Licence</t>
  </si>
  <si>
    <t>TAMIL SIDDHA HOSPITAL PRIVATE LIMITED</t>
  </si>
  <si>
    <t>Required for our reputed client:
For
Lanson Logistics
K k nagar, Chennai
Goods transports business
Vehicle spare parts transport
Requirements:
Lorry driver 5 numbers
Heavy Driving Licence
Age: 30 to 50
Experience:
5 years and above
Salary: 30,000 pm to 40,000 pm
Number of driver ...</t>
  </si>
  <si>
    <t>https://indeed.com/viewjob?jk=d72f224aca79bc7f</t>
  </si>
  <si>
    <t>IN_29cb22c1e07fa387</t>
  </si>
  <si>
    <t>Associate Customer Marketing Manager</t>
  </si>
  <si>
    <t>https://indeed.com/viewjob?jk=29cb22c1e07fa387</t>
  </si>
  <si>
    <t>IN_1915400f6eb36882</t>
  </si>
  <si>
    <t>Data Devops lead/Associate Director, Data and Analytics</t>
  </si>
  <si>
    <t>https://indeed.com/viewjob?jk=1915400f6eb36882</t>
  </si>
  <si>
    <t>IN_dbcfd4d23435bce0</t>
  </si>
  <si>
    <t>Client Relationship Support</t>
  </si>
  <si>
    <t>Some careers open more doors than others.
If you’re looking for a career that will unlock new opportunities, join HSBC and experience the possibilities. Whether you want a career that could take you to the top, or simply take you in an exciting new direction, HSBC offers opportun...</t>
  </si>
  <si>
    <t>https://indeed.com/viewjob?jk=dbcfd4d23435bce0</t>
  </si>
  <si>
    <t>IN_787db7697e2463ac</t>
  </si>
  <si>
    <t>Content-Led Growth Associate</t>
  </si>
  <si>
    <t>Mission Inbox</t>
  </si>
  <si>
    <t>Content Manager (Content-Led Growth)
Company: Mission Inbox, a B2B email infrastructure platform. 80M+ emails per month, cash-flow positive, fully remote and globally distributed. Execution standards of a company 10x our size, without the survival anxiety.
Type: Full-time, remote...</t>
  </si>
  <si>
    <t>https://indeed.com/viewjob?jk=787db7697e2463ac</t>
  </si>
  <si>
    <t>IN_7c61ba4bd2f2ff39</t>
  </si>
  <si>
    <t>Senior Specialist, Business Finance Supply Chain and Equipments</t>
  </si>
  <si>
    <t>Schneider Electric</t>
  </si>
  <si>
    <t>Job Description:
We are seeking a highly analytical and detail-oriented Inventory Controller to oversee and manage inventory operations across the organization. The ideal candidate will have strong experience in accurate inventory accounting, reconciliation, process optimization...</t>
  </si>
  <si>
    <t>https://indeed.com/viewjob?jk=7c61ba4bd2f2ff39</t>
  </si>
  <si>
    <t>IN_4784eeab985b7bde</t>
  </si>
  <si>
    <t>Lead Data Scientist-(VLM-Multimodal AI ,CV, Deep Learning)</t>
  </si>
  <si>
    <t>What's the role?: 
We are seeking an experienced Lead Data Scientist to drive the development of advanced Vision Foundation Models, Vision-Language Models, and multimodal AI systems for large-scale image and video understanding.
You will lead the design, development, and deployme...</t>
  </si>
  <si>
    <t>https://indeed.com/viewjob?jk=4784eeab985b7bde</t>
  </si>
  <si>
    <t>IN_98377cf84e72e901</t>
  </si>
  <si>
    <t>Assistant Director, DAAI</t>
  </si>
  <si>
    <t>Job Title: Assistant Director, DAAI
A Product Owner with a passion for data and technology to guide the evolution of our marketing technology stack, remain central figure in our Agile team, working at the intersection of marketing and engineering to enhance our data services and...</t>
  </si>
  <si>
    <t>https://indeed.com/viewjob?jk=98377cf84e72e901</t>
  </si>
  <si>
    <t>IN_08cec990377546ca</t>
  </si>
  <si>
    <t>Assistant Manager - Branch Asset Specialist</t>
  </si>
  <si>
    <t>https://indeed.com/viewjob?jk=08cec990377546ca</t>
  </si>
  <si>
    <t>IN_780dacd16784a8ba</t>
  </si>
  <si>
    <t>Senior Engineer II, Cybersecurity / Smart Factory</t>
  </si>
  <si>
    <t>Job Description: 
Are you passionate about transforming manufacturing through digital innovation? As a Smart Factory Engineer 2, you will play a pivotal role in driving Industry 4.0 adoption, enabling data-driven manufacturing, and shaping the future of smart operations.
This rol...</t>
  </si>
  <si>
    <t>https://indeed.com/viewjob?jk=780dacd16784a8ba</t>
  </si>
  <si>
    <t>IN_29e26b147aac8748</t>
  </si>
  <si>
    <t>Technology Delivery Liquidity/Sr. Associate Director, Delivery Management Specialist</t>
  </si>
  <si>
    <t>Some careers shine brighter than others.
If you’re looking for a career that will help you stand out, join HSBC, and fulfil your potential. Whether you want a career that could take you to the top, or simply take you in an exciting new direction, HSBC offers opportunities, suppor...</t>
  </si>
  <si>
    <t>https://indeed.com/viewjob?jk=29e26b147aac8748</t>
  </si>
  <si>
    <t>IN_08f6b5809620ba50</t>
  </si>
  <si>
    <t>Vice President - Portfolio Counsellor, West India</t>
  </si>
  <si>
    <t>Some careers open more doors than others.
If you’re looking for a career where you can make a real impression, join HSBC and discover how valued you’ll be. Whether you want a career that could take you to the top, or simply take you in an exciting new direction, HSBC offers oppo...</t>
  </si>
  <si>
    <t>https://indeed.com/viewjob?jk=08f6b5809620ba50</t>
  </si>
  <si>
    <t>IN_7f918276170f483c</t>
  </si>
  <si>
    <t>Senior Commodity Buyer – Exterior Systems</t>
  </si>
  <si>
    <t>Ford Motor Company</t>
  </si>
  <si>
    <t>Job ID
66469
Category
Supply Chain
Location
Chennai, India
Work Type
Hybrid
In this role, you will lead sourcing and cost management initiatives for exterior components across regional and global programmes. You will work closely with cross-functional teams and suppliers to driv...</t>
  </si>
  <si>
    <t>https://indeed.com/viewjob?jk=7f918276170f483c</t>
  </si>
  <si>
    <t>IN_2be3f75bc0275df4</t>
  </si>
  <si>
    <t>AI / ML Engineer</t>
  </si>
  <si>
    <t>Project Role : AI / ML Engineer
Project Role Description : Develops applications and systems that utilize AI tools, Cloud AI services, with proper cloud or on-prem application pipeline with production ready quality. Be able to apply GenAI models as part of the solution. Could als...</t>
  </si>
  <si>
    <t>https://indeed.com/viewjob?jk=2be3f75bc0275df4</t>
  </si>
  <si>
    <t>IN_40069bf2e8d2c15a</t>
  </si>
  <si>
    <t>Senior Vice President, Regional Head West India IVB</t>
  </si>
  <si>
    <t>https://indeed.com/viewjob?jk=40069bf2e8d2c15a</t>
  </si>
  <si>
    <t>IN_8e5fd7a1741d9999</t>
  </si>
  <si>
    <t>AI Infrastructure Architect</t>
  </si>
  <si>
    <t>Project Role : AI Infrastructure Architect
Project Role Description : Architect and build custom Artificial Intelligence (AI) infrastructure/hardware solutions. Optimize AI infrastructure/hardware performance, power consumption, cost and scalability of computational stack. Advise...</t>
  </si>
  <si>
    <t>https://indeed.com/viewjob?jk=8e5fd7a1741d9999</t>
  </si>
  <si>
    <t>IN_07d8a122d0ecbf1f</t>
  </si>
  <si>
    <t>IT Project Manager I</t>
  </si>
  <si>
    <t>Overview: 
The Trust Dashboard Product Manager owns the strategy, roadmap, and end-to-end lifecycle for one or more IT products and platforms that enable resilient, secure, and scalable operations across RealPage. You will be the voice of our internal users and external customers...</t>
  </si>
  <si>
    <t>https://indeed.com/viewjob?jk=07d8a122d0ecbf1f</t>
  </si>
  <si>
    <t>IN_195ec4842cd806a6</t>
  </si>
  <si>
    <t>Lead Platform Engineer</t>
  </si>
  <si>
    <t>SymphonyAI</t>
  </si>
  <si>
    <t>Introduction: 
Our solutions hosted on our Iris Smart Manufacturing platform combines equipment and process domain expertise in Mining &amp; Metals, Oil &amp; Gas, Chemicals &amp; Petrochemicals with the state-of-the-art in data sciences, machine learning and process optimization. The IRIS p...</t>
  </si>
  <si>
    <t>https://indeed.com/viewjob?jk=195ec4842cd806a6</t>
  </si>
  <si>
    <t>IN_fb6681617406b254</t>
  </si>
  <si>
    <t>AVP, Alternative Operations</t>
  </si>
  <si>
    <t>Some careers have more impact than others.
If you’re looking for a career that will help you stand out, join HSBC and fulfil your potential. Whether you want a career that could take you to the top, or simply take you in an exciting new direction, HSBC offers opportunities, supp...</t>
  </si>
  <si>
    <t>https://indeed.com/viewjob?jk=fb6681617406b254</t>
  </si>
  <si>
    <t>IN_49cf308540f6909e</t>
  </si>
  <si>
    <t>https://indeed.com/viewjob?jk=49cf308540f6909e</t>
  </si>
  <si>
    <t>IN_a82ffa8c332a56fa</t>
  </si>
  <si>
    <t>Vice President - Portfolio Counsellor, WPB India</t>
  </si>
  <si>
    <t>https://indeed.com/viewjob?jk=a82ffa8c332a56fa</t>
  </si>
  <si>
    <t>IN_46df80e8102eb6fc</t>
  </si>
  <si>
    <t>Principal Open Source AI/ML Solutions Engineer</t>
  </si>
  <si>
    <t>https://indeed.com/viewjob?jk=46df80e8102eb6fc</t>
  </si>
  <si>
    <t>IN_e393d6a78abf335e</t>
  </si>
  <si>
    <t>https://indeed.com/viewjob?jk=e393d6a78abf335e</t>
  </si>
  <si>
    <t>IN_e74f5a3a04afb404</t>
  </si>
  <si>
    <t>Director, AI Platform and Development Engineering (Remote - Global)</t>
  </si>
  <si>
    <t>WAI</t>
  </si>
  <si>
    <t>Description: 
About WAI
Since 1978, WAI has grown from an entrepreneurial start-up into a global aftermarket leader headquartered in South Florida. Nearly five decades of product knowledge, customer trust, and operational scale now support an ambitious growth agenda across distri...</t>
  </si>
  <si>
    <t>https://indeed.com/viewjob?jk=e74f5a3a04afb404</t>
  </si>
  <si>
    <t>IN_10601cb003237842</t>
  </si>
  <si>
    <t>HR Generalist, Technical Recruiting</t>
  </si>
  <si>
    <t>Kantiv (formerly Joist AI)</t>
  </si>
  <si>
    <t>About the company
Kantiv is a technology company revolutionizing the way professionals in the architecture, engineering, and construction (AEC) industry manage marketing and revenue operations. Our AI-powered software streamlines workflows, making it easier for teams to collabora...</t>
  </si>
  <si>
    <t>https://indeed.com/viewjob?jk=10601cb003237842</t>
  </si>
  <si>
    <t>IN_193279486d110635</t>
  </si>
  <si>
    <t>https://indeed.com/viewjob?jk=193279486d110635</t>
  </si>
  <si>
    <t>IN_5a9752f6eb186c34</t>
  </si>
  <si>
    <t>Engineering Manager</t>
  </si>
  <si>
    <t>HealthEdge Software, Inc.</t>
  </si>
  <si>
    <t>Overview: 
Engineering Manager (Care Solutions Bengaluru)
Position Overview:
We are seeking an experienced Engineering Manager to lead our Bengaluru-based Care Solutions engineering team. This role is critical in driving the development and integration of GuidingCare and Wellfram...</t>
  </si>
  <si>
    <t>https://indeed.com/viewjob?jk=5a9752f6eb186c34</t>
  </si>
  <si>
    <t>IN_f6f6b3ade81b88b9</t>
  </si>
  <si>
    <t>Data Architect</t>
  </si>
  <si>
    <t>Project Role : Data Architect
Project Role Description : Define the data requirements and structure for the application. Model and design the application data structure, storage and integration. 
Must have skills : Data Architecture Principles
Good to have skills : Cloud Data Arc...</t>
  </si>
  <si>
    <t>https://indeed.com/viewjob?jk=f6f6b3ade81b88b9</t>
  </si>
  <si>
    <t>IN_54741f0d5e60e5a3</t>
  </si>
  <si>
    <t>AI Solutions Engineer</t>
  </si>
  <si>
    <t>Verterim</t>
  </si>
  <si>
    <t>Job Title: AI Solutions Engineer
About Verterim:
Verterim is a Governance, Risk and Compliance company focused on helping organizations build, promote and mature their GRC programs. We take a business process view of GRC, with a focus on rapid development based on experience yie...</t>
  </si>
  <si>
    <t>https://indeed.com/viewjob?jk=54741f0d5e60e5a3</t>
  </si>
  <si>
    <t>IN_c196ef7f6dd92db8</t>
  </si>
  <si>
    <t>Associate Manager - Finance</t>
  </si>
  <si>
    <t>Responsibilities: 
FP&amp;A
Support annual budgeting, quarterly forecasts, and long-range planning processes.
Analyze revenue, costs, margins, and profitability drivers.
Identify financial risks and opportunities and provide recommendations.
Monitor actual performance against budget ...</t>
  </si>
  <si>
    <t>https://indeed.com/viewjob?jk=c196ef7f6dd92db8</t>
  </si>
  <si>
    <t>IN_3593d2bbe246d979</t>
  </si>
  <si>
    <t>https://indeed.com/viewjob?jk=3593d2bbe246d979</t>
  </si>
  <si>
    <t>IN_105f6952afdc8efb</t>
  </si>
  <si>
    <t>AI Website &amp; Digital Support Executive (Remote)</t>
  </si>
  <si>
    <t>AI Website &amp; Digital Project Associate (Remote)
zworkGo is expanding its global remote team and is looking for motivated individuals who are interested in AI-assisted digital work.
Selected candidates will receive training and work on real projects for the zworkGo platform and it...</t>
  </si>
  <si>
    <t>https://indeed.com/viewjob?jk=105f6952afdc8efb</t>
  </si>
  <si>
    <t>IN_c21fcbcc981a19cb</t>
  </si>
  <si>
    <t>https://indeed.com/viewjob?jk=c21fcbcc981a19cb</t>
  </si>
  <si>
    <t>IN_e466fe48d7e91f91</t>
  </si>
  <si>
    <t>https://indeed.com/viewjob?jk=e466fe48d7e91f91</t>
  </si>
  <si>
    <t>IN_71ad6555b65f8225</t>
  </si>
  <si>
    <t>AI Solutions Architect</t>
  </si>
  <si>
    <t>Axium Global</t>
  </si>
  <si>
    <t>Job Summary:
The AI Solutions Architect will be responsible for designing, developing, and implementing Generative AI and Agentic AI solutions that drive business transformation, operational efficiency, and innovation across the organization. The role will bridge business require...</t>
  </si>
  <si>
    <t>https://indeed.com/viewjob?jk=71ad6555b65f8225</t>
  </si>
  <si>
    <t>IN_c5935e088eb18136</t>
  </si>
  <si>
    <t>Startup Operator &amp; Product Execution Manager</t>
  </si>
  <si>
    <t>RushCiti</t>
  </si>
  <si>
    <t>HOUR</t>
  </si>
  <si>
    <t>Company Description
RushCiti is a next-generation social commerce platform reimagining how people discover, shop, and engage online. We're building an intelligent platform that combines social experiences, content, community, and commerce into a single ecosystem. Currently in the...</t>
  </si>
  <si>
    <t>https://indeed.com/viewjob?jk=c5935e088eb18136</t>
  </si>
  <si>
    <t>IN_5d9bcb00b2de9a80</t>
  </si>
  <si>
    <t>Senior Sales Manager</t>
  </si>
  <si>
    <t>Step into a Data Platform Sales role at the world’s #1 data company.
Job Description 
In this role, you will focus on selling Oracle’s data platform cloud solutions as well as Oracle's traditional database licenses to new and existing customers. You will work to identify business...</t>
  </si>
  <si>
    <t>https://indeed.com/viewjob?jk=5d9bcb00b2de9a80</t>
  </si>
  <si>
    <t>IN_4e866dc8d66cfa30</t>
  </si>
  <si>
    <t>Video Editor – Podcasts, Reels &amp; Motion Graphics</t>
  </si>
  <si>
    <t>Digital Mojo</t>
  </si>
  <si>
    <t>Location
Hyderabad (Work From Office)
About the Role
Digital Mojo is looking for a highly skilled and organized Video Editor who can manage end-to-end post-production for podcasts, social media content, brand campaigns, and digital marketing assets.
The ideal candidate should hav...</t>
  </si>
  <si>
    <t>https://indeed.com/viewjob?jk=4e866dc8d66cfa30</t>
  </si>
  <si>
    <t>IN_0b387bcf4cc7e6ba</t>
  </si>
  <si>
    <t>Privacy Analyst</t>
  </si>
  <si>
    <t>iCIMS</t>
  </si>
  <si>
    <t>Overview: 
With guidance from the Director, Privacy, Regulatory &amp; AI, the Sr. Privacy Analyst supports the iCIMS Legal team through preparation and review of privacy and AI documents and serve as a subject matter expert offering support across the organization. This role works wi...</t>
  </si>
  <si>
    <t>https://indeed.com/viewjob?jk=0b387bcf4cc7e6ba</t>
  </si>
  <si>
    <t>IN_1ea574e9e1e915ce</t>
  </si>
  <si>
    <t>TECHNICAL LEAD L1</t>
  </si>
  <si>
    <t>Job Description #body.unify div.unify-button-container .unify-apply-now: focus, #body.unify div.unify-button-container .unify-apply-#body.unify div.unify-button-container .unify-apply-now: focus, #body.unify div.unify-button-container .unify-apply- 
Job Title: TECHNICAL LEAD L1 
...</t>
  </si>
  <si>
    <t>https://indeed.com/viewjob?jk=1ea574e9e1e915ce</t>
  </si>
  <si>
    <t>IN_40445caea076bbc8</t>
  </si>
  <si>
    <t>CONSULTANT - TECH &amp; IMPL L1</t>
  </si>
  <si>
    <t>Job Description #body.unify div.unify-button-container .unify-apply-now: focus, #body.unify div.unify-button-container .unify-apply-#body.unify div.unify-button-container .unify-apply-now: focus, #body.unify div.unify-button-container .unify-apply- 
Job Title: CONSULTANT - TECH &amp;...</t>
  </si>
  <si>
    <t>https://indeed.com/viewjob?jk=40445caea076bbc8</t>
  </si>
  <si>
    <t>IN_3d50837cad56e9cf</t>
  </si>
  <si>
    <t>Tech Lead – Azure Full Stack (Adv+Elite) - Husky (Guindy, Chennai)</t>
  </si>
  <si>
    <t>https://indeed.com/viewjob?jk=3d50837cad56e9cf</t>
  </si>
  <si>
    <t>IN_6e56b64343383d60</t>
  </si>
  <si>
    <t>Tech Lead – Azure Integration Services- Husky (Guindy, Chennai)</t>
  </si>
  <si>
    <t>https://indeed.com/viewjob?jk=6e56b64343383d60</t>
  </si>
  <si>
    <t>IN_af70040717f6c738</t>
  </si>
  <si>
    <t>Associate Manager Audit</t>
  </si>
  <si>
    <t>PFI Innovation Centre India</t>
  </si>
  <si>
    <t>About PFI
PFI Innovation Centre India is an exciting new innovation center. We’re building a future that helps people live better lives longer— and we’re looking for bold thinkers and team players to help us do it. Here, you'll tackle complex challenges, collaborate with brillian...</t>
  </si>
  <si>
    <t>https://indeed.com/viewjob?jk=af70040717f6c738</t>
  </si>
  <si>
    <t>IN_fedeeaaffbaf344f</t>
  </si>
  <si>
    <t>Social Media and Marketing Manager</t>
  </si>
  <si>
    <t>RAJ INDUSTRIES ( Popcorn Labz )</t>
  </si>
  <si>
    <t>Senior Digital Marketing, Social Media &amp; Client Success Manager
Location: Remote or Hybrid
Employment Type: Full-Time
About the Role
We are looking for a highly motivated, business-oriented professional who can wear multiple hats. This is not just a social media role we need some...</t>
  </si>
  <si>
    <t>https://indeed.com/viewjob?jk=fedeeaaffbaf344f</t>
  </si>
  <si>
    <t>IN_b66272cbbde24dcf</t>
  </si>
  <si>
    <t>Tech Lead – Automation Solutions (Power Platform, K2) - Husky (Guindy, Chennai)</t>
  </si>
  <si>
    <t>https://indeed.com/viewjob?jk=b66272cbbde24dcf</t>
  </si>
  <si>
    <t>IN_34e998f189d6926a</t>
  </si>
  <si>
    <t>Director Audit</t>
  </si>
  <si>
    <t>https://indeed.com/viewjob?jk=34e998f189d6926a</t>
  </si>
  <si>
    <t>IN_e584a515c642a250</t>
  </si>
  <si>
    <t>AI LEAD L1</t>
  </si>
  <si>
    <t>Job Description #body.unify div.unify-button-container .unify-apply-now: focus, #body.unify div.unify-button-container .unify-apply-#body.unify div.unify-button-container .unify-apply-now: focus, #body.unify div.unify-button-container .unify-apply- 
Job Title: AI LEAD L1 
City: H...</t>
  </si>
  <si>
    <t>https://indeed.com/viewjob?jk=e584a515c642a250</t>
  </si>
  <si>
    <t>IN_d5b62b8d7588bf5f</t>
  </si>
  <si>
    <t>Assistant Vice President - Data Science</t>
  </si>
  <si>
    <t>https://indeed.com/viewjob?jk=d5b62b8d7588bf5f</t>
  </si>
  <si>
    <t>IN_1e8b495b4c7fe204</t>
  </si>
  <si>
    <t>https://indeed.com/viewjob?jk=1e8b495b4c7fe204</t>
  </si>
  <si>
    <t>IN_c492fe08774eefbe</t>
  </si>
  <si>
    <t>AVP – Head of India Tech Consulting &amp; Strategic Deals</t>
  </si>
  <si>
    <t>Leading at Cognizant 
This is a Leadership role at Cognizant. We believe how you lead is as important as what you deliver. Cognizant leaders at every level: Drive our business strategy and inspire teams around our future. Live the leadership behaviors , leading themselves, others...</t>
  </si>
  <si>
    <t>https://indeed.com/viewjob?jk=c492fe08774eefbe</t>
  </si>
  <si>
    <t>IN_82b02e70d94ee4bb</t>
  </si>
  <si>
    <t>https://indeed.com/viewjob?jk=82b02e70d94ee4bb</t>
  </si>
  <si>
    <t>IN_e2b3412980e01e37</t>
  </si>
  <si>
    <t>Manager Audit</t>
  </si>
  <si>
    <t>https://indeed.com/viewjob?jk=e2b3412980e01e37</t>
  </si>
  <si>
    <t>IN_fe0350c1824fa24a</t>
  </si>
  <si>
    <t>https://indeed.com/viewjob?jk=fe0350c1824fa24a</t>
  </si>
  <si>
    <t>IN_079851ac89d72f24</t>
  </si>
  <si>
    <t>https://indeed.com/viewjob?jk=079851ac89d72f24</t>
  </si>
  <si>
    <t>IN_9f5e9b27b2df74f4</t>
  </si>
  <si>
    <t>https://indeed.com/viewjob?jk=9f5e9b27b2df74f4</t>
  </si>
  <si>
    <t>IN_0556058c7289b980</t>
  </si>
  <si>
    <t>Engineer III - Network Automations</t>
  </si>
  <si>
    <t>https://indeed.com/viewjob?jk=0556058c7289b980</t>
  </si>
  <si>
    <t>IN_74959a6063fa1b9d</t>
  </si>
  <si>
    <t>Product Designer &amp; User Research Lead</t>
  </si>
  <si>
    <t>https://indeed.com/viewjob?jk=74959a6063fa1b9d</t>
  </si>
  <si>
    <t>IN_132f6984048fa05e</t>
  </si>
  <si>
    <t>Software Engineer - Frontend-2</t>
  </si>
  <si>
    <t>ZEISS Group</t>
  </si>
  <si>
    <t>ZEISS in India
ZEISS in India is headquartered in Bengaluru and present in the fields of Industrial Quality Solutions, Research Microscopy Solutions, Medical Technology, Vision Care and Sports &amp; Cine Optics.
ZEISS India has 3 production facilities, R&amp;D center, Global IT services ...</t>
  </si>
  <si>
    <t>https://indeed.com/viewjob?jk=132f6984048fa05e</t>
  </si>
  <si>
    <t>IN_3652ccfb5f9cac22</t>
  </si>
  <si>
    <t>Sr. D&amp;T Engineer – Intelligent Automation</t>
  </si>
  <si>
    <t>Job Description:
Job Title
Sr. D&amp;T Engineer – Intelligent Automation
Location
Mumbai/Pune
Work Type
Hybrid
We exist to make food the world loves. But we do more than that. Our company is a place that prioritizes being a force for good, a place to expand learning, explore ne...</t>
  </si>
  <si>
    <t>https://indeed.com/viewjob?jk=3652ccfb5f9cac22</t>
  </si>
  <si>
    <t>IN_aac83f77dd9480b8</t>
  </si>
  <si>
    <t>Software Tester</t>
  </si>
  <si>
    <t>Ansrsource India</t>
  </si>
  <si>
    <t>Position title
Software Tester
Description
We are seeking a detail-oriented and experienced Software Tester / QA Engineer to ensure the quality, performance, and reliability of our applications built using React, React Native, Node.js, MongoDB, and AWS.
The ideal candidate will h...</t>
  </si>
  <si>
    <t>https://indeed.com/viewjob?jk=aac83f77dd9480b8</t>
  </si>
  <si>
    <t>IN_d9f1de86597e015e</t>
  </si>
  <si>
    <t>DEVELOPER L2</t>
  </si>
  <si>
    <t>Job Description #body.unify div.unify-button-container .unify-apply-now: focus, #body.unify div.unify-button-container .unify-apply-#body.unify div.unify-button-container .unify-apply-now: focus, #body.unify div.unify-button-container .unify-apply- 
Job Title: DEVELOPER L2 
City:...</t>
  </si>
  <si>
    <t>https://indeed.com/viewjob?jk=d9f1de86597e015e</t>
  </si>
  <si>
    <t>IN_3cd237892bb6c305</t>
  </si>
  <si>
    <t>Core.net Developer</t>
  </si>
  <si>
    <t>Highly skilled Dot Net Full Stack Developer with good years of experience in designing, developing, and maintaining scalable cloud‑native applications. Proficient in building Web APIs using .NET and experienced across a broad range of AWS services, including networking, security,...</t>
  </si>
  <si>
    <t>https://indeed.com/viewjob?jk=3cd237892bb6c305</t>
  </si>
  <si>
    <t>IN_b9aa57e9ec809ef6</t>
  </si>
  <si>
    <t>AVALOQ</t>
  </si>
  <si>
    <t>ü Experience in design and development activities for Avaloq in modules - Like Fee, Cost basis, payments, security events, reports, Static data, trading (stex), Rule engines etc
Location 
Chennai 
Job Function 
TECHNOLOGY 
Role 
Developer 
Job Id 
420493 
Desired Skills 
PLSQL 
D...</t>
  </si>
  <si>
    <t>https://indeed.com/viewjob?jk=b9aa57e9ec809ef6</t>
  </si>
  <si>
    <t>IN_2c2ed2d9c290f037</t>
  </si>
  <si>
    <t>AS400 RPGLE</t>
  </si>
  <si>
    <t>Minimum 2 to 8 years of development industry experience with exposure to complete life cycle of development at least once on CLP/RPG/RPGLE on commercial applications
Extensive Knowledge of AS400 technology (RPGLE, CLLE, DB2), ILE which also means working knowledge of modular prog...</t>
  </si>
  <si>
    <t>https://indeed.com/viewjob?jk=2c2ed2d9c290f037</t>
  </si>
  <si>
    <t>IN_13b77cba7237d89d</t>
  </si>
  <si>
    <t>Senior Software Engineer - Java, Spring Boot, AWS</t>
  </si>
  <si>
    <t>https://indeed.com/viewjob?jk=13b77cba7237d89d</t>
  </si>
  <si>
    <t>IN_286234f1afdcad2d</t>
  </si>
  <si>
    <t>Software Engineer - Python Developer Chennai</t>
  </si>
  <si>
    <t>https://indeed.com/viewjob?jk=286234f1afdcad2d</t>
  </si>
  <si>
    <t>IN_2296ab9b1c4adc50</t>
  </si>
  <si>
    <t>Specialist - Package Implementation</t>
  </si>
  <si>
    <t>LTM Limited</t>
  </si>
  <si>
    <t>Role description
Job Description SAP ABAP Consultant S4HANA CDS Expert
Role Objective
The SAP S4HANA ABAP Consultant will be responsible for designing and developing HANAoptimized solutions with a strong focus on CDS Views and code pushdown techniques ensuring high performance a...</t>
  </si>
  <si>
    <t>https://indeed.com/viewjob?jk=2296ab9b1c4adc50</t>
  </si>
  <si>
    <t>IN_bc72c37ded44b8c9</t>
  </si>
  <si>
    <t>Role description
Job Description: SAP ABAP Consultant S4HANA CDS Expert
Role Objective
The SAP S4HANA ABAP Consultant will be responsible for designing and developing HANAoptimized solutions with a strong focus on CDS Views and code pushdown techniques ensuring high performance ...</t>
  </si>
  <si>
    <t>https://indeed.com/viewjob?jk=bc72c37ded44b8c9</t>
  </si>
  <si>
    <t>IN_9f75ce88f8bb8421</t>
  </si>
  <si>
    <t>Software Engineering Lead - Java, Spring Boot, Microservices, AWS</t>
  </si>
  <si>
    <t>https://indeed.com/viewjob?jk=9f75ce88f8bb8421</t>
  </si>
  <si>
    <t>IN_2a5e251e44aa24a1</t>
  </si>
  <si>
    <t>Role description
Job Description
Location- Bellandur Bangalore
Work mode- Hybrid
experience- 3-5yrs
Software Engineer I
As a Software Engineer I you will work closely with cross functional teams to design and implement solutions that align with cell based architecture princip...</t>
  </si>
  <si>
    <t>https://indeed.com/viewjob?jk=2a5e251e44aa24a1</t>
  </si>
  <si>
    <t>IN_ed87c546f7a7d1af</t>
  </si>
  <si>
    <t>Sr. Developer - Enterprise Application Salesforce N 4B</t>
  </si>
  <si>
    <t>Sr. Developer - Enterprise Application - Salesforce N
Ready to turn bold ideas into real-world impact?
At Genpact, we don’t just adapt to change, we lead it. AI and digital innovation are transforming the way businesses work, and we’re at the forefront of it. Genpact’s AI Gigafac...</t>
  </si>
  <si>
    <t>https://indeed.com/viewjob?jk=ed87c546f7a7d1af</t>
  </si>
  <si>
    <t>IN_4987fa23cdfcccd6</t>
  </si>
  <si>
    <t>Lead - Full Stack Software Developer</t>
  </si>
  <si>
    <t>https://indeed.com/viewjob?jk=4987fa23cdfcccd6</t>
  </si>
  <si>
    <t>IN_264b4cf2a49bb178</t>
  </si>
  <si>
    <t>GreedyGame Media</t>
  </si>
  <si>
    <t>Job ID: 375879
Hybrid
Bangalore, Karnataka, India
2 - 4 years
Full-stack Developer
Location: Bangalore, Karnataka, India (Hybrid)
Experience: 2 - 4 Years
Job Type: Full-time
Full Stack Engineer (Go + React)Experience
2–4 Years
What You'll Build
At GreedyGame, you'll work on pr...</t>
  </si>
  <si>
    <t>https://indeed.com/viewjob?jk=264b4cf2a49bb178</t>
  </si>
  <si>
    <t>IN_88fadd34609119a0</t>
  </si>
  <si>
    <t>Corsearch</t>
  </si>
  <si>
    <t>At Corsearch, we are dedicated to creating a world where consumers can trust the choices they make.
As a global leader in Trademark and Brand Protection, we partner with businesses to safeguard their most valuable assets in an increasingly complex digital environment.
Our compreh...</t>
  </si>
  <si>
    <t>https://indeed.com/viewjob?jk=88fadd34609119a0</t>
  </si>
  <si>
    <t>IN_dbde617a60b3ab15</t>
  </si>
  <si>
    <t>Python Developer – AI Systems, LLMs &amp; RAG</t>
  </si>
  <si>
    <t>https://indeed.com/viewjob?jk=dbde617a60b3ab15</t>
  </si>
  <si>
    <t>IN_37e93826f3194f5d</t>
  </si>
  <si>
    <t>Flutter Developer</t>
  </si>
  <si>
    <t>https://indeed.com/viewjob?jk=37e93826f3194f5d</t>
  </si>
  <si>
    <t>IN_d95df2ae35fc94ec</t>
  </si>
  <si>
    <t>Senior Dot Net Developer</t>
  </si>
  <si>
    <t>https://indeed.com/viewjob?jk=d95df2ae35fc94ec</t>
  </si>
  <si>
    <t>IN_cd6179a7d5c30f3e</t>
  </si>
  <si>
    <t>Sr. Analyst - (FDS&amp;A)</t>
  </si>
  <si>
    <t>https://indeed.com/viewjob?jk=cd6179a7d5c30f3e</t>
  </si>
  <si>
    <t>IN_b75bcc2f1e7cbf37</t>
  </si>
  <si>
    <t>BUSINESS ANALYST L4</t>
  </si>
  <si>
    <t>Job Description #body.unify div.unify-button-container .unify-apply-now: focus, #body.unify div.unify-button-container .unify-apply-#body.unify div.unify-button-container .unify-apply-now: focus, #body.unify div.unify-button-container .unify-apply- 
Job Title: BUSINESS ANALYST L4...</t>
  </si>
  <si>
    <t>https://indeed.com/viewjob?jk=b75bcc2f1e7cbf37</t>
  </si>
  <si>
    <t>IN_e9463cd497e5dded</t>
  </si>
  <si>
    <t>Lead I - PHP Developer</t>
  </si>
  <si>
    <t>Role description
7+ years of programming and application design experience, including 5 years in large-scale IT environments.
Tertiary qualifications in Computer Science or related discipline.
Commitment to security, privacy, and compliance standards (PCI/ISO/SOC).
Familiarity wi...</t>
  </si>
  <si>
    <t>https://indeed.com/viewjob?jk=e9463cd497e5dded</t>
  </si>
  <si>
    <t>IN_4149dbc9651d31d8</t>
  </si>
  <si>
    <t>https://indeed.com/viewjob?jk=4149dbc9651d31d8</t>
  </si>
  <si>
    <t>IN_ddb13e35060fa125</t>
  </si>
  <si>
    <t>SCM Financial Analyst</t>
  </si>
  <si>
    <t>Hitachi Energy</t>
  </si>
  <si>
    <t>Location: 
Chennai, Tamil Nadu, India 
Job ID: 
R0134521 
Date Posted: 
2026-07-06 
Company Name: 
HITACHI ENERGY TECHNOLOGY SERVICES PRIVATE LIMITED 
Profession (Job Category): 
Data Analytics/Business Intelligence 
Job Schedule: 
Full time 
Remote: 
No 
Job Description: 
The op...</t>
  </si>
  <si>
    <t>https://indeed.com/viewjob?jk=ddb13e35060fa125</t>
  </si>
  <si>
    <t>IN_a9496343d88ef39a</t>
  </si>
  <si>
    <t>Business Intelligence Manager, Cross Border Science and Analytics</t>
  </si>
  <si>
    <t>DESCRIPTION
We are looking for an L6 Business Intelligence Engineer (BIE) Manager to lead a team of BIEs supporting Cross Border Science at Amazon. This role sits at the intersection of data engineering, analytics, and applied science — owning the BI infrastructure and insights l...</t>
  </si>
  <si>
    <t>https://indeed.com/viewjob?jk=a9496343d88ef39a</t>
  </si>
  <si>
    <t>IN_f91d6622646e08fa</t>
  </si>
  <si>
    <t>https://indeed.com/viewjob?jk=f91d6622646e08fa</t>
  </si>
  <si>
    <t>IN_040709c6146e6c49</t>
  </si>
  <si>
    <t>Senior Analyst - Data Engineering</t>
  </si>
  <si>
    <t>LatentView Analytics</t>
  </si>
  <si>
    <t>Designation: Senior Analyst - Data Engineering
Level: L2
Experience: 4 to 7 years
Location: Bengaluru
Job Description:
We are seeking a skilled Data Engineer with 3-5 years of experience to join our Cloud team. 
Responsibilities:
Pipeline Build: Develop and maintain E2E data ing...</t>
  </si>
  <si>
    <t>https://indeed.com/viewjob?jk=040709c6146e6c49</t>
  </si>
  <si>
    <t>IN_7c60e818e64368e7</t>
  </si>
  <si>
    <t>Data Analyst Trainer</t>
  </si>
  <si>
    <t>Arc Technologies and Institutions</t>
  </si>
  <si>
    <t>Job Title: Data Analyst Trainer (Full-Time)
Organization: ARC Technologies and Institutions
Location: Nagpur
Job Summary
ARC Technologies and Institutions is looking for an experienced Data Analyst Trainer who can deliver strong conceptual knowledge along with hands-on industry-o...</t>
  </si>
  <si>
    <t>https://indeed.com/viewjob?jk=7c60e818e64368e7</t>
  </si>
  <si>
    <t>IN_8f7a77ac4a917f7d</t>
  </si>
  <si>
    <t>Spec-Business Intelligence</t>
  </si>
  <si>
    <t>Verizon</t>
  </si>
  <si>
    <t>When you join Verizon
You want more out of a career. A place to share your ideas freely — even if they’re daring or different. Where the true you can learn, grow, and thrive. At Verizon, we power and empower how people live, work and play by connecting them to what brings them jo...</t>
  </si>
  <si>
    <t>https://indeed.com/viewjob?jk=8f7a77ac4a917f7d</t>
  </si>
  <si>
    <t>IN_165c386195d46113</t>
  </si>
  <si>
    <t>https://indeed.com/viewjob?jk=165c386195d46113</t>
  </si>
  <si>
    <t>IN_c506860e7134bbf3</t>
  </si>
  <si>
    <t>Investment Risk &amp; Analytics - Quant Modeling Associate</t>
  </si>
  <si>
    <t>JOB DESCRIPTION
Wealth Management (WM) Investment Risk &amp; Analytics (IR&amp;A) is responsible for the risk oversight of the Managed Strategies from end to end across the WM's Private Bank and Consumer Bank businesses. Managed Strategies included JPMorgan's own proprietary products a...</t>
  </si>
  <si>
    <t>https://indeed.com/viewjob?jk=c506860e7134bbf3</t>
  </si>
  <si>
    <t>IN_56ae8052cff1a5a0</t>
  </si>
  <si>
    <t>Project Manager for Data &amp; Analytics</t>
  </si>
  <si>
    <t>https://indeed.com/viewjob?jk=56ae8052cff1a5a0</t>
  </si>
  <si>
    <t>IN_1675dc4976c9c3b3</t>
  </si>
  <si>
    <t>Senior Data Scientist Client Analytics</t>
  </si>
  <si>
    <t>Epsilon</t>
  </si>
  <si>
    <t>Overview
About Business Unit:
Powerful predictors of the future - our Analytics team seamlessly blends data science and business intelligence to provide unparalleled foresight for our platform offerings. They turn insights into actionable results for our clients by collaborating ...</t>
  </si>
  <si>
    <t>https://indeed.com/viewjob?jk=1675dc4976c9c3b3</t>
  </si>
  <si>
    <t>IN_80d3cfbd3e9640c9</t>
  </si>
  <si>
    <t>https://indeed.com/viewjob?jk=80d3cfbd3e9640c9</t>
  </si>
  <si>
    <t>IN_75cb4dfe47a5ec66</t>
  </si>
  <si>
    <t>Overview
About Business Unit: 
The Automotive Practice at Epsilon is a rapidly growing team, driving growth for major players in the automotive industry - from Original Equipment Manufacturers (OEMs) to dealerships across North America. Part of a 1,600-member multinational team, ...</t>
  </si>
  <si>
    <t>https://indeed.com/viewjob?jk=75cb4dfe47a5ec66</t>
  </si>
  <si>
    <t>IN_0a0ad9107c94d880</t>
  </si>
  <si>
    <t>Analyst-Business Intel</t>
  </si>
  <si>
    <t>https://indeed.com/viewjob?jk=0a0ad9107c94d880</t>
  </si>
  <si>
    <t>IN_3f1ca6cc5ad6465c</t>
  </si>
  <si>
    <t>Manager of Data Analytics &amp; Data Science</t>
  </si>
  <si>
    <t>TE Connectivity is a global technology leader that designs and manufactures connectivity and sensor solutions, serving industries that are transforming the future. The Channel Business Unit (CBU) manages TE’s global distribution network and plays a critical role in driving growth...</t>
  </si>
  <si>
    <t>https://indeed.com/viewjob?jk=3f1ca6cc5ad6465c</t>
  </si>
  <si>
    <t>IN_f4d6b0980188dca3</t>
  </si>
  <si>
    <t>Accounting &amp; Reporting Analyst - Accounts Payable</t>
  </si>
  <si>
    <t>At ABB, we help industries run leaner and cleaner—and every person here makes that happen. You’ll be empowered to lead, supported to grow, and proud of the impact we create together. Join us and help run what runs the world.
This Position reports to:
Accounting &amp; Reporting Manage...</t>
  </si>
  <si>
    <t>https://indeed.com/viewjob?jk=f4d6b0980188dca3</t>
  </si>
  <si>
    <t>IN_90f22a3d8f4ad8d3</t>
  </si>
  <si>
    <t>Sr Analyst Business Systems IT</t>
  </si>
  <si>
    <t>Job Summary 
Responsible for collaborating with business partners and identifying business problems. Recommend solutions with new or existing processes, applications, systems, programs, or software. Will manage and drive multiple primary assignments and handle complex issues/requ...</t>
  </si>
  <si>
    <t>https://indeed.com/viewjob?jk=90f22a3d8f4ad8d3</t>
  </si>
  <si>
    <t>IN_2ae3eb9b42d0d6c5</t>
  </si>
  <si>
    <t>Analyst/Senior Analyst – Model Risk</t>
  </si>
  <si>
    <t>permanent tsb</t>
  </si>
  <si>
    <t>Post Date :
05-Jul-2026
Close Date :
19-Jul-2026
PTSB is one of Ireland's leading retail and SME banks, with an innovative range of products and services powered through an evolving digital landscape, our focus is centred on ensuring we deliver what our customers, colleagues and...</t>
  </si>
  <si>
    <t>https://indeed.com/viewjob?jk=2ae3eb9b42d0d6c5</t>
  </si>
  <si>
    <t>IN_c3a5a1d2b44d1426</t>
  </si>
  <si>
    <t>DE&amp;A - AIML - Data Science - Time Series Analysis &amp; Forecasting</t>
  </si>
  <si>
    <t>KEY RESPONSIBILITIES 
Analyze and support market risk and credit risk models 
Understand and validate market data inputs and data anomalies 
Interpret and explain risk model outputs and calculations 
Be responsible for regular model calibration processes, including back testing a...</t>
  </si>
  <si>
    <t>https://indeed.com/viewjob?jk=c3a5a1d2b44d1426</t>
  </si>
  <si>
    <t>IN_4caebca8ecc39405</t>
  </si>
  <si>
    <t>Automation &amp; Data Analyst</t>
  </si>
  <si>
    <t>Prospect Engineering Works</t>
  </si>
  <si>
    <t>JOLLY CLAMPS PVT. LTD.
Manufacturers of Steel Clamps &amp; Couplings
JOB DESCRIPTION
Position
Automation &amp; Data Analyst (Manufacturing Operations)
Department
Automation &amp; Systems
Location
Goregaon (Head Office) + Virar (Factory) — travel between both required
Experience
1–2 years
Rep...</t>
  </si>
  <si>
    <t>https://indeed.com/viewjob?jk=4caebca8ecc39405</t>
  </si>
  <si>
    <t>IN_37b2253b46cec1d0</t>
  </si>
  <si>
    <t>Supply Chain O2C Analyst - Customer Fulfilment</t>
  </si>
  <si>
    <t>Novo Nordisk, Inc.</t>
  </si>
  <si>
    <t>Supply Chain O2C Analyst - Customer Fulfilment 
Category: Supply Chain 
Location: Bangalore, Karnataka, IN
Title: Supply Chain O2C Analyst - Customer Fulfilment
Company: Novo Nordisk Global Business Services (GBS)
Department: Operations GBS
Are you ready to own the full order li...</t>
  </si>
  <si>
    <t>https://indeed.com/viewjob?jk=37b2253b46cec1d0</t>
  </si>
  <si>
    <t>IN_a823ba5b12607086</t>
  </si>
  <si>
    <t>IT Tech Support Analyst</t>
  </si>
  <si>
    <t>Johnson Controls</t>
  </si>
  <si>
    <t>Title: IT Tech Support Analyst
Location: Pune
An S&amp;OP Process Analyst will drive the monthly Sales and Operations Planning cycle by analyzing data, maintaining demand/supply plans, and ensuring cross-functional alignment between sales, marketing, and supply chain. As an analyst y...</t>
  </si>
  <si>
    <t>https://indeed.com/viewjob?jk=a823ba5b12607086</t>
  </si>
  <si>
    <t>IN_64f9efe77388d63c</t>
  </si>
  <si>
    <t>https://indeed.com/viewjob?jk=64f9efe77388d63c</t>
  </si>
  <si>
    <t>IN_7e8e512c8c27021b</t>
  </si>
  <si>
    <t>Senior Power BI Developer</t>
  </si>
  <si>
    <t>GSSTech Group</t>
  </si>
  <si>
    <t>We are looking for an experienced BI Engineer with strong expertise in Power BI, SSRS, SQL, and data analytics to join our Digital Products &amp; Data Analytics engineering team. The ideal candidate will have extensive experience developing enterprise-grade dashboards, reports, and b...</t>
  </si>
  <si>
    <t>https://indeed.com/viewjob?jk=7e8e512c8c27021b</t>
  </si>
  <si>
    <t>IN_2672fe9fd14ef799</t>
  </si>
  <si>
    <t>Research Analyst</t>
  </si>
  <si>
    <t>Mentor Thesis</t>
  </si>
  <si>
    <t>A research analyst collects and analyzes data to help organizations make informed decisions, optimize operations, or build investment strategies. They turn raw data into actionable insights by spotting trends, running financial models, and forecasting performance. Their day-to-da...</t>
  </si>
  <si>
    <t>https://indeed.com/viewjob?jk=2672fe9fd14ef799</t>
  </si>
  <si>
    <t>IN_a79e696777774b7d</t>
  </si>
  <si>
    <t>Data Entry Operator/Computer Operator</t>
  </si>
  <si>
    <t>CH</t>
  </si>
  <si>
    <t>Qualification 12th pass
Location mohali chandigarh
Salary 15000-18000
Gender male and female
Pay: ₹15,000.00 - ₹18,000.00 per month
Benefits:
Flexible schedule
Health insurance
Life insurance
Work from home
Work Location: In person</t>
  </si>
  <si>
    <t>https://indeed.com/viewjob?jk=a79e696777774b7d</t>
  </si>
  <si>
    <t>IN_ba05ad3458121036</t>
  </si>
  <si>
    <t>Senior Finance Analyst, BP&amp;A</t>
  </si>
  <si>
    <t>Azurity Pharmaceuticals - India</t>
  </si>
  <si>
    <t>Azurity Pharmaceuticals is a privately held, specialty pharmaceutical company that focuses on innovative products that meet the needs of underserved patients. As an industry leader in providing unique, accessible, and high-quality medications, Azurity leverages its integrated cap...</t>
  </si>
  <si>
    <t>https://indeed.com/viewjob?jk=ba05ad3458121036</t>
  </si>
  <si>
    <t>IN_89c7a33cfd285256</t>
  </si>
  <si>
    <t>https://indeed.com/viewjob?jk=89c7a33cfd285256</t>
  </si>
  <si>
    <t>IN_cd5cebde3e50c78d</t>
  </si>
  <si>
    <t>Analyst FP&amp;A - Commercial</t>
  </si>
  <si>
    <t>https://indeed.com/viewjob?jk=cd5cebde3e50c78d</t>
  </si>
  <si>
    <t>IN_9b68738790397a0e</t>
  </si>
  <si>
    <t>Business Analyst</t>
  </si>
  <si>
    <t>MICROSHARE SOFTWARE SOLUTIONS PRIVATE LIMITED</t>
  </si>
  <si>
    <t>A Business Analyst bridges the gap between business needs and technology solutions. They analyze operations, gather requirements, and identify process improvements to drive efficiency. Acting as a liaison, they translate complex stakeholder requests into actionable plans for deve...</t>
  </si>
  <si>
    <t>https://indeed.com/viewjob?jk=9b68738790397a0e</t>
  </si>
  <si>
    <t>IN_274e1b996121bcb4</t>
  </si>
  <si>
    <t>Billing Analyst 1</t>
  </si>
  <si>
    <t>customized energy solutions india</t>
  </si>
  <si>
    <t>Company Description
Customized Energy Solutions India Pvt. Ltd. (CES India) is part of Customized Energy Solutions (CES), a globally recognized, privately held energy market intelligence, consulting, and operational services firm supporting retail and wholesale electricity and n...</t>
  </si>
  <si>
    <t>https://indeed.com/viewjob?jk=274e1b996121bcb4</t>
  </si>
  <si>
    <t>IN_959412a447706ff2</t>
  </si>
  <si>
    <t>https://indeed.com/viewjob?jk=959412a447706ff2</t>
  </si>
  <si>
    <t>IN_6ff34fea3e36f945</t>
  </si>
  <si>
    <t>Delivery Operations Analyst</t>
  </si>
  <si>
    <t>Geoconcept India Private Limited</t>
  </si>
  <si>
    <t>A Service Delivery Ops Analyst manages and resolves client queries, monitors operational metrics, and ensures service level agreements (SLAs) are met. They analyze data, streamline processes, create dashboards, and maintain standard operating procedures (SOPs) to enhance overall ...</t>
  </si>
  <si>
    <t>https://indeed.com/viewjob?jk=6ff34fea3e36f945</t>
  </si>
  <si>
    <t>IN_83d308bc180dbad6</t>
  </si>
  <si>
    <t>Senior Business Systems Analyst</t>
  </si>
  <si>
    <t>Project overview: This project focuses on a modern platform that supports traveler safety, real time risk monitoring, and operational decision making for enterprise environments. The solution combines data integration, notification workflows, and analytics to improve visibility a...</t>
  </si>
  <si>
    <t>https://indeed.com/viewjob?jk=83d308bc180dbad6</t>
  </si>
  <si>
    <t>IN_3e5eb9dedb5e2ae5</t>
  </si>
  <si>
    <t>Sr. Analyst - BI, Reporting and Data Visualization 4B</t>
  </si>
  <si>
    <t>https://indeed.com/viewjob?jk=3e5eb9dedb5e2ae5</t>
  </si>
  <si>
    <t>IN_4e1a1ba240a5e3b5</t>
  </si>
  <si>
    <t>POWER BI</t>
  </si>
  <si>
    <t>Design, develop, and maintain interactive Power BI dashboards for business intelligence purposes 
Transform complex data sets into clear, actionable insights for internal stakeholders and senior leadership 
Implement row-level security, create custom visuals, and manage data mode...</t>
  </si>
  <si>
    <t>https://indeed.com/viewjob?jk=4e1a1ba240a5e3b5</t>
  </si>
  <si>
    <t>IN_51cf338715516ac5</t>
  </si>
  <si>
    <t>https://indeed.com/viewjob?jk=51cf338715516ac5</t>
  </si>
  <si>
    <t>IN_0f7998857ceab58f</t>
  </si>
  <si>
    <t>Senior Training Analyst - Chakan</t>
  </si>
  <si>
    <t>Vertiv</t>
  </si>
  <si>
    <t>POSITION SUMMARY 
Training Analyst creates, plans, and provides training for the new product programs. They help design and develop training materials, such as lessons, assessments, and visual aids, to help associates learn and understand the material. Continually improve the kno...</t>
  </si>
  <si>
    <t>https://indeed.com/viewjob?jk=0f7998857ceab58f</t>
  </si>
  <si>
    <t>IN_c6c7e957738455b9</t>
  </si>
  <si>
    <t>Business Analyst - Sales Operations</t>
  </si>
  <si>
    <t>https://indeed.com/viewjob?jk=c6c7e957738455b9</t>
  </si>
  <si>
    <t>IN_c9ea3c3f5347baf2</t>
  </si>
  <si>
    <t>https://indeed.com/viewjob?jk=c9ea3c3f5347baf2</t>
  </si>
  <si>
    <t>IN_d78f4e31a92ef4ae</t>
  </si>
  <si>
    <t>Senior Data Quality Analyst I</t>
  </si>
  <si>
    <t>Position Summary
MetLife established a Global capability center (MGCC) in India to scale and mature Data &amp; Analytics, technology and operations capabilities in a cost-effective manner and make MetLife future ready. The center is integral to Global Technology and Operations with ...</t>
  </si>
  <si>
    <t>https://indeed.com/viewjob?jk=d78f4e31a92ef4ae</t>
  </si>
  <si>
    <t>IN_9dcd5500b85a5190</t>
  </si>
  <si>
    <t>Business Analyst(ERP)</t>
  </si>
  <si>
    <t>Job Title: Business Analyst
Education: Bachelors/ Masters
Experience: 5 years
Location: Infopark, Kochi
We are seeking a skilled Business Analyst with experience in the manufacturing industry to bridge the gap between business stakeholders and technical teams. The ideal candidate...</t>
  </si>
  <si>
    <t>https://indeed.com/viewjob?jk=9dcd5500b85a5190</t>
  </si>
  <si>
    <t>IN_49e3470c30cf9a1e</t>
  </si>
  <si>
    <t>Sr. Analyst - Process Analytics - S&amp;M 4A</t>
  </si>
  <si>
    <t>Sr. Analyst - Process Analytics - S&amp;M
Ready to turn bold ideas into real-world impact?
At Genpact, we don’t just adapt to change, we lead it. AI and digital innovation are transforming the way businesses work, and we’re at the forefront of it. Genpact’s AI Gigafactory, our indust...</t>
  </si>
  <si>
    <t>https://indeed.com/viewjob?jk=49e3470c30cf9a1e</t>
  </si>
  <si>
    <t>IN_cb42211833b5f952</t>
  </si>
  <si>
    <t>Master Data Analyst - Finance</t>
  </si>
  <si>
    <t>NKT</t>
  </si>
  <si>
    <t>Ensure reliable finance master data across global systems
Are you interested in financial master data, SAP S/4HANA and data governance in an international finance environment? As Master Data Analyst Finance, you will help ensure accurate, consistent and governed financial data ac...</t>
  </si>
  <si>
    <t>https://indeed.com/viewjob?jk=cb42211833b5f952</t>
  </si>
  <si>
    <t>IN_e823cf6766627847</t>
  </si>
  <si>
    <t>Analyst - BI, Reporting and Data Visualization 5B</t>
  </si>
  <si>
    <t>Analyst - BI, Reporting and Data Visualization
Ready to turn bold ideas into real-world impact?
At Genpact, we don’t just adapt to change, we lead it. AI and digital innovation are transforming the way businesses work, and we’re at the forefront of it. Genpact’s AI Gigafactory, o...</t>
  </si>
  <si>
    <t>https://indeed.com/viewjob?jk=e823cf6766627847</t>
  </si>
  <si>
    <t>IN_21c92e258de03aa6</t>
  </si>
  <si>
    <t>Clinical Data Analyst &amp; Scientific Paper Writer</t>
  </si>
  <si>
    <t>Prolife Cancer Centre &amp; Research Institute</t>
  </si>
  <si>
    <t>Clinical Data Analyst &amp; Scientific Writer
Company: Prolife Cancer Centre
Location: Gultekdi (Market Yard), Pune
Job Type: Full-time, Permanent
Job Summary
Prolife Cancer Centre is seeking a skilled Clinical Data Analyst &amp; Scientific Writer to join our research team. The selected ...</t>
  </si>
  <si>
    <t>https://indeed.com/viewjob?jk=21c92e258de03aa6</t>
  </si>
  <si>
    <t>IN_ea8697b6ddec0dc4</t>
  </si>
  <si>
    <t>QA Engineer / Business Analyst</t>
  </si>
  <si>
    <t>Biltrax</t>
  </si>
  <si>
    <t>QA Engineer / Business Analyst
Department: Product Development
Role Overview
This is a unique hybrid role that combines the analytical capabilities of a Business Analyst with the quality-driven mindset of a QA Engineer.
The successful candidate will work closely with Product Mana...</t>
  </si>
  <si>
    <t>https://indeed.com/viewjob?jk=ea8697b6ddec0dc4</t>
  </si>
  <si>
    <t>IN_9e6bf5d52c9c5b79</t>
  </si>
  <si>
    <t>Construction Analyst [Candidates from Navi Mumbai &amp; Thane to Kalyan]</t>
  </si>
  <si>
    <t>About Biltrax Construction Data
Biltrax is India’s leading construction market intelligence platform, helping companies make faster, data-driven decisions. We track 10,000+ projects across 50+ cities, enabling growth for stakeholders across the construction ecosystem.
Profile Nam...</t>
  </si>
  <si>
    <t>https://indeed.com/viewjob?jk=9e6bf5d52c9c5b79</t>
  </si>
  <si>
    <t>IN_5d461466b79e8af8</t>
  </si>
  <si>
    <t>https://indeed.com/viewjob?jk=5d461466b79e8af8</t>
  </si>
  <si>
    <t>IN_479a51338c4e23fc</t>
  </si>
  <si>
    <t>Commercial Finance Analyst</t>
  </si>
  <si>
    <t>NEP India</t>
  </si>
  <si>
    <t>Commercial Finance Analyst
Location: Dubai, United Arab Emirates
Department: Commercial Finance
Reports to: Head of Commercial Finance
Employment type: Full-time
Role Overview
Key Responsibilities
Partner with commercial and sales teams to build, challenge and refine budgets, for...</t>
  </si>
  <si>
    <t>https://indeed.com/viewjob?jk=479a51338c4e23fc</t>
  </si>
  <si>
    <t>IN_115deeff52f1a299</t>
  </si>
  <si>
    <t>Senior Tech Prod Mgr- Databricks, Power BI, Tableau</t>
  </si>
  <si>
    <t>https://indeed.com/viewjob?jk=115deeff52f1a299</t>
  </si>
  <si>
    <t>IN_f1dbae3a871d1d4a</t>
  </si>
  <si>
    <t>Little Laugh</t>
  </si>
  <si>
    <t>Job Summary
Little Laugh is looking for a detail-oriented and analytical Data Analyst who can collect, organize, analyze, and present data to support business decisions. The ideal candidate should have strong Excel skills, good analytical thinking, and the ability to create meani...</t>
  </si>
  <si>
    <t>https://indeed.com/viewjob?jk=f1dbae3a871d1d4a</t>
  </si>
  <si>
    <t>IN_757cce4921efb84f</t>
  </si>
  <si>
    <t>Import Export Analyst 2</t>
  </si>
  <si>
    <t>Emerson</t>
  </si>
  <si>
    <t>Position Summary: 
If you are an export-import (EXIM) and trade compliance professional looking to grow your career, Emerson offers an exciting opportunity to make an impact. In this role, you will manage export licensing, import compliance, and special shipment processes while e...</t>
  </si>
  <si>
    <t>https://indeed.com/viewjob?jk=757cce4921efb84f</t>
  </si>
  <si>
    <t>IN_24956a8ba05d2409</t>
  </si>
  <si>
    <t>Senior Analyst - Risk Management</t>
  </si>
  <si>
    <t>The External Fraud Risk Oversight team within Financial Risk Management (FRM) is part of the Global Risk and Compliance (GRC) organization. The function is responsible for providing independent oversight on external fraud risk management. 
The incumbent will assist in independent...</t>
  </si>
  <si>
    <t>https://indeed.com/viewjob?jk=24956a8ba05d2409</t>
  </si>
  <si>
    <t>IN_32687270bae85051</t>
  </si>
  <si>
    <t>Trainer - AI Data Quality Analyst</t>
  </si>
  <si>
    <t>DON BOSCO Tech Society</t>
  </si>
  <si>
    <t>Roles and Responsibilities
Conduct training sessions effectively as per the ACLP for each job roles
Ensure parent and local community engagement and employer linkages for the program delivery.
Liaison with superiors and engage with public agencies, local authorities, including co...</t>
  </si>
  <si>
    <t>https://indeed.com/viewjob?jk=32687270bae85051</t>
  </si>
  <si>
    <t>IN_fe5188b67cfcf4b0</t>
  </si>
  <si>
    <t>Assistant Manager- Video Customer Identification Programme</t>
  </si>
  <si>
    <t>https://indeed.com/viewjob?jk=fe5188b67cfcf4b0</t>
  </si>
  <si>
    <t>IN_a1842328a1369d48</t>
  </si>
  <si>
    <t>Pragyan Impact Solutions Pvt. Ltd.</t>
  </si>
  <si>
    <t>Position: Research Analyst – Delhi
Location: Delhi
Role Type: Full-Time, In-office
Experience: 2-6 Years
Company Description
Pragyan Impact Solutions is dedicated to transforming ambitious goals into measurable outcomes by collaborating with governments, nonprofits, communities, ...</t>
  </si>
  <si>
    <t>https://indeed.com/viewjob?jk=a1842328a1369d48</t>
  </si>
  <si>
    <t>IN_8b61db1d2294413f</t>
  </si>
  <si>
    <t>Sr. Analyst, Business Analytics</t>
  </si>
  <si>
    <t>Colgate-Palmolive</t>
  </si>
  <si>
    <t>Relocation Assistance Offered Within Country
Job Number #174444 - Mumbai, Maharashtra, India
Who We Are
Colgate-Palmolive Company is a global consumer products company operating in over 200 countries specialising in Oral Care, Personal Care, Home Care, Skin Care, and Pet Nutrit...</t>
  </si>
  <si>
    <t>https://indeed.com/viewjob?jk=8b61db1d2294413f</t>
  </si>
  <si>
    <t>IN_4b9cf9d9f779327a</t>
  </si>
  <si>
    <t>Senior Inventory Planning Analyst</t>
  </si>
  <si>
    <t>NUBERRY KIDS LLP</t>
  </si>
  <si>
    <t>Key Responsibilities:
Analyze inventory performance across all channels (Stores &amp; Warehouse).
Develop replenishment plans based on sales trends and rigorous demand forecasts.
Prevent stock-outs and minimize dead stock through proactive monitoring.
Generate critical reports: Inven...</t>
  </si>
  <si>
    <t>https://indeed.com/viewjob?jk=4b9cf9d9f779327a</t>
  </si>
  <si>
    <t>IN_73504012e879281d</t>
  </si>
  <si>
    <t>Imaging IQ</t>
  </si>
  <si>
    <t>Job Title: Business Analyst – Healthcare AI / Medical Imaging
PlatformRole Overview
We are looking for a Business Analyst to work closely with our product, engineering, AI, QA, operations, and client-facing teams. The role involves understanding business needs, gathering and docu...</t>
  </si>
  <si>
    <t>https://indeed.com/viewjob?jk=73504012e879281d</t>
  </si>
  <si>
    <t>IN_c6fd7480ff3bb88c</t>
  </si>
  <si>
    <t>Project description 
Luxoft DXC Technology Company is an established company focusing on consulting and implementation of complex projects in the financial industry. At the interface between technology and business, we convince with our know-how, well-founded methodology and plea...</t>
  </si>
  <si>
    <t>https://indeed.com/viewjob?jk=c6fd7480ff3bb88c</t>
  </si>
  <si>
    <t>IN_506ac0007375e8ed</t>
  </si>
  <si>
    <t>Need82 forex and travels private limited</t>
  </si>
  <si>
    <t>Job Title: Data Analyst
Company: NEED Eighty Two Travels Pvt. Ltd.
Location: Barasat, West Bengal
Industry: Travel, Tourism &amp; Hospitality
Employment Type: Full-Time
About the Company
NEED Eighty Two Travels Pvt. Ltd. is a growing travel and tourism organization providing flight b...</t>
  </si>
  <si>
    <t>https://indeed.com/viewjob?jk=506ac0007375e8ed</t>
  </si>
  <si>
    <t>IN_f963cb4516fefdd1</t>
  </si>
  <si>
    <t>Technology &amp; Transformation | EAID | Engineering | Consultant | Power BI | Gurgaon</t>
  </si>
  <si>
    <t>Job requisition ID :: 106161 
Date: Jul 6, 2026 
Location: Gurugram 
Designation: Consultant 
Entity: Deloitte Touche Tohmatsu India LLP 
The team
Deloitte’s Technology &amp; Transformation practice can help you uncover and unlock the value buried deep inside vast amounts of data. Ou...</t>
  </si>
  <si>
    <t>https://indeed.com/viewjob?jk=f963cb4516fefdd1</t>
  </si>
  <si>
    <t>IN_25161d99fd001e6a</t>
  </si>
  <si>
    <t>We are seeking a detail-oriented and analytical Research Analyst to join our team. In this role, you will be responsible for collecting, analyzing, and interpreting data to provide actionable insights that support strategic business decisions. You will conduct market, industry, a...</t>
  </si>
  <si>
    <t>https://indeed.com/viewjob?jk=25161d99fd001e6a</t>
  </si>
  <si>
    <t>IN_8b0cd75afbedfe6c</t>
  </si>
  <si>
    <t>DC Design Pvt Ltd</t>
  </si>
  <si>
    <t>Job Summary
We are looking for a highly organized and analytical Data Analyst cum Executive Assistant to support senior management with data analysis, reporting, and executive coordination. The ideal candidate should have excellent analytical skills, strong communication abilitie...</t>
  </si>
  <si>
    <t>https://indeed.com/viewjob?jk=8b0cd75afbedfe6c</t>
  </si>
  <si>
    <t>IN_f9599048c370d927</t>
  </si>
  <si>
    <t>General Information 
Location
Hyderabad, Telangana
Working Schedule 
Full-Time 
Work Arrangement 
Hybrid 
Relocation Assistance Available 
No 
Posted Date 
06-Jul-2026 
Job ID 
18839 
Description and Requirements
Position Summary
MetLife established a Global capability center (...</t>
  </si>
  <si>
    <t>https://indeed.com/viewjob?jk=f9599048c370d927</t>
  </si>
  <si>
    <t>IN_39071a9a3d8be37f</t>
  </si>
  <si>
    <t>https://indeed.com/viewjob?jk=39071a9a3d8be37f</t>
  </si>
  <si>
    <t>IN_4e1cbc8ab1be57e5</t>
  </si>
  <si>
    <t>Analyst (Business/Data Analyst)</t>
  </si>
  <si>
    <t>endava</t>
  </si>
  <si>
    <t>Full-time
Job Description
Analyst (Business/Data Analyst) – Insurance Data Platform
We are looking for an experienced Analyst (Business Analyst or Data Analyst background) to support a Snowflake-based Lakehouse solution for a leading insurance client.
Key requirements:
5+ years e...</t>
  </si>
  <si>
    <t>https://indeed.com/viewjob?jk=4e1cbc8ab1be57e5</t>
  </si>
  <si>
    <t>IN_33b36d43b75e7503</t>
  </si>
  <si>
    <t>Visiting Faculty- Business Data Management (Analytics Elective Course)</t>
  </si>
  <si>
    <t>Amrita University</t>
  </si>
  <si>
    <t>Amrita Vishwa Vidyapeetham, Coimbatore campus is inviting applications from qualified candidates for the post of Visiting Faculty- Business Data Management (Analytics Elective Course) 
For Details Contact: principal_asb@cb.amrita.edu 
Apply Now 
Job Title 
Visiting Faculty- Busi...</t>
  </si>
  <si>
    <t>https://indeed.com/viewjob?jk=33b36d43b75e7503</t>
  </si>
  <si>
    <t>IN_97bb23ee2609bda1</t>
  </si>
  <si>
    <t>Lead Data Scientist - Exploratory data analysis, scikit, tensorflow</t>
  </si>
  <si>
    <t>https://indeed.com/viewjob?jk=97bb23ee2609bda1</t>
  </si>
  <si>
    <t>IN_314cd238500c2437</t>
  </si>
  <si>
    <t>Senior Analyst</t>
  </si>
  <si>
    <t>eClerx</t>
  </si>
  <si>
    <t>Senior Analyst - FCC 
Pune | Full-time (FT) | Financial Markets 
Shift Timings: APAC/EMEA/US |Management Level: Senior Analyst | Travel Requirements: NA
The ideal candidate must possess strong communication skills, with an ability to listen and comprehend information and share it...</t>
  </si>
  <si>
    <t>https://indeed.com/viewjob?jk=314cd238500c2437</t>
  </si>
  <si>
    <t>IN_d672b36659a401d9</t>
  </si>
  <si>
    <t>Data Engineer, Flex Analytics</t>
  </si>
  <si>
    <t>DESCRIPTION
Interested in the gig economy? Come be a part of it. The Amazon Flex Analytics Team is building the global business intelligence platform that powers Amazon Flex worldwide. We’re working hard, having fun, and making history! 
We are looking for candidates who want to...</t>
  </si>
  <si>
    <t>https://indeed.com/viewjob?jk=d672b36659a401d9</t>
  </si>
  <si>
    <t>IN_8f524dec625b741a</t>
  </si>
  <si>
    <t>https://indeed.com/viewjob?jk=8f524dec625b741a</t>
  </si>
  <si>
    <t>IN_6daa2389c9c84b0c</t>
  </si>
  <si>
    <t>Location: 
Chennai, Tamil Nadu, India 
Job ID: 
R0134520 
Date Posted: 
2026-07-06 
Company Name: 
HITACHI ENERGY TECHNOLOGY SERVICES PRIVATE LIMITED 
Profession (Job Category): 
Data Analytics/Business Intelligence 
Job Schedule: 
Full time 
Remote: 
No 
Job Description: 
The op...</t>
  </si>
  <si>
    <t>https://indeed.com/viewjob?jk=6daa2389c9c84b0c</t>
  </si>
  <si>
    <t>IN_2385504aebbd96a7</t>
  </si>
  <si>
    <t>Business Analyst Intern</t>
  </si>
  <si>
    <t>TPN</t>
  </si>
  <si>
    <t>Key Responsibilities:
Data Analysis &amp; Reporting: Collect and analyze data to find business trends and improvements.
Process Mapping: Document workflows and help design more efficient business processes.
Requirements Gathering: Assist in stakeholder meetings to understand project ...</t>
  </si>
  <si>
    <t>https://indeed.com/viewjob?jk=2385504aebbd96a7</t>
  </si>
  <si>
    <t>IN_5c39d75c2bf7248e</t>
  </si>
  <si>
    <t>Business Intelligence Engineer, Flex Analytics</t>
  </si>
  <si>
    <t>DESCRIPTION
Interested in the gig economy? Come be a part of it. Amazon Flex works directly with independent contractors – called delivery partners – to make deliveries to our customers. With Amazon Flex, individuals can now be their own boss delivering Amazon packages.
The Amazo...</t>
  </si>
  <si>
    <t>https://indeed.com/viewjob?jk=5c39d75c2bf7248e</t>
  </si>
  <si>
    <t>IN_f51fcb57da0f2f72</t>
  </si>
  <si>
    <t>Power BI Developer</t>
  </si>
  <si>
    <t>Power BI Developer
Location: Thrissur, Kerala, India
Employment Type: Full-Time
Experience: 2–5 Years
Job Summary
The Power BI Developer will be responsible for designing, developing, and maintaining interactive dashboards, reports, and business intelligence solutions using Micro...</t>
  </si>
  <si>
    <t>https://indeed.com/viewjob?jk=f51fcb57da0f2f72</t>
  </si>
  <si>
    <t>IN_64938406ad2d150f</t>
  </si>
  <si>
    <t>https://indeed.com/viewjob?jk=64938406ad2d150f</t>
  </si>
  <si>
    <t>IN_81130a1a5deaeb9c</t>
  </si>
  <si>
    <t>Reference Data Analyst</t>
  </si>
  <si>
    <t>JOB DESCRIPTION
Lead daily fixed income pricing controls and deliver high-integrity global bond price reference data.
As a Pricing Team Lead within Instrument, Pricing &amp; Common Reference Data, you provide daily global asset pricing services and ensure data integrity across mult...</t>
  </si>
  <si>
    <t>https://indeed.com/viewjob?jk=81130a1a5deaeb9c</t>
  </si>
  <si>
    <t>IN_d3718f91a9cdb279</t>
  </si>
  <si>
    <t>Secondary Research Analyst</t>
  </si>
  <si>
    <t>Netscribes Data &amp; Insights Private Limited</t>
  </si>
  <si>
    <t>Netscribes is hiring for Secondary Research Analyst Position
5 days working (Hybrid), 3 days WFO + 2 days WFH
Saturday &amp; Sunday fixed week off
Eligibility criteria include a consistent academic record with 50% and above throughout.
Communication Skills have to be excellent &amp; the ...</t>
  </si>
  <si>
    <t>https://indeed.com/viewjob?jk=d3718f91a9cdb279</t>
  </si>
  <si>
    <t>IN_6e4e5cf66c54a66c</t>
  </si>
  <si>
    <t>Senior Data Analyst</t>
  </si>
  <si>
    <t>Alchemist Consulting</t>
  </si>
  <si>
    <t>We are looking for a skilled and detail-oriented Data Analyst with hands-on experience in Zoho Analytics to join our growing team. The ideal candidate should have strong analytical skills, experience in dashboard creation, data visualization, MIS reporting, and the ability to con...</t>
  </si>
  <si>
    <t>https://indeed.com/viewjob?jk=6e4e5cf66c54a66c</t>
  </si>
  <si>
    <t>IN_24c5ad42be236925</t>
  </si>
  <si>
    <t>Data Analytics Trainee</t>
  </si>
  <si>
    <t>MISNT Services Pvt.Ltd.</t>
  </si>
  <si>
    <t>UL</t>
  </si>
  <si>
    <t>Contact us for Data analytics Trainer &amp; Full Stack Web Development trainer
Pay: ₹15,000.00 - ₹35,000.00 per month
Work Location: In person</t>
  </si>
  <si>
    <t>https://indeed.com/viewjob?jk=24c5ad42be236925</t>
  </si>
  <si>
    <t>IN_bb0980ee5552c829</t>
  </si>
  <si>
    <t>https://indeed.com/viewjob?jk=bb0980ee5552c829</t>
  </si>
  <si>
    <t>IN_a77f237d9a462553</t>
  </si>
  <si>
    <t>MERN Stack (with Next.js)</t>
  </si>
  <si>
    <t>Innovative Glance</t>
  </si>
  <si>
    <t>Live your best work-life 
WE OFFER A GREAT WORK ENVIRONMENT WITH UNLIMITED GROWTH OPPORTUNITIES AND REWARDS!
5 Days Working
Per Week 
Competitive
Salary 
Training &amp;
Development 
Performance
Bonus 
Flexible
Environment 
Celebrations &amp;
Events
We are inviting self-driven and passio...</t>
  </si>
  <si>
    <t>https://indeed.com/viewjob?jk=a77f237d9a462553</t>
  </si>
  <si>
    <t>IN_22b16b925c894cb3</t>
  </si>
  <si>
    <t>Senior Solution Analyst</t>
  </si>
  <si>
    <t>ExxonMobil</t>
  </si>
  <si>
    <t>ExxonMobil’s affiliates in India
ExxonMobil’s affiliates have offices in India in Bengaluru, Mumbai and the National Capital Region.
ExxonMobil’s affiliates in India supporting the Product Solutions business engage in the marketing, sales and distribution of performance as well...</t>
  </si>
  <si>
    <t>https://indeed.com/viewjob?jk=22b16b925c894cb3</t>
  </si>
  <si>
    <t>IN_495eb2e9eabc300b</t>
  </si>
  <si>
    <t>AP Compliance Analyst</t>
  </si>
  <si>
    <t>About us
At ExxonMobil, our vision is to lead in energy innovations that advance modern living while reducing emissions. As one of the world’s largest publicly traded energy and chemical companies, we are powered by a unique and diverse workforce fueled by the pride in what we d...</t>
  </si>
  <si>
    <t>https://indeed.com/viewjob?jk=495eb2e9eabc300b</t>
  </si>
  <si>
    <t>IN_6144d88f96380958</t>
  </si>
  <si>
    <t>Business Analyst (EOV-ENGG-0726-01)</t>
  </si>
  <si>
    <t>Role: Business Analyst
Experience: 4–7 Years
Location: Pune
Employment Type: Full-Time
Position Overview
We are looking for an experienced Business Analyst with strong expertise in the BFSI/Lending domain to bridge business requirements and technology solutions. The ideal candida...</t>
  </si>
  <si>
    <t>https://indeed.com/viewjob?jk=6144d88f96380958</t>
  </si>
  <si>
    <t>IN_b026658f2154b875</t>
  </si>
  <si>
    <t>Analyst Intern - Marketing and Operation</t>
  </si>
  <si>
    <t>Analyst Intern - Marketing &amp; Operations
Company: Qenix Labs
Location: Remote
Duration: 3+ Months
Stipend: ₹5,000/month
About the Role
Qenix Labs is looking for a Marketing &amp; Operations Analyst Intern to work on business operations, marketing analytics, CRM management, and workflo...</t>
  </si>
  <si>
    <t>https://indeed.com/viewjob?jk=b026658f2154b875</t>
  </si>
  <si>
    <t>IN_425da97346c0ce6d</t>
  </si>
  <si>
    <t>1 digit technology Pvt ltd.</t>
  </si>
  <si>
    <t>Company: Prachha Tech
Location: Lal Darwaja, Surat (Work from Office)
Experience: 6 Months – 2 Years
Working Hours: 9:00 AM – 6:30 PM
Job Responsibilities
Collect, clean, and analyze data to generate meaningful insights.
Prepare reports and dashboards using Excel, Power BI, or si...</t>
  </si>
  <si>
    <t>https://indeed.com/viewjob?jk=425da97346c0ce6d</t>
  </si>
  <si>
    <t>IN_9e009ba7670947ea</t>
  </si>
  <si>
    <t>Junior Research Analyst</t>
  </si>
  <si>
    <t>Young Turtle LLP</t>
  </si>
  <si>
    <t>Junior Research Analyst (Equity &amp; Derivatives)
Company: Young Turtle LLP
Location: Ahmedabad, Gujarat
Job Type: Full-time
Work Mode: Work from Office
Working Days: Monday to Saturday
Working Hours: 9:00 AM to 7:00 PM
About Young Turtle LLP
Young Turtle LLP is a research-driven fi...</t>
  </si>
  <si>
    <t>https://indeed.com/viewjob?jk=9e009ba7670947ea</t>
  </si>
  <si>
    <t>IN_2d1ec4f3305c7218</t>
  </si>
  <si>
    <t>Pricing Support Senior Analyst</t>
  </si>
  <si>
    <t>Skill required: Pricing - Pricing &amp; Profitability Optimization
Designation: Pricing Support Senior Analyst
Qualifications:Any Graduation 
Years of Experience:5 to 8 years 
About Accenture
Accenture is a global professional services company with leading capabilities in digital, cl...</t>
  </si>
  <si>
    <t>https://indeed.com/viewjob?jk=2d1ec4f3305c7218</t>
  </si>
  <si>
    <t>IN_8a5aa1e46fcf03c2</t>
  </si>
  <si>
    <t>Transitions Analyst</t>
  </si>
  <si>
    <t>Skill required: Talent Acquisition -Enabling Functions - Data Analysis Reporting
Designation: Transitions Analyst
Qualifications:Any Graduation 
Years of Experience:3 to 5 years 
About Accenture
Accenture is a global professional services company with leading capabilities in digi...</t>
  </si>
  <si>
    <t>https://indeed.com/viewjob?jk=8a5aa1e46fcf03c2</t>
  </si>
  <si>
    <t>IN_f2dfc1fe561470b8</t>
  </si>
  <si>
    <t>Senior Analyst - Data Science</t>
  </si>
  <si>
    <t>Designation: Senior Analyst - Data Science 
Experience: 3 to 6 Years 
Location: Bengaluru 
Job Description: 
We are looking for a highly motivated Senior Analyst - Data Science. The ideal candidate will have 3–6 years of experience in Risk &amp; Marketing or financial services, alo...</t>
  </si>
  <si>
    <t>https://indeed.com/viewjob?jk=f2dfc1fe561470b8</t>
  </si>
  <si>
    <t>IN_12a569414abdaf39</t>
  </si>
  <si>
    <t>Tableau Business Intelligence ETL and Visualization Specialist</t>
  </si>
  <si>
    <t>https://indeed.com/viewjob?jk=12a569414abdaf39</t>
  </si>
  <si>
    <t>IN_85b170861318f3a2</t>
  </si>
  <si>
    <t>Data Quality Analyst</t>
  </si>
  <si>
    <t>https://indeed.com/viewjob?jk=85b170861318f3a2</t>
  </si>
  <si>
    <t>IN_400b3ff2062b7ca5</t>
  </si>
  <si>
    <t>Clinical Data Svs Analyst</t>
  </si>
  <si>
    <t>Skill required: Clinical Data Services - Clinical Database Programming
Designation: Clinical Data Svs Analyst
Qualifications:BE 
Years of Experience:3 to 5 years 
About Accenture
Accenture is a global professional services company with leading capabilities in digital, cloud and s...</t>
  </si>
  <si>
    <t>https://indeed.com/viewjob?jk=400b3ff2062b7ca5</t>
  </si>
  <si>
    <t>IN_24485e0292ae89a7</t>
  </si>
  <si>
    <t>https://indeed.com/viewjob?jk=24485e0292ae89a7</t>
  </si>
  <si>
    <t>IN_8402ddf35459c31f</t>
  </si>
  <si>
    <t>Job Description
Works in the area of Software Engineering, which encompasses the development, maintenance and optimization of software solutions/applications. 
1. Applies scientific methods to analyse and solve software engineering problems. 
2. He/she is responsible for the deve...</t>
  </si>
  <si>
    <t>https://indeed.com/viewjob?jk=8402ddf35459c31f</t>
  </si>
  <si>
    <t>IN_6b8bb1cc13d771b5</t>
  </si>
  <si>
    <t>https://indeed.com/viewjob?jk=6b8bb1cc13d771b5</t>
  </si>
  <si>
    <t>IN_c14168a5fca7e385</t>
  </si>
  <si>
    <t>Job Description
Job Description - Grade Specific
Is fully competent in its own area and has a deep understanding of related programming concepts software design and software development principles. Works autonomously with minimal supervision. Able to act as a key contributor in a...</t>
  </si>
  <si>
    <t>https://indeed.com/viewjob?jk=c14168a5fca7e385</t>
  </si>
  <si>
    <t>IN_e188b54c7d87b173</t>
  </si>
  <si>
    <t>https://indeed.com/viewjob?jk=e188b54c7d87b173</t>
  </si>
  <si>
    <t>IN_fb7b220db6f8a460</t>
  </si>
  <si>
    <t>Cloud &amp; Infrastructure Platform Engineer</t>
  </si>
  <si>
    <t>GE Vernova</t>
  </si>
  <si>
    <t>We are seeking an infrastructure-focused technical professional to help shape and support the environments that power engineering analytics, remote monitoring and diagnostic systems, and data-driven decision making across our power plant equipment and services business. 
This ro...</t>
  </si>
  <si>
    <t>https://indeed.com/viewjob?jk=fb7b220db6f8a460</t>
  </si>
  <si>
    <t>IN_2399648c40e028c4</t>
  </si>
  <si>
    <t>https://indeed.com/viewjob?jk=2399648c40e028c4</t>
  </si>
  <si>
    <t>IN_49269fa86c58cb2b</t>
  </si>
  <si>
    <t>Senior Staff Software Engineer</t>
  </si>
  <si>
    <t>Palo Alto Networks</t>
  </si>
  <si>
    <t>Hyderabad, Telangana, India Product Engineering Ref ID: JR-018012
Our Mission
At Palo Alto Networks®, we’re united by a shared mission—to protect our digital way of life. We thrive at the intersection of innovation and impact, solving real-world problems with cutting-edge techno...</t>
  </si>
  <si>
    <t>https://indeed.com/viewjob?jk=49269fa86c58cb2b</t>
  </si>
  <si>
    <t>IN_cfcfdc78410034ec</t>
  </si>
  <si>
    <t>Senior Staff, Software Automation / Test Engineer</t>
  </si>
  <si>
    <t>Bengaluru, Karnataka, India Product Engineering Ref ID: JR-019538
Our Mission
At Palo Alto Networks®, we’re united by a shared mission—to protect our digital way of life. We thrive at the intersection of innovation and impact, solving real-world problems with cutting-edge techno...</t>
  </si>
  <si>
    <t>https://indeed.com/viewjob?jk=cfcfdc78410034ec</t>
  </si>
  <si>
    <t>IN_90515c175505b314</t>
  </si>
  <si>
    <t>Manager, Automation Framework Engineer - Enterprise Delivery Enablement</t>
  </si>
  <si>
    <t>Charles Schwab</t>
  </si>
  <si>
    <t>Hyderabad, Telangana 
Requisition ID 2026-122828 Category Engineering &amp; Software Development Position type Regular
Your opportunity
At Charles Schwab, our purpose is simple: we championclients’goals with passion and integrity. Guided by honesty, mutualrespectand a commitment to...</t>
  </si>
  <si>
    <t>https://indeed.com/viewjob?jk=90515c175505b314</t>
  </si>
  <si>
    <t>IN_8a7f89685afc8775</t>
  </si>
  <si>
    <t>Observability SRE</t>
  </si>
  <si>
    <t>Experience in PaaS build and support 
Build and test and deploy components, patches 
Update Chef Cookbook and secure documentation 
Experience in Git Labs, Chef Configuration management 
Experience in python scripting 
Knowledge of Linux and Azure 
Experience with linux/Unix, dat...</t>
  </si>
  <si>
    <t>https://indeed.com/viewjob?jk=8a7f89685afc8775</t>
  </si>
  <si>
    <t>IN_0313242c55871e5d</t>
  </si>
  <si>
    <t>https://indeed.com/viewjob?jk=0313242c55871e5d</t>
  </si>
  <si>
    <t>IN_873f5379606f73d7</t>
  </si>
  <si>
    <t>Our Purpose
Mastercard powers economies and empowers people in 200+ countries and territories worldwide. Together with our customers, we’re helping build a sustainable economy where everyone can prosper. We support a wide range of digital payments choices, making transactions sec...</t>
  </si>
  <si>
    <t>https://indeed.com/viewjob?jk=873f5379606f73d7</t>
  </si>
  <si>
    <t>IN_d3ef6a573b9ae467</t>
  </si>
  <si>
    <t>Senior DevOps Engineer</t>
  </si>
  <si>
    <t>We’re building the next generation of capital markets technology. Global capital markets are an ocean of fast-moving, interrelated, and complex data. We are looking for passionate and enthusiastic problem-solvers with expertise in capital markets data to join us as we continue pr...</t>
  </si>
  <si>
    <t>https://indeed.com/viewjob?jk=d3ef6a573b9ae467</t>
  </si>
  <si>
    <t>IN_3ec53c7328a9cdd8</t>
  </si>
  <si>
    <t>https://indeed.com/viewjob?jk=3ec53c7328a9cdd8</t>
  </si>
  <si>
    <t>IN_a66ffb9637c48f9a</t>
  </si>
  <si>
    <t>Senior System Software Engineer - Graphics</t>
  </si>
  <si>
    <t>NVIDIA invites world-class and innovative software engineers to join the DirectX Graphics software team. You will focus on DirectX Driver software development for a wide GPU lineup. Our efforts have a significant impact on gaming, graphics, accelerated computing, and AI, reaching...</t>
  </si>
  <si>
    <t>https://indeed.com/viewjob?jk=a66ffb9637c48f9a</t>
  </si>
  <si>
    <t>IN_e1c8c0036dcb517f</t>
  </si>
  <si>
    <t>https://indeed.com/viewjob?jk=e1c8c0036dcb517f</t>
  </si>
  <si>
    <t>IN_b687d1c7bdf53171</t>
  </si>
  <si>
    <t>Senior Engineer, Embedded Software</t>
  </si>
  <si>
    <t>About Analog Devices 
Analog Devices, Inc. (NASDAQ: ADI ) is a global semiconductor leader that bridges the physical and digital worlds to enable breakthroughs at the Intelligent Edge. ADI combines analog, digital, AI, and software technologies into solutions that combat climate ...</t>
  </si>
  <si>
    <t>https://indeed.com/viewjob?jk=b687d1c7bdf53171</t>
  </si>
  <si>
    <t>IN_d32837e7a3f5d8d1</t>
  </si>
  <si>
    <t>Principal Software Engineer</t>
  </si>
  <si>
    <t>Job Description
Works in the area of Software Engineering which encompasses the development maintenance and optimization of software solutions and applications.1. Applies scientific methods to analyse and solve software engineering problems.2. He or she is responsible for the dev...</t>
  </si>
  <si>
    <t>https://indeed.com/viewjob?jk=d32837e7a3f5d8d1</t>
  </si>
  <si>
    <t>IN_e5dcdd38354318a1</t>
  </si>
  <si>
    <t>Sr. Software Engineer - STIBO STEP</t>
  </si>
  <si>
    <t>Date: Jul 6, 2026 
Job Requisition Id: 65396 
Location:
Bangalore, KA, IN 
#job-location.job-location-inline { display: inline; } 
.buttontext47d030a40eb4ac5c a{ border: 1px solid transparent; } .buttontext47d030a40eb4ac5c a: focus{ border: 1px dashed #2b97ef !important; outlin...</t>
  </si>
  <si>
    <t>https://indeed.com/viewjob?jk=e5dcdd38354318a1</t>
  </si>
  <si>
    <t>IN_669da3cb4f1a3357</t>
  </si>
  <si>
    <t>Specialist - Data Engineering</t>
  </si>
  <si>
    <t>Role description
Role Azure Databricks Developer
Experience 58 Years
Location India IST
Overview Data Engineer having good experience on Azure Databricks and Python
Must Have Databricks Python Azure
Good to have ADF
Requirements
Candidate must be proficient in Databricks
Underst...</t>
  </si>
  <si>
    <t>https://indeed.com/viewjob?jk=669da3cb4f1a3357</t>
  </si>
  <si>
    <t>IN_3da8cd5e0d123aa2</t>
  </si>
  <si>
    <t>Quorum Business Solutions</t>
  </si>
  <si>
    <t>https://indeed.com/viewjob?jk=3da8cd5e0d123aa2</t>
  </si>
  <si>
    <t>IN_f486c84e705f8ee0</t>
  </si>
  <si>
    <t>https://indeed.com/viewjob?jk=f486c84e705f8ee0</t>
  </si>
  <si>
    <t>IN_62e5d0bb5db5060f</t>
  </si>
  <si>
    <t>Technical Architect</t>
  </si>
  <si>
    <t>https://indeed.com/viewjob?jk=62e5d0bb5db5060f</t>
  </si>
  <si>
    <t>IN_7fc68d4fc453d742</t>
  </si>
  <si>
    <t>https://indeed.com/viewjob?jk=7fc68d4fc453d742</t>
  </si>
  <si>
    <t>IN_97904d6df7d70e0d</t>
  </si>
  <si>
    <t>https://indeed.com/viewjob?jk=97904d6df7d70e0d</t>
  </si>
  <si>
    <t>IN_9a3b56bbf3fc15ef</t>
  </si>
  <si>
    <t>https://indeed.com/viewjob?jk=9a3b56bbf3fc15ef</t>
  </si>
  <si>
    <t>IN_39acf6b494f66c1f</t>
  </si>
  <si>
    <t>https://indeed.com/viewjob?jk=39acf6b494f66c1f</t>
  </si>
  <si>
    <t>IN_4b6327a2cee2dd69</t>
  </si>
  <si>
    <t>CIAM Developer</t>
  </si>
  <si>
    <t>https://indeed.com/viewjob?jk=4b6327a2cee2dd69</t>
  </si>
  <si>
    <t>IN_e072909bed3d0b3c</t>
  </si>
  <si>
    <t>https://indeed.com/viewjob?jk=e072909bed3d0b3c</t>
  </si>
  <si>
    <t>IN_1fddefa887cc62e9</t>
  </si>
  <si>
    <t>https://indeed.com/viewjob?jk=1fddefa887cc62e9</t>
  </si>
  <si>
    <t>IN_2ef2c612085eab40</t>
  </si>
  <si>
    <t>Principal Cloud Security Engineer (Cybersecurity)</t>
  </si>
  <si>
    <t>Role description
What will you be responsible for?
As a Cybersecurity Principal Cloud Security Engineer, you will be responsible to design, implement, and own the security posture of Azure Tenant including:
Own Azure tenant security posture, including subscriptions, management gr...</t>
  </si>
  <si>
    <t>https://indeed.com/viewjob?jk=2ef2c612085eab40</t>
  </si>
  <si>
    <t>IN_3468be3b379c97f0</t>
  </si>
  <si>
    <t>Senior Site Reliability Engineer Lead</t>
  </si>
  <si>
    <t>Bangalore North, Karnataka 
Job Summary 
Job Description for SRE role- Grade E 
SRE and Service Engineering: Candidate applies software and automation as tools to solve challenges and manage production systems, to balance release of new features with system stability, all to en...</t>
  </si>
  <si>
    <t>https://indeed.com/viewjob?jk=3468be3b379c97f0</t>
  </si>
  <si>
    <t>IN_c6f77ff4cf8de298</t>
  </si>
  <si>
    <t>https://indeed.com/viewjob?jk=c6f77ff4cf8de298</t>
  </si>
  <si>
    <t>IN_c5a17086ea0e0a17</t>
  </si>
  <si>
    <t>https://indeed.com/viewjob?jk=c5a17086ea0e0a17</t>
  </si>
  <si>
    <t>IN_7b7edc75b2838224</t>
  </si>
  <si>
    <t>Software Development Engineer, Delivery Choices</t>
  </si>
  <si>
    <t>DESCRIPTION
At Amazon, Delivery Choices (DC), under Amazon's Delivery Experience (DEX) organization, is chartered to offer our Retail customers with alternatives to 'fast' delivery options by addressing their needs for control, choice, sustainability, and the convenience of recei...</t>
  </si>
  <si>
    <t>https://indeed.com/viewjob?jk=7b7edc75b2838224</t>
  </si>
  <si>
    <t>IN_4c0b838a9c0ca635</t>
  </si>
  <si>
    <t>https://indeed.com/viewjob?jk=4c0b838a9c0ca635</t>
  </si>
  <si>
    <t>IN_552d737a2d901990</t>
  </si>
  <si>
    <t>Software Development Engineer, Payroll Tech</t>
  </si>
  <si>
    <t>DESCRIPTION
Payroll Technology at Amazon is all about enabling our business to perform at scale as efficiently as possible with no defects. As Amazon's workforce grows, both in size and geography, Amazon's payroll operations become increasingly complex, and our customers are aske...</t>
  </si>
  <si>
    <t>https://indeed.com/viewjob?jk=552d737a2d901990</t>
  </si>
  <si>
    <t>IN_702b74db5dec6723</t>
  </si>
  <si>
    <t>https://indeed.com/viewjob?jk=702b74db5dec6723</t>
  </si>
  <si>
    <t>IN_39cc42273c9873e1</t>
  </si>
  <si>
    <t>https://indeed.com/viewjob?jk=39cc42273c9873e1</t>
  </si>
  <si>
    <t>IN_0de108ae23373e63</t>
  </si>
  <si>
    <t>https://indeed.com/viewjob?jk=0de108ae23373e63</t>
  </si>
  <si>
    <t>IN_e46f08173cb0bde4</t>
  </si>
  <si>
    <t>Support Engineer III, Ads Partner Experience &amp; Growth</t>
  </si>
  <si>
    <t>DESCRIPTION
Amazon is investing heavily in building a world class advertising business and we are responsible for defining and delivering a collection of self-service performance advertising products that drive discovery and sales. Our products are strategically important to our ...</t>
  </si>
  <si>
    <t>https://indeed.com/viewjob?jk=e46f08173cb0bde4</t>
  </si>
  <si>
    <t>IN_ceef0cf3c5c18c92</t>
  </si>
  <si>
    <t>System Development Engineer I, Partner Experience &amp; Growth</t>
  </si>
  <si>
    <t>https://indeed.com/viewjob?jk=ceef0cf3c5c18c92</t>
  </si>
  <si>
    <t>IN_f6ca14d65f09c19c</t>
  </si>
  <si>
    <t>https://indeed.com/viewjob?jk=f6ca14d65f09c19c</t>
  </si>
  <si>
    <t>IN_5bf20802666d7ee1</t>
  </si>
  <si>
    <t>https://indeed.com/viewjob?jk=5bf20802666d7ee1</t>
  </si>
  <si>
    <t>IN_8b57c98724025490</t>
  </si>
  <si>
    <t>https://indeed.com/viewjob?jk=8b57c98724025490</t>
  </si>
  <si>
    <t>IN_952bc71c721ebd25</t>
  </si>
  <si>
    <t>https://indeed.com/viewjob?jk=952bc71c721ebd25</t>
  </si>
  <si>
    <t>IN_28f3d2eddca4cb16</t>
  </si>
  <si>
    <t>Lead Software Engineer - Java Full Stack</t>
  </si>
  <si>
    <t>JOB DESCRIPTION
We have an opportunity to impact your career and provide an adventure where you can push the limits of what's possible.
As a Lead Software Engineer at JPMorganChase within the Asset and Wealth Management, you are an integral part of an agile team that works to e...</t>
  </si>
  <si>
    <t>https://indeed.com/viewjob?jk=28f3d2eddca4cb16</t>
  </si>
  <si>
    <t>IN_9cf72f0e2a01e64e</t>
  </si>
  <si>
    <t>Senior MATLAB Developer</t>
  </si>
  <si>
    <t>Chennai, Tamil Nadu 
Job Summary 
Skill set 
MATLAB , M-scripting , Modelling , C programming, Autosar 
Domain knowledge 
Automotive , Automotive software development 
Job Description 
MBD Methods and Tool Support – MBSE 
Must 
Have Skill:
Strong experience in
Model-Based...</t>
  </si>
  <si>
    <t>https://indeed.com/viewjob?jk=9cf72f0e2a01e64e</t>
  </si>
  <si>
    <t>IN_b5dd86a31d23cec6</t>
  </si>
  <si>
    <t>https://indeed.com/viewjob?jk=b5dd86a31d23cec6</t>
  </si>
  <si>
    <t>IN_d0e6c24e3a2478e2</t>
  </si>
  <si>
    <t>Lead Software Engineer - Cloud Platform Engineer</t>
  </si>
  <si>
    <t>JOB DESCRIPTION
Are you ready to shape the next generation of mobile banking? At Chase UK, we're building a digital bank from the ground up, combining start-up energy with the resources of a trusted global brand. You'll have the opportunity to make a real impact, working with c...</t>
  </si>
  <si>
    <t>https://indeed.com/viewjob?jk=d0e6c24e3a2478e2</t>
  </si>
  <si>
    <t>IN_ec98b8fb31d7d813</t>
  </si>
  <si>
    <t>https://indeed.com/viewjob?jk=ec98b8fb31d7d813</t>
  </si>
  <si>
    <t>IN_5af361ab28c59b36</t>
  </si>
  <si>
    <t>Lead Software Engineer - Java, Spring, Kubernetes, Linux</t>
  </si>
  <si>
    <t>JOB DESCRIPTION
You're ready to gain the skills and experience needed to grow within your role and advance your career — and we have the perfect senior engineering leadership opportunity for you.
As a Lead Software Engineer at JPMorgan Chase within the Commercial &amp; Investment B...</t>
  </si>
  <si>
    <t>https://indeed.com/viewjob?jk=5af361ab28c59b36</t>
  </si>
  <si>
    <t>IN_3320e5bd3fc7161a</t>
  </si>
  <si>
    <t>https://indeed.com/viewjob?jk=3320e5bd3fc7161a</t>
  </si>
  <si>
    <t>IN_b9ee675d7eeefeda</t>
  </si>
  <si>
    <t>https://indeed.com/viewjob?jk=b9ee675d7eeefeda</t>
  </si>
  <si>
    <t>IN_f8e2c2c45da67033</t>
  </si>
  <si>
    <t>https://indeed.com/viewjob?jk=f8e2c2c45da67033</t>
  </si>
  <si>
    <t>IN_e077ed3f2769e140</t>
  </si>
  <si>
    <t>https://indeed.com/viewjob?jk=e077ed3f2769e140</t>
  </si>
  <si>
    <t>IN_b2e41b044c1a19aa</t>
  </si>
  <si>
    <t>https://indeed.com/viewjob?jk=b2e41b044c1a19aa</t>
  </si>
  <si>
    <t>IN_1412c9d1bbf836ed</t>
  </si>
  <si>
    <t>https://indeed.com/viewjob?jk=1412c9d1bbf836ed</t>
  </si>
  <si>
    <t>IN_ada8492ae942769c</t>
  </si>
  <si>
    <t>https://indeed.com/viewjob?jk=ada8492ae942769c</t>
  </si>
  <si>
    <t>IN_ae8d24a0e3b18e85</t>
  </si>
  <si>
    <t>https://indeed.com/viewjob?jk=ae8d24a0e3b18e85</t>
  </si>
  <si>
    <t>IN_44c158d246b71e19</t>
  </si>
  <si>
    <t>https://indeed.com/viewjob?jk=44c158d246b71e19</t>
  </si>
  <si>
    <t>IN_f841783335b01791</t>
  </si>
  <si>
    <t>Senior Project Manager (AI)</t>
  </si>
  <si>
    <t>ELLKAY, LLC</t>
  </si>
  <si>
    <t>ELLKAY started out providing connectivity solutions to laboratories and within a few years, grew to also provide data management solutions to ambulatory organizations. ELLKAY is now a trusted data management partner in five healthcare segments. ELLKAY’s solutions continue to serv...</t>
  </si>
  <si>
    <t>https://indeed.com/viewjob?jk=f841783335b01791</t>
  </si>
  <si>
    <t>IN_4a56fd72bd290146</t>
  </si>
  <si>
    <t>What success looks like in this role: 
Job Title: Organisational Change Management (OCM) - Sr Analyst OCM 
Location: Home Based India 
Who we are: 
Unisys is a global information technology company that builds high-performance, security-centric solutions for the most digitally de...</t>
  </si>
  <si>
    <t>https://indeed.com/viewjob?jk=4a56fd72bd290146</t>
  </si>
  <si>
    <t>IN_ceca7c67510170a3</t>
  </si>
  <si>
    <t>Network Reliability Engineer - III</t>
  </si>
  <si>
    <t>https://indeed.com/viewjob?jk=ceca7c67510170a3</t>
  </si>
  <si>
    <t>IN_a0f1150324f952c6</t>
  </si>
  <si>
    <t>Legal Specialist - Energy Markets</t>
  </si>
  <si>
    <t>ICF</t>
  </si>
  <si>
    <t>Description
ICF (NASDAQ:ICFI) is a global consulting services company with over 9,000 full- and part-time employees, but we are not your typical consultants. At ICF, business analysts and policy specialists work together with digital strategists, data scientists and creatives. We...</t>
  </si>
  <si>
    <t>https://indeed.com/viewjob?jk=a0f1150324f952c6</t>
  </si>
  <si>
    <t>IN_4ecc93251c304bfe</t>
  </si>
  <si>
    <t>AI Workflow Automation Engineer</t>
  </si>
  <si>
    <t>Bitovi</t>
  </si>
  <si>
    <t>PLEASE NOTE: Bitovi has been engaged by Avalara to lead initial and technical interviews for this role. While Bitovi will conduct the early rounds, the final interview and hiring decision will be made by Avalara directly.
What You'll Do
Avalara is looking for an AI Automation En...</t>
  </si>
  <si>
    <t>https://indeed.com/viewjob?jk=4ecc93251c304bfe</t>
  </si>
  <si>
    <t>IN_046920799a622907</t>
  </si>
  <si>
    <t>Senior Consultant Business Systems</t>
  </si>
  <si>
    <t>https://indeed.com/viewjob?jk=046920799a622907</t>
  </si>
  <si>
    <t>IN_424c2319071040f1</t>
  </si>
  <si>
    <t>Senior Standard Cell and IP Application Engineer</t>
  </si>
  <si>
    <t>Intel Corporation</t>
  </si>
  <si>
    <t>Job Details: 
Job Description: 
We are looking for a Senior FIP Enablement and Support Engineer to join the Intel Foundry / DTP Customer Engineering team. The successful candidate brings deep expertise in Foundational IP (Standard Cell Libraries, GPIOs, PLLs, and Analog/Mixed-Sig...</t>
  </si>
  <si>
    <t>https://indeed.com/viewjob?jk=424c2319071040f1</t>
  </si>
  <si>
    <t>IN_fd3fdb96e8e64a29</t>
  </si>
  <si>
    <t>Specialist - Architecture</t>
  </si>
  <si>
    <t>Role description
Location Bengaluru
Job Description
Contractor Platform Architect CMDB ServiceNow
Responsibilities
CMDB Architecture Ownership Lead the architectural design of the CMDB ensuring accuracy completeness and longterm scalability
Data Integrity Governance Support Part...</t>
  </si>
  <si>
    <t>https://indeed.com/viewjob?jk=fd3fdb96e8e64a29</t>
  </si>
  <si>
    <t>IN_11b40cb01655fafe</t>
  </si>
  <si>
    <t>Role description
Job Description
Location - Bellandur bangalore
Contractor Junior Site Reliability Engineer ServiceNow Platform
At Booking Holdings COE and Bookingcom data drives our decisions Technology is at our core And innovation is everywhere But our company is more than da...</t>
  </si>
  <si>
    <t>https://indeed.com/viewjob?jk=11b40cb01655fafe</t>
  </si>
  <si>
    <t>IN_047e719aa0dafd78</t>
  </si>
  <si>
    <t>Specialist - Product Engineering</t>
  </si>
  <si>
    <t>Role description
Platform Engineer II Cloud Ecosystems
Our mission is to create transformative innovative and personalized travel experiences for millions of customers all across the world. We want customers to have an amazing experience wherever and whenever they choose mobile ...</t>
  </si>
  <si>
    <t>https://indeed.com/viewjob?jk=047e719aa0dafd78</t>
  </si>
  <si>
    <t>IN_46b24f6174ce134c</t>
  </si>
  <si>
    <t>Role description
Location- Bangalore
Years of Experience 3-5 years Preferable Production Engineering knowledge Oil Gas industry
Timeseries ML and constrained optimization for production rampsequence planning ability to encode facility guardrails and drawdown targets
Pressuresys...</t>
  </si>
  <si>
    <t>https://indeed.com/viewjob?jk=46b24f6174ce134c</t>
  </si>
  <si>
    <t>IN_bc46b739de95d583</t>
  </si>
  <si>
    <t>Role description
COUPA Consultant Role Requirements
Area of Responsibilities
Perform Coupa configuration based on global core model to address local requirements
Understand Coupa Business Requirements and the design of Coupa developed for Schneider Electric
Manage Procurement Ap...</t>
  </si>
  <si>
    <t>https://indeed.com/viewjob?jk=bc46b739de95d583</t>
  </si>
  <si>
    <t>IN_cc4dd62a6725903b</t>
  </si>
  <si>
    <t>Process Associate - Charge Entry</t>
  </si>
  <si>
    <t>https://indeed.com/viewjob?jk=cc4dd62a6725903b</t>
  </si>
  <si>
    <t>IN_8a64b8e0894b027b</t>
  </si>
  <si>
    <t>Senior Service Analyst - Noida</t>
  </si>
  <si>
    <t>NeoXam</t>
  </si>
  <si>
    <t>Consulting · Noida · Hybrid
Service Operation Analyst – Noida Based, Services PMO
NeoXam DataHub is the solution from NeoXam, a market leader in Data, Fund and Risk Management dedicated to the finance sector.The role focuses on producing client service reporting to provide clear ...</t>
  </si>
  <si>
    <t>https://indeed.com/viewjob?jk=8a64b8e0894b027b</t>
  </si>
  <si>
    <t>IN_1a13a43562d8c6d5</t>
  </si>
  <si>
    <t>US - Accounting</t>
  </si>
  <si>
    <t>About Calpion is an 18-year-old Dallas-headquartered technology firm that offers customers artificial intelligence solutions by building custom deep learning and machine learning algorithms, custom enterprise application development and maintenance, RPA solutions, cloud services,...</t>
  </si>
  <si>
    <t>https://indeed.com/viewjob?jk=1a13a43562d8c6d5</t>
  </si>
  <si>
    <t>IN_471993bc7aa43539</t>
  </si>
  <si>
    <t>Project Manager (Night-Shift)</t>
  </si>
  <si>
    <t>https://indeed.com/viewjob?jk=471993bc7aa43539</t>
  </si>
  <si>
    <t>IN_d9d06d220f216a75</t>
  </si>
  <si>
    <t>Director - RCM</t>
  </si>
  <si>
    <t>https://indeed.com/viewjob?jk=d9d06d220f216a75</t>
  </si>
  <si>
    <t>IN_8432c00227f3e608</t>
  </si>
  <si>
    <t>Client Services Specialist</t>
  </si>
  <si>
    <t>https://indeed.com/viewjob?jk=8432c00227f3e608</t>
  </si>
  <si>
    <t>IN_4b8c9f6736c8ab45</t>
  </si>
  <si>
    <t>Salesforce Admin</t>
  </si>
  <si>
    <t>https://indeed.com/viewjob?jk=4b8c9f6736c8ab45</t>
  </si>
  <si>
    <t>IN_b4556256eea7b8e8</t>
  </si>
  <si>
    <t>Medical Coder - Surgery Coder</t>
  </si>
  <si>
    <t>https://indeed.com/viewjob?jk=b4556256eea7b8e8</t>
  </si>
  <si>
    <t>IN_cf6224c625f685a5</t>
  </si>
  <si>
    <t>Technical Engineer I – Application Interfaces</t>
  </si>
  <si>
    <t>https://indeed.com/viewjob?jk=cf6224c625f685a5</t>
  </si>
  <si>
    <t>IN_beadcf4d8d82e0f2</t>
  </si>
  <si>
    <t>Director QA- RCM</t>
  </si>
  <si>
    <t>https://indeed.com/viewjob?jk=beadcf4d8d82e0f2</t>
  </si>
  <si>
    <t>IN_fa5dcd3dc16677fa</t>
  </si>
  <si>
    <t>Medical Coder - Ambulance Coding</t>
  </si>
  <si>
    <t>https://indeed.com/viewjob?jk=fa5dcd3dc16677fa</t>
  </si>
  <si>
    <t>IN_c53b387261213c18</t>
  </si>
  <si>
    <t>Trainee Associate – AR (Accounts Receivable Analysis &amp; Caller)</t>
  </si>
  <si>
    <t>https://indeed.com/viewjob?jk=c53b387261213c18</t>
  </si>
  <si>
    <t>IN_c337f1ec74f2f8f8</t>
  </si>
  <si>
    <t>Senior Software Engineer - Linux</t>
  </si>
  <si>
    <t>Position Summary
We are looking for a talented DevOps Engineer (7–10 years of experience) with strong expertise in Linux platforms (Red Hat Enterprise Linux / Oracle Linux/ UNIX) to join our dynamic team. The ideal candidate will have hands-on experience in Linux-based infrastruc...</t>
  </si>
  <si>
    <t>https://indeed.com/viewjob?jk=c337f1ec74f2f8f8</t>
  </si>
  <si>
    <t>IN_25b4808e69dc07a0</t>
  </si>
  <si>
    <t>Senior Product Manager, Help Center (CX Automation)</t>
  </si>
  <si>
    <t>Coinbase</t>
  </si>
  <si>
    <t>Ready to do the most impactful work of your career? At Coinbase, we are uncompromising on our mission to increase economic freedom. The bar is high, the environment is intense, and we like it that way. This isn't a place for complacency, it's a place to be pushed past your percei...</t>
  </si>
  <si>
    <t>https://indeed.com/viewjob?jk=25b4808e69dc07a0</t>
  </si>
  <si>
    <t>IN_c5145bf879d8b898</t>
  </si>
  <si>
    <t>Software Engineering Manager</t>
  </si>
  <si>
    <t>https://indeed.com/viewjob?jk=c5145bf879d8b898</t>
  </si>
  <si>
    <t>IN_ec0bf71f790724c1</t>
  </si>
  <si>
    <t>Software Engineer – AI/ML, LLMs &amp; Agentic Systems</t>
  </si>
  <si>
    <t>https://indeed.com/viewjob?jk=ec0bf71f790724c1</t>
  </si>
  <si>
    <t>IN_539cd93964507ba6</t>
  </si>
  <si>
    <t>AM/Manager - AR/RCM</t>
  </si>
  <si>
    <t>https://indeed.com/viewjob?jk=539cd93964507ba6</t>
  </si>
  <si>
    <t>IN_1e6aa1900a5f5bf5</t>
  </si>
  <si>
    <t>At Capgemini Invent, we believe difference drives change. As inventive transformation consultants, we blend our strategic, creative and scientific capabilities, collaborating closely with clients to deliver cutting-edge solutions. Join us to drive transformation tailored to our c...</t>
  </si>
  <si>
    <t>https://indeed.com/viewjob?jk=1e6aa1900a5f5bf5</t>
  </si>
  <si>
    <t>IN_96471fa9f653ea07</t>
  </si>
  <si>
    <t>AR Caller / Senior AR Caller</t>
  </si>
  <si>
    <t>https://indeed.com/viewjob?jk=96471fa9f653ea07</t>
  </si>
  <si>
    <t>IN_4230716c4c25e42f</t>
  </si>
  <si>
    <t>Project Manager - Healthcare</t>
  </si>
  <si>
    <t>https://indeed.com/viewjob?jk=4230716c4c25e42f</t>
  </si>
  <si>
    <t>IN_113e22aab9139895</t>
  </si>
  <si>
    <t>Senior Coding QA</t>
  </si>
  <si>
    <t>https://indeed.com/viewjob?jk=113e22aab9139895</t>
  </si>
  <si>
    <t>IN_854180b884b3ca31</t>
  </si>
  <si>
    <t>Scope:
Core responsibilities to include Architecting and designing (along with counterparts and distinguished Architects) a ground up cloud native (we use Azure) SaaS product in Order management and micro-fulfillment.
The team currently comprises of 60+ global associates across U...</t>
  </si>
  <si>
    <t>https://indeed.com/viewjob?jk=854180b884b3ca31</t>
  </si>
  <si>
    <t>IN_8874b2a257594859</t>
  </si>
  <si>
    <t>Director/ AVP - Sales</t>
  </si>
  <si>
    <t>https://indeed.com/viewjob?jk=8874b2a257594859</t>
  </si>
  <si>
    <t>IN_4e82570f8aad6f52</t>
  </si>
  <si>
    <t>Director, Talent Sourcing</t>
  </si>
  <si>
    <t>Corpay</t>
  </si>
  <si>
    <t>Your role
Corpay is currently looking to hire a Director of Talent Sourcing within our [Brand] division. This position falls under our [line of business] and is located in India or Singapore. In this role, you will be responsible for developing and executing the organization's gl...</t>
  </si>
  <si>
    <t>https://indeed.com/viewjob?jk=4e82570f8aad6f52</t>
  </si>
  <si>
    <t>IN_bca3e4e21f48004c</t>
  </si>
  <si>
    <t>Manager/Sr Manager – Medical Coding</t>
  </si>
  <si>
    <t>https://indeed.com/viewjob?jk=bca3e4e21f48004c</t>
  </si>
  <si>
    <t>IN_ddf1ac9be3121e26</t>
  </si>
  <si>
    <t>HRBP</t>
  </si>
  <si>
    <t>https://indeed.com/viewjob?jk=ddf1ac9be3121e26</t>
  </si>
  <si>
    <t>IN_34e6fb07052f8583</t>
  </si>
  <si>
    <t>Role description
Job Summary
We are seeking a Senior Software Engineer (.NET Full Stack Developer) with strong experience in ASP.NET Core, Angular (8+), Azure, C#, and SQL Server to design, develop, and maintain enterprise web applications. The ideal candidate should have hands-...</t>
  </si>
  <si>
    <t>https://indeed.com/viewjob?jk=34e6fb07052f8583</t>
  </si>
  <si>
    <t>IN_e1b28b7decc63fe5</t>
  </si>
  <si>
    <t>Team Lead – AR</t>
  </si>
  <si>
    <t>https://indeed.com/viewjob?jk=e1b28b7decc63fe5</t>
  </si>
  <si>
    <t>IN_57b286d125a5ad50</t>
  </si>
  <si>
    <t>ASIC Engineer, Design</t>
  </si>
  <si>
    <t>Meta</t>
  </si>
  <si>
    <t>The Infra Silicon team at Meta is responsible for designing and building in-house hardware accelerator Application-Specific Integrated Circuits (ASICs) to enhance Meta's computing and data-centre networking with superior capacity and efficiency at lower power and cost. The team f...</t>
  </si>
  <si>
    <t>https://indeed.com/viewjob?jk=57b286d125a5ad50</t>
  </si>
  <si>
    <t>IN_c1b43d16ac82b902</t>
  </si>
  <si>
    <t>ML Data Associate-II, Artificial General Intelligence</t>
  </si>
  <si>
    <t>DESCRIPTION
AI is the most transformational technology of our time, capable of tackling some of humanity’s most challenging problems. Amazon is investing in generative AI and the responsible development and deployment of large language models (LLMs) across all of our businesses. ...</t>
  </si>
  <si>
    <t>https://indeed.com/viewjob?jk=c1b43d16ac82b902</t>
  </si>
  <si>
    <t>IN_727680f67237bc75</t>
  </si>
  <si>
    <t>Global Cybersecurity Senior Manager</t>
  </si>
  <si>
    <t>Boston Consulting Group</t>
  </si>
  <si>
    <t>Who We Are
Boston Consulting Group partners with leaders in business and society to tackle their most important challenges and capture their greatest opportunities. BCG was the pioneer in business strategy when it was founded in 1963. Today, we help clients with total transformat...</t>
  </si>
  <si>
    <t>https://indeed.com/viewjob?jk=727680f67237bc75</t>
  </si>
  <si>
    <t>IN_c967fada20500b3c</t>
  </si>
  <si>
    <t>Cloud Support Engineer</t>
  </si>
  <si>
    <t>IQVIA</t>
  </si>
  <si>
    <t>Job Description 
The Junior Cloud Operations Engineer supports the operation of cloud‑native platforms with a focus on Kubernetes and microservices‑based applications. This role assists with day‑to‑day deployments, monitoring, and operational support of containerized workloads in...</t>
  </si>
  <si>
    <t>https://indeed.com/viewjob?jk=c967fada20500b3c</t>
  </si>
  <si>
    <t>IN_177d0d460682b449</t>
  </si>
  <si>
    <t>https://indeed.com/viewjob?jk=177d0d460682b449</t>
  </si>
  <si>
    <t>IN_8355cd7f393baa49</t>
  </si>
  <si>
    <t>Dot Fullstack Developer + Cloud</t>
  </si>
  <si>
    <t>Role description
Designing and developing secure ASP.NET Core Web APIs, .NET/.NET Core, C, DAPPER and APIs.
Building modern front-end experiences with React and TypeScript.
Owning end-to-end delivery: requirements, design, implementation, testing, deployment, and support.
Modelin...</t>
  </si>
  <si>
    <t>https://indeed.com/viewjob?jk=8355cd7f393baa49</t>
  </si>
  <si>
    <t>IN_c2c841f52861b55d</t>
  </si>
  <si>
    <t>https://indeed.com/viewjob?jk=c2c841f52861b55d</t>
  </si>
  <si>
    <t>IN_bfa7b2c6bdad6c61</t>
  </si>
  <si>
    <t>Senior / Lead Business Analyst</t>
  </si>
  <si>
    <t>https://indeed.com/viewjob?jk=bfa7b2c6bdad6c61</t>
  </si>
  <si>
    <t>IN_8b77c0c60f9c20b0</t>
  </si>
  <si>
    <t>Quality Manager Medical Coding</t>
  </si>
  <si>
    <t>https://indeed.com/viewjob?jk=8b77c0c60f9c20b0</t>
  </si>
  <si>
    <t>IN_c6ae3f7479bf01a9</t>
  </si>
  <si>
    <t>Developer II - Software Engineering(FullStack Developer)</t>
  </si>
  <si>
    <t>Role description
Developer II - Software Engineering
Who we are:
At UST, we help the world’s best organizations grow and succeed through transformation. Bringing together the right talent, tools, and ideas, we work with our client to co-create lasting change. Together, with over...</t>
  </si>
  <si>
    <t>https://indeed.com/viewjob?jk=c6ae3f7479bf01a9</t>
  </si>
  <si>
    <t>IN_01a28b07ae9b7a4d</t>
  </si>
  <si>
    <t>Software Architect I</t>
  </si>
  <si>
    <t>Role description
Job Title: offshore Full Stack + AI Architect
Job Summary
We are seeking a highly experienced offshore Full Stack + AI Architect to lead the design and implementation of scalable, cloud-native applications integrated with advanced AI/ML capabilities. This role w...</t>
  </si>
  <si>
    <t>https://indeed.com/viewjob?jk=01a28b07ae9b7a4d</t>
  </si>
  <si>
    <t>IN_520454cb1dd67ce2</t>
  </si>
  <si>
    <t>AI Data Associate with English, Artificial General Intelligence Data Services</t>
  </si>
  <si>
    <t>https://indeed.com/viewjob?jk=520454cb1dd67ce2</t>
  </si>
  <si>
    <t>IN_5bd351cbdfecde1b</t>
  </si>
  <si>
    <t>ML Data Associate-II</t>
  </si>
  <si>
    <t>https://indeed.com/viewjob?jk=5bd351cbdfecde1b</t>
  </si>
  <si>
    <t>IN_7488108591456acd</t>
  </si>
  <si>
    <t>HR Operations Executive</t>
  </si>
  <si>
    <t>https://indeed.com/viewjob?jk=7488108591456acd</t>
  </si>
  <si>
    <t>IN_1c3775d4c57f61fb</t>
  </si>
  <si>
    <t>Quality Assurance (Revenue Cycle Management)</t>
  </si>
  <si>
    <t>https://indeed.com/viewjob?jk=1c3775d4c57f61fb</t>
  </si>
  <si>
    <t>IN_8302e1dd2cf5ee36</t>
  </si>
  <si>
    <t>Credentialing Customer Success Manager</t>
  </si>
  <si>
    <t>https://indeed.com/viewjob?jk=8302e1dd2cf5ee36</t>
  </si>
  <si>
    <t>IN_71181f51601e3236</t>
  </si>
  <si>
    <t>Medical Coder</t>
  </si>
  <si>
    <t>https://indeed.com/viewjob?jk=71181f51601e3236</t>
  </si>
  <si>
    <t>IN_1ef2fdc7c29fc683</t>
  </si>
  <si>
    <t>Project Manager (Mid-Shift)</t>
  </si>
  <si>
    <t>https://indeed.com/viewjob?jk=1ef2fdc7c29fc683</t>
  </si>
  <si>
    <t>IN_10f0ed345ef41886</t>
  </si>
  <si>
    <t>Role description
Key Responsibilities
Assist in designing and implementing scalable software architectures for enterprise applications
Collaborate with stakeholders to gather and analyze business and technical requirements
Support senior architects in technology evaluation, syst...</t>
  </si>
  <si>
    <t>https://indeed.com/viewjob?jk=10f0ed345ef41886</t>
  </si>
  <si>
    <t>IN_b6f1041d60c6231b</t>
  </si>
  <si>
    <t>Associate III - Cloud Infrastructure Services</t>
  </si>
  <si>
    <t>Role description
Platform Engineer - AWS &amp; Databricks
Role: Platform Engineer - AWS &amp; Databricks
Experience: 5+ Years
As a Platform Engineer, the candidate will be responsible for designing, provisioning, automating, and managing cloud infrastructure and data platforms on AWS an...</t>
  </si>
  <si>
    <t>https://indeed.com/viewjob?jk=b6f1041d60c6231b</t>
  </si>
  <si>
    <t>IN_401f792fe52ba38f</t>
  </si>
  <si>
    <t>Devops Trainer</t>
  </si>
  <si>
    <t>Itvedant</t>
  </si>
  <si>
    <t>Department
Training
Experience:
1 - 4
Employment type:
Full Time
Location:
Bengaluru
About Us:
Itvedant was started with the aim of bridging the gap between education and skills needed for the job with an intense passion for teaching. We are looking for dynamic and passionate pe...</t>
  </si>
  <si>
    <t>https://indeed.com/viewjob?jk=401f792fe52ba38f</t>
  </si>
  <si>
    <t>IN_bc74a3285bb3f1d3</t>
  </si>
  <si>
    <t>Chief Architect - Salesforce</t>
  </si>
  <si>
    <t>https://indeed.com/viewjob?jk=bc74a3285bb3f1d3</t>
  </si>
  <si>
    <t>IN_5fe13da377d59e14</t>
  </si>
  <si>
    <t>Sales Development Representative/ Business Development Representative</t>
  </si>
  <si>
    <t>https://indeed.com/viewjob?jk=5fe13da377d59e14</t>
  </si>
  <si>
    <t>IN_97f3fb8bb4fc6065</t>
  </si>
  <si>
    <t>Associate, ML Data Operations, GO-AI Operations</t>
  </si>
  <si>
    <t>DESCRIPTION
Amazon Robotics develops state-of-the art robotics for Amazon’s Fulfillment Centers. Come build the future of human-technology interaction with us. We are combining computer vision, mobile robots, advanced end-of-arm tooling, and a high degree of freedom of movement t...</t>
  </si>
  <si>
    <t>https://indeed.com/viewjob?jk=97f3fb8bb4fc6065</t>
  </si>
  <si>
    <t>IN_e8bd8afb708e0a33</t>
  </si>
  <si>
    <t>AI/ML Developer</t>
  </si>
  <si>
    <t>https://indeed.com/viewjob?jk=e8bd8afb708e0a33</t>
  </si>
  <si>
    <t>IN_91e7c5cd5fa53093</t>
  </si>
  <si>
    <t>Lead - AWS</t>
  </si>
  <si>
    <t>https://indeed.com/viewjob?jk=91e7c5cd5fa53093</t>
  </si>
  <si>
    <t>IN_189c21b98c6c4180</t>
  </si>
  <si>
    <t>Sales Administrator</t>
  </si>
  <si>
    <t>https://indeed.com/viewjob?jk=189c21b98c6c4180</t>
  </si>
  <si>
    <t>IN_ea224653621b068c</t>
  </si>
  <si>
    <t>Senior MLOps Engineer</t>
  </si>
  <si>
    <t>Arting Digital Private Limited</t>
  </si>
  <si>
    <t>RJ</t>
  </si>
  <si>
    <t>Position: Senior MLOps Engineer
Location: Jaipur
Work Mode: On-site
Experience: 7+ Years
Key Responsibilities
Build and manage end-to-end ML pipelines.
Deploy ML models using CI/CD pipelines.
Develop scalable MLOps infrastructure on AWS, Azure, or GCP.
Automate model training, t...</t>
  </si>
  <si>
    <t>https://indeed.com/viewjob?jk=ea224653621b068c</t>
  </si>
  <si>
    <t>IN_347cb576a35bf5e6</t>
  </si>
  <si>
    <t>Lead, SW Eng</t>
  </si>
  <si>
    <t>https://indeed.com/viewjob?jk=347cb576a35bf5e6</t>
  </si>
  <si>
    <t>IN_37fe0041960b81c7</t>
  </si>
  <si>
    <t>Process Associate - Payment Posting</t>
  </si>
  <si>
    <t>https://indeed.com/viewjob?jk=37fe0041960b81c7</t>
  </si>
  <si>
    <t>IN_0835159bc23d93d0</t>
  </si>
  <si>
    <t>VDC Manager , DC Design Engineering</t>
  </si>
  <si>
    <t>DESCRIPTION
Are you an experienced Virtual Design and Construction Designer with a passion for BIM? Are you a creative, smart and driven individual that enjoys working with complex projects within a team environment? If this is you, we want YOU on our team!
You will be a part of...</t>
  </si>
  <si>
    <t>https://indeed.com/viewjob?jk=0835159bc23d93d0</t>
  </si>
  <si>
    <t>IN_5ad3d7913f95ea4e</t>
  </si>
  <si>
    <t>Scrum Master with BA</t>
  </si>
  <si>
    <t>https://indeed.com/viewjob?jk=5ad3d7913f95ea4e</t>
  </si>
  <si>
    <t>IN_41f476a6423a4dab</t>
  </si>
  <si>
    <t>Applied Scientist, Central Seller Fulfillment</t>
  </si>
  <si>
    <t>DESCRIPTION
We are seeking a stellar Machine Learning scientist who has experience developing and shipping large scale ML products with visible customer impact. We would prefer if your previous work has been in developing scalable Agentic, RL or forecasting systems. Strong academ...</t>
  </si>
  <si>
    <t>https://indeed.com/viewjob?jk=41f476a6423a4dab</t>
  </si>
  <si>
    <t>IN_85a7e440d6c27740</t>
  </si>
  <si>
    <t>Senior Product Manager, FinOps</t>
  </si>
  <si>
    <t>DESCRIPTION
Senior Product Manager – Finance Operations (Employee Expense &amp; Corporate Cards)
Overview
We are seeking a highly motivated and strategic Senior Product Manager to lead the Employee Expense and Corporate Cards product portfolio within Finance Operations. This role p...</t>
  </si>
  <si>
    <t>https://indeed.com/viewjob?jk=85a7e440d6c27740</t>
  </si>
  <si>
    <t>IN_09a7ac1ffb2b209f</t>
  </si>
  <si>
    <t>Sr. Salesforce Developer</t>
  </si>
  <si>
    <t>https://indeed.com/viewjob?jk=09a7ac1ffb2b209f</t>
  </si>
  <si>
    <t>IN_02e12766b2a7ca2e</t>
  </si>
  <si>
    <t>Chief Technology Officer</t>
  </si>
  <si>
    <t>https://indeed.com/viewjob?jk=02e12766b2a7ca2e</t>
  </si>
  <si>
    <t>IN_96715525741a0e86</t>
  </si>
  <si>
    <t>https://indeed.com/viewjob?jk=96715525741a0e86</t>
  </si>
  <si>
    <t>IN_ee084a815ab930dc</t>
  </si>
  <si>
    <t>Associate, Quality Services, Auto Software (Smart Vehicles), ASV</t>
  </si>
  <si>
    <t>DESCRIPTION
External job description
Quality Services (QS) organization provides testing support for Devices, Retail and AWS products. The primary objective of QS organization is to provide manual testing support. An Associate, Quality Services performs manual test execution of ...</t>
  </si>
  <si>
    <t>https://indeed.com/viewjob?jk=ee084a815ab930dc</t>
  </si>
  <si>
    <t>IN_45d6af1a444eee3e</t>
  </si>
  <si>
    <t>Evaluation &amp; Management Coding Team Lead</t>
  </si>
  <si>
    <t>https://indeed.com/viewjob?jk=45d6af1a444eee3e</t>
  </si>
  <si>
    <t>IN_8f48a5531d5b4087</t>
  </si>
  <si>
    <t>https://indeed.com/viewjob?jk=8f48a5531d5b4087</t>
  </si>
  <si>
    <t>IN_28e54d499bc1159e</t>
  </si>
  <si>
    <t>Senior Windchill Developer - MCAD</t>
  </si>
  <si>
    <t>Birlasoft</t>
  </si>
  <si>
    <t>Country/Region: IN 
Requisition ID: 36859 
Work Model: 
Position Type: 
Salary Range: 
Location: INDIA - HYDERABAD - BIRLASOFT OFFICE 
Title: Senior Windchill Developer - MCAD 
Description: 
Area(s) of responsibility
Senior Windchill Developer - MCAD
The expectation is this perso...</t>
  </si>
  <si>
    <t>https://indeed.com/viewjob?jk=28e54d499bc1159e</t>
  </si>
  <si>
    <t>IN_5284e7c1dab8e966</t>
  </si>
  <si>
    <t>Magento Developer/Adobe Commerce</t>
  </si>
  <si>
    <t>Suffes Com</t>
  </si>
  <si>
    <t>Hiring a Magento Developer (Magento 2 / Adobe Commerce) with 3+ years of experience, Develop and maintain Magento 2 websites.
Perform code reviews and maintain coding standards and Work closely with UI/UX, QA, and project managersThe ideal candidate should have strong hands-on e...</t>
  </si>
  <si>
    <t>https://indeed.com/viewjob?jk=5284e7c1dab8e966</t>
  </si>
  <si>
    <t>IN_da02b35507b5b026</t>
  </si>
  <si>
    <t>Lead Developer</t>
  </si>
  <si>
    <t>TransUnion</t>
  </si>
  <si>
    <t>TransUnion's Job Applicant Privacy Notice 
Team Overview 
The Lead Developer is responsible for driving end‑to‑end technical delivery across complex initiatives, providing hands‑on development expertise, and guiding a team of engineers toward high‑quality, scalable, and secure so...</t>
  </si>
  <si>
    <t>https://indeed.com/viewjob?jk=da02b35507b5b026</t>
  </si>
  <si>
    <t>IN_d70e8f9bd704064b</t>
  </si>
  <si>
    <t>Developer 2</t>
  </si>
  <si>
    <t>Arctic Wolf Networks</t>
  </si>
  <si>
    <t>Job Description 
At Arctic Wolf, we're redefining the cybersecurity landscape. With our employee Pack members, spread out globally, committed to setting new industry standards. Our accomplishments speak for themselves, from our recognition in the Forbes Cloud 100 , CNBC Disruptor...</t>
  </si>
  <si>
    <t>https://indeed.com/viewjob?jk=d70e8f9bd704064b</t>
  </si>
  <si>
    <t>IN_f96aa45eb015f6ad</t>
  </si>
  <si>
    <t>Cloud Developer for Private Cloud</t>
  </si>
  <si>
    <t>Cloud Developer for Private Cloud
This role has been designed as ‘Hybrid’ with an expectation that you will work on average 2 days per week from an HPE office.
Who We Are:
Hewlett Packard Enterprise is the global edge-to-cloud company advancing the way people live and work. We h...</t>
  </si>
  <si>
    <t>https://indeed.com/viewjob?jk=f96aa45eb015f6ad</t>
  </si>
  <si>
    <t>IN_4eaf618680f623bf</t>
  </si>
  <si>
    <t>Lead Enterprise Applications Engineer</t>
  </si>
  <si>
    <t>Envestnet Asset Management</t>
  </si>
  <si>
    <t>Description
Job Location
The primary work location for this role is Trivandrum with a hybrid work model.
About Envestnet
Envestnet is an adaptive WealthTech company that is redefining the future of wealth management by helping advisors meet the moment with its comprehensive tech...</t>
  </si>
  <si>
    <t>https://indeed.com/viewjob?jk=4eaf618680f623bf</t>
  </si>
  <si>
    <t>IN_cb60554a5299251b</t>
  </si>
  <si>
    <t>Contractor - SAP ABAP</t>
  </si>
  <si>
    <t>Date: Jun 25, 2026 
Job Requisition Id: 65293 
Location:
Hyderabad, TG, IN 
#job-location.job-location-inline { display: inline; } 
.buttontext47d030a40eb4ac5c a{ border: 1px solid transparent; } .buttontext47d030a40eb4ac5c a: focus{ border: 1px dashed #2b97ef !important; outli...</t>
  </si>
  <si>
    <t>https://indeed.com/viewjob?jk=cb60554a5299251b</t>
  </si>
  <si>
    <t>IN_d3563bd716343f0c</t>
  </si>
  <si>
    <t>UI/UX Developer (Angular)</t>
  </si>
  <si>
    <t>https://indeed.com/viewjob?jk=d3563bd716343f0c</t>
  </si>
  <si>
    <t>IN_315ab180ac7e1292</t>
  </si>
  <si>
    <t>vendor personnel</t>
  </si>
  <si>
    <t>Role Summary 
We are looking for a Senior MERN Stack Developer with 6 + years of hands-on experience to design, develop, and maintain scalable web applications using SQL, Nest.js, React.js, and Node.js . The candidate should be comfortable working on both frontend and backend and...</t>
  </si>
  <si>
    <t>https://indeed.com/viewjob?jk=315ab180ac7e1292</t>
  </si>
  <si>
    <t>IN_c21f50955ce5d76e</t>
  </si>
  <si>
    <t>Junior Frontend Developer</t>
  </si>
  <si>
    <t>Job Description
We are looking for a motivated Junior Front End Developer to join our engineering team. This is a great opportunity for an early-career professional to build a strong foundation in modern web development while working alongside experienced engineers. You will turn...</t>
  </si>
  <si>
    <t>https://indeed.com/viewjob?jk=c21f50955ce5d76e</t>
  </si>
  <si>
    <t>IN_d1fc04343ef051df</t>
  </si>
  <si>
    <t>https://indeed.com/viewjob?jk=d1fc04343ef051df</t>
  </si>
  <si>
    <t>IN_72002657e6ad6a11</t>
  </si>
  <si>
    <t>Product Developer II</t>
  </si>
  <si>
    <t>BMC Software</t>
  </si>
  <si>
    <t>Basic Information 
Job Name 
Product Developer II - India 
Country 
India 
State 
IN_Karnataka 
City 
Bangalore 
Date Published 
24-Jun-2026 
Job ID 
47168 
Travel 
You may occasionally be required to travel for business 
Looking for details about our benefits? 
Descript...</t>
  </si>
  <si>
    <t>https://indeed.com/viewjob?jk=72002657e6ad6a11</t>
  </si>
  <si>
    <t>IN_1e720205182a853e</t>
  </si>
  <si>
    <t>Staff Software Engineer - Java</t>
  </si>
  <si>
    <t>https://indeed.com/viewjob?jk=1e720205182a853e</t>
  </si>
  <si>
    <t>IN_8b603f11036b2171</t>
  </si>
  <si>
    <t>Dynamics FnO Developer</t>
  </si>
  <si>
    <t>Softpath System LLC</t>
  </si>
  <si>
    <t>Role: Dynamics FnO Developer
Exp: 4+yrs
Location : Hyd /Blr
Develop, customize, and maintain D365 FnO using X++.
Design and implement integrations between D365 FnO and other business applications.
Work with functional teams to understand business requirements and translate them ...</t>
  </si>
  <si>
    <t>https://indeed.com/viewjob?jk=8b603f11036b2171</t>
  </si>
  <si>
    <t>IN_3095de6be0af1bf1</t>
  </si>
  <si>
    <t>Consultant - SAP ABAP</t>
  </si>
  <si>
    <t>Date: Jul 6, 2026 
Job Requisition Id: 65432 
Location:
Hyderabad, IN 
#job-location.job-location-inline { display: inline; } 
.buttontext47d030a40eb4ac5c a{ border: 1px solid transparent; } .buttontext47d030a40eb4ac5c a: focus{ border: 1px dashed #2b97ef !important; outline: n...</t>
  </si>
  <si>
    <t>https://indeed.com/viewjob?jk=3095de6be0af1bf1</t>
  </si>
  <si>
    <t>IN_4997fcc29f1206af</t>
  </si>
  <si>
    <t>Avant de postuler à un emploi, sélectionnez votre langue de préférence parmi les options disponibles en haut à droite de cette page.
Découvrez votre prochaine opportunité au sein d'une organisation qui compte parmi les 500 plus importantes entreprises mondiales. Envisagez des opp...</t>
  </si>
  <si>
    <t>https://indeed.com/viewjob?jk=4997fcc29f1206af</t>
  </si>
  <si>
    <t>IN_caa360b03c12b3e2</t>
  </si>
  <si>
    <t>https://indeed.com/viewjob?jk=caa360b03c12b3e2</t>
  </si>
  <si>
    <t>IN_6978639f4159d951</t>
  </si>
  <si>
    <t>Junior Java Developer</t>
  </si>
  <si>
    <t>Job Description
We are looking for a motivated Junior Java Developer to join our engineering team. This is an excellent opportunity for an early-career professional to build a strong foundation in software development while working alongside experienced engineers. You will contri...</t>
  </si>
  <si>
    <t>https://indeed.com/viewjob?jk=6978639f4159d951</t>
  </si>
  <si>
    <t>IN_61dc87bd10980716</t>
  </si>
  <si>
    <t>Senior Application Developer - Functions</t>
  </si>
  <si>
    <t>Job Purpose and Impact
The Senior Application Developer, SuccessFactors, Talent Management &amp; Learning job builds, maintains, integrates and implements talent management and learning applications within the organization. With minimal supervision, this job performs complex applicat...</t>
  </si>
  <si>
    <t>https://indeed.com/viewjob?jk=61dc87bd10980716</t>
  </si>
  <si>
    <t>IN_8ca0c14763b3e7f3</t>
  </si>
  <si>
    <t>https://indeed.com/viewjob?jk=8ca0c14763b3e7f3</t>
  </si>
  <si>
    <t>IN_cdcd549bb81da2ca</t>
  </si>
  <si>
    <t>Senior Software Engineer, ITC</t>
  </si>
  <si>
    <t>NIKE</t>
  </si>
  <si>
    <t>Position Type 
Full Time 
Career area 
Software Engineering 
Location 
4/F, WeWork, Embassy GolfLinks, Karnataka, Karnātaka 560093, India 
Job ID 
R-87298 
Become a Part of the NIKE, Inc. Team 
NIKE, Inc. does more than outfit the world’s best athletes. It’s a place where passi...</t>
  </si>
  <si>
    <t>https://indeed.com/viewjob?jk=cdcd549bb81da2ca</t>
  </si>
  <si>
    <t>IN_14404e8439522250</t>
  </si>
  <si>
    <t>App.Dev. Specialist IT(PTS)</t>
  </si>
  <si>
    <t>Gates Corporation</t>
  </si>
  <si>
    <t>Date: Jul 6, 2026 
Location: Chennai, TN, IN, 602105 
#job-location.job-location-inline { display: inline; } 
Company: Gates Corporation 
Essential Duties and Responsibilities 
Collaborate with senior developers and consultants to support, troubleshoot, and maintain .NET and ...</t>
  </si>
  <si>
    <t>https://indeed.com/viewjob?jk=14404e8439522250</t>
  </si>
  <si>
    <t>IN_41ca36e5be15271c</t>
  </si>
  <si>
    <t>Senior Principal Software Architect</t>
  </si>
  <si>
    <t>Hyderabad, Telangana, India Product Engineering Ref ID: JR-018058
Our Mission
At Palo Alto Networks®, we’re united by a shared mission—to protect our digital way of life. We thrive at the intersection of innovation and impact, solving real-world problems with cutting-edge techno...</t>
  </si>
  <si>
    <t>https://indeed.com/viewjob?jk=41ca36e5be15271c</t>
  </si>
  <si>
    <t>IN_7e4124c0a81e7b8b</t>
  </si>
  <si>
    <t>Golang with microservices.</t>
  </si>
  <si>
    <t>Role : Combination – Golang with strong programming experience and good in microservices.
Location – Chennai
Experience – 6 to 12 years
Preferred Skills:
Experience with container orchestration tools like Kubernetes.
Experience building gRPCs with go-kit.
Knowledge of message br...</t>
  </si>
  <si>
    <t>https://indeed.com/viewjob?jk=7e4124c0a81e7b8b</t>
  </si>
  <si>
    <t>IN_bd143767ef53d6e5</t>
  </si>
  <si>
    <t>Position Type 
Full Time 
Career area 
Software Engineering 
Location 
4/F, WeWork, Embassy GolfLinks, Karnataka, Karnātaka 560093, India 
Job ID 
R-87299 
Become a Part of the NIKE, Inc. Team 
NIKE, Inc. does more than outfit the world’s best athletes. It’s a place where passi...</t>
  </si>
  <si>
    <t>https://indeed.com/viewjob?jk=bd143767ef53d6e5</t>
  </si>
  <si>
    <t>IN_affdfdce247312e8</t>
  </si>
  <si>
    <t>SAP ABAP Developer</t>
  </si>
  <si>
    <t>Req ID: 379135 
NTT DATA strives to hire exceptional, innovative and passionate individuals who want to grow with us. If you want to be part of an inclusive, adaptable, and forward-thinking organization, apply now. 
We are currently seeking a SAP ABAP Developer to join our team...</t>
  </si>
  <si>
    <t>https://indeed.com/viewjob?jk=affdfdce247312e8</t>
  </si>
  <si>
    <t>IN_c2092de651c3774a</t>
  </si>
  <si>
    <t>Net Developer</t>
  </si>
  <si>
    <t>AI EDUCATIONAL GROUPS</t>
  </si>
  <si>
    <t>Location: Dwarka Sector 12, New Delhi
Job Type: Full-Time
Experience Required: 4+ Years
Salary: Up to ₹8 LPA
Job Summary
We are looking for a skilled and motivated .NET Developer to join our development team. The ideal candidate should have hands-on experience in designing, devel...</t>
  </si>
  <si>
    <t>https://indeed.com/viewjob?jk=c2092de651c3774a</t>
  </si>
  <si>
    <t>IN_fdd5eef08c6770ef</t>
  </si>
  <si>
    <t>https://indeed.com/viewjob?jk=fdd5eef08c6770ef</t>
  </si>
  <si>
    <t>IN_83748a439e7be270</t>
  </si>
  <si>
    <t>REACT and #.NET developer 10 years experienced</t>
  </si>
  <si>
    <t>Kassavirtanen Oy</t>
  </si>
  <si>
    <t>Are you a talented back-end developer with minimum 10 year experience knowledge on REACT and C#.NET who has an unbeatable can-do attitude? If your answer is yes, WE WANT YOU!
FRESHERS AND 1 YEAR EXPERIENCE DO NOT APPLY
We are looking for a motivated and creative back-end softwa...</t>
  </si>
  <si>
    <t>https://indeed.com/viewjob?jk=83748a439e7be270</t>
  </si>
  <si>
    <t>IN_3b9d8aad20b3ad28</t>
  </si>
  <si>
    <t>Senior Application Developer - GoLang/Python</t>
  </si>
  <si>
    <t>https://indeed.com/viewjob?jk=3b9d8aad20b3ad28</t>
  </si>
  <si>
    <t>IN_ba5664b70af7b3db</t>
  </si>
  <si>
    <t>Senior Java Developer - Assistant Vice President</t>
  </si>
  <si>
    <t>https://indeed.com/viewjob?jk=ba5664b70af7b3db</t>
  </si>
  <si>
    <t>IN_1e0de0020fa3f654</t>
  </si>
  <si>
    <t>ServiceNow Application Developer - Officer</t>
  </si>
  <si>
    <t>State Street</t>
  </si>
  <si>
    <t>Role Summary &amp; Role Description
We are seeking an experienced ServiceNow Application Developer to support and implement ServiceNow solutions for [Sourcing &amp; Procurement Operations | Hardware and Software Asset Lifecycle ] as well as design, build, and customize platform applicati...</t>
  </si>
  <si>
    <t>https://indeed.com/viewjob?jk=1e0de0020fa3f654</t>
  </si>
  <si>
    <t>IN_d5a7e5fa4257a07b</t>
  </si>
  <si>
    <t>Req ID: 379137 
NTT DATA strives to hire exceptional, innovative and passionate individuals who want to grow with us. If you want to be part of an inclusive, adaptable, and forward-thinking organization, apply now. 
We are currently seeking a SAP ABAP Developer to join our team...</t>
  </si>
  <si>
    <t>https://indeed.com/viewjob?jk=d5a7e5fa4257a07b</t>
  </si>
  <si>
    <t>IN_52ddd829e6dabca6</t>
  </si>
  <si>
    <t>Applications Development Intermediate Programmer Analyst</t>
  </si>
  <si>
    <t>https://indeed.com/viewjob?jk=52ddd829e6dabca6</t>
  </si>
  <si>
    <t>IN_097af300c888e018</t>
  </si>
  <si>
    <t>https://indeed.com/viewjob?jk=097af300c888e018</t>
  </si>
  <si>
    <t>IN_5305ee641301e589</t>
  </si>
  <si>
    <t>Teamcenter/PLM Tech Lead</t>
  </si>
  <si>
    <t>Job ID
65565
Category
Enterprise Technology
Location
Chennai, India
Work Type
Hybrid
We are seeking a highly skilled Senior Software Engineer with a strong background in Product Lifecycle Management (PLM) systems and cloud-based solutions. The ideal candidate will have extensive...</t>
  </si>
  <si>
    <t>https://indeed.com/viewjob?jk=5305ee641301e589</t>
  </si>
  <si>
    <t>IN_a26fdb7614c54d22</t>
  </si>
  <si>
    <t>Systems Integration Senior Analyst</t>
  </si>
  <si>
    <t>Req ID: 373857 
NTT DATA strives to hire exceptional, innovative and passionate individuals who want to grow with us. If you want to be part of an inclusive, adaptable, and forward-thinking organization, apply now. 
We are currently seeking a Systems Integration Senior Analyst ...</t>
  </si>
  <si>
    <t>https://indeed.com/viewjob?jk=a26fdb7614c54d22</t>
  </si>
  <si>
    <t>IN_734db1e6c796f5dc</t>
  </si>
  <si>
    <t>Software Development Advisor</t>
  </si>
  <si>
    <t>Req ID: 367559 
NTT DATA strives to hire exceptional, innovative and passionate individuals who want to grow with us. If you want to be part of an inclusive, adaptable, and forward-thinking organization, apply now. 
We are currently seeking a Software Development Advisor to joi...</t>
  </si>
  <si>
    <t>https://indeed.com/viewjob?jk=734db1e6c796f5dc</t>
  </si>
  <si>
    <t>IN_64789115268b9cf6</t>
  </si>
  <si>
    <t>Consultant | SAP ABAP HANA | Bengaluru | SAP | DSA SAP Accounts</t>
  </si>
  <si>
    <t>Job requisition ID :: 108317 
Date: Jul 6, 2026 
Location: Bengaluru 
Designation: Consultant 
Entity: Deloitte Touche Tohmatsu India LLP 
SAP S/4HANA Public Cloud Developer (RAP + AI/ISLM + BTP/Joule) – Consultant (5–8 Years | E3)
Strong hands-on experience in ABAP RAP (managed...</t>
  </si>
  <si>
    <t>https://indeed.com/viewjob?jk=64789115268b9cf6</t>
  </si>
  <si>
    <t>IN_a332ac35248fc55f</t>
  </si>
  <si>
    <t>https://indeed.com/viewjob?jk=a332ac35248fc55f</t>
  </si>
  <si>
    <t>IN_caeb1c09416c9a2e</t>
  </si>
  <si>
    <t>https://indeed.com/viewjob?jk=caeb1c09416c9a2e</t>
  </si>
  <si>
    <t>IN_57491cbfaa919c28</t>
  </si>
  <si>
    <t>Security Tester</t>
  </si>
  <si>
    <t>Paramount Assure</t>
  </si>
  <si>
    <t>Security Tester
AI-Native Application Security &amp; VAPT
Team: Security Engineering
Location: Hybrid (India-Coimbatore)
Employment type: Full-time
Experience: 2.5+ years
Reports to: Security Engineering Lead
Why This Role Exists
Most security testers were trained to break software...</t>
  </si>
  <si>
    <t>https://indeed.com/viewjob?jk=57491cbfaa919c28</t>
  </si>
  <si>
    <t>IN_ef864c1784c3bcd7</t>
  </si>
  <si>
    <t>Lead Data Platform Engineer (OpenSearch)</t>
  </si>
  <si>
    <t>Arrow Electronics</t>
  </si>
  <si>
    <t>Position:
Lead Data Platform Engineer (OpenSearch) 
Job Description:
Role: Lead Data Platform Engineer (AWS | Kafka | OpenSearch) 
Preferred Location: Ahmedabad, Pune, Indore 
Years of Experience: 08 – 12 years 
Notice Period – 0-30 Days (Preferred) 
Introduction 
Our team buil...</t>
  </si>
  <si>
    <t>https://indeed.com/viewjob?jk=ef864c1784c3bcd7</t>
  </si>
  <si>
    <t>IN_1f521f62d6e50d0f</t>
  </si>
  <si>
    <t>SYNAPTORIA EDTECH</t>
  </si>
  <si>
    <t>About Cyptrix Innovations Pvt. Ltd.
Cyptrix Innovations Pvt. Ltd. is a technology-driven software company delivering innovative enterprise solutions for global clients. We are looking for a highly skilled Python Developer to join our engineering team and build scalable, secure, a...</t>
  </si>
  <si>
    <t>https://indeed.com/viewjob?jk=1f521f62d6e50d0f</t>
  </si>
  <si>
    <t>IN_bdbe63399031419c</t>
  </si>
  <si>
    <t>T&amp;T- EAID-Engineering-Manager | .Net Azure Full Stack | Chennai |</t>
  </si>
  <si>
    <t>Job requisition ID :: 108323 
Date: Jul 6, 2026 
Location: Chennai 
Designation: Manager 
Entity: Deloitte Touche Tohmatsu India LLP 
T&amp;T- EAID-Engineering-Manager | .Net Azure Full Stack | Chennai | 
Job requisition ID : 108323
Location: Chennai 
Entity: Deloitte Touche Tohmatsu...</t>
  </si>
  <si>
    <t>https://indeed.com/viewjob?jk=bdbe63399031419c</t>
  </si>
  <si>
    <t>IN_f6d04b2e0871c23b</t>
  </si>
  <si>
    <t>Java - Senior Engineer</t>
  </si>
  <si>
    <t>a.dialogApplyBtn { display: none; } 
Posted On: 6 Jul 2026 
Location: Noida, UP, India 
#job-location.job-location-inline { display: inline; } 
Company: Iris Software 
Why Join Iris? 
Are you ready to do the best work of your career at one of India’s Top 25 Best Workplaces i...</t>
  </si>
  <si>
    <t>https://indeed.com/viewjob?jk=f6d04b2e0871c23b</t>
  </si>
  <si>
    <t>IN_a0f711682cb60413</t>
  </si>
  <si>
    <t>Sr. Software Dev Engineer, Finance Technology</t>
  </si>
  <si>
    <t>DESCRIPTION
If you are interested in building high-performance, globally scalable systems that support Amazon's current and future growth, this is the right role for you. Amazon's Finance Technology (FinTech) team is looking for Senior Software Development Engineer who is excited...</t>
  </si>
  <si>
    <t>https://indeed.com/viewjob?jk=a0f711682cb60413</t>
  </si>
  <si>
    <t>IN_45bc431e9c5c5075</t>
  </si>
  <si>
    <t>Senior Software Engineer I - Periscope</t>
  </si>
  <si>
    <t>McKinsey &amp; Company</t>
  </si>
  <si>
    <t>Job ID: 109925
You will grow your FullStack expertise building scalable products with .NET Core &amp; React.js, working with modern cloud, databases &amp; containers while solving impactful problems.
Bengaluru
Gurugram
Do you want to do work that matters, alongside supportive leaders wh...</t>
  </si>
  <si>
    <t>https://indeed.com/viewjob?jk=45bc431e9c5c5075</t>
  </si>
  <si>
    <t>IN_943909e9df7df1d4</t>
  </si>
  <si>
    <t>Solutions Engineer</t>
  </si>
  <si>
    <t>Hevo Data</t>
  </si>
  <si>
    <t>About the role
This role is a strong fit for data engineers with 2 to 4 years of experience who want to take their technical depth into a customer-facing role. If you have spent the last few years building pipelines, working with cloud warehouses, and solving real data problems,...</t>
  </si>
  <si>
    <t>https://indeed.com/viewjob?jk=943909e9df7df1d4</t>
  </si>
  <si>
    <t>IN_fd3bdcced70774be</t>
  </si>
  <si>
    <t>ReadyAssist Automobile Services</t>
  </si>
  <si>
    <t>Job Title: Backend Developer
Experience: 2–4 Years
Job Type: Full-Time
Location: HSR Layout, Bengaluru
About the Role
ReadyAssist is looking for a Backend Developer with strong expertise in Node.js, TypeScript, and modern backend frameworks to build scalable, secure, and high-per...</t>
  </si>
  <si>
    <t>https://indeed.com/viewjob?jk=fd3bdcced70774be</t>
  </si>
  <si>
    <t>IN_cebe97e13820404e</t>
  </si>
  <si>
    <t>Senior Java Full-Stack Developer</t>
  </si>
  <si>
    <t>Project description 
We are looking for a Senior Java Engineer to join our Capital Markets technology team and contribute to building a modern analytics platform. This role combines strong backend engineering expertise with hands-on work across the data layer and visualization la...</t>
  </si>
  <si>
    <t>https://indeed.com/viewjob?jk=cebe97e13820404e</t>
  </si>
  <si>
    <t>IN_3ee7efd377288929</t>
  </si>
  <si>
    <t>Staff Software Engineer- Eng</t>
  </si>
  <si>
    <t>Job description 
Company and benefits
Job ID
STAFF019038
Employment Type
Regular
Work Style
on-site
Location
Noida,UP,India
Role
Staff Software Engineer- Eng
Why UKG: 
At UKG, the work you do matters. The code you ship, the decisions you make, and the care you show a customer all...</t>
  </si>
  <si>
    <t>https://indeed.com/viewjob?jk=3ee7efd377288929</t>
  </si>
  <si>
    <t>IN_acf941db479b93af</t>
  </si>
  <si>
    <t>IT.Intern</t>
  </si>
  <si>
    <t>Citco</t>
  </si>
  <si>
    <t>Job Title: 
EAP Java / Python / Full Stack Developer 
Job Category: 
Technology 
Department/Group: 
Citco Technology 
Job Code/ Req#: 
Req# 
Location: 
Hyderabad / Pune 
Travel Required: 
No 
Level / Grade: 
10 
Position Type: 
(i.e., Full-time, part-time, intern) 
Full-time 
...</t>
  </si>
  <si>
    <t>https://indeed.com/viewjob?jk=acf941db479b93af</t>
  </si>
  <si>
    <t>IN_5d85056c0339cf9a</t>
  </si>
  <si>
    <t>https://indeed.com/viewjob?jk=5d85056c0339cf9a</t>
  </si>
  <si>
    <t>IN_b1f6da9c9be59873</t>
  </si>
  <si>
    <t>Microsoft</t>
  </si>
  <si>
    <t>Overview
Microsoft is a company where passionate innovators come to collaborate, envision what can be and take their careers further. This is a world of more possibilities, more innovation, more openness, and the sky is the limit thinking in a cloud-enabled world.
Microsoft’s A...</t>
  </si>
  <si>
    <t>https://indeed.com/viewjob?jk=b1f6da9c9be59873</t>
  </si>
  <si>
    <t>IN_7c4062c5c3a2ed88</t>
  </si>
  <si>
    <t>CodeDTX Solutions Pvt Ltd</t>
  </si>
  <si>
    <t>Job Summary
We are looking for enthusiastic and motivated fresh graduates who are passionate about software development and eager to build a career as a Full Stack Developer. Candidates should have successfully completed training or certification in either React Full Stack Develo...</t>
  </si>
  <si>
    <t>https://indeed.com/viewjob?jk=7c4062c5c3a2ed88</t>
  </si>
  <si>
    <t>IN_6985e5711bba0ff9</t>
  </si>
  <si>
    <t>Project description 
A large Australian financial institution has engaged us to provide resources for their Digital transformation &amp; app modernization on multiple applications.
We are looking for an experienced Java Engineer to join our engineering team and contribute to the des...</t>
  </si>
  <si>
    <t>https://indeed.com/viewjob?jk=6985e5711bba0ff9</t>
  </si>
  <si>
    <t>IN_9af73977318ebab6</t>
  </si>
  <si>
    <t>https://indeed.com/viewjob?jk=9af73977318ebab6</t>
  </si>
  <si>
    <t>IN_21cc2ed4c7f58fa1</t>
  </si>
  <si>
    <t>Thatware LLP</t>
  </si>
  <si>
    <t>Responsibilities:
Develop and customize WordPress websites based on business requirements.
Work with themes, plugins, page builders, and custom functionalities.
Ensure websites are mobile-responsive, SEO-friendly, and speed optimized.
Fix bugs, technical issues, and website error...</t>
  </si>
  <si>
    <t>https://indeed.com/viewjob?jk=21cc2ed4c7f58fa1</t>
  </si>
  <si>
    <t>IN_021483b4b7b47177</t>
  </si>
  <si>
    <t>https://indeed.com/viewjob?jk=021483b4b7b47177</t>
  </si>
  <si>
    <t>IN_5ea5a0953787da83</t>
  </si>
  <si>
    <t>Senior Java Backend Engineer (Technical Lead)</t>
  </si>
  <si>
    <t>Baxture Technologies</t>
  </si>
  <si>
    <t>Position
Senior Java Backend Engineer (Technical Lead)
Experience: 8–10+ Years
Location: Pune
Employment Type: Full-Time
About the Role
We are looking for an experienced Senior Java Backend Engineer to take technical ownership of our backend platform. This is a hands-on leadershi...</t>
  </si>
  <si>
    <t>https://indeed.com/viewjob?jk=5ea5a0953787da83</t>
  </si>
  <si>
    <t>IN_5a1ce2caa8f001b4</t>
  </si>
  <si>
    <t>https://indeed.com/viewjob?jk=5a1ce2caa8f001b4</t>
  </si>
  <si>
    <t>IN_f9d7d75ea8418448</t>
  </si>
  <si>
    <t>Sr Java developer</t>
  </si>
  <si>
    <t>Job Description #body.unify div.unify-button-container .unify-apply-now: focus, #body.unify div.unify-button-container .unify-apply-#body.unify div.unify-button-container .unify-apply-now: focus, #body.unify div.unify-button-container .unify-apply- 
Job Title: Sr Java developer 
...</t>
  </si>
  <si>
    <t>https://indeed.com/viewjob?jk=f9d7d75ea8418448</t>
  </si>
  <si>
    <t>IN_d3640b86e1ad8514</t>
  </si>
  <si>
    <t>https://indeed.com/viewjob?jk=d3640b86e1ad8514</t>
  </si>
  <si>
    <t>IN_681c8b6ad1261389</t>
  </si>
  <si>
    <t>.Net Full Stack Developer</t>
  </si>
  <si>
    <t>Role : .Net Full Stack Developer with ReactJS/NextJS/NodeJS Location : Bangalore Exp : 8 - 10 Yearsa Responsibility : 
Development of technical specifications and plans
Development of new web applications using ASP.Net, .Net Core, React.
Location 
Bengaluru 
Job Function 
TECHNOL...</t>
  </si>
  <si>
    <t>https://indeed.com/viewjob?jk=681c8b6ad1261389</t>
  </si>
  <si>
    <t>IN_55ce0a03beedeb45</t>
  </si>
  <si>
    <t>GOLANG</t>
  </si>
  <si>
    <t>ign and Development: Participate in the design and creation of scalable software. Write clean, functional code on both the front-end and back-end. 
Architecture: Design client-side and server-side architecture. 
Database Management: Develop and manage well-functioning databases a...</t>
  </si>
  <si>
    <t>https://indeed.com/viewjob?jk=55ce0a03beedeb45</t>
  </si>
  <si>
    <t>IN_8acc734aafaa79a5</t>
  </si>
  <si>
    <t>Senior Python fullstack developer</t>
  </si>
  <si>
    <t>FindQ</t>
  </si>
  <si>
    <t>Job Description :
Job Title : Senior Python Developer with Gen AI
Experience: 4+ Years
Location: Chennai
Skills:
Python
Fast API
Frontend(Anguar, React js, HTML, CSS, Javascript)
Cloud Platforms
Generative AI
If anyone interested contact us
Apply Now:
Mail id: sowmya.t@findq.in
C...</t>
  </si>
  <si>
    <t>https://indeed.com/viewjob?jk=8acc734aafaa79a5</t>
  </si>
  <si>
    <t>IN_e18e5f418e1ae0bc</t>
  </si>
  <si>
    <t>Staff Backend Engineer</t>
  </si>
  <si>
    <t>Remofirst</t>
  </si>
  <si>
    <t>RemoFirst is transforming the way businesses hire and manage global teams. Our mission is to enable Freedom of Work by providing an all-in-one global HR platform that simplifies hiring, compliance, payroll, and benefits management. We partner with some of the world’s most innovat...</t>
  </si>
  <si>
    <t>https://indeed.com/viewjob?jk=e18e5f418e1ae0bc</t>
  </si>
  <si>
    <t>IN_6b650beb1db65123</t>
  </si>
  <si>
    <t>Web Developer (1–4 Years)</t>
  </si>
  <si>
    <t>Ocode Technologies</t>
  </si>
  <si>
    <t>We are looking for a talented Web Developer to join our team in Mohali. You will be responsible for designing, developing, and maintaining modern, responsive websites and web applications for clients across various industries. Working closely with designers, project managers, and...</t>
  </si>
  <si>
    <t>https://indeed.com/viewjob?jk=6b650beb1db65123</t>
  </si>
  <si>
    <t>IN_51535bbcd13d9b23</t>
  </si>
  <si>
    <t>1. Design and development of Automation solutions using Java, Microservices, JavaScript, Angular and SQL Server 2. Automation of Manual activities using Selenium 3. Automation of knowledge articles/Runbook using Java, Cucumber/Selenium 4. Designing user interactions on websites 5...</t>
  </si>
  <si>
    <t>https://indeed.com/viewjob?jk=51535bbcd13d9b23</t>
  </si>
  <si>
    <t>IN_d07d8d25ecb9ecac</t>
  </si>
  <si>
    <t>About Cyptrix Innovations
Cyptrix Innovations Pvt. Ltd. is a fast-growing technology company delivering scalable software solutions for global clients. We are looking for a passionate and experienced *Backend Developer* to join our engineering team and build high-performance back...</t>
  </si>
  <si>
    <t>https://indeed.com/viewjob?jk=d07d8d25ecb9ecac</t>
  </si>
  <si>
    <t>IN_9c4b6cea3bbc465a</t>
  </si>
  <si>
    <t>Software Engineer- Java</t>
  </si>
  <si>
    <t>https://indeed.com/viewjob?jk=9c4b6cea3bbc465a</t>
  </si>
  <si>
    <t>IN_2a061f7ca56f0365</t>
  </si>
  <si>
    <t>Frontend Developer (React/Vue.js)</t>
  </si>
  <si>
    <t>We are looking for a creative and detail-oriented Frontend Developer to join our development team in Mohali. You will be responsible for building responsive, interactive, and user-friendly web applications while working closely with UI/UX designers and backend developers. The ide...</t>
  </si>
  <si>
    <t>https://indeed.com/viewjob?jk=2a061f7ca56f0365</t>
  </si>
  <si>
    <t>IN_603e29103eb87f60</t>
  </si>
  <si>
    <t>Full Stack Developer – AI Agent Integration</t>
  </si>
  <si>
    <t>Weplacedyou</t>
  </si>
  <si>
    <t>Company Location: New York
Job Type: Remote - Full Time
Pay: 1000 - 1500 USD per month
Language: English (Required)
We are seeking an experienced Full Stack Developer with strong expertise in AI Agent development and AI API integration to join our growing team. In this role, you ...</t>
  </si>
  <si>
    <t>https://indeed.com/viewjob?jk=603e29103eb87f60</t>
  </si>
  <si>
    <t>IN_5fdfcdb227405eb9</t>
  </si>
  <si>
    <t>Software Engineer - Java+Unix - India</t>
  </si>
  <si>
    <t>Photon</t>
  </si>
  <si>
    <t>Responsibilities: ACE can help you write this job description (go/ACE) 
Key Responsibilities:
Design, develop, and maintain scalable software applications using Java, Springboot &amp; rest services. 
Collaborate with cross-functional teams to gather requirements and translate them i...</t>
  </si>
  <si>
    <t>https://indeed.com/viewjob?jk=5fdfcdb227405eb9</t>
  </si>
  <si>
    <t>IN_4c0cbfae8ac7b4e4</t>
  </si>
  <si>
    <t>FullStack Engineer(Python+React) 5+ years</t>
  </si>
  <si>
    <t>Inforizon</t>
  </si>
  <si>
    <t>Job ID: INFIT003
Hiring / Immediate joiners
FullStack Engineer(Python+React) Engineer
Locations: Remote
Send Resume: recruiter@inforizonhr.com/7306892755
Position: Python + React Developer 
Experience: 5+ Years
Additional Details:
Work timing: Normal shift with a 4–5 hour overla...</t>
  </si>
  <si>
    <t>https://indeed.com/viewjob?jk=4c0cbfae8ac7b4e4</t>
  </si>
  <si>
    <t>IN_58378af74c936927</t>
  </si>
  <si>
    <t>Backend Python Developer (Django)</t>
  </si>
  <si>
    <t>We are looking for a Backend Python Developer to join our growing development team in Mohali. You will be responsible for building scalable backend applications, developing secure REST APIs, and maintaining high-performance web services using Python and Django. Working closely wi...</t>
  </si>
  <si>
    <t>https://indeed.com/viewjob?jk=58378af74c936927</t>
  </si>
  <si>
    <t>IN_0741891ac7c9edfd</t>
  </si>
  <si>
    <t>PHP Laravel Developer Intern</t>
  </si>
  <si>
    <t>Conceptial Media</t>
  </si>
  <si>
    <t>About the Role
Join Conceptial Media's web team and gain hands-on experience building real client websites on WordPress, Shopify, and custom stacks. You will learn how websites are built for performance, SEO, and conversions — not just for looks. This is a learning-first role whe...</t>
  </si>
  <si>
    <t>https://indeed.com/viewjob?jk=0741891ac7c9edfd</t>
  </si>
  <si>
    <t>IN_88280f4d721a26a8</t>
  </si>
  <si>
    <t>Staff Software Engineer - Java (DSA)</t>
  </si>
  <si>
    <t>https://indeed.com/viewjob?jk=88280f4d721a26a8</t>
  </si>
  <si>
    <t>IN_920408f2b3ca8f93</t>
  </si>
  <si>
    <t>Embedded C++ Application developer</t>
  </si>
  <si>
    <t>Zweizag Private Limited</t>
  </si>
  <si>
    <t>Hiring Embedded C++ developer for Chennai location.
Experience -4 to 5 years
Notice period -Immediate joiners only
Interested please share your updated CV to mahalakshmi@zweizag.com
Pay: ₹431,130.10 - ₹1,786,110.28 per year
Benefits:
Provident Fund
Work Location: In person</t>
  </si>
  <si>
    <t>https://indeed.com/viewjob?jk=920408f2b3ca8f93</t>
  </si>
  <si>
    <t>IN_e4b2b9a838db884f</t>
  </si>
  <si>
    <t>Sr. Developer - Application Development Microsoft N 4B</t>
  </si>
  <si>
    <t>Sr. Developer - Application Development Microsoft N
Ready to turn bold ideas into real-world impact?
At Genpact, we don’t just adapt to change, we lead it. AI and digital innovation are transforming the way businesses work, and we’re at the forefront of it. Genpact’s AI Gigafacto...</t>
  </si>
  <si>
    <t>https://indeed.com/viewjob?jk=e4b2b9a838db884f</t>
  </si>
  <si>
    <t>IN_bf74bd63a0fe5a81</t>
  </si>
  <si>
    <t>Full Stack Developer Intern Remote</t>
  </si>
  <si>
    <t>Company Description
Visiomatix Media Pvt. Ltd. is a multidisciplinary creative and digital growth agency that combines innovation with strategy to bring brands to life. Our expertise spans branding, graphic design, CGI, 3D visualization, motion graphics, VFX, and digital content ...</t>
  </si>
  <si>
    <t>https://indeed.com/viewjob?jk=bf74bd63a0fe5a81</t>
  </si>
  <si>
    <t>IN_b231e2383192f8b4</t>
  </si>
  <si>
    <t>Job Description
Application Developers develop, test and integrate applications, frameworks and tools in a controlled environment. With expertise in a specific technology environment, they are responsible for software-specific design and realization, as well as testing, deploymen...</t>
  </si>
  <si>
    <t>https://indeed.com/viewjob?jk=b231e2383192f8b4</t>
  </si>
  <si>
    <t>IN_a924e058d6e62164</t>
  </si>
  <si>
    <t>PHP Developer</t>
  </si>
  <si>
    <t>Cyboard School</t>
  </si>
  <si>
    <t>Job Overview
Cyboard School is seeking a skilled Software Developer to design, develop, maintain, and enhance web-based applications and internal software solutions. The ideal candidate should have strong expertise in PHP development, database management, front-end technologies, ...</t>
  </si>
  <si>
    <t>https://indeed.com/viewjob?jk=a924e058d6e62164</t>
  </si>
  <si>
    <t>IN_41ded5a01db649d9</t>
  </si>
  <si>
    <t>https://indeed.com/viewjob?jk=41ded5a01db649d9</t>
  </si>
  <si>
    <t>IN_2913f33cd8f7e450</t>
  </si>
  <si>
    <t>Staff Developer - Full Stack</t>
  </si>
  <si>
    <t>At Arctic Wolf, we're redefining the cybersecurity landscape. With our employee Pack members, spread out globally, committed to setting new industry standards. Our accomplishments speak for themselves, from our recognition in the Forbes Cloud 100 , CNBC Disruptor 50 , Fortune Fut...</t>
  </si>
  <si>
    <t>https://indeed.com/viewjob?jk=2913f33cd8f7e450</t>
  </si>
  <si>
    <t>IN_83b0f19f53ccc357</t>
  </si>
  <si>
    <t>full stack developer</t>
  </si>
  <si>
    <t>About the Role 
We are hiring immediately for a Full Stack Developer who can go beyond just coding.
This is not a typical dev role.
You’ll work at the intersection of development, operations, and real-world execution.
If you like building things from scratch, shipping fast, and o...</t>
  </si>
  <si>
    <t>https://indeed.com/viewjob?jk=83b0f19f53ccc357</t>
  </si>
  <si>
    <t>IN_da5d55e5a0163c48</t>
  </si>
  <si>
    <t>Senior Developer 2</t>
  </si>
  <si>
    <t>https://indeed.com/viewjob?jk=da5d55e5a0163c48</t>
  </si>
  <si>
    <t>IN_8bc269014f9533c0</t>
  </si>
  <si>
    <t>Oracle PL/SQL Developer</t>
  </si>
  <si>
    <t>Job Overview 
Works in the Canada Custom Data Extracts (CDE) to deliver the work requests in time without any errors.
Assists with the design/development of software solutions requiring general domain knowledge and limited business expertise. 
Troubleshoots code issues and contin...</t>
  </si>
  <si>
    <t>https://indeed.com/viewjob?jk=8bc269014f9533c0</t>
  </si>
  <si>
    <t>IN_c62b769099c41078</t>
  </si>
  <si>
    <t>4348- Software Development Engineer-III Backend (Platform)</t>
  </si>
  <si>
    <t>Innovaccer</t>
  </si>
  <si>
    <t>Engineering at Innovaccer
With every line of code, we accelerate our customers' success, turning complex challenges into innovative solutions. Collaboratively, we transform each data point we gather into valuable insights for our customers. Join us and be part of a team that's tu...</t>
  </si>
  <si>
    <t>https://indeed.com/viewjob?jk=c62b769099c41078</t>
  </si>
  <si>
    <t>IN_bfa5829d897c0758</t>
  </si>
  <si>
    <t>https://indeed.com/viewjob?jk=bfa5829d897c0758</t>
  </si>
  <si>
    <t>IN_9ebb17ba76583064</t>
  </si>
  <si>
    <t>(Senior/Staff) C++ Software Engineer, Infotainment (Shanghai/Beijing Based)</t>
  </si>
  <si>
    <t>Tesla</t>
  </si>
  <si>
    <t>Position Description
Tesla is expanding its UI software engineering team. We are looking for a highly motivated software engineer specializing in front-end software development and creating exceptional user experiences. You will need strong software engineering skills, excellent ...</t>
  </si>
  <si>
    <t>https://indeed.com/viewjob?jk=9ebb17ba76583064</t>
  </si>
  <si>
    <t>IN_4c3e0c48ed8d5284</t>
  </si>
  <si>
    <t>Manual and Automation Tester</t>
  </si>
  <si>
    <t>Title*: Software Test Engineer - Manual &amp; Automation *Company*: [Yerbahub] *Location*: Delhi, India | Hybrid *Experience*: 1 to 2 Years *Job Type*: Full-Time *Job Description* We are looking for a detail-oriented Software Test Engineer to join our Quality Engineering team. The id...</t>
  </si>
  <si>
    <t>https://indeed.com/viewjob?jk=4c3e0c48ed8d5284</t>
  </si>
  <si>
    <t>IN_4890207938dff004</t>
  </si>
  <si>
    <t>DBSync</t>
  </si>
  <si>
    <t>About Us:
At DBSync we provide opportunity to use technology that creates innovative and next generation data integration products which helps our employees to cultivate their creativity and sense of belonging. DBSync is a leading provider for data integration and Data warehousin...</t>
  </si>
  <si>
    <t>https://indeed.com/viewjob?jk=4890207938dff004</t>
  </si>
  <si>
    <t>IN_91dc92e95100619b</t>
  </si>
  <si>
    <t>4195- Software Development Engineer-III Backend (Gravity)</t>
  </si>
  <si>
    <t>https://indeed.com/viewjob?jk=91dc92e95100619b</t>
  </si>
  <si>
    <t>IN_710dcf5613c64388</t>
  </si>
  <si>
    <t>Security Engineer</t>
  </si>
  <si>
    <t>Date live: 07/06/2026
Business Area: Chief Information Security Office
Area of Expertise: Technology
Contract: Permanent
Reference Code: JR-0000105140
Join us as a Security Engineer, where you will spearhead the evolution of our infrastructure and deployment pipelines, driving i...</t>
  </si>
  <si>
    <t>https://indeed.com/viewjob?jk=710dcf5613c64388</t>
  </si>
  <si>
    <t>IN_18b0a83bf513fa30</t>
  </si>
  <si>
    <t>Cyptrix Innovations Pvt. Ltd. is looking for experienced and passionate Senior Full Stack Developers to join our growing engineering team. You will work on enterprise-grade applications for US-based clients, building scalable, secure, and high-performance web solutions using mode...</t>
  </si>
  <si>
    <t>https://indeed.com/viewjob?jk=18b0a83bf513fa30</t>
  </si>
  <si>
    <t>IN_9f68d2877cce2447</t>
  </si>
  <si>
    <t>Jr Quality Analyst</t>
  </si>
  <si>
    <t>Job Information
Date Opened
07/06/2026 
Job Type
Full time 
Industry
IT Services 
City
Vashi 
State/Province
Maharashtra 
Country
India 
Zip/Postal Code
400703 
Job Description
We are looking for a detail-oriented and proactive Junior Quality Analyst to join our QA team. The idea...</t>
  </si>
  <si>
    <t>https://indeed.com/viewjob?jk=9f68d2877cce2447</t>
  </si>
  <si>
    <t>IN_76a9712af22806cf</t>
  </si>
  <si>
    <t>Senior Analyst - Data Science (R-19578)</t>
  </si>
  <si>
    <t>Dun &amp; Bradstreet</t>
  </si>
  <si>
    <t>Shape the Future with Dun &amp; Bradstreet
At Dun &amp; Bradstreet, we believe data has the power to create a better tomorrow. As a global leader in business decisioning data and analytics, we help companies worldwide grow, manage risk, and innovate. For over 180 years, businesses have t...</t>
  </si>
  <si>
    <t>https://indeed.com/viewjob?jk=76a9712af22806cf</t>
  </si>
  <si>
    <t>IN_482fd949052fdbb5</t>
  </si>
  <si>
    <t>Analyst, Commercial Insights</t>
  </si>
  <si>
    <t>West Pharmaceutical Services</t>
  </si>
  <si>
    <t>Requisition ID: 74664 
Date: Jul 2, 2026 
Location:
Hyderabad, TS, IN 
#job-location.job-location-inline { display: inline; } 
Department: Marketing 
Description:
At West, we’re a dedicated team that is connected by a purpose to improve patient lives that has been at the cente...</t>
  </si>
  <si>
    <t>https://indeed.com/viewjob?jk=482fd949052fdbb5</t>
  </si>
  <si>
    <t>IN_f53f8b8861b4c370</t>
  </si>
  <si>
    <t>Analyst Business Finance</t>
  </si>
  <si>
    <t>SITA Switzerland Sarl</t>
  </si>
  <si>
    <t>Overview: 
WELCOME TO SITA
At SITA, we keep airports moving, airlines flying smoothly, and borders open. Our technology and communication innovations power the success of the global air travel industry.
You'll find us in 95% of international airports, working closely with over 2...</t>
  </si>
  <si>
    <t>https://indeed.com/viewjob?jk=f53f8b8861b4c370</t>
  </si>
  <si>
    <t>IN_0bba5e14de36732f</t>
  </si>
  <si>
    <t>Consultant | Business Analyst | Mumbai | Operations, Industry &amp; Domain Solutions</t>
  </si>
  <si>
    <t>Job requisition ID :: 105256 
Date: Jul 4, 2026 
Location: Mumbai 
Designation: Consultant 
Entity: Deloitte Touche Tohmatsu India LLP 
The Team
As a member of the Operation, Industry and domain solutions team you will embark on an exciting and fulfilling journey with a group of...</t>
  </si>
  <si>
    <t>https://indeed.com/viewjob?jk=0bba5e14de36732f</t>
  </si>
  <si>
    <t>IN_6fe7ef1f999d1ff2</t>
  </si>
  <si>
    <t>Lead HRIS Analyst (Business Analyst-Oracle HCM Cloud)</t>
  </si>
  <si>
    <t>What's the role?: 
As a Senior HR Business Analyst (Oracle Fusion), you will manage Business Stakeholders and translate the HR Business processes into Functional design for Oracle HCM Fusion in HERE’s HR technology landscape.
In this role, you will:
You will define the business...</t>
  </si>
  <si>
    <t>https://indeed.com/viewjob?jk=6fe7ef1f999d1ff2</t>
  </si>
  <si>
    <t>IN_351ef2c797eb0f6a</t>
  </si>
  <si>
    <t>Data Analyst I</t>
  </si>
  <si>
    <t>LexisNexis Risk Solutions</t>
  </si>
  <si>
    <t>Would you like to be part of a team that delivers high-quality software to our customers?
Are you a visible champion with a ‘can do’ attitude and enthusiasm that inspires others?
About the Business 
LexisNexis Risk Solutions is the essential partner in the assessment of risk. Wit...</t>
  </si>
  <si>
    <t>https://indeed.com/viewjob?jk=351ef2c797eb0f6a</t>
  </si>
  <si>
    <t>IN_ae42bbf628768a9b</t>
  </si>
  <si>
    <t>Amrita Vishwa Vidyapeetham, Coimbatore Campus is inviting applications from qualified candidates for the post of Business Analyst. 
For Details Contact: amrita_careers@am.amrita.edu 
Apply Now 
Job Title 
Business Analyst 
Location 
Coimbatore, Tamilnadu 
Required Number 
1 
...</t>
  </si>
  <si>
    <t>https://indeed.com/viewjob?jk=ae42bbf628768a9b</t>
  </si>
  <si>
    <t>IN_fbd25b69e715c7e5</t>
  </si>
  <si>
    <t>Senior Snowflake Data Engineer – DBT &amp; Power BI</t>
  </si>
  <si>
    <t>Job Description:
Infosys is seeking an experienced Senior Snowflake Data Engineer with expertise in Snowflake DBT Data Build Tool and Power BI to build and optimize modern cloud based analytics platforms
The ideal candidate will have strong experience in data engineering data mo...</t>
  </si>
  <si>
    <t>https://indeed.com/viewjob?jk=fbd25b69e715c7e5</t>
  </si>
  <si>
    <t>IN_8df10de2d65602c4</t>
  </si>
  <si>
    <t>We are looking for a motivated and detail-oriented Data Analysis Intern to join our IT team. The ideal candidate should have a basic understanding of data analysis, Excel, SQL, and reporting. This internship offers an excellent opportunity to gain hands-on experience in data coll...</t>
  </si>
  <si>
    <t>https://indeed.com/viewjob?jk=8df10de2d65602c4</t>
  </si>
  <si>
    <t>IN_9c8979c1f17d3d91</t>
  </si>
  <si>
    <t>RELX Group</t>
  </si>
  <si>
    <t>https://indeed.com/viewjob?jk=9c8979c1f17d3d91</t>
  </si>
  <si>
    <t>IN_1a927cbfa1ddeb46</t>
  </si>
  <si>
    <t>Analyst - Tech Ops Business Intelligence</t>
  </si>
  <si>
    <t>United Airlines</t>
  </si>
  <si>
    <t>Achieving our goals starts with supporting yours. Grow your career, access top-tier health and wellness benefits, build lasting connections with your team and our customers, and travel the world using our extensive route network.
Come join us to create what’s next. Let’s define ...</t>
  </si>
  <si>
    <t>https://indeed.com/viewjob?jk=1a927cbfa1ddeb46</t>
  </si>
  <si>
    <t>IN_81c75f75a0391070</t>
  </si>
  <si>
    <t>RISK COMP AND GOVERNANCE ANALYST L4</t>
  </si>
  <si>
    <t>Job Description #body.unify div.unify-button-container .unify-apply-now: focus, #body.unify div.unify-button-container .unify-apply-#body.unify div.unify-button-container .unify-apply-now: focus, #body.unify div.unify-button-container .unify-apply- 
Job Title: RISK COMP AND GOVER...</t>
  </si>
  <si>
    <t>https://indeed.com/viewjob?jk=81c75f75a0391070</t>
  </si>
  <si>
    <t>IN_09865bc591c6cfb9</t>
  </si>
  <si>
    <t>https://indeed.com/viewjob?jk=09865bc591c6cfb9</t>
  </si>
  <si>
    <t>IN_4de1a767a1122528</t>
  </si>
  <si>
    <t>Analyst - Finance &amp; Accounts</t>
  </si>
  <si>
    <t>Microland</t>
  </si>
  <si>
    <t>Job Description
:
Education Qualification : 
M.Com
Skills :
Primary -&gt; Functional | Basic Accounting Principles | Expenses and Revenues | 2 - Knowledgeable
Primary -&gt; Functional | Basic Accounting Principles | Entries to Journals and Ledgers | 1 - Aware
Details:
1. Will be res...</t>
  </si>
  <si>
    <t>https://indeed.com/viewjob?jk=4de1a767a1122528</t>
  </si>
  <si>
    <t>IN_55926374afca2556</t>
  </si>
  <si>
    <t>Product Manager - Quantitative Research</t>
  </si>
  <si>
    <t>JOB DESCRIPTION
You enjoy shaping the future of product innovation as a core leader, driving value for customers, guiding successful launches, and exceeding expectations. Join our dynamic team and make a meaningful impact by delivering high-quality products that resonate with c...</t>
  </si>
  <si>
    <t>https://indeed.com/viewjob?jk=55926374afca2556</t>
  </si>
  <si>
    <t>IN_567937b5bc9a8dba</t>
  </si>
  <si>
    <t>Analyst- Financial Reporting</t>
  </si>
  <si>
    <t>JOB DESCRIPTION
Job Responsibilities
Apply up-to-date product/industry/market knowledge in specialty areas of reporting
Consolidate, review, and analyze quarterly financial data for accuracy and completeness; perform quarter-over-quarter variance analytics
Coordinate data colle...</t>
  </si>
  <si>
    <t>https://indeed.com/viewjob?jk=567937b5bc9a8dba</t>
  </si>
  <si>
    <t>IN_99a5600da2fe8f23</t>
  </si>
  <si>
    <t>Desktop Engineer Cum Business Analyst</t>
  </si>
  <si>
    <t>Multiple zones Services LLP</t>
  </si>
  <si>
    <t>Key Responsibilities:
Provide technical support for desktops, laptops, printers, scanners, and other IT peripherals.
Install, configure, troubleshoot, and maintain Windows operating systems and business applications.
Diagnose and resolve hardware, software, network, and email-rel...</t>
  </si>
  <si>
    <t>https://indeed.com/viewjob?jk=99a5600da2fe8f23</t>
  </si>
  <si>
    <t>IN_30ee0087e2b9eb8a</t>
  </si>
  <si>
    <t>Solution Analyst</t>
  </si>
  <si>
    <t>ExxonMobil’s affiliates in India
ExxonMobil’s affiliates have offices in India in Bengaluru, Mumbai and the National Capital Region.
ExxonMobil’s affiliates in India supporting the Product Solutions business engage in the marketing, sales and distribution of performance as well ...</t>
  </si>
  <si>
    <t>https://indeed.com/viewjob?jk=30ee0087e2b9eb8a</t>
  </si>
  <si>
    <t>IN_cc3e8370ce855847</t>
  </si>
  <si>
    <t>CodesCastle Software Pvt. Ltd</t>
  </si>
  <si>
    <t>Managing master data, including creation, updates, and deletion.
Managing users and user roles.
Provide quality assurance of imported data, working with quality assurance analysts if necessary.
Commissioning and decommissioning of data sets.
Processing confidential data and infor...</t>
  </si>
  <si>
    <t>https://indeed.com/viewjob?jk=cc3e8370ce855847</t>
  </si>
  <si>
    <t>IN_5d17efedc9e91995</t>
  </si>
  <si>
    <t>TRAVEL DABBLE PRIVET LIMITED</t>
  </si>
  <si>
    <t>Key Responsibilities:
Collect, analyze, and interpret data from various sources.
Prepare daily, weekly, and monthly MIS reports.
Maintain and update databases, records, and systems.
Ensure accuracy and integrity of data.
Generate dashboards and performance reports for management....</t>
  </si>
  <si>
    <t>https://indeed.com/viewjob?jk=5d17efedc9e91995</t>
  </si>
  <si>
    <t>IN_8aaf2050685d30db</t>
  </si>
  <si>
    <t>Finance/Investment Analyst-Intern</t>
  </si>
  <si>
    <t>Kodo Technologies</t>
  </si>
  <si>
    <t>About the Role 
We are looking for a highly analytical and business-oriented Analyst to join our team. This role sits at the intersection of finance, economics, treasury, and data science. You will be responsible for building predictive models that drive treasury decisions, cash ...</t>
  </si>
  <si>
    <t>https://indeed.com/viewjob?jk=8aaf2050685d30db</t>
  </si>
  <si>
    <t>IN_96bb71b15d692beb</t>
  </si>
  <si>
    <t>https://indeed.com/viewjob?jk=96bb71b15d692beb</t>
  </si>
  <si>
    <t>IN_392bfff87e7a7492</t>
  </si>
  <si>
    <t>NKP Pharma Pvt Ltd Changodar</t>
  </si>
  <si>
    <t>Company Description:
N.K.P. Pharma Pvt. Ltd. is a leading manufacturer of Injectable packaging solution for pharmaceutical industry. With over 35+ years of experience, 3000+ installations in 40 Countries, we leverage ingenuity and passion to deliver sophisticated and cost-effecti...</t>
  </si>
  <si>
    <t>https://indeed.com/viewjob?jk=392bfff87e7a7492</t>
  </si>
  <si>
    <t>IN_d03463fd16b8068e</t>
  </si>
  <si>
    <t>Measurement &amp; Report Analyst</t>
  </si>
  <si>
    <t>Skill required: Sourcing &amp; Procurement - Procurement Management
Designation: Measurement &amp; Report Analyst
Qualifications:Any Graduation 
Years of Experience:3 to 5 years 
About Accenture
Accenture is a global professional services company with leading capabilities in digital, clo...</t>
  </si>
  <si>
    <t>https://indeed.com/viewjob?jk=d03463fd16b8068e</t>
  </si>
  <si>
    <t>IN_9a40d78819fde7ff</t>
  </si>
  <si>
    <t>Analyst I HR Operations</t>
  </si>
  <si>
    <t>DXC Technology</t>
  </si>
  <si>
    <t>Job Description: 
Essential Job Functions: 
Assist in HR data analysis and reporting, producing basic reports and contributing to data insights. 
Support HR projects and process improvement initiatives, managing specific tasks or components. 
Respond to employee inquiries, offeri...</t>
  </si>
  <si>
    <t>https://indeed.com/viewjob?jk=9a40d78819fde7ff</t>
  </si>
  <si>
    <t>IN_286eed4b93574c94</t>
  </si>
  <si>
    <t>https://indeed.com/viewjob?jk=286eed4b93574c94</t>
  </si>
  <si>
    <t>IN_9f390af3cc16dd58</t>
  </si>
  <si>
    <t>App Automation Eng Senior Analyst</t>
  </si>
  <si>
    <t>Skill required: Tech for Operations - Microsoft Robotic Process Automation
Designation: App Automation Eng Senior Analyst
Qualifications:Any Graduation 
Years of Experience:5 to 8 years 
About Accenture
Accenture is a global professional services company with leading capabilities...</t>
  </si>
  <si>
    <t>https://indeed.com/viewjob?jk=9f390af3cc16dd58</t>
  </si>
  <si>
    <t>IN_278ada24fdcb8a0e</t>
  </si>
  <si>
    <t>AR Analyst</t>
  </si>
  <si>
    <t>bp</t>
  </si>
  <si>
    <t>Entity: 
Finance
Job Family Group: 
Finance Group
Job Description: 
We are a global energy business involved in every aspect of the energy system. We are working towards delivering light, heat, and mobility to millions of people every day. We are one of the very few companies e...</t>
  </si>
  <si>
    <t>https://indeed.com/viewjob?jk=278ada24fdcb8a0e</t>
  </si>
  <si>
    <t>IN_9720fd21930da51a</t>
  </si>
  <si>
    <t>Sr Analyst III Business Process Transactions / RR-0302159</t>
  </si>
  <si>
    <t>Job Description: 
Essential Job Functions: • Execute business process transactions, learn from experienced team members, and focus on accuracy. • Collaborate with senior analysts, managers, and other staff. • Assist in process improvement initiatives and data analysis. • Contribu...</t>
  </si>
  <si>
    <t>https://indeed.com/viewjob?jk=9720fd21930da51a</t>
  </si>
  <si>
    <t>IN_09bc44754aced493</t>
  </si>
  <si>
    <t>Pinga SOlutions Pvt. Ltd</t>
  </si>
  <si>
    <t>Key Responsibilities:
Gather, document, and analyze business requirements from stakeholders.
Evaluate current business processes and identify areas for improvement.
Translate business needs into technical specifications for development teams.
Assist in the design and implementati...</t>
  </si>
  <si>
    <t>https://indeed.com/viewjob?jk=09bc44754aced493</t>
  </si>
  <si>
    <t>IN_6abc602e37bac360</t>
  </si>
  <si>
    <t>Data Analytics Faculty</t>
  </si>
  <si>
    <t>Beat Center of Excellence</t>
  </si>
  <si>
    <t>Job Title: Data Analytics Faculty
Location: Kochi
Experience: 1+ Years
Employment Type: Full-time
Job Summary:
We are looking for an experienced Data Analytics Faculty to train and mentor students in Data Analytics. The ideal candidate should have strong technical knowledge, good...</t>
  </si>
  <si>
    <t>https://indeed.com/viewjob?jk=6abc602e37bac360</t>
  </si>
  <si>
    <t>IN_21e1c49859fe8f35</t>
  </si>
  <si>
    <t>Analyst III Business Process Transactions / RR-0361862</t>
  </si>
  <si>
    <t>Job Description: 
Essential Job Functions: • Execute business process transactions, closely following established procedures and guidelines. • Collaborate with senior analysts, managers, and other staff. • Support process improvement initiatives and data analysis. • Participate i...</t>
  </si>
  <si>
    <t>https://indeed.com/viewjob?jk=21e1c49859fe8f35</t>
  </si>
  <si>
    <t>IN_210ca76a8f1f8812</t>
  </si>
  <si>
    <t>Data Analytics Mentor</t>
  </si>
  <si>
    <t>HACA</t>
  </si>
  <si>
    <t>Job Summary
We are looking for a passionate and knowledgeable Data Analytics Mentor on a contract basis to train and guide students in Data Analytics through practical and industry-oriented sessions. The mentor will be responsible for delivering classes, guiding projects, support...</t>
  </si>
  <si>
    <t>https://indeed.com/viewjob?jk=210ca76a8f1f8812</t>
  </si>
  <si>
    <t>IN_0965654b312c8d38</t>
  </si>
  <si>
    <t>Accounting &amp; Reporting Analyst</t>
  </si>
  <si>
    <t>https://indeed.com/viewjob?jk=0965654b312c8d38</t>
  </si>
  <si>
    <t>IN_d9ac8bff651feb13</t>
  </si>
  <si>
    <t>Job Profile Accounting &amp; Reporting Analyst - General Accounting</t>
  </si>
  <si>
    <t>https://indeed.com/viewjob?jk=d9ac8bff651feb13</t>
  </si>
  <si>
    <t>IN_42d5bd256ec669b1</t>
  </si>
  <si>
    <t>Business Technical Analyst Intern</t>
  </si>
  <si>
    <t>Rytsense Technologies</t>
  </si>
  <si>
    <t>Job Summary:
We are looking for a detail-oriented and analytical Business Technical Analyst Intern to bridge the gap between business needs and technical solutions. The candidate will work closely with stakeholders, developers, and cross-functional teams to gather requirements, a...</t>
  </si>
  <si>
    <t>https://indeed.com/viewjob?jk=42d5bd256ec669b1</t>
  </si>
  <si>
    <t>IN_3939045453a35f8d</t>
  </si>
  <si>
    <t>Rytsense Technologies Private Limited</t>
  </si>
  <si>
    <t>https://indeed.com/viewjob?jk=3939045453a35f8d</t>
  </si>
  <si>
    <t>IN_dd27cf6c9be6c183</t>
  </si>
  <si>
    <t>Sr Analyst I Business Process Transactions / RR-0373027</t>
  </si>
  <si>
    <t>Job Description: 
Essential Job Functions: • Execute and monitor business process transactions, focusing on accuracy and efficiency. • Contribute to process improvements, data analysis, and reporting. • Collaborate with senior analysts, managers, and other team members. • Identif...</t>
  </si>
  <si>
    <t>https://indeed.com/viewjob?jk=dd27cf6c9be6c183</t>
  </si>
  <si>
    <t>IN_dc853b29ccd411a0</t>
  </si>
  <si>
    <t>Senior Analyst - Communications Design</t>
  </si>
  <si>
    <t>Overview: 
Sr Analyst, Media Planning/Design Support
Omnicom Global Solutions, Pune IN
About Omnicom Global Solutions
Omnicom Global Solutions (OGS) is an integral part of Omnicom Group, a leading global marketing and corporate communications company. Omnicom’s branded networks ...</t>
  </si>
  <si>
    <t>https://indeed.com/viewjob?jk=dc853b29ccd411a0</t>
  </si>
  <si>
    <t>IN_2d855d76d2dd95f7</t>
  </si>
  <si>
    <t>Sr Analyst - Programmatic</t>
  </si>
  <si>
    <t>Overview: 
Open Location: Pune
Job Type: Full-time | Hybrid
Shift: Candidate should be open for all shifts (US/UK/EMEA/APAC)
About Omnicom Global Solutions
Omnicom Global Solutions (OGS) is an integral part of Omnicom Group, a leading global marketing and corporate communication...</t>
  </si>
  <si>
    <t>https://indeed.com/viewjob?jk=2d855d76d2dd95f7</t>
  </si>
  <si>
    <t>IN_b5e54362fc6e7a2e</t>
  </si>
  <si>
    <t>Business Analyst (Fresher / 1–2 Years Experience)</t>
  </si>
  <si>
    <t>DataGraphene Solutions</t>
  </si>
  <si>
    <t>Business Analyst (Fresher / 1–2 Years Experience) 
Company: DataGraphene Solutions (DG)
Location: Chennai
Experience: Fresher / 1–2 Years
Salary: ₹20,000 to ₹25,000 per month (Based on Skills &amp; Performance)
Employment Type: Full-Time
Preferred Pass-Out: 2024 &amp; 2025
About DataGrap...</t>
  </si>
  <si>
    <t>https://indeed.com/viewjob?jk=b5e54362fc6e7a2e</t>
  </si>
  <si>
    <t>IN_df6c798b9088fd07</t>
  </si>
  <si>
    <t>Accounting and Reporting Analyst</t>
  </si>
  <si>
    <t>At ABB, we help industries run leaner and cleaner—and every person here makes that happen. You’ll be empowered to lead, supported to grow, and proud of the impact we create together. Join us and help run what runs the world.
This Position reports to:
Team Lead - General Accountin...</t>
  </si>
  <si>
    <t>https://indeed.com/viewjob?jk=df6c798b9088fd07</t>
  </si>
  <si>
    <t>IN_9bcbc2a8fa9ff25a</t>
  </si>
  <si>
    <t>Analyst I Business Process Transactions / RR-0374157</t>
  </si>
  <si>
    <t>Job Description: 
Essential Job Functions: • Execute business process transactions, focusing on accuracy and adherence to procedures. • Collaborate with senior analysts and managers. • Participate in process improvement projects and data analysis. • Assist in identifying process ...</t>
  </si>
  <si>
    <t>https://indeed.com/viewjob?jk=9bcbc2a8fa9ff25a</t>
  </si>
  <si>
    <t>IN_0b6f5e87e91cd867</t>
  </si>
  <si>
    <t>Bow and Baan Technology Solutions pvt Ltd</t>
  </si>
  <si>
    <t>Job Overview
We are seeking a highly motivated and detail-oriented Business Analyst intern to join our dynamic team. As an intern, you will work closely with stakeholders across the organization and learn to analyze business needs, translating them into actionable requirements, a...</t>
  </si>
  <si>
    <t>https://indeed.com/viewjob?jk=0b6f5e87e91cd867</t>
  </si>
  <si>
    <t>IN_27d86b8b857a064a</t>
  </si>
  <si>
    <t>Sales Admin &amp; Ops Asst Analyst</t>
  </si>
  <si>
    <t>Overview: 
This individual contributes to the success of PepsiCo by supporting pricing systems and field, Division and Sector teams. Role provides reporting and minor analysis support to Field Sales &amp; Finance teams, as well as manage annual price increases for Division price grou...</t>
  </si>
  <si>
    <t>https://indeed.com/viewjob?jk=27d86b8b857a064a</t>
  </si>
  <si>
    <t>IN_0c936f28277c57ea</t>
  </si>
  <si>
    <t>OCIT</t>
  </si>
  <si>
    <t>Role &amp; Responsibilities
Working experience in insurance reporting, including analyzing and visualizing data.
Connect various data sources, import and transform data for Business Intelligence purposes.
Build BI solutions while leveraging data analysis techniques and industry best ...</t>
  </si>
  <si>
    <t>https://indeed.com/viewjob?jk=0c936f28277c57ea</t>
  </si>
  <si>
    <t>IN_55cd6a58cf286065</t>
  </si>
  <si>
    <t>https://indeed.com/viewjob?jk=55cd6a58cf286065</t>
  </si>
  <si>
    <t>IN_81229785d3aa0462</t>
  </si>
  <si>
    <t>Senior Staff Consultant (Business Analyst - Service cloud, Field Service Lightning)</t>
  </si>
  <si>
    <t>Nagarro</t>
  </si>
  <si>
    <t>Company Description
We're Nagarro.
We are a Digital Product Engineering company that is scaling in a big way! We build products, services, and experiences that inspire, excite, and delight. We work at a scale — across all devices and digital mediums, and our people exist everywh...</t>
  </si>
  <si>
    <t>https://indeed.com/viewjob?jk=81229785d3aa0462</t>
  </si>
  <si>
    <t>IN_e82f3efca5512512</t>
  </si>
  <si>
    <t>Platform Analyst - Securities Services</t>
  </si>
  <si>
    <t>https://indeed.com/viewjob?jk=e82f3efca5512512</t>
  </si>
  <si>
    <t>IN_0ae87c2fe36eee83</t>
  </si>
  <si>
    <t>Business Analyst Trainee</t>
  </si>
  <si>
    <t>AUTOSherpa</t>
  </si>
  <si>
    <t>Business Analyst – Trainee
FRESHERS ARE WELCOME!
Please note that proficiency in Malayalam is mandatory for this role.
What You'll Do: Business Analyst – Trainee
Gain in-depth knowledge of AUTOSherpa CRM Software and its applications. 
Conduct market research to analyze industry ...</t>
  </si>
  <si>
    <t>https://indeed.com/viewjob?jk=0ae87c2fe36eee83</t>
  </si>
  <si>
    <t>IN_547061716f7e3e98</t>
  </si>
  <si>
    <t>Analyst - Employee Listening</t>
  </si>
  <si>
    <t>Nestlé</t>
  </si>
  <si>
    <t>People Analytics – Employee Listening Analyst
Location: NBS Gurugram
Position Summary
In this role, you will support the roll-out of the Employee Listening strategy, collect data and analyze results, sharing insights at the Market and Zone Level in cooperation with the Zone Ao...</t>
  </si>
  <si>
    <t>https://indeed.com/viewjob?jk=547061716f7e3e98</t>
  </si>
  <si>
    <t>IN_39e7f8d464eb81b6</t>
  </si>
  <si>
    <t>Analyst - Business Data Services 5B</t>
  </si>
  <si>
    <t>Analyst - Business Data Services
Ready to turn bold ideas into real-world impact?
At Genpact, we don’t just adapt to change, we lead it. AI and digital innovation are transforming the way businesses work, and we’re at the forefront of it. Genpact’s AI Gigafactory, our industry-fi...</t>
  </si>
  <si>
    <t>https://indeed.com/viewjob?jk=39e7f8d464eb81b6</t>
  </si>
  <si>
    <t>IN_94348d991b355e64</t>
  </si>
  <si>
    <t>Financial Analyst , Selling Partner Risk Management</t>
  </si>
  <si>
    <t>DESCRIPTION
Amazon.com looking for a smart, enthusiastic, hard-working, and creative candidate to join as Financial Analyst I. We are seeking a candidate who will primarily be responsible for driving generation and implementation of high impact improvement insights and solving ch...</t>
  </si>
  <si>
    <t>https://indeed.com/viewjob?jk=94348d991b355e64</t>
  </si>
  <si>
    <t>IN_50082df2e3381217</t>
  </si>
  <si>
    <t>Junior Data Analyst</t>
  </si>
  <si>
    <t>IDC Research Inc.</t>
  </si>
  <si>
    <t>Overview: 
About the Role &amp; Team
I
Currently we are looking for a Junior Data Analyst to join our Software research team. If you are passionate about technology, eager to explore market trends, and ready to develop your analytical and technical skills, we offer the perfect platfo...</t>
  </si>
  <si>
    <t>https://indeed.com/viewjob?jk=50082df2e3381217</t>
  </si>
  <si>
    <t>IN_a02dce1cdea32f70</t>
  </si>
  <si>
    <t>Data analysis data entry data management</t>
  </si>
  <si>
    <t>WEEK</t>
  </si>
  <si>
    <t>Any one data entry data management please contact me
Pay: ₹7,000.00 - ₹10,000.00 per week
Benefits:
Cell phone reimbursement
Flexible schedule
Paid sick time
Work Location: In person</t>
  </si>
  <si>
    <t>https://indeed.com/viewjob?jk=a02dce1cdea32f70</t>
  </si>
  <si>
    <t>IN_b32fa839d214aaf1</t>
  </si>
  <si>
    <t>Overview: 
About the Role &amp; Team
I
Currently we are looking for a Data Analyst to join our Software research team. If you are passionate about technology, eager to explore market trends, and ready to develop your analytical and technical skills, we offer the perfect platform for ...</t>
  </si>
  <si>
    <t>https://indeed.com/viewjob?jk=b32fa839d214aaf1</t>
  </si>
  <si>
    <t>IN_5692dedf5af0b434</t>
  </si>
  <si>
    <t>https://indeed.com/viewjob?jk=5692dedf5af0b434</t>
  </si>
  <si>
    <t>IN_f8ab10555613137b</t>
  </si>
  <si>
    <t>Supply Chain Analyst</t>
  </si>
  <si>
    <t>Flex</t>
  </si>
  <si>
    <t>Flex is the diversified manufacturing partner of choice that helps market-leading brands design, build and deliver innovative products that improve the world.
A career at Flex offers the opportunity to make a difference and invest in your growth in a respectful, inclusive, and co...</t>
  </si>
  <si>
    <t>https://indeed.com/viewjob?jk=f8ab10555613137b</t>
  </si>
  <si>
    <t>IN_bea939e14acabed4</t>
  </si>
  <si>
    <t>Madrid Software Training Solutions</t>
  </si>
  <si>
    <t>Hiring: Data Analyst Trainer | Madrid Software
Position: Data Analyst Trainer
Company: Madrid Software
Location: Saket, Delhi (Work from Office)
Employment Type: Full-Time
Company Description
Madrid Software is a leading Ed-tech company in India, offering online and classroom cou...</t>
  </si>
  <si>
    <t>https://indeed.com/viewjob?jk=bea939e14acabed4</t>
  </si>
  <si>
    <t>IN_a677a183a60a33e6</t>
  </si>
  <si>
    <t>https://indeed.com/viewjob?jk=a677a183a60a33e6</t>
  </si>
  <si>
    <t>IN_1ea9f56ad0b37d4a</t>
  </si>
  <si>
    <t>Inventory Analyst</t>
  </si>
  <si>
    <t>Rathna Stores</t>
  </si>
  <si>
    <t>Experience Level: 1 – 2 Years
Industry Preference: FMCG (Fast-Moving Consumer Goods) / Retail
Department: Supply Chain / Logistics / Operations
Role Overview
We are looking for a data-driven and detail-oriented Inventory Analyst to join our Supply Chain team. In this role, you wi...</t>
  </si>
  <si>
    <t>https://indeed.com/viewjob?jk=1ea9f56ad0b37d4a</t>
  </si>
  <si>
    <t>IN_eab4a8f0c43e1d75</t>
  </si>
  <si>
    <t>Archelons Solutions Private Limited</t>
  </si>
  <si>
    <t>Job Summary:
We are seeking a highly motivated and analytical Business Analyst to join our dynamic team. The Business Analyst will be responsible for bridging the gap between business needs and technology solutions. This role involves working closely with various stakeholders, in...</t>
  </si>
  <si>
    <t>https://indeed.com/viewjob?jk=eab4a8f0c43e1d75</t>
  </si>
  <si>
    <t>IN_029c8a66997fa783</t>
  </si>
  <si>
    <t>Senior Analyst – Business Analytics</t>
  </si>
  <si>
    <t>Job title Senior Analyst – Business Analytics
Hiring Manager Team Lead, Business Analytics
Location Hyderabad
% of travel expected Travel required as per business need
Job type Permanent and Full time
About the job
Go-To-Market Capabilities (GTMC) Hub is an internal Sanofi resour...</t>
  </si>
  <si>
    <t>https://indeed.com/viewjob?jk=029c8a66997fa783</t>
  </si>
  <si>
    <t>IN_5c3cbe888deedc0e</t>
  </si>
  <si>
    <t>https://indeed.com/viewjob?jk=5c3cbe888deedc0e</t>
  </si>
  <si>
    <t>IN_278cee535444c463</t>
  </si>
  <si>
    <t>Analyst – Business Analytics</t>
  </si>
  <si>
    <t>Job title Analyst – Business Analytics
Hiring Manager Team Lead, Business Analytics
Location Hyderabad
% of travel expected Travel required as per business need
Job type Permanent and Full time
About the job
Go-To-Market Capabilities (GTMC) Hub is an internal Sanofi resource orga...</t>
  </si>
  <si>
    <t>https://indeed.com/viewjob?jk=278cee535444c463</t>
  </si>
  <si>
    <t>IN_c91c325004f227a0</t>
  </si>
  <si>
    <t>Analyst - General Ledger</t>
  </si>
  <si>
    <t>https://indeed.com/viewjob?jk=c91c325004f227a0</t>
  </si>
  <si>
    <t>IN_44dc8f66926d2310</t>
  </si>
  <si>
    <t>Fidelity International</t>
  </si>
  <si>
    <t>About the Opportunity
Job Type: Permanent
Application Deadline: 10 July 2026
Job Description
Title Senior Business Analyst
Department FIL India Technology - GPS Technology – Distributions Data and Record Keeping Platforms
Location Gurgaon, India
Level Grade 3
About Fidelity Inte...</t>
  </si>
  <si>
    <t>https://indeed.com/viewjob?jk=44dc8f66926d2310</t>
  </si>
  <si>
    <t>IN_14a6edb4eff251ba</t>
  </si>
  <si>
    <t>Business Analyst (Entry Level)</t>
  </si>
  <si>
    <t>Sathish Ventures</t>
  </si>
  <si>
    <t>Job Summary
We are looking for an enthusiastic and detail-oriented Entry-Level Business Analyst to join our real estate team. The candidate will support business operations by analyzing market data, property performance, sales trends, and customer requirements to improve decision...</t>
  </si>
  <si>
    <t>https://indeed.com/viewjob?jk=14a6edb4eff251ba</t>
  </si>
  <si>
    <t>IN_379430cbf398924b</t>
  </si>
  <si>
    <t>https://indeed.com/viewjob?jk=379430cbf398924b</t>
  </si>
  <si>
    <t>IN_de750d4ea601f9cc</t>
  </si>
  <si>
    <t>Designation: Senior Analyst - Data Science 
Experience: 3 to 8 Years 
Location: Chennai 
Job Description:
We are seeking an Senior Analyst – Data Science to develop fraud prediction models using machine learning. The role involves contributing to the development and deployment...</t>
  </si>
  <si>
    <t>https://indeed.com/viewjob?jk=de750d4ea601f9cc</t>
  </si>
  <si>
    <t>IN_ec9bbff26a8dd0b7</t>
  </si>
  <si>
    <t>Commerce &amp; Media Analytics Analyst</t>
  </si>
  <si>
    <t>https://indeed.com/viewjob?jk=ec9bbff26a8dd0b7</t>
  </si>
  <si>
    <t>IN_a08cb14b80738da1</t>
  </si>
  <si>
    <t>Data Quality Analyst II</t>
  </si>
  <si>
    <t>General Information 
Location
Hyderabad, Telangana
Working Schedule 
Full-Time 
Work Arrangement 
Hybrid 
Relocation Assistance Available 
Yes 
Posted Date 
03-Jul-2026 
Job ID 
18303 
Description and Requirements
GG10.2
Role Value Proposition
Data Quality Analyst plays a critic...</t>
  </si>
  <si>
    <t>https://indeed.com/viewjob?jk=a08cb14b80738da1</t>
  </si>
  <si>
    <t>IN_3f2854ee4a7ac60f</t>
  </si>
  <si>
    <t>Regulatory Compliance Analyst</t>
  </si>
  <si>
    <t>Skill required: KYC Screening - Know Your Customer (KYC)
Designation: Regulatory Compliance Analyst
Qualifications:Chartered Accountant/Bachelor’s degree with Finance specialization 
Years of Experience:3 to 5 years 
About Accenture
Accenture is a global professional services com...</t>
  </si>
  <si>
    <t>https://indeed.com/viewjob?jk=3f2854ee4a7ac60f</t>
  </si>
  <si>
    <t>IN_651ec4e0b3e7b8d2</t>
  </si>
  <si>
    <t>Lead Business Analyst</t>
  </si>
  <si>
    <t>Bangalore, Karnataka 
Job Summary 
To bridge the gap between the business and technical teams| analyze and document business requirements| suggest innovative design solutions to the assigned project team as per the business requirement. 
Key Responsibilities 
Perform detailed eff...</t>
  </si>
  <si>
    <t>https://indeed.com/viewjob?jk=651ec4e0b3e7b8d2</t>
  </si>
  <si>
    <t>IN_68990c664cc91e2b</t>
  </si>
  <si>
    <t>Process and Data Engineer/Analyst</t>
  </si>
  <si>
    <t>https://indeed.com/viewjob?jk=68990c664cc91e2b</t>
  </si>
  <si>
    <t>IN_d8d195ebc6662ac9</t>
  </si>
  <si>
    <t>AVP-Services In-Business Risk 1LOD Sr. Analyst</t>
  </si>
  <si>
    <t>https://indeed.com/viewjob?jk=d8d195ebc6662ac9</t>
  </si>
  <si>
    <t>IN_8bd393d75920a2de</t>
  </si>
  <si>
    <t>BUSINESS ANALYST L2</t>
  </si>
  <si>
    <t>Job Description #body.unify div.unify-button-container .unify-apply-now: focus, #body.unify div.unify-button-container .unify-apply-#body.unify div.unify-button-container .unify-apply-now: focus, #body.unify div.unify-button-container .unify-apply- 
Job Title: BUSINESS ANALYST L2...</t>
  </si>
  <si>
    <t>https://indeed.com/viewjob?jk=8bd393d75920a2de</t>
  </si>
  <si>
    <t>IN_af56471c75974c60</t>
  </si>
  <si>
    <t>Analyst II, Sales &amp; Commercial Capabilities</t>
  </si>
  <si>
    <t>Job Description:
Job Title
Analyst II
Location
Mumbai, Maharashtra, India
Work Type
Hybrid
We exist to make food the world loves. But we do more than that. Our company is a place that prioritizes being a force for good, a place to expand learning, explore new perspectives ...</t>
  </si>
  <si>
    <t>https://indeed.com/viewjob?jk=af56471c75974c60</t>
  </si>
  <si>
    <t>IN_d8b9e4e50ae33fbc</t>
  </si>
  <si>
    <t>https://indeed.com/viewjob?jk=d8b9e4e50ae33fbc</t>
  </si>
  <si>
    <t>IN_65bf485312c64d1b</t>
  </si>
  <si>
    <t>BUSINESS ANALYST L3</t>
  </si>
  <si>
    <t>Job Description #body.unify div.unify-button-container .unify-apply-now: focus, #body.unify div.unify-button-container .unify-apply-#body.unify div.unify-button-container .unify-apply-now: focus, #body.unify div.unify-button-container .unify-apply- 
Job Title: BUSINESS ANALYST L3...</t>
  </si>
  <si>
    <t>https://indeed.com/viewjob?jk=65bf485312c64d1b</t>
  </si>
  <si>
    <t>IN_33653729008f8050</t>
  </si>
  <si>
    <t>BUSINESS ANALYST L4(CONTRACT)</t>
  </si>
  <si>
    <t>https://indeed.com/viewjob?jk=33653729008f8050</t>
  </si>
  <si>
    <t>IN_f45a34ec6dd02ca1</t>
  </si>
  <si>
    <t>MIS Analyst</t>
  </si>
  <si>
    <t>MD clinics</t>
  </si>
  <si>
    <t>Hiring: Data Analyst (Lead Management &amp; MIS)*
**We're Hiring | Data Analyst (Lead Management &amp; MIS)**
**Company:** Systec
**Employment Type:** Full-Time Remote
We are looking for a **detail-oriented and analytical Data Analyst** to join our team. The ideal candidate should have s...</t>
  </si>
  <si>
    <t>https://indeed.com/viewjob?jk=f45a34ec6dd02ca1</t>
  </si>
  <si>
    <t>IN_f85ace75e892e7f1</t>
  </si>
  <si>
    <t>https://indeed.com/viewjob?jk=f85ace75e892e7f1</t>
  </si>
  <si>
    <t>IN_930d7e4c664f88ec</t>
  </si>
  <si>
    <t>Business Advisory Analyst</t>
  </si>
  <si>
    <t>Skill required: Talent &amp; HR - Employee Data Process Design
Designation: Business Advisory Analyst
Qualifications:Any Graduation 
Years of Experience:3 to 5 years 
About Accenture
Accenture is a global professional services company with leading capabilities in digital, cloud and s...</t>
  </si>
  <si>
    <t>https://indeed.com/viewjob?jk=930d7e4c664f88ec</t>
  </si>
  <si>
    <t>IN_1170e10bafd2983f</t>
  </si>
  <si>
    <t>Process and Data Analyst/Process Engineer</t>
  </si>
  <si>
    <t>https://indeed.com/viewjob?jk=1170e10bafd2983f</t>
  </si>
  <si>
    <t>IN_35646661d9cd0255</t>
  </si>
  <si>
    <t>Sr. D&amp;T Analyst – HR</t>
  </si>
  <si>
    <t>https://indeed.com/viewjob?jk=35646661d9cd0255</t>
  </si>
  <si>
    <t>IN_1a08bfd841e9a1ed</t>
  </si>
  <si>
    <t>Business Intelligence Analyst (Finance)</t>
  </si>
  <si>
    <t>Job Group Capability
Data Science, Digital &amp; Analytics
Job Group
Analytics
What role you will play in our Team
This role involves ensuring data integrity, optimizing data processes or automating data pipelines and providing actionable insights to support business decisions
What y...</t>
  </si>
  <si>
    <t>https://indeed.com/viewjob?jk=1a08bfd841e9a1ed</t>
  </si>
  <si>
    <t>IN_e0d664359de3800e</t>
  </si>
  <si>
    <t>Senior IT Risk Analyst</t>
  </si>
  <si>
    <t>Bristol Myers Squibb</t>
  </si>
  <si>
    <t>Working with Us
Challenging. Meaningful. Life-changing. Those aren’t words that are usually associated with a job. But working at Bristol Myers Squibb is anything but usual. Here, uniquely interesting work happens every day, in every department. From optimizing a production line ...</t>
  </si>
  <si>
    <t>https://indeed.com/viewjob?jk=e0d664359de3800e</t>
  </si>
  <si>
    <t>IN_6a069ea229b3c23d</t>
  </si>
  <si>
    <t>Lead, ERP Business Analyst</t>
  </si>
  <si>
    <t>Job Description:
Technical Competencies:
Around 10 years of SAP experience as consultant with complex and multiple projects (Core template design / build / validation, roll-out and support) in the area of SAP – PP/Manufacturing with hands-on experience on the following areas:
S...</t>
  </si>
  <si>
    <t>https://indeed.com/viewjob?jk=6a069ea229b3c23d</t>
  </si>
  <si>
    <t>IN_02b25acfa0f43a64</t>
  </si>
  <si>
    <t>Analyst, Sr Business (SAP Functional Consultant-OTC)</t>
  </si>
  <si>
    <t>Behr Paint Company</t>
  </si>
  <si>
    <t>JOB SUMMARY:
The Senior IT Business Analyst SAP will provide process and system support to our internal Behr customers in various countries and also provide leadership/mentorship to Junior ITBAs and ITBAs.
This individual will work closely with Business Analysts in the US and Ind...</t>
  </si>
  <si>
    <t>https://indeed.com/viewjob?jk=02b25acfa0f43a64</t>
  </si>
  <si>
    <t>IN_df56df0faa7d669b</t>
  </si>
  <si>
    <t>Analyst, Monitoring, Evaluation &amp; Data Systems, TB</t>
  </si>
  <si>
    <t>Clinton Health Access Initiative</t>
  </si>
  <si>
    <t>Overview: 
WJCF is an Indian non-profit organisation committed to saving lives by reducing the burden of disease and strengthening government-owned, high-quality health systems. Since 2007, WJCF has combined data-driven approaches and deep public health expertise with strong gove...</t>
  </si>
  <si>
    <t>https://indeed.com/viewjob?jk=df56df0faa7d669b</t>
  </si>
  <si>
    <t>IN_7b673d30cdb3cad7</t>
  </si>
  <si>
    <t>Analytics and Modeling Analyst</t>
  </si>
  <si>
    <t>Skill required: Business Intelligence - Reporting Analytics
Designation: Analytics and Modeling Analyst
Qualifications:Any Graduation 
Years of Experience:3 to 5 years 
About Accenture
Accenture is a global professional services company with leading capabilities in digital, cloud...</t>
  </si>
  <si>
    <t>https://indeed.com/viewjob?jk=7b673d30cdb3cad7</t>
  </si>
  <si>
    <t>IN_d8f73d302a872795</t>
  </si>
  <si>
    <t>International Business Analyst / Sales Strategist</t>
  </si>
  <si>
    <t>Mtoag</t>
  </si>
  <si>
    <t>We are looking for a dynamic professional who can drive global sales growth, build international partnerships, and align marketing strategies with business objectives.
MtoagRemote5+ Years Experience
Job Overview
We are looking for a strategic International Sales &amp; Marketing profe...</t>
  </si>
  <si>
    <t>https://indeed.com/viewjob?jk=d8f73d302a872795</t>
  </si>
  <si>
    <t>IN_5c89a7cc727b2668</t>
  </si>
  <si>
    <t>Analyst Data Governance &amp; Management</t>
  </si>
  <si>
    <t>Credit and Fraud Risk (CFR) team helps drive profitable business growth by reducing the risk of fraud and maintaining industry lowest credit loss rates. It utilizes an array of tools and ever-evolving technology to detect and combat fraud, minimize the disruption of good spending...</t>
  </si>
  <si>
    <t>https://indeed.com/viewjob?jk=5c89a7cc727b2668</t>
  </si>
  <si>
    <t>IN_d11aebd7f8b496f4</t>
  </si>
  <si>
    <t>BI Analyst</t>
  </si>
  <si>
    <t>https://indeed.com/viewjob?jk=d11aebd7f8b496f4</t>
  </si>
  <si>
    <t>IN_b78bab999bc3c36b</t>
  </si>
  <si>
    <t>Business Analytics Analyst</t>
  </si>
  <si>
    <t>Business Analytics Analyst:
About Medical Economics
The Cigna International Health Medical Economics team’s responsibility is to transform data into strategic insights that drive affordability and impact. By linking interventions to financial outcomes, it enables informed decisio...</t>
  </si>
  <si>
    <t>https://indeed.com/viewjob?jk=b78bab999bc3c36b</t>
  </si>
  <si>
    <t>IN_e6a04c8da2f8a68c</t>
  </si>
  <si>
    <t>Operating Effectiveness Senior Analyst</t>
  </si>
  <si>
    <t>About Cigna Healthcare
Cigna Healthcare is a global health service company dedicated to transforming healthcare. With roots in the U.S. and operations in over 30 countries, we serve more than 180 million customers and patients worldwide. Ranked 13th on the Fortune 500 in 2025, Ci...</t>
  </si>
  <si>
    <t>https://indeed.com/viewjob?jk=e6a04c8da2f8a68c</t>
  </si>
  <si>
    <t>IN_9c516fad445bad92</t>
  </si>
  <si>
    <t>Associate D&amp;T Analyst – Supply Chain</t>
  </si>
  <si>
    <t>https://indeed.com/viewjob?jk=9c516fad445bad92</t>
  </si>
  <si>
    <t>IN_8291b9483fde94dc</t>
  </si>
  <si>
    <t>Business analyst - Regulatory reporting</t>
  </si>
  <si>
    <t>Key Responsibilities:
Preferred Qualifications
At least 3 years of experience as Business Analyst This would translate to the fact that the candidate should be able to work both with the business partners and the technology teams very closely in a daily basis to assist in defini...</t>
  </si>
  <si>
    <t>https://indeed.com/viewjob?jk=8291b9483fde94dc</t>
  </si>
  <si>
    <t>IN_ca844ab3716a607b</t>
  </si>
  <si>
    <t>Product Business Analyst – Supply Chain</t>
  </si>
  <si>
    <t>The Chennai Silks</t>
  </si>
  <si>
    <t>About the job
Company Description The Chennai Silks (TCS) is recognized as the largest textile kingdom in Tamil Nadu and has been a preferred shopping destination for generations of families. The company offers a wide range of textile and apparel products, combining traditional c...</t>
  </si>
  <si>
    <t>https://indeed.com/viewjob?jk=ca844ab3716a607b</t>
  </si>
  <si>
    <t>IN_11262d6203dd79e8</t>
  </si>
  <si>
    <t>Power Bi Admin</t>
  </si>
  <si>
    <t>Job Description:
This role offers the opportunity to own and shape a modern analytics environment using Power BI at scale
You will be the go to expert for administering securing and optimizing our Power BI ecosystem ensuring data is reliable performant and accessible to the righ...</t>
  </si>
  <si>
    <t>https://indeed.com/viewjob?jk=11262d6203dd79e8</t>
  </si>
  <si>
    <t>IN_d61cf4887955ec91</t>
  </si>
  <si>
    <t>Procurement Data &amp; Visualization Specialist</t>
  </si>
  <si>
    <t>McCormick &amp; Company</t>
  </si>
  <si>
    <t>.buttontext7d303ef4a73ea515 a{ border: 1px solid transparent; } .buttontext7d303ef4a73ea515 a: focus{ border: 1px dashed #003087 !important; outline: none !important; } 
Procurement Data &amp; Visualization Specialist 
GURGAON, IN, 122001 
#job-location.job-location-inline { displa...</t>
  </si>
  <si>
    <t>https://indeed.com/viewjob?jk=d61cf4887955ec91</t>
  </si>
  <si>
    <t>IN_d2a72834e0b44489</t>
  </si>
  <si>
    <t>Commercial Operations Analyst</t>
  </si>
  <si>
    <t>nVent</t>
  </si>
  <si>
    <t>We’re looking for people who put their innovation to work to advance our success – and their own. Join an organization that ensures a more secure world through connecting and protecting our customers with inventive electrical solutions. 
We’re looking for people who put their inn...</t>
  </si>
  <si>
    <t>https://indeed.com/viewjob?jk=d2a72834e0b44489</t>
  </si>
  <si>
    <t>IN_69e4da65031ffb72</t>
  </si>
  <si>
    <t>Treasury Analyst</t>
  </si>
  <si>
    <t>Aeries Technology Group</t>
  </si>
  <si>
    <t>Job Id: Aeries/202/26-27 
Industry IT-Software / Software Services / testing 
Location Mumbai 
Experience Range 3 - 6 Years 
Qualification Graduates
Job Description 
About Us 
Aeries Technology is a Nasdaq listed global professional services and consulting partner, headquartered...</t>
  </si>
  <si>
    <t>https://indeed.com/viewjob?jk=69e4da65031ffb72</t>
  </si>
  <si>
    <t>IN_e1ddaeca3bc51b1f</t>
  </si>
  <si>
    <t>WordPress Developer</t>
  </si>
  <si>
    <t>Adxventure</t>
  </si>
  <si>
    <t>We are looking for a skilled and enthusiastic WordPress Developer to build, customize, and maintain WordPress websites. The ideal candidate should have experience in developing responsive, SEO-friendly, and high-performance websites while ensuring excellent user experience.
Key R...</t>
  </si>
  <si>
    <t>https://indeed.com/viewjob?jk=e1ddaeca3bc51b1f</t>
  </si>
  <si>
    <t>IN_cf7e810dde5ff307</t>
  </si>
  <si>
    <t>Senior Staff AI Engineer</t>
  </si>
  <si>
    <t>As a Senior Staff AI Engineer, you’ll lead enterprise full stack and AI platform development at scale for multiple initiatives across the company. You’ll design and ship microservices and REST APIs, build RAG and multimodal LLM features, and set standards for AI-assisted developm...</t>
  </si>
  <si>
    <t>https://indeed.com/viewjob?jk=cf7e810dde5ff307</t>
  </si>
  <si>
    <t>IN_768493e0617459f6</t>
  </si>
  <si>
    <t>Required Technical Skills 
Frontend: React.js + Vite, JavaScript (ES6+), HTML5, Tailwind, i18n 
Backend: Nest.JS 
Database: SQL 
State Management: Redux / Context API / React Query 
APIs: RESTful APIs 
DevOps: Docker, CI/CD pipelines 
Version Control: Git 
Testing: Jest, Mocha, R...</t>
  </si>
  <si>
    <t>https://indeed.com/viewjob?jk=768493e0617459f6</t>
  </si>
  <si>
    <t>IN_822c5097d767915d</t>
  </si>
  <si>
    <t>Application Development Lead Analyst - HIH - Evernorth</t>
  </si>
  <si>
    <t>ABOUT EVERNORTH:
Evernorth℠ exists to elevate health for all, because we believe health is the starting point for human potential and progress. As champions for affordable, predictable and simple health care, 
we solve the problems others don’t, won’t or can’t. 
Our innovation hu...</t>
  </si>
  <si>
    <t>https://indeed.com/viewjob?jk=822c5097d767915d</t>
  </si>
  <si>
    <t>IN_1beaa40e174f3c6b</t>
  </si>
  <si>
    <t>ABOUT EVERNORTH:
Evernorth℠ exists to elevate health for all, because we believe health is the starting point for human potential and progress. As champions for affordable, predictable and simple health care,
we solve the problems others don’t, won’t or can’t.
Our innovation hub ...</t>
  </si>
  <si>
    <t>https://indeed.com/viewjob?jk=1beaa40e174f3c6b</t>
  </si>
  <si>
    <t>IN_8cc0432257a81296</t>
  </si>
  <si>
    <t>Job Description
This role involves the development and application of engineering practice and knowledge in designing, managing and improving the processes for Industrial operations, including procurement, supply chain and facilities engineering and maintenance of the facilities....</t>
  </si>
  <si>
    <t>https://indeed.com/viewjob?jk=8cc0432257a81296</t>
  </si>
  <si>
    <t>IN_f63719d40fd9f5ff</t>
  </si>
  <si>
    <t>Application Development Senior Analyst - HIH - Evernorth</t>
  </si>
  <si>
    <t>https://indeed.com/viewjob?jk=f63719d40fd9f5ff</t>
  </si>
  <si>
    <t>IN_ad7ab5337d620e56</t>
  </si>
  <si>
    <t>UI/Front End Developer</t>
  </si>
  <si>
    <t>Womennnovator</t>
  </si>
  <si>
    <t>Designation UI/Front End Developer 
Experience – 2-5 Year 
We are looking for someone who is an expert in UI design or front-end development to join our growing company 
Who can apply – Candidate having 2-5 years of UI/front-end development experience. In-depth skills in writi...</t>
  </si>
  <si>
    <t>https://indeed.com/viewjob?jk=ad7ab5337d620e56</t>
  </si>
  <si>
    <t>IN_0e14e8b860abab73</t>
  </si>
  <si>
    <t>https://indeed.com/viewjob?jk=0e14e8b860abab73</t>
  </si>
  <si>
    <t>IN_4cb23d4100ab93c8</t>
  </si>
  <si>
    <t>Senior Manager, Engineering</t>
  </si>
  <si>
    <t>Warner Bros. Discovery</t>
  </si>
  <si>
    <t>Welcome to Warner Bros. Discovery… the stuff dreams are made of.
Who We Are… 
When we say, “the stuff dreams are made of,” we’re not just referring to the world of wizards, dragons and superheroes, or even to the wonders of Planet Earth. Behind WBD’s vast portfolio of iconic cont...</t>
  </si>
  <si>
    <t>https://indeed.com/viewjob?jk=4cb23d4100ab93c8</t>
  </si>
  <si>
    <t>IN_fd474d6e76e0e3ce</t>
  </si>
  <si>
    <t>DATA SCIENTIST LEAD L1</t>
  </si>
  <si>
    <t>Job Description #body.unify div.unify-button-container .unify-apply-now: focus, #body.unify div.unify-button-container .unify-apply-#body.unify div.unify-button-container .unify-apply-now: focus, #body.unify div.unify-button-container .unify-apply- 
Job Title: DATA SCIENTIST LEAD...</t>
  </si>
  <si>
    <t>https://indeed.com/viewjob?jk=fd474d6e76e0e3ce</t>
  </si>
  <si>
    <t>IN_d77d6cc1662a088f</t>
  </si>
  <si>
    <t>https://indeed.com/viewjob?jk=d77d6cc1662a088f</t>
  </si>
  <si>
    <t>IN_179006098f107476</t>
  </si>
  <si>
    <t>ERC Training Operations &amp; Analytics Specialist</t>
  </si>
  <si>
    <t>Summary 
#LI-Hybrid
Location: Hyderabad, India
Relocation Support: This role is based in Hyderabad, India. Novartis is unable to offer relocation support: please only apply if accessible.
Imagine turning complex training data into insights that strengthen ethics, compliance, a...</t>
  </si>
  <si>
    <t>https://indeed.com/viewjob?jk=179006098f107476</t>
  </si>
  <si>
    <t>IN_282168a9e4693a0d</t>
  </si>
  <si>
    <t>https://indeed.com/viewjob?jk=282168a9e4693a0d</t>
  </si>
  <si>
    <t>IN_5fb9b29ed2ba9c23</t>
  </si>
  <si>
    <t>https://indeed.com/viewjob?jk=5fb9b29ed2ba9c23</t>
  </si>
  <si>
    <t>IN_d6fa2a0cc217c933</t>
  </si>
  <si>
    <t>ERC and S&amp;L Academies Learning Manager</t>
  </si>
  <si>
    <t>Summary 
#LI-Hybrid
Location: Hyderabad
We are looking for an ERC and S&amp;L Academies Learning Manager to join the ERC Academy, Training &amp; Enablement team. This is a hands-on role for someone who enjoys making learning happen, bringing together experts, helping to shape delivery,...</t>
  </si>
  <si>
    <t>https://indeed.com/viewjob?jk=d6fa2a0cc217c933</t>
  </si>
  <si>
    <t>IN_f436715b7c66de14</t>
  </si>
  <si>
    <t>Transformation Analyst</t>
  </si>
  <si>
    <t>Redwood Software Inc.</t>
  </si>
  <si>
    <t>OUR MISSION
At Redwood Software we unleash human potential. We empower our customers with lights-out automation for their mission-critical business processes.
Redwood Software is the leader in full stack automation for mission-critical business processes. With the first SaaS-bas...</t>
  </si>
  <si>
    <t>https://indeed.com/viewjob?jk=f436715b7c66de14</t>
  </si>
  <si>
    <t>IN_f1a5c41fdf76bffd</t>
  </si>
  <si>
    <t>https://indeed.com/viewjob?jk=f1a5c41fdf76bffd</t>
  </si>
  <si>
    <t>IN_dcba37266f6480df</t>
  </si>
  <si>
    <t>Content Writer</t>
  </si>
  <si>
    <t>SoloItech Services</t>
  </si>
  <si>
    <t>We are looking for a creative and detail-oriented Content Writer to join our SEO team. The ideal candidate should have 2–3 years of experience creating high-quality, search engine–optimized content that helps improve website rankings and user engagement.
Experience Required:
2–3 ...</t>
  </si>
  <si>
    <t>https://indeed.com/viewjob?jk=dcba37266f6480df</t>
  </si>
  <si>
    <t>IN_b06158804d200d98</t>
  </si>
  <si>
    <t>Software Engineer III - Java AWS Kafka</t>
  </si>
  <si>
    <t>JOB DESCRIPTION
We have an exciting and rewarding opportunity for you to take your software engineering career to the next level. 
As a Software Engineer III at JPMorganChase within the Consumer and Community Banking, you serve as a seasoned member of an agile team to design an...</t>
  </si>
  <si>
    <t>https://indeed.com/viewjob?jk=b06158804d200d98</t>
  </si>
  <si>
    <t>IN_066f6a297f2140ca</t>
  </si>
  <si>
    <t>Junior Python Developer</t>
  </si>
  <si>
    <t>systosoft</t>
  </si>
  <si>
    <t>JR Python Developer
Exp: 1+ years
Location: Bengaluru
Job description:
Python Programming
Strong data structures and algorithmic skills.
Supervised &amp;amp; Un Supervised learning algorithms including Computer vision libraries.
Data Visualization libraries.
Good to have Skills:
Rein...</t>
  </si>
  <si>
    <t>https://indeed.com/viewjob?jk=066f6a297f2140ca</t>
  </si>
  <si>
    <t>IN_82530a1f7f3227d3</t>
  </si>
  <si>
    <t>.Net Full Stack</t>
  </si>
  <si>
    <t>Key Responsibilities:
Design develop and maintain end to end
NET full stack applications from backend services to responsive front end interfaces
Implement RESTful APIs and business logic using
NET technologies ensuring performance scalability and security
Build and enhance user...</t>
  </si>
  <si>
    <t>https://indeed.com/viewjob?jk=82530a1f7f3227d3</t>
  </si>
  <si>
    <t>IN_6b8d77ddc4253b76</t>
  </si>
  <si>
    <t>Software Engineer III - Java, Spring, React, Kafka</t>
  </si>
  <si>
    <t>JOB DESCRIPTION
We have an exciting and rewarding opportunity for you to take your software engineering career to the next level.
As a Software Engineer III at JPMorgan Chase within the Commercial and Investment Bank's Global Banking Tech Team, you serve as a seasoned member of...</t>
  </si>
  <si>
    <t>https://indeed.com/viewjob?jk=6b8d77ddc4253b76</t>
  </si>
  <si>
    <t>IN_160e745867aecfde</t>
  </si>
  <si>
    <t>Blockchain Developer</t>
  </si>
  <si>
    <t>Andromedatech</t>
  </si>
  <si>
    <t>Here is a professional, high-converting job description tailored for hiring a Blockchain Developer. Since you are looking to hire locally in Surat, this draft balances Web3 expertise (like smart contracts) with strong backend stability (which is critical for platforms handling in...</t>
  </si>
  <si>
    <t>https://indeed.com/viewjob?jk=160e745867aecfde</t>
  </si>
  <si>
    <t>IN_f045a8d62b12afc9</t>
  </si>
  <si>
    <t>PHP Laravel Developer</t>
  </si>
  <si>
    <t>Systos Technology</t>
  </si>
  <si>
    <t>PHP Developer (Laravel/CodeIgniter) + WordPress Developer
Location: Indore (On-site)
Job Type: Full-Time
Experience: Minimum 1+ Year
Immediate Joiner Preferred
Job Description
We are hiring a PHP Developer with hands-on experience in Laravel or CodeIgniter frameworks along with b...</t>
  </si>
  <si>
    <t>https://indeed.com/viewjob?jk=f045a8d62b12afc9</t>
  </si>
  <si>
    <t>IN_872cae0fce881d9f</t>
  </si>
  <si>
    <t>Full Stack Technical Specialist - Lead Software Engineer II - Hyderabad</t>
  </si>
  <si>
    <t>This is your opportunity to work as a developer in a very busy team. Software Development within ITS plays a key role in the support of the wider business and as a permanent and team member you will have the opportunity to bring your vast and varied experience to the table. You w...</t>
  </si>
  <si>
    <t>https://indeed.com/viewjob?jk=872cae0fce881d9f</t>
  </si>
  <si>
    <t>IN_f40e3fa4d1983453</t>
  </si>
  <si>
    <t>Java Full Stack</t>
  </si>
  <si>
    <t>Key Responsibilities:
Design develop and maintain end to end web applications using Java Spring Spring Boot and modern front end frameworks like React and Angular
Implement RESTful APIs and microservice based components ensuring high performance security and scalability
Develop ...</t>
  </si>
  <si>
    <t>https://indeed.com/viewjob?jk=f40e3fa4d1983453</t>
  </si>
  <si>
    <t>IN_c77ee6704a69234b</t>
  </si>
  <si>
    <t>https://indeed.com/viewjob?jk=c77ee6704a69234b</t>
  </si>
  <si>
    <t>IN_c32292c7d57f75c7</t>
  </si>
  <si>
    <t>Meet the Team 
The Sales Planning and Product Management team, within Enterprise Data&amp; AI Enablement, delivers enterprise-scale Go-to-Market (GTM) planning and performance management solutions leveraging industry-leading platforms such as Anaplan and Pigment. Our solutions suppor...</t>
  </si>
  <si>
    <t>https://indeed.com/viewjob?jk=c32292c7d57f75c7</t>
  </si>
  <si>
    <t>IN_eff3fc8c08dd9b8d</t>
  </si>
  <si>
    <t>FSD(.NET) - Software Engineer II - Hyderabad</t>
  </si>
  <si>
    <t>Tax &amp; Legal Technology team develops and maintains products built on varied technologies. ITS has various groups which provide the best of the breed solutions to the clients by following an agile system development methodology. This position is specifically for the Tax &amp; Legal Di...</t>
  </si>
  <si>
    <t>https://indeed.com/viewjob?jk=eff3fc8c08dd9b8d</t>
  </si>
  <si>
    <t>IN_da3afae1e4e530bd</t>
  </si>
  <si>
    <t>Production Support - Java</t>
  </si>
  <si>
    <t>https://indeed.com/viewjob?jk=da3afae1e4e530bd</t>
  </si>
  <si>
    <t>IN_0f484b58a9d28673</t>
  </si>
  <si>
    <t>IT Consulting</t>
  </si>
  <si>
    <t>https://indeed.com/viewjob?jk=0f484b58a9d28673</t>
  </si>
  <si>
    <t>IN_bbdf125475f26528</t>
  </si>
  <si>
    <t>Fundtec Service LLP</t>
  </si>
  <si>
    <t>Key Responsibilities:
System Design &amp; Development:
Design, develop, and maintain backend systems, APIs, and microservices using modern technologies and frameworks.
Write clean, maintainable, and well-documented code.
Work closely with product managers, front-end developers, and D...</t>
  </si>
  <si>
    <t>https://indeed.com/viewjob?jk=bbdf125475f26528</t>
  </si>
  <si>
    <t>IN_46adcd1840e7e2eb</t>
  </si>
  <si>
    <t>https://indeed.com/viewjob?jk=46adcd1840e7e2eb</t>
  </si>
  <si>
    <t>IN_f505bd0ba56233cf</t>
  </si>
  <si>
    <t>Appzlogic Mobility Solutions Pvt Ltd</t>
  </si>
  <si>
    <t>Android Developer (4+ Years Experience)
Location: Noida
Experience: 4+ Years
Employment Type: Full-Time
Job Summary
We are looking for a skilled and passionate Android Developer with 4+ years of hands-on experience in designing, developing, and maintaining high-quality Android ap...</t>
  </si>
  <si>
    <t>https://indeed.com/viewjob?jk=f505bd0ba56233cf</t>
  </si>
  <si>
    <t>IN_49b54f119cb23f8d</t>
  </si>
  <si>
    <t>FSD(.NET) - Software Engineer I - Hyderabad</t>
  </si>
  <si>
    <t>Team develops and maintains products built on varied technologies. Team various groups which provide the best of the breed solutions to the clients by following an agile system development methodology. This position is specifically for the Tax &amp; Legal Digital Asset Factory team.
...</t>
  </si>
  <si>
    <t>https://indeed.com/viewjob?jk=49b54f119cb23f8d</t>
  </si>
  <si>
    <t>IN_6c655c6cd7e6b784</t>
  </si>
  <si>
    <t>Fundtec</t>
  </si>
  <si>
    <t>Key Responsibilities
Develop and maintain backend applications using Node.js and frameworks like Express.js or NestJS.
Build, test, and maintain REST APIs for web and mobile applications.
Work with databases such as MongoDB, PostgreSQL, MySQL, or Redis.
Write clean, efficient, an...</t>
  </si>
  <si>
    <t>https://indeed.com/viewjob?jk=6c655c6cd7e6b784</t>
  </si>
  <si>
    <t>IN_b8e1e5faf4c6aeb6</t>
  </si>
  <si>
    <t>Production Support - .Net II</t>
  </si>
  <si>
    <t>Key Responsibilities:
Key Responsibilities
Lead the design and development of end to end
NET full stack applications ensuring high performance scalability and maintainability
Architect and implement RESTful APIs and backend services using
NET technologies integrating securely wi...</t>
  </si>
  <si>
    <t>https://indeed.com/viewjob?jk=b8e1e5faf4c6aeb6</t>
  </si>
  <si>
    <t>IN_df7af345ed19f0bc</t>
  </si>
  <si>
    <t>Adaptabiz Technologies Pvt.Ltd</t>
  </si>
  <si>
    <t>Job Description
We are looking for a skilled PHP Developer to join our development team. The ideal candidate must have knowledge on node react, will also be responsible for designing, developing, testing, and maintaining web applications using PHP and related technologies.
ROLES ...</t>
  </si>
  <si>
    <t>https://indeed.com/viewjob?jk=df7af345ed19f0bc</t>
  </si>
  <si>
    <t>IN_4c13ce93a9a7aabc</t>
  </si>
  <si>
    <t>Software Engineer III - GBS IND</t>
  </si>
  <si>
    <t>Bank of America</t>
  </si>
  <si>
    <t>Job Description:
About Us
At Bank of America, we are guided by a common purpose to help make financial lives better through the power of every connection. We do this by driving Responsible Growth and delivering for our clients, teammates, communities and shareholders every day. B...</t>
  </si>
  <si>
    <t>https://indeed.com/viewjob?jk=4c13ce93a9a7aabc</t>
  </si>
  <si>
    <t>IN_749d69418a96a7bc</t>
  </si>
  <si>
    <t>KD Supplychain Solutions Pvt. ltd.</t>
  </si>
  <si>
    <t>Job Title: Python Developer with AI/LLM Experience (1–3 Years Experience)
Location : Thane
Job Summary:
We are looking for a Python Developer with 1–3 years of experience who is passionate about building AI-powered applications. The ideal candidate should have hands-on experience...</t>
  </si>
  <si>
    <t>https://indeed.com/viewjob?jk=749d69418a96a7bc</t>
  </si>
  <si>
    <t>IN_4f4f5f2faee25402</t>
  </si>
  <si>
    <t>Senior Systems Engineer</t>
  </si>
  <si>
    <t>Key Responsibilities:
Relevant working experience with Java JSP XML J query Struts Spring MVC Springboot Micro services Angular 6 Postgres Oracle DB Agile is must
Experience of Rules engine Drools Messaging Event Bus Kafka is also required
Familiar with various design and archit...</t>
  </si>
  <si>
    <t>https://indeed.com/viewjob?jk=4f4f5f2faee25402</t>
  </si>
  <si>
    <t>IN_c16097404185408c</t>
  </si>
  <si>
    <t>Production Support - .Net</t>
  </si>
  <si>
    <t>Key Responsibilities:
A day in the life of an Infoscion
As part of the Infosys delivery team your primary role would be to interface with the client for quality assurance issue resolution and ensuring high customer satisfaction
Design develop and maintain end to end
NET full sta...</t>
  </si>
  <si>
    <t>https://indeed.com/viewjob?jk=c16097404185408c</t>
  </si>
  <si>
    <t>IN_6936b5cfafd6e186</t>
  </si>
  <si>
    <t>Key Responsibilities:
A day in the life of an Infoscion
As part of the Infosys delivery team your primary role would be to ensure effective Design Development Validation and Support activities to assure that our clients are satisfied with the high levels of service in the techno...</t>
  </si>
  <si>
    <t>https://indeed.com/viewjob?jk=6936b5cfafd6e186</t>
  </si>
  <si>
    <t>IN_0e43f8e5f388dec9</t>
  </si>
  <si>
    <t>New media Guru Pvt. Ltd</t>
  </si>
  <si>
    <t>NMG Technologies is expanding team and seeking for a skilled Python Developer – with 4 years of hands-on experience to contribute to the design, development, and optimization of scalable applications. The ideal candidate must have strong expertise in Python, FastAPI, Django, Flas...</t>
  </si>
  <si>
    <t>https://indeed.com/viewjob?jk=0e43f8e5f388dec9</t>
  </si>
  <si>
    <t>IN_8bb93bdd616372ee</t>
  </si>
  <si>
    <t>Full Stack Developer (PHP)</t>
  </si>
  <si>
    <t>Eminenture</t>
  </si>
  <si>
    <t>The applicant must be able to develop, manage, and revamp robust web applications using PHP technologies and modern development practices.
Full Stack Developer (PHP)
Responsibilities 
Application Development: Build front-end and back-end functionalities.
System Integration: Inte...</t>
  </si>
  <si>
    <t>https://indeed.com/viewjob?jk=8bb93bdd616372ee</t>
  </si>
  <si>
    <t>IN_f03a4c82bbe18535</t>
  </si>
  <si>
    <t>Dot Net Developer</t>
  </si>
  <si>
    <t>Job Role: .Net Fullstack Developer
Job Mode: OnsiteJob Type: Full Time
Experience: 3+ years
Location: Hyderabad
Mode of interview: Face to Face
Job Overview:
Knowledge, Skills &amp; Attributes Essential:
1. Develop and maintain web-based applications using C#.NET, ASP.NET MVC, Web AP...</t>
  </si>
  <si>
    <t>https://indeed.com/viewjob?jk=f03a4c82bbe18535</t>
  </si>
  <si>
    <t>IN_d3c824d005633d9a</t>
  </si>
  <si>
    <t>Consultant | D365 F&amp;O Retail - Dev | Delhi | Emerging ERP Solutions</t>
  </si>
  <si>
    <t>Job requisition ID :: 107433 
Date: Jul 6, 2026 
Location: Delhi 
Designation: Consultant 
Entity: Deloitte Touche Tohmatsu India LLP 
Job Overview
Role: ASP.NET Retail POS Technical Consultant / Developer
Location:
Experience: 5–10 years in Retail POS &amp; ASP.NET/.NET development
...</t>
  </si>
  <si>
    <t>https://indeed.com/viewjob?jk=d3c824d005633d9a</t>
  </si>
  <si>
    <t>IN_f197b7a1b6bad92e</t>
  </si>
  <si>
    <t>Senior SAP ABAP on HANA Developer</t>
  </si>
  <si>
    <t>Recruiterv</t>
  </si>
  <si>
    <t>Key Responsibilities
Develop and enhance UI Masking solutions using OOABAP
Migrate OData V2 services to OData V4 (SAP Clean Core aligned)
Work on RAP (Managed/Unmanaged) and CDS views
Prepare technical designs from functional requirements
Handle incidents, bug fixes, and support ...</t>
  </si>
  <si>
    <t>https://indeed.com/viewjob?jk=f197b7a1b6bad92e</t>
  </si>
  <si>
    <t>IN_39d7d7cdcc8c292d</t>
  </si>
  <si>
    <t>Senior Playwright Automation Tester</t>
  </si>
  <si>
    <t>Job Description 
About Persistent
We are an AI-led, platform-driven Digital Engineering and Enterprise Modernization partner, combining deep technical expertise and industry experience to help our clients anticipate what’s next. Our offerings and proven solutions create a unique...</t>
  </si>
  <si>
    <t>https://indeed.com/viewjob?jk=39d7d7cdcc8c292d</t>
  </si>
  <si>
    <t>IN_467ce1fda8abfc92</t>
  </si>
  <si>
    <t>Staff Engineer - iOS /visionOS Tester</t>
  </si>
  <si>
    <t>Stryker</t>
  </si>
  <si>
    <t>Why join Stryker?
Looking for a place that values your unique talents? Discover Stryker's award-winning culture.
We are proud to offer you our total rewards package which includes bonuses, healthcare, insurance benefits, retirement programs, wellness programs, as well as service ...</t>
  </si>
  <si>
    <t>https://indeed.com/viewjob?jk=467ce1fda8abfc92</t>
  </si>
  <si>
    <t>IN_e50360fff680f7f8</t>
  </si>
  <si>
    <t>Prime Minds Consulting Private Limited</t>
  </si>
  <si>
    <t>Job Position : Odoo Trainee ( Python developer)
Qualification : BE/ Btech
Branch : CSE/ISE/ECE/EEE/IT
Job location : Bangalore ( Magadi road )
Interview : Rajajinagar
Yop : 2020-2025
No Backlog required
Eligibility 60% &amp;amp; above
Course Completion Certificate from the Python Ins...</t>
  </si>
  <si>
    <t>https://indeed.com/viewjob?jk=e50360fff680f7f8</t>
  </si>
  <si>
    <t>IN_407591011a1fd2b5</t>
  </si>
  <si>
    <t>We are seeking a driven and technically strong SDE who thrives in a fast-paced startup environment and takes ownership of building scalable, production-grade systems.
In this role, you will be responsible for designing, developing, and optimizing core backend/frontend systems, co...</t>
  </si>
  <si>
    <t>https://indeed.com/viewjob?jk=407591011a1fd2b5</t>
  </si>
  <si>
    <t>IN_4cb6d8c771e64f39</t>
  </si>
  <si>
    <t>Analyst | D365 F&amp;O Retail - Dev | Delhi | Emerging ERP Solutions</t>
  </si>
  <si>
    <t>Job requisition ID :: 107432 
Date: Jul 6, 2026 
Location: Delhi 
Designation: Analyst 
Entity: Deloitte Touche Tohmatsu India LLP 
Job Overview
Role: ASP.NET Retail POS Technical Consultant / Developer
Location:
Experience: 5–10 years in Retail POS &amp; ASP.NET/.NET development
Dom...</t>
  </si>
  <si>
    <t>https://indeed.com/viewjob?jk=4cb6d8c771e64f39</t>
  </si>
  <si>
    <t>IN_0efaae5b87f6348a</t>
  </si>
  <si>
    <t>AI Engineer</t>
  </si>
  <si>
    <t>AI Engineer Intern / Full Stack Developer Intern – AnsPrepUPSC (Remote)
About Us
AnsPrepUPSC is an AI-powered EdTech startup focused on transforming UPSC Civil Services preparation. Our mission is to build an intelligent learning platform that helps aspirants write better answers...</t>
  </si>
  <si>
    <t>https://indeed.com/viewjob?jk=0efaae5b87f6348a</t>
  </si>
  <si>
    <t>IN_8bd61257658db314</t>
  </si>
  <si>
    <t>Senior Salesforce Developer</t>
  </si>
  <si>
    <t>Redient security</t>
  </si>
  <si>
    <t>Full Stack Developer (Golang + React/Next.js)
Job Overview
We are looking for an experienced Full Stack Lead/Architect to design and build enterprise-grade, cloud-native applications. The ideal candidate will have strong expertise in Golang, React/Next.js, Microservices Architect...</t>
  </si>
  <si>
    <t>https://indeed.com/viewjob?jk=8bd61257658db314</t>
  </si>
  <si>
    <t>IN_8ebae5a1f1271cd0</t>
  </si>
  <si>
    <t>Automation Analyst</t>
  </si>
  <si>
    <t>Opella.</t>
  </si>
  <si>
    <t>Job title : Automation Analyst 
Location : Hyderabad 
About Opella 
Opella is the self-care challenger with the purest and third-largest portfolio in the Over-The-Counter (OTC) &amp; Vitamins, Minerals &amp; Supplements (VMS) market globally. Our mission is to bring health in people' s h...</t>
  </si>
  <si>
    <t>https://indeed.com/viewjob?jk=8ebae5a1f1271cd0</t>
  </si>
  <si>
    <t>IN_6028498845a2a1c6</t>
  </si>
  <si>
    <t>Full stack Developer</t>
  </si>
  <si>
    <t>Netstager Technologies</t>
  </si>
  <si>
    <t>We are looking for a Full Stack Developer who is passionate about building web applications and eager to learn new technologies. Freshers with strong fundamentals are welcome to apply.
Responsibilities
Develop, maintain, and enhance web applications.
Build responsive user interfa...</t>
  </si>
  <si>
    <t>https://indeed.com/viewjob?jk=6028498845a2a1c6</t>
  </si>
  <si>
    <t>IN_7de7f6b6612ed4b2</t>
  </si>
  <si>
    <t>Expert, Full Stack Development</t>
  </si>
  <si>
    <t>Relocation Assistance Offered Within Country
Job Number #174173 - Mumbai, Maharashtra, India
Who We Are
Colgate-Palmolive Company is a global consumer products company operating in over 200 countries specialising in Oral Care, Personal Care, Home Care, Skin Care, and Pet Nutrit...</t>
  </si>
  <si>
    <t>https://indeed.com/viewjob?jk=7de7f6b6612ed4b2</t>
  </si>
  <si>
    <t>IN_f877e93453d59620</t>
  </si>
  <si>
    <t>Lead/Sr. Backend Software Engineer (C#.NET)</t>
  </si>
  <si>
    <t>SimCorp</t>
  </si>
  <si>
    <t>Lead/Sr. Backend Software Engineer (C#.NET)
WHAT MAKES US, US 
Join some of the most innovative thinkers in FinTech as we lead the evolution of financial technology. If you are an innovative, curious, collaborative person who embraces challenges and wants to grow, learn and purs...</t>
  </si>
  <si>
    <t>https://indeed.com/viewjob?jk=f877e93453d59620</t>
  </si>
  <si>
    <t>IN_31cf2c2b99a7bd56</t>
  </si>
  <si>
    <t>Magento Developer (Fresher–3 Years)</t>
  </si>
  <si>
    <t>oCodewire</t>
  </si>
  <si>
    <t>We are looking for a passionate Magento Developer to join our growing eCommerce development team. Whether you're a fresher with strong PHP fundamentals or an experienced Magento developer, this role offers an excellent opportunity to build scalable eCommerce solutions for interna...</t>
  </si>
  <si>
    <t>https://indeed.com/viewjob?jk=31cf2c2b99a7bd56</t>
  </si>
  <si>
    <t>IN_cbe3dbbe4dd76f2f</t>
  </si>
  <si>
    <t>Lead/Sr. Backend Software Engineer (C#.NET with Azure)</t>
  </si>
  <si>
    <t>Lead/Sr. Backend Software Engineer (C#.NET with Azure) 
WHAT MAKES US, US 
Join some of the most innovative thinkers in FinTech as we lead the evolution of financial technology. If you are an innovative, curious, collaborative person who embraces challenges and wants to grow, le...</t>
  </si>
  <si>
    <t>https://indeed.com/viewjob?jk=cbe3dbbe4dd76f2f</t>
  </si>
  <si>
    <t>IN_830bfcd02031c7fe</t>
  </si>
  <si>
    <t>PHP Developer ( 6 month-01 yrs.)</t>
  </si>
  <si>
    <t>DziMark</t>
  </si>
  <si>
    <t>Knowledge of Core PHP, MySQL, HTML, CSS, JavaScript, and WordPress
Ability to develop, maintain, and troubleshoot web applications
Basic understanding of APIs and database management
Experience with Bootstrap and responsive web design
Familiarity with Git/GitHub is a plus
Ability...</t>
  </si>
  <si>
    <t>https://indeed.com/viewjob?jk=830bfcd02031c7fe</t>
  </si>
  <si>
    <t>IN_818b045959c65b72</t>
  </si>
  <si>
    <t>Lead Software Developer (.Net)</t>
  </si>
  <si>
    <t>ABC Fitness Solutions</t>
  </si>
  <si>
    <t>Join ABC Fitness and become part of a culture that’s as ambitious as it is authentic. Let’s transform the future of fitness—together!
Our Values
Best Life
We believe great work begins with great people. That’s why our culture is built on respect, trust, and belonging. We create a...</t>
  </si>
  <si>
    <t>https://indeed.com/viewjob?jk=818b045959c65b72</t>
  </si>
  <si>
    <t>IN_bf37dd66e8236330</t>
  </si>
  <si>
    <t>MERN Stack Intern</t>
  </si>
  <si>
    <t>Trackpi Private Limited</t>
  </si>
  <si>
    <t>Duration : 3 month (90 days)
Working days : Monday - Saturday
Working time :10 am-6 pm
About the role
As a MERN Stack Intern, you will work with the development team to build, test, and maintain web applications using the MERN stack (MongoDB, Express.js, React.js, and Node.js). T...</t>
  </si>
  <si>
    <t>https://indeed.com/viewjob?jk=bf37dd66e8236330</t>
  </si>
  <si>
    <t>GD_1010149555052</t>
  </si>
  <si>
    <t>SME, FP&amp;A (Balance Sheet and Cash)</t>
  </si>
  <si>
    <t>https://www.glassdoor.co.in/job-listing/sme-fpa-balance-sheet-and-cash-crowdstrike-JV_KO0,30_KE31,42.htm?jl=1010149555052</t>
  </si>
  <si>
    <t>GD_1010175752985</t>
  </si>
  <si>
    <t>Applied Scientist- II</t>
  </si>
  <si>
    <t>Microsoft Corporation</t>
  </si>
  <si>
    <t>Overview
Frontier Tuning aims to fine-tune frontier LLMs (large language model) on enterprise data, enabling task-specific agents and solutions. We are a small, nimble team that is advancing the state of the art of models in M365 Copilot. Come join our team and help transform the...</t>
  </si>
  <si>
    <t>https://www.glassdoor.co.in/job-listing/applied-scientist-ii-microsoft-JV_IC2940587_KO0,20_KE21,30.htm?jl=1010175752985</t>
  </si>
  <si>
    <t>GD_1010142649639</t>
  </si>
  <si>
    <t>AVP, AI Modeling Platform</t>
  </si>
  <si>
    <t>Synchrony Financial</t>
  </si>
  <si>
    <t>Overview
Location: Hyderabad, India; India; India; Kolkata, India
Salary: N/A
About Us
Synchrony is more than a financial services company, we’re a team of passionate innovators committed to delivering best-in-class solutions that support millions of customers across the U.S. Wit...</t>
  </si>
  <si>
    <t>https://www.glassdoor.co.in/job-listing/avp-ai-modeling-platform-synchrony-JV_KO0,24_KE25,34.htm?jl=1010142649639</t>
  </si>
  <si>
    <t>GD_1010145411744</t>
  </si>
  <si>
    <t>Senior Front End Developer</t>
  </si>
  <si>
    <t>ANNUAL</t>
  </si>
  <si>
    <t>About the role
We are looking for a Senior React Developer to own frontend quality on a regulated medical product. You'll translate complex requirements into clean, accessible UI, hold the bar on code quality through reviews, and build the kind of test coverage that gives the tea...</t>
  </si>
  <si>
    <t>https://www.glassdoor.co.in/job-listing/senior-front-end-developer-sleepiz-india-JV_KO0,26_KE27,40.htm?jl=1010145411744</t>
  </si>
  <si>
    <t>GD_1010027266260</t>
  </si>
  <si>
    <t>Machine Learning Engineer</t>
  </si>
  <si>
    <t>Hilti Corporation</t>
  </si>
  <si>
    <t>Machine Learning Engineer
As a Machine Learning Engineer within the newly created Data &amp; Analytics team of BU FPS, your primary responsibility will be to design, develop, and deploy machine learning models that support artificial intelligence (AI), advanced analytics, and busines...</t>
  </si>
  <si>
    <t>https://www.glassdoor.co.in/job-listing/machine-learning-engineer-hilti-group-JV_IC2856202_KO0,25_KE26,37.htm?jl=1010027266260</t>
  </si>
  <si>
    <t>GD_1010171024330</t>
  </si>
  <si>
    <t>Engineer/ Sr Engineer/ Lead Sr Enginner, AI Platform Development</t>
  </si>
  <si>
    <t>Qualcomm Incorporated</t>
  </si>
  <si>
    <t>Company: 
Qualcomm India Private Limited 
Job Area: 
Engineering Group, Engineering Group &gt; Hardware Engineering 
General Summary: 
As a leading technology innovator, Qualcomm pushes the boundaries of what's possible to enable next-generation experiences and drives digital transf...</t>
  </si>
  <si>
    <t>https://www.glassdoor.co.in/job-listing/engineer-sr-engineer-lead-sr-enginner-ai-platform-development-qualcomm-JV_IC2940587_KO0,61_KE62,70.htm?jl=1010171024330</t>
  </si>
  <si>
    <t>GD_1010141818508</t>
  </si>
  <si>
    <t>Moody's</t>
  </si>
  <si>
    <t>At Moody's, we unite the brightest minds to turn today’s risks into tomorrow’s opportunities. We do this by striving to create an inclusive environment where everyone feels welcome to be who they are—with the freedom to exchange ideas, think innovatively, and listen to each other...</t>
  </si>
  <si>
    <t>https://www.glassdoor.co.in/job-listing/staff-software-engineer-moody-s-JV_KO0,23_KE24,31.htm?jl=1010141818508</t>
  </si>
  <si>
    <t>GD_1010101092867</t>
  </si>
  <si>
    <t>Google Inc.</t>
  </si>
  <si>
    <t>Minimum qualifications:
Bachelor’s degree or equivalent practical experience.
5 years of experience with software development in one or more programming languages.
5 years of experience with software development in C++ programming language.
3 years of experience testing, maintain...</t>
  </si>
  <si>
    <t>https://www.glassdoor.co.in/job-listing/senior-software-engineer-google-JV_KO0,24_KE25,31.htm?jl=1010101092867</t>
  </si>
  <si>
    <t>GD_1010179479020</t>
  </si>
  <si>
    <t>Software Development Engineer 3</t>
  </si>
  <si>
    <t>Wright Express Corporation</t>
  </si>
  <si>
    <t>WEX Software Engineer (C#.NET/Azure) 
Drive Innovation. Lead Change. Build the Future of Payments.
At WEX, we’re redefining what’s possible in the payments industry. As a Software Engineer at WEX, you’ll play a key role in shaping the future of our evolving payments platform. Wor...</t>
  </si>
  <si>
    <t>https://www.glassdoor.co.in/job-listing/software-development-engineer-3-wex-JV_KO0,31_KE32,35.htm?jl=1010179479020</t>
  </si>
  <si>
    <t>GD_1008635776688</t>
  </si>
  <si>
    <t>Senior Machine Learning Engineer</t>
  </si>
  <si>
    <t>Nuacem</t>
  </si>
  <si>
    <t>About Nuacem AI
At Nuacem, we thrive on helping you connect with your customers when, where, and how they desire. Using personalized and data-driven insights, businesses create the-game changing experiences that customers demand, and with Nuacem AI, you can too. We are the world’...</t>
  </si>
  <si>
    <t>https://www.glassdoor.co.in/job-listing/senior-machine-learning-engineer-nuacem-JV_KO0,32_KE33,39.htm?jl=1008635776688</t>
  </si>
  <si>
    <t>GD_1010186444529</t>
  </si>
  <si>
    <t>Data Analyst Sr Expert</t>
  </si>
  <si>
    <t>Koninklijke Philips Electronics N.V.</t>
  </si>
  <si>
    <t>Job Title 
Data Analyst Sr Expert 
Job Description 
Job Title : Data Analyst Sr Expert 
Job Profile Summary 
The PS&amp;Q Data Analyst develops, validates, and maintains high-quality analytics, reporting solutions, and reusable data assets that support Product Safety &amp; Quality, Regul...</t>
  </si>
  <si>
    <t>https://www.glassdoor.co.in/job-listing/data-analyst-sr-expert-philips-JV_IC2833209_KO0,22_KE23,30.htm?jl=1010186444529</t>
  </si>
  <si>
    <t>GD_1010168613486</t>
  </si>
  <si>
    <t>Lead Analyst Retail Analytics - CBI RGM</t>
  </si>
  <si>
    <t>Kenvue Inc.</t>
  </si>
  <si>
    <t>Kenvue is currently recruiting for a:
Lead Analyst Retail Analytics - CBI RGM
What we do
At Kenvue, we realize the extraordinary power of everyday care. Built on over a century of heritage and rooted in science, we’re the house of iconic brands - including NEUTROGENA®, AVEENO®, T...</t>
  </si>
  <si>
    <t>https://www.glassdoor.co.in/job-listing/lead-analyst-retail-analytics-cbi-rgm-kenvue-JV_KO0,37_KE38,44.htm?jl=1010168613486</t>
  </si>
  <si>
    <t>GD_1010159290158</t>
  </si>
  <si>
    <t>Business Analyst- Data Governance</t>
  </si>
  <si>
    <t>Kemin Industries, Inc.</t>
  </si>
  <si>
    <t>Overview: 
Location: Chennai
The Data Governance Business Analyst plays a pivotal role in standardizing data entry processes, improving data quality, and strengthening the organization's data governance framework. This position acts as a key liaison between business stakeholders...</t>
  </si>
  <si>
    <t>https://www.glassdoor.co.in/job-listing/business-analyst-data-governance-kemin-industries-JV_KO0,32_KE33,49.htm?jl=1010159290158</t>
  </si>
  <si>
    <t>GD_1010144994271</t>
  </si>
  <si>
    <t>Data Intelligence Analyst</t>
  </si>
  <si>
    <t>Norstella</t>
  </si>
  <si>
    <t>Description 
About Norstella:
Norstella is a premier and critical global life sciences data and AI solutions provider dedicated to improving patient access to life-saving therapies. Norstella supports pharmaceutical and biotech companies across the full drug development lifecycl...</t>
  </si>
  <si>
    <t>https://www.glassdoor.co.in/job-listing/data-intelligence-analyst-norstella-JV_KO0,25_KE26,35.htm?jl=1010144994271</t>
  </si>
  <si>
    <t>GD_1010160887414</t>
  </si>
  <si>
    <t>Business Analyst I, Financial Fraud</t>
  </si>
  <si>
    <t>DESCRIPTION
Job description
About the team
At Amazon, we're working to be the most customer-centric company on earth. To get there, we need exceptionally talented, bright, and driven people. Amazon is one of the most recognizable brand names in the world and we distribute million...</t>
  </si>
  <si>
    <t>https://www.glassdoor.co.in/job-listing/business-analyst-i-financial-fraud-amazon-JV_IC2940587_KO0,34_KE35,41.htm?jl=1010160887414</t>
  </si>
  <si>
    <t>GD_1010034381124</t>
  </si>
  <si>
    <t>Sr. Data Analyst</t>
  </si>
  <si>
    <t>Dentsu Inc.</t>
  </si>
  <si>
    <t>Job Description:
Key Responsibilities:
Builds audiences for use in insights, plans and potentially direct activation
Compiles research to inform insights and strategies
Creates audience profiles or works with IDC resources who perform that role
Answers research questions from pla...</t>
  </si>
  <si>
    <t>https://www.glassdoor.co.in/job-listing/sr-data-analyst-dentsu-international-JV_KO0,15_KE16,36.htm?jl=1010034381124</t>
  </si>
  <si>
    <t>GD_1010176176205</t>
  </si>
  <si>
    <t>Data &amp; Record Governance Analyst</t>
  </si>
  <si>
    <t>Barclays PLC</t>
  </si>
  <si>
    <t>Date live: 06/22/2026
Business Area: Customer Digital and Data
Area of Expertise: Data &amp; Analytics
Contract: Permanent
Reference Code: JR-0000107399
Join us as a Data &amp; Record Governance Analyst at Barclays, where you'll spearhead the evolution of our digital landscape, driving ...</t>
  </si>
  <si>
    <t>https://www.glassdoor.co.in/job-listing/data-record-governance-analyst-barclays-JV_IC2940587_KO0,30_KE31,39.htm?jl=1010176176205</t>
  </si>
  <si>
    <t>GD_1010191386497</t>
  </si>
  <si>
    <t>https://www.glassdoor.co.in/job-listing/reporting-analyst-barclays-JV_KO0,17_KE18,26.htm?jl=1010191386497</t>
  </si>
  <si>
    <t>GD_1010188649763</t>
  </si>
  <si>
    <t>Clinton Health Access Initiative, Inc.</t>
  </si>
  <si>
    <t>https://www.glassdoor.co.in/job-listing/analyst-monitoring-evaluation-data-systems-tb-clinton-health-access-initiative-JV_KO0,45_KE46,78.htm?jl=1010188649763</t>
  </si>
  <si>
    <t>GD_1010105220075</t>
  </si>
  <si>
    <t>Technogeo Soft Solution Pvt. Ltd</t>
  </si>
  <si>
    <t>-PATNA- 
As an employee of our company, you will collaborate with each department to create and deploy disruptive products. Come work at a growing company that offers great benefits with opportunities to moving forward and learn alongside accomplished leaders. We're seeking an ex...</t>
  </si>
  <si>
    <t>https://www.glassdoor.co.in/job-listing/data-analyst-technogeo-soft-solution-JV_KO0,12_KE13,36.htm?jl=1010105220075</t>
  </si>
  <si>
    <t>GD_1010167453263</t>
  </si>
  <si>
    <t>Technical Business Analyst - Regulatory Reporting</t>
  </si>
  <si>
    <t>HSBC Holdings plc</t>
  </si>
  <si>
    <t>https://www.glassdoor.co.in/job-listing/technical-business-analyst-regulatory-reporting-hsbc-JV_KO0,47_KE48,52.htm?jl=1010167453263</t>
  </si>
  <si>
    <t>GD_1010171807084</t>
  </si>
  <si>
    <t>Data and Analytics Managing Consultant</t>
  </si>
  <si>
    <t>NTT DATA GROUP Corporation</t>
  </si>
  <si>
    <t>Req ID: 375613 
NTT DATA strives to hire exceptional, innovative and passionate individuals who want to grow with us. If you want to be part of an inclusive, adaptable, and forward-thinking organization, apply now. 
We are currently seeking a Data and Analytics Managing Consult...</t>
  </si>
  <si>
    <t>https://www.glassdoor.co.in/job-listing/data-and-analytics-managing-consultant-ntt-data-JV_IC2833209_KO0,38_KE39,47.htm?jl=1010171807084</t>
  </si>
  <si>
    <t>GD_1010131390120</t>
  </si>
  <si>
    <t>Amrita Vishwa Vidyapeetham</t>
  </si>
  <si>
    <t>Kollam</t>
  </si>
  <si>
    <t>Amrita Vishwa Vidyapeetham, Amritapuri Campus is inviting applications from qualified candidates for the post of Data Analyst 
For Details Contact: amritaalumnihq@amrita.edu 
Apply Now 
Job Title 
Data Analyst 
Required Number 
1 
Qualification 
PG in Datascience 
Job Descrip...</t>
  </si>
  <si>
    <t>https://www.glassdoor.co.in/job-listing/data-analyst-amrita-university-JV_IC2868855_KO0,12_KE13,30.htm?jl=1010131390120</t>
  </si>
  <si>
    <t>GD_1010189127613</t>
  </si>
  <si>
    <t>Associate - Data Analyst</t>
  </si>
  <si>
    <t>Job Description: The General Analytics Fresher will work closely with business and operational teams to transform data into meaningful insights that support business objectives. The role involves data collection, validation, analysis, dashboard preparation, reporting, and identif...</t>
  </si>
  <si>
    <t>https://www.glassdoor.co.in/job-listing/associate-data-analyst-exl-service-JV_IC2921225_KO0,22_KE23,34.htm?jl=1010189127613</t>
  </si>
  <si>
    <t>GD_1010169559891</t>
  </si>
  <si>
    <t>Mangalore</t>
  </si>
  <si>
    <t>MONTHLY</t>
  </si>
  <si>
    <t>NPOWA Solutions has an exciting opportunity for a Data Analyst to join our incredibly well-run team. Job Description: Position Title : Data Analyst Total Experience : Minimum 2 years required Location : Mangalore Timing : 10 AM to 7 PM or as per job demand or requirement Job Type...</t>
  </si>
  <si>
    <t>https://www.glassdoor.co.in/job-listing/data-analyst-npowa-solutions-private-limited-JV_IC2931102_KO0,12_KE13,44.htm?jl=1010169559891</t>
  </si>
  <si>
    <t>GD_1010192178753</t>
  </si>
  <si>
    <t>Hazārībāg</t>
  </si>
  <si>
    <t>Jharkhand</t>
  </si>
  <si>
    <t>https://www.glassdoor.co.in/job-listing/market-analyst-cumberlandedge-media-JV_IC2922486_KO0,14_KE15,35.htm?jl=1010192178753</t>
  </si>
  <si>
    <t>GD_1010163844877</t>
  </si>
  <si>
    <t>Procurement Data &amp; Analytics Analyst</t>
  </si>
  <si>
    <t>Rolls-Royce Group plc</t>
  </si>
  <si>
    <t>Job Description 
Job Title – Procurement Data &amp; Analytics Analyst 
Function: Global Business Services (GBS) 
Location: Bangalore India. 
Why join Rolls-Royce? 
At Rolls-Royce we are proud to be a business that has truly helped to shape the modern world and are committed to always...</t>
  </si>
  <si>
    <t>https://www.glassdoor.co.in/job-listing/procurement-data-analytics-analyst-rolls-royce-JV_IC2940587_KO0,34_KE35,46.htm?jl=1010163844877</t>
  </si>
  <si>
    <t>GD_1010098928985</t>
  </si>
  <si>
    <t>Data Analyst – Data Office</t>
  </si>
  <si>
    <t>Optimum Solutions (S) Pte. Ltd.</t>
  </si>
  <si>
    <t>Chennai 3+ years Full-time Enterprise Data Analytics &amp; Engineering, BI &amp; Predictive Insights, Banking Analytics &amp; Stakeholder Delivery ODC0264
Job Description
Develop data products, software applications, and data marts to collect, process, and analyze enterprise data.
Build alg...</t>
  </si>
  <si>
    <t>https://www.glassdoor.co.in/job-listing/data-analyst-data-office-optimum-solutions-JV_IC2833209_KO0,24_KE25,42.htm?jl=1010098928985</t>
  </si>
  <si>
    <t>GD_1010117152892</t>
  </si>
  <si>
    <t>Institutional Shareholder Services, Inc.</t>
  </si>
  <si>
    <t>Let’s be #BrilliantTogether
ISS STOXX is looking for Jr. Data Analyst to join our Global Data Operations team. This position will be permanently based in the Mumbai office and will become an integral part of the data operations team.
Overview:
The role entails helping deliver da...</t>
  </si>
  <si>
    <t>https://www.glassdoor.co.in/job-listing/junior-data-analyst-institutional-shareholder-services-JV_KO0,19_KE20,54.htm?jl=1010117152892</t>
  </si>
  <si>
    <t>GD_1010191217258</t>
  </si>
  <si>
    <t>https://www.glassdoor.co.in/job-listing/lead-data-analyst-msc-technology-JV_IC2833209_KO0,17_KE18,32.htm?jl=1010191217258</t>
  </si>
  <si>
    <t>GD_1010189703339</t>
  </si>
  <si>
    <t>IDC Research, Inc.</t>
  </si>
  <si>
    <t>https://www.glassdoor.co.in/job-listing/data-analyst-idc-international-data-corporation-JV_IC2940587_KO0,12_KE13,47.htm?jl=1010189703339</t>
  </si>
  <si>
    <t>GD_1010163867714</t>
  </si>
  <si>
    <t>Assistant Manager - Data Analyst</t>
  </si>
  <si>
    <t>Guidehouse LLP</t>
  </si>
  <si>
    <t>Job Family:
EBO Management Information System (India)
Travel Required:
Up to 25%
Clearance Required:
None
What You Will Do:
Gather data from primary and secondary sources, ensuring the upkeep of databases and data systems.
Detect, examine, and decode trends or patterns within i...</t>
  </si>
  <si>
    <t>https://www.glassdoor.co.in/job-listing/assistant-manager-data-analyst-guidehouse-JV_KO0,30_KE31,41.htm?jl=1010163867714</t>
  </si>
  <si>
    <t>GD_1010173801570</t>
  </si>
  <si>
    <t xml:space="preserve">Lubi Electronics </t>
  </si>
  <si>
    <t>About Company:
We are proud to introduce our company and showcase the wide array of solutions we bring to our customers.
Since 1997, Lubi Electronics has been a driving force in empowering industries with Next-Generation solutions, helping businesses stay ahead of modern challeng...</t>
  </si>
  <si>
    <t>https://www.glassdoor.co.in/job-listing/data-analyst-lubi-electronics-JV_IC2935226_KO0,12_KE13,29.htm?jl=1010173801570</t>
  </si>
  <si>
    <t>GD_1010178130737</t>
  </si>
  <si>
    <t>Business Analyst - Associate</t>
  </si>
  <si>
    <t>KG Information Systems Private Limited</t>
  </si>
  <si>
    <t>Number of Positions:
: 1
Primary Skills:
: BUSINESS ANALYST,GOOD COMMUNICATION
Job Description:
Acquire a complete knowledge of the GL system and its links to the Core Insurance system
Able to qualify requests raised by clients.
Able to walkthrough the system features with client...</t>
  </si>
  <si>
    <t>https://www.glassdoor.co.in/job-listing/business-analyst-associate-kgisl-JV_IC2836047_KO0,26_KE27,32.htm?jl=1010178130737</t>
  </si>
  <si>
    <t>GD_1010180496962</t>
  </si>
  <si>
    <t>Data Analytics</t>
  </si>
  <si>
    <t>Mercedes-Benz Group AG</t>
  </si>
  <si>
    <t>Tätigkeitsbereich:Forschung &amp; Entwicklung incl. Design
Fachabteilung:Field Analytics &amp; Automation
Gesellschaft:Mercedes-Benz Research and Development India Private Limited
Standort:Mercedes-Benz Research and Development India Private Limited, Bangalore
Startdatum:sofort
Veröffent...</t>
  </si>
  <si>
    <t>https://www.glassdoor.co.in/job-listing/data-analytics-mercedes-benz-group-JV_IC2940587_KO0,14_KE15,34.htm?jl=1010180496962</t>
  </si>
  <si>
    <t>GD_1010148369890</t>
  </si>
  <si>
    <t>Svitla Systems Inc.</t>
  </si>
  <si>
    <t>Nowshera Murai</t>
  </si>
  <si>
    <t>Apply Now
SENIOR DATA ANALYST 
Apply Now
COUNTRY
Argentina, Colombia, Costa Rica, Mexico
FORMAT
Remote
Svitla Systems Inc. is looking for a Senior Data Analyst for a full-time position (40 hours per week). Our client is one of the world’s largest and fastest-growing job sites.
RE...</t>
  </si>
  <si>
    <t>https://www.glassdoor.co.in/job-listing/senior-data-analyst-svitla-systems-JV_IC4476728_KO0,19_KE20,34.htm?jl=1010148369890</t>
  </si>
  <si>
    <t>GD_1010135350217</t>
  </si>
  <si>
    <t>DATA ANALYST (AI)</t>
  </si>
  <si>
    <t>RivetStays is a Toronto-based short- and mid-term rental operator building internal systems powered by AI, automation, and data.
We’re hiring a highly technical Operations &amp; AI Systems Builder to run and build internal systems using agentic AI tools like Codex, Claude Code, ChatG...</t>
  </si>
  <si>
    <t>https://www.glassdoor.co.in/job-listing/data-analyst-ai-rivetstays-ontario-inc-JV_KO0,15_KE16,38.htm?jl=1010135350217</t>
  </si>
  <si>
    <t>GD_1010175675246</t>
  </si>
  <si>
    <t>Business Analyst I – International Markets Analytics</t>
  </si>
  <si>
    <t>Bristol Myers Squibb Company</t>
  </si>
  <si>
    <t>https://www.glassdoor.co.in/job-listing/business-analyst-i-international-markets-analytics-bristol-myers-squibb-JV_KO0,50_KE51,71.htm?jl=1010175675246</t>
  </si>
  <si>
    <t>GD_1010191265293</t>
  </si>
  <si>
    <t>https://www.glassdoor.co.in/job-listing/data-analyst-little-laugh-JV_KO0,12_KE13,25.htm?jl=1010191265293</t>
  </si>
  <si>
    <t>GD_1010029737159</t>
  </si>
  <si>
    <t>Paarsh Infotech</t>
  </si>
  <si>
    <t>We are looking for a highly analytical and detail-oriented Data Analyst to join our team. In this role, you will collect, process, and analyze large datasets to help the company make data-driven decisions. You will collaborate with different departments to uncover business insigh...</t>
  </si>
  <si>
    <t>https://www.glassdoor.co.in/job-listing/data-analyst-paarsh-infotech-JV_IC2856202_KO0,12_KE13,28.htm?jl=1010029737159</t>
  </si>
  <si>
    <t>GD_1010127919704</t>
  </si>
  <si>
    <t>Client Business Analyst</t>
  </si>
  <si>
    <t>Zelis Healthcare Inc.</t>
  </si>
  <si>
    <t>Description
About Us
Zelis is modernizing the healthcare financial experience in the United States (U.S.) across payers, providers, and healthcare consumers. We serve more than 750 payers, including the top five national health plans, regional health plans, TPAs and millions of h...</t>
  </si>
  <si>
    <t>https://www.glassdoor.co.in/job-listing/client-business-analyst-zelis-JV_KO0,23_KE24,29.htm?jl=1010127919704</t>
  </si>
  <si>
    <t>GD_1010187131377</t>
  </si>
  <si>
    <t>Data Information Analyst</t>
  </si>
  <si>
    <t>https://www.glassdoor.co.in/job-listing/data-information-analyst-citi-JV_KO0,24_KE25,29.htm?jl=1010187131377</t>
  </si>
  <si>
    <t>GD_1010182410096</t>
  </si>
  <si>
    <t>Data Analyst-Application Development-Data Visualization</t>
  </si>
  <si>
    <t>Job Description: Analyze and interpret large datasets to extract meaningful insights and support decision-making processes in the business.
Responsibilities: Collect, clean, and analyze data, create reports and dashboards, collaborate with stakeholders on data needs, perform sta...</t>
  </si>
  <si>
    <t>https://www.glassdoor.co.in/job-listing/data-analyst-application-development-data-visualization-exl-service-JV_IC2921225_KO0,55_KE56,67.htm?jl=1010182410096</t>
  </si>
  <si>
    <t>GD_1010187718340</t>
  </si>
  <si>
    <t>Chevron Corporation</t>
  </si>
  <si>
    <t>Total Number of Openings
1
The Chevron Engineering and Innovation Excellence Center (ENGINE) in Bengaluru India brings together the resources and expertise of the Chevron global network with talent in India to enhance agility and technological innovation to optimize solutions for...</t>
  </si>
  <si>
    <t>https://www.glassdoor.co.in/job-listing/data-analyst-chevron-JV_IC2940587_KO0,12_KE13,20.htm?jl=1010187718340</t>
  </si>
  <si>
    <t>GD_1010188136876</t>
  </si>
  <si>
    <t>Reference Data Services Analyst</t>
  </si>
  <si>
    <t>https://www.glassdoor.co.in/job-listing/reference-data-services-analyst-citi-JV_KO0,31_KE32,36.htm?jl=1010188136876</t>
  </si>
  <si>
    <t>GD_1010189703338</t>
  </si>
  <si>
    <t>https://www.glassdoor.co.in/job-listing/junior-data-analyst-idc-international-data-corporation-JV_IC2940587_KO0,19_KE20,54.htm?jl=1010189703338</t>
  </si>
  <si>
    <t>GD_1010191249943</t>
  </si>
  <si>
    <t>LatentView Analytics Corporation</t>
  </si>
  <si>
    <t>https://www.glassdoor.co.in/job-listing/senior-analyst-data-engineering-latentview-analytics-JV_KO0,31_KE32,52.htm?jl=1010191249943</t>
  </si>
  <si>
    <t>GD_1010075318368</t>
  </si>
  <si>
    <t>Senior Process Analyst- Six sigma - Bangalore</t>
  </si>
  <si>
    <t>Medi Assist Insurance TPA Pvt. Ltd.</t>
  </si>
  <si>
    <t>Mediassist, India's leading Health Insurance TPA, is currently inviting applications for urgent job openings. We are looking for dedicated professionals to join our growing team and help us redefine the healthcare experience.
Job Title : Process Improvement professional.
J.D 
Loo...</t>
  </si>
  <si>
    <t>https://www.glassdoor.co.in/job-listing/senior-process-analyst-six-sigma-bangalore-medi-assist-insurance-tpa-JV_KO0,42_KE43,68.htm?jl=1010075318368</t>
  </si>
  <si>
    <t>GD_1010191193199</t>
  </si>
  <si>
    <t>Nāgpur</t>
  </si>
  <si>
    <t>https://www.glassdoor.co.in/job-listing/data-analyst-trainer-arc-technologies-and-institutions-JV_IC2951950_KO0,20_KE21,54.htm?jl=1010191193199</t>
  </si>
  <si>
    <t>GD_1010190585477</t>
  </si>
  <si>
    <t>https://www.glassdoor.co.in/job-listing/business-analyst-microshare-software-solutions-private-limited-JV_KO0,16_KE17,62.htm?jl=1010190585477</t>
  </si>
  <si>
    <t>GD_1010173782303</t>
  </si>
  <si>
    <t>UBS AG</t>
  </si>
  <si>
    <t>India
Operations
Asset Management 
Job Reference #
338107BR
City
Pune
Job Type
Full Time 
Your role
Are you curious about financial instruments and how the data is utilized in the Asset Management lifecycle? Are you passionate about solving business problems and making an impact?...</t>
  </si>
  <si>
    <t>https://www.glassdoor.co.in/job-listing/data-analyst-ubs-JV_IC2856202_KO0,12_KE13,16.htm?jl=1010173782303</t>
  </si>
  <si>
    <t>GD_1010165567718</t>
  </si>
  <si>
    <t>https://www.glassdoor.co.in/job-listing/senior-data-analyst-optum-JV_KO0,19_KE20,25.htm?jl=1010165567718</t>
  </si>
  <si>
    <t>GD_1010188006528</t>
  </si>
  <si>
    <t>Job Family:
EBO Management Information System (India)
Travel Required:
None
Clearance Required:
None
What You Will Do:
Gather data from primary and secondary sources, ensuring the upkeep of databases and data systems.
Detect, examine, and decode trends or patterns within intric...</t>
  </si>
  <si>
    <t>https://www.glassdoor.co.in/job-listing/senior-data-analyst-guidehouse-JV_IC2833209_KO0,19_KE20,30.htm?jl=1010188006528</t>
  </si>
  <si>
    <t>GD_1010191122465</t>
  </si>
  <si>
    <t>Biltrax Construction Data Research Insight &amp; Technologies Private Limited</t>
  </si>
  <si>
    <t>https://www.glassdoor.co.in/job-listing/construction-analyst-candidates-from-navi-mumbai-thane-to-kalyan-biltrax-construction-data-JV_IC5021997_KO0,64_KE65,90.htm?jl=1010191122465</t>
  </si>
  <si>
    <t>GD_1010191983807</t>
  </si>
  <si>
    <t xml:space="preserve">Recruise India </t>
  </si>
  <si>
    <t>https://www.glassdoor.co.in/job-listing/6030-data-analyst-recruise-india-JV_IC2833209_KO0,17_KE18,32.htm?jl=1010191983807</t>
  </si>
  <si>
    <t>GD_1010190570865</t>
  </si>
  <si>
    <t>Tata Consultancy Services Limited</t>
  </si>
  <si>
    <t>Visakhapatnam</t>
  </si>
  <si>
    <t>https://www.glassdoor.co.in/job-listing/power-bi-tata-consultancy-services-JV_IC2879606_KO0,8_KE9,34.htm?jl=1010190570865</t>
  </si>
  <si>
    <t>GD_1010164959251</t>
  </si>
  <si>
    <t>AISECT</t>
  </si>
  <si>
    <t>Data Collection &amp; Cleaning
Data Analysis &amp; Interpretation
Good Communication skills.
Ability to teach and handle students
Pay: ₹20,000.00 - ₹250,000.00 per month
Work Location: In person</t>
  </si>
  <si>
    <t>https://www.glassdoor.co.in/job-listing/data-analyst-aisect-JV_IC2931102_KO0,12_KE13,19.htm?jl=1010164959251</t>
  </si>
  <si>
    <t>GD_1010189916784</t>
  </si>
  <si>
    <t>https://www.glassdoor.co.in/job-listing/business-analyst-amrita-university-JV_IC2836047_KO0,16_KE17,34.htm?jl=1010189916784</t>
  </si>
  <si>
    <t>GD_1010109268798</t>
  </si>
  <si>
    <t>Data &amp; Business Intelligence Specialist</t>
  </si>
  <si>
    <t>https://www.glassdoor.co.in/job-listing/data-business-intelligence-specialist-citi-JV_KO0,37_KE38,42.htm?jl=1010109268798</t>
  </si>
  <si>
    <t>GD_1010180475530</t>
  </si>
  <si>
    <t>Endress + Hauser Holding AG</t>
  </si>
  <si>
    <t>Job Description – Data Analyst (Operations &amp; Manufacturing Analytics) 
Position Title : Data Analyst – Operations 
Location : Chh. Sambhajinagar (Aurangabad), India 
Reporting To : Head – Operations / Digitalization / Managing Director’s Office
Role Purpose 
The role is responsib...</t>
  </si>
  <si>
    <t>https://www.glassdoor.co.in/job-listing/data-analyst-endress-hauser-gruppe-JV_KO0,12_KE13,34.htm?jl=1010180475530</t>
  </si>
  <si>
    <t>GD_1010189203186</t>
  </si>
  <si>
    <t>Job Title: Data Analyst
About us 
Vantage Management Consulting is a management consulting firm that partners with organizations to improve business performance through strategic advisory, financial consulting, business transformation, MIS, and process improvement. We work closel...</t>
  </si>
  <si>
    <t>https://www.glassdoor.co.in/job-listing/data-analyst-vantage-management-consulting-JV_KO0,12_KE13,42.htm?jl=1010189203186</t>
  </si>
  <si>
    <t>GD_1010160811554</t>
  </si>
  <si>
    <t>Reporting Analysis - Data Analyst</t>
  </si>
  <si>
    <t>https://www.glassdoor.co.in/job-listing/reporting-analysis-data-analyst-citi-JV_IC2833209_KO0,31_KE32,36.htm?jl=1010160811554</t>
  </si>
  <si>
    <t>GD_1010054187264</t>
  </si>
  <si>
    <t>Indium Software Inc.</t>
  </si>
  <si>
    <t>Hyderābād</t>
  </si>
  <si>
    <t>Job Information
Date Opened
02/16/2026 
Job Type
Permanent 
RSD NO
12825 
Industry
IT Services 
City
Hyderabad 
State/Province
Telangana 
Country
India 
Zip/Postal Code
500001 
Job Description
Key Skills &amp; Requirements
SQL – High proficiency (complex queries, optimization, data ...</t>
  </si>
  <si>
    <t>https://www.glassdoor.co.in/job-listing/data-analyst-indium-software-JV_IC2865319_KO0,12_KE13,28.htm?jl=1010054187264</t>
  </si>
  <si>
    <t>GD_1010176672736</t>
  </si>
  <si>
    <t>Data Analyst (SQL &amp; Power BI)</t>
  </si>
  <si>
    <t>We are Hiring: Data Analyst (SQL &amp; Power BI) at PurpleNow
Looking for your next career move in data? PurpleNow is seeking a skilled Data Analyst to join our team in Bengaluru!
If you love turning raw data into actionable insights and building robust data models, we want to hear f...</t>
  </si>
  <si>
    <t>https://www.glassdoor.co.in/job-listing/data-analyst-sql-power-bi-purplenow-JV_KO0,25_KE26,35.htm?jl=1010176672736</t>
  </si>
  <si>
    <t>GD_1010169936914</t>
  </si>
  <si>
    <t>ROLE: LEAD POWER BI ANALYST (HEALTHCARE OPERATIONS ANALYTICS)
(Preference for Candidates Situated in Chennai, India)
About the Company
Quadraflake Consulting is a technology-based consulting company focussed on digital transformation. In the last decade, we have helped large ente...</t>
  </si>
  <si>
    <t>https://www.glassdoor.co.in/job-listing/senior-data-analyst-quadraflake-consulting-private-limited-JV_IC2833209_KO0,19_KE20,58.htm?jl=1010169936914</t>
  </si>
  <si>
    <t>GD_1010171953217</t>
  </si>
  <si>
    <t>Business Analyst (Account Intelligence)</t>
  </si>
  <si>
    <t>Techolution India Pvt. Ltd</t>
  </si>
  <si>
    <t>19 days ago
Remote, India 
| 
Full Time 
| 
Associate 
Skills Required
Non-Negotiable Skills:
Data Analysis
Requirements Gathering
Communication and Presentation
CRM Software Proficiency (e.g., Salesforce)
SQL Querying
Data Visualization Tools (e.g., Tableau, Power BI)
Business P...</t>
  </si>
  <si>
    <t>https://www.glassdoor.co.in/job-listing/business-analyst-account-intelligence-techolution-JV_KO0,37_KE38,49.htm?jl=1010171953217</t>
  </si>
  <si>
    <t>GD_1010184847384</t>
  </si>
  <si>
    <t>Business Analyst, WHS Data</t>
  </si>
  <si>
    <t>DESCRIPTION
At Amazon, the Leadership Principle “Strive to be Earth’s Best Employer” challenges us to create “a safer, more productive, higher performing, more diverse, and more just work environment,” and reinforces that nothing is more important than the safety and well-being o...</t>
  </si>
  <si>
    <t>https://www.glassdoor.co.in/job-listing/business-analyst-whs-data-amazon-JV_IC2940587_KO0,25_KE26,32.htm?jl=1010184847384</t>
  </si>
  <si>
    <t>GD_1010189267213</t>
  </si>
  <si>
    <t>Analyst, Forecasting &amp; International Markets Analytics</t>
  </si>
  <si>
    <t>https://www.glassdoor.co.in/job-listing/analyst-forecasting-international-markets-analytics-bristol-myers-squibb-JV_KO0,51_KE52,72.htm?jl=1010189267213</t>
  </si>
  <si>
    <t>GD_1010187862610</t>
  </si>
  <si>
    <t>Data Analyst – Digital Workplace</t>
  </si>
  <si>
    <t>Airbus S.A.S.</t>
  </si>
  <si>
    <t>Job Description: 
Description: 
Digital Workplace (DW) was established to be an enabler of Digital Transformation across Airbus. Its primary focus is to: provide employees with simple, intuitive and easy to use workplace tools and services; enable employees to create and collabor...</t>
  </si>
  <si>
    <t>https://www.glassdoor.co.in/job-listing/data-analyst-digital-workplace-airbus-JV_KO0,30_KE31,37.htm?jl=1010187862610</t>
  </si>
  <si>
    <t>GD_1010029357591</t>
  </si>
  <si>
    <t>Business Intelligence Analyst I</t>
  </si>
  <si>
    <t>Teleperformance SE</t>
  </si>
  <si>
    <t>Join Teleperformance – Where Excellence Meets Opportunity!
Teleperformance is a leading provider of customer experience management, offering premier omnichannel support to top global companies. Our diverse service locations, including on-site and work-at-home programs, ensure fle...</t>
  </si>
  <si>
    <t>https://www.glassdoor.co.in/job-listing/business-intelligence-analyst-i-teleperformance-JV_KO0,31_KE32,47.htm?jl=1010029357591</t>
  </si>
  <si>
    <t>GD_1010148466525</t>
  </si>
  <si>
    <t>Udaan Data Analyst</t>
  </si>
  <si>
    <t>Myntra Designs Pvt. Ltd.</t>
  </si>
  <si>
    <t>Who are we?
Myntra is India’s leading fashion and lifestyle platform, where technology meets creativity. As pioneers in fashion e-commerce, we’ve always believed in disrupting the ordinary. 
We thrive on a shared passion for fashion, a drive to innovate to lead, and an environm...</t>
  </si>
  <si>
    <t>https://www.glassdoor.co.in/job-listing/udaan-data-analyst-myntra-JV_KO0,18_KE19,25.htm?jl=1010148466525</t>
  </si>
  <si>
    <t>GD_1010175440301</t>
  </si>
  <si>
    <t>Product Support Analyst</t>
  </si>
  <si>
    <t>About the role
transIT Connect is an Australian transport management SaaS platform. We are looking for a Product Support Analyst who can become a strong internal product expert and support customer onboarding, user training, support tickets, data preparation and knowledge base up...</t>
  </si>
  <si>
    <t>https://www.glassdoor.co.in/job-listing/product-support-analyst-oz-outsourcing-pvt-ltd-JV_KO0,23_KE24,46.htm?jl=1010175440301</t>
  </si>
  <si>
    <t>GD_1010171045995</t>
  </si>
  <si>
    <t>Senior Data Engineering Analyst</t>
  </si>
  <si>
    <t>https://www.glassdoor.co.in/job-listing/senior-data-engineering-analyst-optum-JV_IC2833209_KO0,31_KE32,37.htm?jl=1010171045995</t>
  </si>
  <si>
    <t>GD_1010186570942</t>
  </si>
  <si>
    <t>Data Analyst Expert</t>
  </si>
  <si>
    <t>Job Information
Date Opened
06/29/2026 
Job Type
Permanent 
RSD NO
13663 
Industry
IT Services 
Min Experience
3 
Max Experience
5 
City
Hyderabad 
State/Province
Telangana 
Country
India 
Zip/Postal Code
500001 
Job Description
Job Title: Data Analyst Expert
Job Description:
Le...</t>
  </si>
  <si>
    <t>https://www.glassdoor.co.in/job-listing/data-analyst-expert-indium-software-JV_KO0,19_KE20,35.htm?jl=1010186570942</t>
  </si>
  <si>
    <t>GD_1010179166718</t>
  </si>
  <si>
    <t>Hitachi Energy Ltd.</t>
  </si>
  <si>
    <t>Location: 
Chennai, Tamil Nadu, India 
Job ID: 
R0124760 
Date Posted: 
2026-06-25 
Company Name: 
HITACHI ENERGY TECHNOLOGY SERVICES PRIVATE LIMITED 
Profession (Job Category): 
Project/Program Management 
Job Schedule: 
Full time 
Remote: 
No 
Job Description: 
The Opportunity:...</t>
  </si>
  <si>
    <t>https://www.glassdoor.co.in/job-listing/data-analyst-hitachi-energy-JV_IC2833209_KO0,12_KE13,27.htm?jl=1010179166718</t>
  </si>
  <si>
    <t>GD_1010177599607</t>
  </si>
  <si>
    <t>Business Intelligence (BI) Data Analysis - Experienced Professional</t>
  </si>
  <si>
    <t>Schneider Electric SA</t>
  </si>
  <si>
    <t>Job Description: 
Join us as a Data Visualization Developer and turn complex data into visual stories that drive informed decisions. If you're passionate about creating dashboards that make insights accessible and actionable, we want to hear from you.
What will you do?
Create in...</t>
  </si>
  <si>
    <t>https://www.glassdoor.co.in/job-listing/business-intelligence-bi-data-analysis-experienced-professional-schneider-electric-JV_IC2940587_KO0,63_KE64,82.htm?jl=1010177599607</t>
  </si>
  <si>
    <t>GD_1008242226219</t>
  </si>
  <si>
    <t>Kanmalai Technologies Pvt Ltd</t>
  </si>
  <si>
    <t>Skills: Technical | BIDW | BI Reporting | Power BI
Qualification: Any Graduation with Excellent Communication
Experience: 4 – 6 Years
Job Description: 1. Drives clarification of requirements for reports 2. Integrates business specific needs from a technical solution design perspe...</t>
  </si>
  <si>
    <t>https://www.glassdoor.co.in/job-listing/power-bi-developer-kanmalai-technologies-JV_IC2836047_KO0,18_KE19,40.htm?jl=1008242226219</t>
  </si>
  <si>
    <t>GD_1009135352495</t>
  </si>
  <si>
    <t>Data Research Analyst</t>
  </si>
  <si>
    <t>Market Expertise Pty. Ltd.</t>
  </si>
  <si>
    <t>We have created a positive work environment for our employees, by encouraging honest dialogue, teamwork, innovative thinking and good work ethics. We nurture talent through effective means such as mentoring, training and providing constructive feedback that are mutually beneficia...</t>
  </si>
  <si>
    <t>https://www.glassdoor.co.in/job-listing/data-research-analyst-market-expertise-JV_KO0,21_KE22,38.htm?jl=1009135352495</t>
  </si>
  <si>
    <t>GD_1010074552306</t>
  </si>
  <si>
    <t>Noatum Ports, S.L.U.</t>
  </si>
  <si>
    <t>Published on 23 of March of 2026 
Location 
Bangalore
Category 
Purchases, logistics and warehouse
Subcategory 
Distribution and logistics
Sector 
Logistics
Working hours 
Full Time
Work mode 
Hybrid (On-site and Remote)
Experience level 
Employee
Department 
Logistics
Descripti...</t>
  </si>
  <si>
    <t>https://www.glassdoor.co.in/job-listing/data-analyst-i-noatum-JV_KO0,14_KE15,21.htm?jl=1010074552306</t>
  </si>
  <si>
    <t>GD_1010160887419</t>
  </si>
  <si>
    <t>Business Analyst II, Financial Fraud</t>
  </si>
  <si>
    <t>DESCRIPTION
About the team
At Amazon, we're working to be the most customer-centric company on earth. To get there, we need exceptionally talented, bright, and driven people. Amazon is one of the most recognizable brand names in the world and we distribute millions of products ea...</t>
  </si>
  <si>
    <t>https://www.glassdoor.co.in/job-listing/business-analyst-ii-financial-fraud-amazon-JV_KO0,35_KE36,42.htm?jl=1010160887419</t>
  </si>
  <si>
    <t>GD_1010177066861</t>
  </si>
  <si>
    <t>Job Description: Title : Senior Data Analyst 
Location: Bangalore 
Analyze large and complex datasets using SQL to extract actionable insights 
Develop and maintain interactive dashboards using Power BI/Tableau for business reporting 
Translate business requirements into data-dri...</t>
  </si>
  <si>
    <t>https://www.glassdoor.co.in/job-listing/senior-data-analyst-exl-service-JV_IC2940587_KO0,19_KE20,31.htm?jl=1010177066861</t>
  </si>
  <si>
    <t>GD_1010126840897</t>
  </si>
  <si>
    <t>Rockwell Automation, Inc.</t>
  </si>
  <si>
    <t>Rockwell Automation is a global technology leader focused on helping the world’s manufacturers be more productive, sustainable, and agile. With more than 28,000 employees who make the world better every day, we know we have something special. Behind our customers - amazing compan...</t>
  </si>
  <si>
    <t>https://www.glassdoor.co.in/job-listing/data-analyst-rockwell-automation-JV_KO0,12_KE13,32.htm?jl=1010126840897</t>
  </si>
  <si>
    <t>GD_1010168047396</t>
  </si>
  <si>
    <t>Persistent Systems Ltd.</t>
  </si>
  <si>
    <t>https://www.glassdoor.co.in/job-listing/data-analyst-persistent-systems-JV_KO0,12_KE13,31.htm?jl=1010168047396</t>
  </si>
  <si>
    <t>GD_1010168643567</t>
  </si>
  <si>
    <t>Analyst Data Strategy and Analytics</t>
  </si>
  <si>
    <t>https://www.glassdoor.co.in/job-listing/analyst-data-strategy-and-analytics-bristol-myers-squibb-JV_KO0,35_KE36,56.htm?jl=1010168643567</t>
  </si>
  <si>
    <t>GD_1009532125228</t>
  </si>
  <si>
    <t>Data Analyst – Logistics Domain (Remote)</t>
  </si>
  <si>
    <t>Elevati Infotech Pvt Ltd</t>
  </si>
  <si>
    <t>Why join Elеvati?
Join us to learn thе bеst product еnginееring knacks and achiеvе work-lifе balancе.
Work from Anywhеrе
At Elеvati, you can work from whеrеvеr you fееl most comfortable. Whеthеr it's from homе or your favouritе spot, wе offеr thе flеxibility of rеmotе work.
Emplo...</t>
  </si>
  <si>
    <t>https://www.glassdoor.co.in/job-listing/data-analyst-logistics-domain-remote-elevati-infotech-JV_KO0,36_KE37,53.htm?jl=1009532125228</t>
  </si>
  <si>
    <t>GD_1010177066870</t>
  </si>
  <si>
    <t>Job Description: Title : Data Analyst 
Location : Bangalore 
Develop and maintain interactive dashboards using Power BI/Tableau for business reporting 
Translate business requirements into data-driven solutions and recommendations 
Apply strong problem-solving skills to identify ...</t>
  </si>
  <si>
    <t>https://www.glassdoor.co.in/job-listing/data-analyst-exl-service-JV_IC2940587_KO0,12_KE13,24.htm?jl=1010177066870</t>
  </si>
  <si>
    <t>GD_1010159984418</t>
  </si>
  <si>
    <t>Job Title: Data Analyst
Reporting To: Project Manager / MIS Lead
Location: Delhi
Language Required: Hindi &amp; English (Reading, Writing, Speaking)
Employment Type: Full-time / Contractual
JOB SUMMARY
The Data Analyst is responsible for data analysis, operational analytics, AI-assis...</t>
  </si>
  <si>
    <t>https://www.glassdoor.co.in/job-listing/data-analyst-meta16labs-healthcare-and-analytics-JV_KO0,12_KE13,48.htm?jl=1010159984418</t>
  </si>
  <si>
    <t>GD_1010191209824</t>
  </si>
  <si>
    <t>https://www.glassdoor.co.in/job-listing/data-analyst-infogence-marketing-advisory-services-JV_KO0,12_KE13,50.htm?jl=1010191209824</t>
  </si>
  <si>
    <t>GD_1010179169834</t>
  </si>
  <si>
    <t>Open Secret - Data Analyst</t>
  </si>
  <si>
    <t>Open Secret</t>
  </si>
  <si>
    <t>Open Secret is an Indian healthy-snacking and packaged-food brand founded in 2019 by Ahana Gautam and Udit Kejriwal. Headquartered in Mumbai, the company aims to “un-junk” popular snacks by offering products made without maida, palm oil, artificial colors, or artificial flavors. ...</t>
  </si>
  <si>
    <t>https://www.glassdoor.co.in/job-listing/open-secret-data-analyst-open-secret-JV_IC2851180_KO0,24_KE25,36.htm?jl=1010179169834</t>
  </si>
  <si>
    <t>GD_1010160965543</t>
  </si>
  <si>
    <t>Job description:
Job Summary
We are seeking a highly skilled Data Analyst to join our team. The successful candidate will be responsible for analysing complex data sets, developing insightful visualisations, and supporting strategic decision-making processes. This role offers an ...</t>
  </si>
  <si>
    <t>https://www.glassdoor.co.in/job-listing/data-analyst-geotechnosoft-JV_KO0,12_KE13,26.htm?jl=1010160965543</t>
  </si>
  <si>
    <t>GD_1010191061615</t>
  </si>
  <si>
    <t>Endava</t>
  </si>
  <si>
    <t>https://www.glassdoor.co.in/job-listing/analyst-business-data-analyst-endava-JV_KO0,29_KE30,36.htm?jl=1010191061615</t>
  </si>
  <si>
    <t>GD_1009788088069</t>
  </si>
  <si>
    <t>Jr. Automation Engineer</t>
  </si>
  <si>
    <t>Jabil Circuit, Inc.</t>
  </si>
  <si>
    <t>Ranjangaon</t>
  </si>
  <si>
    <t>At Jabil we strive to make ANYTHING POSSIBLE and EVERYTHING BETTER. We are proud to be a trusted partner for the world's top brands, offering comprehensive engineering, manufacturing, and supply chain solutions. With over 50 years of experience across industries and a vast networ...</t>
  </si>
  <si>
    <t>https://www.glassdoor.co.in/job-listing/jr-automation-engineer-jabil-JV_IC2856212_KO0,22_KE23,28.htm?jl=1009788088069</t>
  </si>
  <si>
    <t>GD_1010191858137</t>
  </si>
  <si>
    <t>https://www.glassdoor.co.in/job-listing/data-analyst-aditya-birla-group-JV_KO0,12_KE13,31.htm?jl=1010191858137</t>
  </si>
  <si>
    <t>GD_1010180718556</t>
  </si>
  <si>
    <t>Data &amp; Analytics Analyst</t>
  </si>
  <si>
    <t>The Royal Bank of Scotland Group plc</t>
  </si>
  <si>
    <t>Closing date for applications: 10/07/2026
Location Chennai, India
Job typePermanent | Contract typeFull Time
#R-00280959
Job description
This role is based in India and as such all normal working days must be carried out in India.
Join us as a Data &amp; Analytics Analyst
Take on a ...</t>
  </si>
  <si>
    <t>https://www.glassdoor.co.in/job-listing/data-analytics-analyst-natwest-group-JV_IC2833209_KO0,22_KE23,36.htm?jl=1010180718556</t>
  </si>
  <si>
    <t>GD_1010128378644</t>
  </si>
  <si>
    <t>CapGemini SE</t>
  </si>
  <si>
    <t>https://www.glassdoor.co.in/job-listing/software-engineer-capgemini-JV_KO0,17_KE18,27.htm?jl=1010128378644</t>
  </si>
  <si>
    <t>GD_1010191011526</t>
  </si>
  <si>
    <t>Software Dev Engineer, Amazon Pay</t>
  </si>
  <si>
    <t>DESCRIPTION
AmazonPay, one of the fastest growing businesses of Amazon, enables e-commerce websites to accept, and customers to utilise the payment information stored in their Amazon.com accounts to pay for goods and services at sites off-Amazon. AmazonPay also enables customers ...</t>
  </si>
  <si>
    <t>https://www.glassdoor.co.in/job-listing/software-dev-engineer-amazon-pay-amazon-JV_KO0,32_KE33,39.htm?jl=1010191011526</t>
  </si>
  <si>
    <t>GD_1010006271334</t>
  </si>
  <si>
    <t>Full Stack Java Engineer</t>
  </si>
  <si>
    <t>Date live: 06/05/2026
Business Area: Customer Digital and Data
Area of Expertise: Technology
Contract: Permanent
Reference Code: JR-0000083957
Join us as a Gen AI and ML Engineer at Barclays, where you'll take part in the evolution of our digital landscape, driving innovation an...</t>
  </si>
  <si>
    <t>https://www.glassdoor.co.in/job-listing/full-stack-java-engineer-barclays-JV_IC2856202_KO0,24_KE25,33.htm?jl=1010006271334</t>
  </si>
  <si>
    <t>GD_1010143040402</t>
  </si>
  <si>
    <t>Delphi Developer</t>
  </si>
  <si>
    <t>About Us
KMSS India is a leading software company specialising in innovative solutions for the packaging industry. Our flagship product, SPOCS, is used by packaging manufacturers worldwide to streamline operations, enhance quality control, and drive digital transformation. With t...</t>
  </si>
  <si>
    <t>https://www.glassdoor.co.in/job-listing/delphi-developer-kmss-tech-india-pvt-ltd-JV_KO0,16_KE17,40.htm?jl=1010143040402</t>
  </si>
  <si>
    <t>GD_1010192125806</t>
  </si>
  <si>
    <t>U.S. Bancorp</t>
  </si>
  <si>
    <t>https://www.glassdoor.co.in/job-listing/software-engineer-us-bank-JV_IC2833209_KO0,17_KE18,25.htm?jl=1010192125806</t>
  </si>
  <si>
    <t>GD_1010164590402</t>
  </si>
  <si>
    <t>Lead Full Stack Engineer</t>
  </si>
  <si>
    <t>https://www.glassdoor.co.in/job-listing/lead-full-stack-engineer-optum-JV_KO0,24_KE25,30.htm?jl=1010164590402</t>
  </si>
  <si>
    <t>GD_1009781720318</t>
  </si>
  <si>
    <t>Software Engineer - Java,SQL - CHN</t>
  </si>
  <si>
    <t>Photon Infotech</t>
  </si>
  <si>
    <t>Location: Chennai 
Experience: 3 - 5 Years 
Java , Spring, Spring boot, Rest API and SQL would be the primary skill set. 
Knowledge about Cobol , AWS would be added advantage.</t>
  </si>
  <si>
    <t>https://www.glassdoor.co.in/job-listing/software-engineer-java-sql-chn-photon-JV_KO0,30_KE31,37.htm?jl=1009781720318</t>
  </si>
  <si>
    <t>GD_1010191785864</t>
  </si>
  <si>
    <t>https://www.glassdoor.co.in/job-listing/associate-software-engineer-capgemini-JV_KO0,27_KE28,37.htm?jl=1010191785864</t>
  </si>
  <si>
    <t>GD_1010181770843</t>
  </si>
  <si>
    <t>Blackhawk Network</t>
  </si>
  <si>
    <t>About Blackhawk Network: 
Today, through BHN’s single global platform, businesses of all kinds can tap into the world’s largest network of branded payment solutions. BHN helps businesses grow revenue, increase loyalty, motivate and reward their teams, disburse funds and engage co...</t>
  </si>
  <si>
    <t>https://www.glassdoor.co.in/job-listing/sr-software-engineer-blackhawk-network-JV_IC2940587_KO0,20_KE21,38.htm?jl=1010181770843</t>
  </si>
  <si>
    <t>GD_1010188213677</t>
  </si>
  <si>
    <t>MetLife, Inc.</t>
  </si>
  <si>
    <t>Job Responsibilities:
Modernize CI/CD using GitHub Actions, reusable workflows, templates, and standardized automation aligned to COE standards.
Administer and govern GitHub Enterprise, including repo onboarding, access models, branch protections, runners, and security controls.
...</t>
  </si>
  <si>
    <t>https://www.glassdoor.co.in/job-listing/software-platform-engineer-i-metlife-JV_IC2856202_KO0,28_KE29,36.htm?jl=1010188213677</t>
  </si>
  <si>
    <t>GD_1010134463282</t>
  </si>
  <si>
    <t>Job Description: 
Description: 
The Software Engineer is part of IIDPPT siglum located in India. He/she is responsible for the TDM and TDM related products here in India. Success of this position will require strong international collaboration with global Airbus teams. We are loo...</t>
  </si>
  <si>
    <t>https://www.glassdoor.co.in/job-listing/software-engineer-airbus-JV_KO0,17_KE18,24.htm?jl=1010134463282</t>
  </si>
  <si>
    <t>GD_1010179355675</t>
  </si>
  <si>
    <t>Infinite Computer Solutions (India) Limited</t>
  </si>
  <si>
    <t>.Net for API
Azure Event Grid
Azure Service Bus
Azure Communication Service (ACS)
Power Automate with Azure logic apps
Azure functions and Azure key vault
Qualifications
BE/B.Tech
Range of Year Experience-Min Year
5
Range of Year Experience-Max Year
8</t>
  </si>
  <si>
    <t>https://www.glassdoor.co.in/job-listing/senior-software-engineer-infinite-computer-solutions-JV_IC2940587_KO0,24_KE25,52.htm?jl=1010179355675</t>
  </si>
  <si>
    <t>GD_1010192125865</t>
  </si>
  <si>
    <t>https://www.glassdoor.co.in/job-listing/senior-software-engineer-us-bank-JV_IC2833209_KO0,24_KE25,32.htm?jl=1010192125865</t>
  </si>
  <si>
    <t>GD_1010170139132</t>
  </si>
  <si>
    <t>Engineer II - Software</t>
  </si>
  <si>
    <t>Microchip Technology Incorporated</t>
  </si>
  <si>
    <t>Are you looking for a unique opportunity to be a part of something great? Want to join a 17,000-member team that works on the technology that powers the world around us? Looking for an atmosphere of trust, empowerment, respect, diversity, and communication? How about an opportuni...</t>
  </si>
  <si>
    <t>https://www.glassdoor.co.in/job-listing/engineer-ii-software-microchip-technology-JV_IC2833209_KO0,20_KE21,41.htm?jl=1010170139132</t>
  </si>
  <si>
    <t>GD_1010191918194</t>
  </si>
  <si>
    <t>Oracle Corporation</t>
  </si>
  <si>
    <t>https://www.glassdoor.co.in/job-listing/application-software-engineer-2-hdi-oracle-JV_KO0,35_KE36,42.htm?jl=1010191918194</t>
  </si>
  <si>
    <t>GD_1010189347572</t>
  </si>
  <si>
    <t>Software Engineer ( Remote - India)|0–3 Years Experience | xVector Labs
We are building a no-code-first platform for developing and deploying governed, agentic AI data applications. Based in New York, we’re a fast-moving startup where builders thrive, and ideas turn into impact q...</t>
  </si>
  <si>
    <t>https://www.glassdoor.co.in/job-listing/software-engineer-xvector-labs-inc-JV_KO0,17_KE18,34.htm?jl=1010189347572</t>
  </si>
  <si>
    <t>GD_1010182406644</t>
  </si>
  <si>
    <t>Software Engineer ENDUR</t>
  </si>
  <si>
    <t>Royal Dutch Shell plc</t>
  </si>
  <si>
    <t>, India
Job Family Group: 
Information Technology (IT)
Worker Type: 
Regular
Posting Start Date: 
June 29, 2026
Business Unit: 
Projects and Technology
Experience Level: 
Experienced Professionals
Job Description: 
Where you fit? 
Shell Trading and Supply is the world's lar...</t>
  </si>
  <si>
    <t>https://www.glassdoor.co.in/job-listing/software-engineer-endur-shell-JV_IC2940587_KO0,23_KE24,29.htm?jl=1010182406644</t>
  </si>
  <si>
    <t>GD_1009704436666</t>
  </si>
  <si>
    <t>Software Engineer -JAVA</t>
  </si>
  <si>
    <t>Kizora Software Private Limited</t>
  </si>
  <si>
    <t>Location: Nagpur, IN 
Required: 3+ years of experience
Responsibilities
Develop robust backend services and APIs using Java 21, ensuring clean, scalable, and testable code. 
Implement efficient ORM layers and manage relational data with Hibernate and MySQL, including schema desi...</t>
  </si>
  <si>
    <t>https://www.glassdoor.co.in/job-listing/software-engineer-java-kizora-software-JV_IC2951950_KO0,22_KE23,38.htm?jl=1009704436666</t>
  </si>
  <si>
    <t>GD_1010191070947</t>
  </si>
  <si>
    <t>Responsible for programing a component, feature and or feature set. Works independently and contributes to the immediate team and to other teams across business. You will also contribute to design discussions. 
Job Description
Roles and Responsibilities
In this role, you will: 
C...</t>
  </si>
  <si>
    <t>https://www.glassdoor.co.in/job-listing/software-engineer-ge-vernova-JV_KO0,17_KE18,28.htm?jl=1010191070947</t>
  </si>
  <si>
    <t>GD_1010101397876</t>
  </si>
  <si>
    <t>Technology Xpress Info Solution Pvt. Ltd.</t>
  </si>
  <si>
    <t>Job Summary: Design, develop, and maintain scalable software solutions, leveraging expertise in programming languages and frameworks. Lead the technical direction of projects, mentor junior team members, and drive innovation to meet business objectives.
0-5 Yrs
3-5 Lacs /Year
Pun...</t>
  </si>
  <si>
    <t>https://www.glassdoor.co.in/job-listing/senior-software-engineer-technology-xpress-info-solution-JV_IC2856202_KO0,24_KE25,56.htm?jl=1010101397876</t>
  </si>
  <si>
    <t>GD_1010139798233</t>
  </si>
  <si>
    <t>Software Developers/Software Engineer</t>
  </si>
  <si>
    <t>Aroopa, Inc</t>
  </si>
  <si>
    <t>Princeton | Full Time
Design, develop, and maintain web applications and backend services using Java, J2EE, Spring, and relational databases.
Collaborate with stakeholders to gather requirements and implement scalable application architectures.
Optimize applications for performan...</t>
  </si>
  <si>
    <t>https://www.glassdoor.co.in/job-listing/software-developers-software-engineer-aroopa-JV_KO0,37_KE38,44.htm?jl=1010139798233</t>
  </si>
  <si>
    <t>GD_1009869034477</t>
  </si>
  <si>
    <t>Entry Level Software Engineer</t>
  </si>
  <si>
    <t>Eshiam Software Pvt. Ltd.
We help organizations with Identity and Access Management (IAM). IAM is a complex task for many organizations, and Eshiam can help with both implementation and ongoing support. 
Eshiam offers a variety of services, including end-to-end IAM implementation...</t>
  </si>
  <si>
    <t>https://www.glassdoor.co.in/job-listing/entry-level-software-engineer-eshiam-JV_KO0,29_KE30,36.htm?jl=1009869034477</t>
  </si>
  <si>
    <t>GD_1009782562812</t>
  </si>
  <si>
    <t>PayU</t>
  </si>
  <si>
    <t>About the Team 
This team is a dynamic and collaborative group of skilled professionals dedicated to building scalable, secure and high-performance software solutions. We follow Agile methodologies, leverage modern techniques and prioritize innovation to solve complex technical ...</t>
  </si>
  <si>
    <t>https://www.glassdoor.co.in/job-listing/software-engineer-payu-JV_KO0,17_KE18,22.htm?jl=1009782562812</t>
  </si>
  <si>
    <t>GD_1010166523314</t>
  </si>
  <si>
    <t>https://www.glassdoor.co.in/job-listing/software-development-engineer-rockwell-automation-JV_KO0,29_KE30,49.htm?jl=1010166523314</t>
  </si>
  <si>
    <t>GD_1010189270738</t>
  </si>
  <si>
    <t>Cisco Systems, Inc.</t>
  </si>
  <si>
    <t>Meet the Team 
Our Incident Command Software Engineering team is a diverse and hardworking group that shares a passion for sophisticated software and computer security. We stay a step ahead of the evolving threat landscape in an AI-enabled, fast-paced Agile environment, combining...</t>
  </si>
  <si>
    <t>https://www.glassdoor.co.in/job-listing/software-engineer-cisco-systems-JV_IC2940587_KO0,17_KE18,31.htm?jl=1010189270738</t>
  </si>
  <si>
    <t>GD_1010158193301</t>
  </si>
  <si>
    <t>Date live: 06/05/2026
Business Area: Corporate Digital Banking
Area of Expertise: Technology
Contract: Permanent
Reference Code: JR-0000106195
Join us as a Java AWS Engineer at Barclays, where you'll take part in the evolution of our digital landscape, driving innovation and exc...</t>
  </si>
  <si>
    <t>https://www.glassdoor.co.in/job-listing/software-engineer-barclays-JV_IC2856202_KO0,17_KE18,26.htm?jl=1010158193301</t>
  </si>
  <si>
    <t>GD_1010188128231</t>
  </si>
  <si>
    <t>Software Development Engineer I, IN Payments, Use Cases -Tech</t>
  </si>
  <si>
    <t>DESCRIPTION
It's still Day 1 at Amazon IN Payments, and we're at the beginning of building out an entire suite of rendering technologies that can standardize the way UX components interact and their look and feel on Amazon Pay pages. PayUI is a greenfield initiative in Amazon Pay...</t>
  </si>
  <si>
    <t>https://www.glassdoor.co.in/job-listing/software-development-engineer-i-in-payments-use-cases-tech-amazon-JV_IC2940587_KO0,58_KE59,65.htm?jl=1010188128231</t>
  </si>
  <si>
    <t>GD_1008358646219</t>
  </si>
  <si>
    <t>CIS Automation Pte. Ltd.</t>
  </si>
  <si>
    <t>Join our team as a Software Engineer and work on cutting-edge web. You'll be responsible for designing, developing, and testing scalable, secure, and efficient software solutions. Collaborate with experts, ensure high-quality delivery, and drive innovation in every project. 
Role...</t>
  </si>
  <si>
    <t>https://www.glassdoor.co.in/job-listing/software-engineer-cis-automation-pte-ltd-JV_KO0,17_KE18,40.htm?jl=1008358646219</t>
  </si>
  <si>
    <t>GD_1010183680098</t>
  </si>
  <si>
    <t>Junior Developer</t>
  </si>
  <si>
    <t>Mouser Electronics, Inc.</t>
  </si>
  <si>
    <t>Understand Develop, Test/Debug and Support based on business needs and defined projects. 
Capabilities not restricting to documentation of automation processes and technical solutions clearly. 
When required, it will contribute to the problem solving, troubleshooting and debuggin...</t>
  </si>
  <si>
    <t>https://www.glassdoor.co.in/job-listing/junior-developer-mouser-electronics-JV_IC2856202_KO0,16_KE17,35.htm?jl=1010183680098</t>
  </si>
  <si>
    <t>GD_1010148427992</t>
  </si>
  <si>
    <t>Engineer Software Development Technology Systems</t>
  </si>
  <si>
    <t>Rohde &amp; Schwarz GmbH &amp; Co. KG</t>
  </si>
  <si>
    <t>Kontakt
Your Rohde &amp; Schwarz recruiting team is looking forward to receiving your application.
Info
Stadt/Region
New Delhi (Indien)
Einstiegslevel
Praktikant*innen
Beschäftigungsart
Vollzeit, unbefristet
Ref. Nummer
16619
mehr
Your tasks
Design &amp; Architecture: Creating technical ...</t>
  </si>
  <si>
    <t>https://www.glassdoor.co.in/job-listing/engineer-software-development-technology-systems-rohde-schwarz-JV_KO0,48_KE49,62.htm?jl=1010148427992</t>
  </si>
  <si>
    <t>GD_1005863473199</t>
  </si>
  <si>
    <t>Software Development Engineer I - SDE I</t>
  </si>
  <si>
    <t>Pinnacle Consultz</t>
  </si>
  <si>
    <t>Responsibilities 
He/She will be responsible for writing maintainable, unit-tested code to solve business problems in an agile and fast-faced environment. As a senior engineer you should have solid skills in developing object-oriented models and design data structures for new req...</t>
  </si>
  <si>
    <t>https://www.glassdoor.co.in/job-listing/software-development-engineer-i-sde-i-pinnacle-consultz-JV_IC2940587_KO0,37_KE38,55.htm?jl=1005863473199</t>
  </si>
  <si>
    <t>GD_1010175988922</t>
  </si>
  <si>
    <t>Meet the Team 
Join a dynamic and impactful team responsible for the critical sales planning and product master data mgmt. applications (Sales Hierarchy Mgmt. (SHARE), Access Mgmt. (IAM), Account Team Directory (ATD), Seller to SAV and Product Master Data Mgmt. (eGenie&amp; HMP) that...</t>
  </si>
  <si>
    <t>https://www.glassdoor.co.in/job-listing/software-engineer-cisco-systems-JV_IC2940587_KO0,17_KE18,31.htm?jl=1010175988922</t>
  </si>
  <si>
    <t>GD_1009605810137</t>
  </si>
  <si>
    <t>SOFTWARE ENGINEER</t>
  </si>
  <si>
    <t>PayCraft Solutions Pvt. Ltd</t>
  </si>
  <si>
    <t>Belāpur</t>
  </si>
  <si>
    <t>PayCraft is a young enterprising startup founded in 2013. Our young and dynamic team has been able to create a buzz in the Indian Fintech space through the innovative use of technology and leveraged the power of ideas.
As we grow, we are looking for highly skilled professionals w...</t>
  </si>
  <si>
    <t>https://www.glassdoor.co.in/job-listing/software-engineer-paycraft-solutions-JV_IC2859963_KO0,17_KE18,36.htm?jl=1009605810137</t>
  </si>
  <si>
    <t>GD_1010188029697</t>
  </si>
  <si>
    <t>Tesco PLC</t>
  </si>
  <si>
    <t>About the role
We are looking for an experienced Data Engineering Developer (SDE2) to design and build scalable, high-performance data solutions. The ideal candidate will have strong expertise in Apache Spark, Databricks, and Scala, with a passion for building reliable data pipel...</t>
  </si>
  <si>
    <t>https://www.glassdoor.co.in/job-listing/software-development-engineer-ii-tesco-JV_IC2940587_KO0,32_KE33,38.htm?jl=1010188029697</t>
  </si>
  <si>
    <t>GD_1010190950389</t>
  </si>
  <si>
    <t>Meet the Team 
Join the Supply Chain Plan IT at Cisco and help drive innovation in our Supply Chain IT systems. We’re seeking creative, passionate individuals ready for new challenges and eager to make a significant impact. As part of the team, you’ll work with cutting-edge techn...</t>
  </si>
  <si>
    <t>https://www.glassdoor.co.in/job-listing/software-engineer-cisco-systems-JV_KO0,17_KE18,31.htm?jl=1010190950389</t>
  </si>
  <si>
    <t>GD_1009929220623</t>
  </si>
  <si>
    <t>Project Role : Software Development Engineer
Project Role Description : Analyze, design, code and test multiple components of application code across one or more clients. Perform maintenance, enhancements and/or development work. 
Must have skills : SAP ABAP Development for HANA
...</t>
  </si>
  <si>
    <t>https://www.glassdoor.co.in/job-listing/software-development-engineer-accenture-JV_KO0,29_KE30,39.htm?jl=1009929220623</t>
  </si>
  <si>
    <t>GD_1010095597064</t>
  </si>
  <si>
    <t>https://www.glassdoor.co.in/job-listing/custom-software-engineer-accenture-JV_KO0,24_KE25,34.htm?jl=1010095597064</t>
  </si>
  <si>
    <t>GD_1010132414330</t>
  </si>
  <si>
    <t>Software Development Engineer II - FinTech, FinTech</t>
  </si>
  <si>
    <t>DESCRIPTION
Enabling Amazon’s explosive growth requires top talent in our Finance Technology (FinTech) organization. FinTech is seeking a Software Development Engineer to be a part of Thunder team.
At FinTech we ingest millions of transactions and pay out billions of dollars to ...</t>
  </si>
  <si>
    <t>https://www.glassdoor.co.in/job-listing/software-development-engineer-ii-fintech-fintech-amazon-JV_KO0,48_KE49,55.htm?jl=1010132414330</t>
  </si>
  <si>
    <t>GD_1010161102591</t>
  </si>
  <si>
    <t>Senior PHP Developer</t>
  </si>
  <si>
    <t>SysCorp Technology Private Limited</t>
  </si>
  <si>
    <t>WE ARE HIRING – PHP Laravel Developer (EXPERIENCED)
Company: Syscorp Technology Private Limited
Location: Puducherry
Work Mode: Work From Office Only
Position: Senior PHP Laravel Developer
Job Summary:
We are looking for a highly experienced Senior PHP Laravel Developer with stro...</t>
  </si>
  <si>
    <t>https://www.glassdoor.co.in/job-listing/senior-php-developer-syscorp-technology-JV_KO0,20_KE21,39.htm?jl=1010161102591</t>
  </si>
  <si>
    <t>GD_1010154687661</t>
  </si>
  <si>
    <t>ATS Corporation</t>
  </si>
  <si>
    <t>We are looking for a Software Engineer with 3–5 years of experience in full-stack development and AI solutions to drive digital transformation in Legal Technology. This role bridges legal operations and Microsoft-based engineering, focusing on building and scaling AI-powered work...</t>
  </si>
  <si>
    <t>https://www.glassdoor.co.in/job-listing/software-engineer-ats-corporation-JV_IC2940587_KO0,17_KE18,33.htm?jl=1010154687661</t>
  </si>
  <si>
    <t>GD_1010137931149</t>
  </si>
  <si>
    <t>BP p.l.c.</t>
  </si>
  <si>
    <t>Entity: 
Technology
Job Family Group: 
IT&amp;S Group
Job Description: 
Work location Pune, India
You will work with
The bp pulse eMSP team plays a critical role in supporting BP’s ambition to achieve “Net Zero by 2050”. We provide the mobile application and all of the customer fac...</t>
  </si>
  <si>
    <t>https://www.glassdoor.co.in/job-listing/software-engineer-bp-JV_IC2856202_KO0,17_KE18,20.htm?jl=1010137931149</t>
  </si>
  <si>
    <t>GD_1008793744612</t>
  </si>
  <si>
    <t>Dhāka</t>
  </si>
  <si>
    <t>About this Role
You'll be working with some of the best individuals in the field in an awesome environment – somewhere that people genuinely love working. 
The ideal candidate should be able to write clean, reusable code, and be keen to expand their skillset. 
Key skills
1+ year...</t>
  </si>
  <si>
    <t>https://www.glassdoor.co.in/job-listing/software-engineer-kickbackapps-JV_IC2905737_KO0,17_KE18,30.htm?jl=1008793744612</t>
  </si>
  <si>
    <t>GD_1010079878991</t>
  </si>
  <si>
    <t>Lead Software Engineer - Java Frontend</t>
  </si>
  <si>
    <t>Responsibilities 
Job description: 
Our team Data-as-a-service is expanding, and we need 3 big data experts to join us! 
Today we manage SG Data platform service offers and data tools: 
Data ingestion: to ingest the data from a data source 
Data processing: to process, transform ...</t>
  </si>
  <si>
    <t>https://www.glassdoor.co.in/job-listing/lead-software-engineer-java-frontend-société-générale-JV_KO0,36_KE37,53.htm?jl=1010079878991</t>
  </si>
  <si>
    <t>GD_1010077381235</t>
  </si>
  <si>
    <t>Software Engineer – Rust</t>
  </si>
  <si>
    <t xml:space="preserve">Finzly </t>
  </si>
  <si>
    <t>Software Engineer – Rust
Location
Pune
Work format
Full Time
Experience level
7+ years
About Finzly:
Headquartered in Charlotte, NC, and founded in 2012 by visionary minds shaping the future of banking and payments in the US, Finzly makes bank transformation radically simple. Our...</t>
  </si>
  <si>
    <t>https://www.glassdoor.co.in/job-listing/software-engineer-rust-finzly-JV_KO0,22_KE23,29.htm?jl=1010077381235</t>
  </si>
  <si>
    <t>GD_1010088051073</t>
  </si>
  <si>
    <t>KLA Corporation</t>
  </si>
  <si>
    <t>Company Overview 
KLA is a global leader in diversified electronics for the semiconductor manufacturing ecosystem. Virtually every electronic device in the world is produced using our technologies. No laptop, smartphone, wearable device, voice-controlled gadget, flexible screen, ...</t>
  </si>
  <si>
    <t>https://www.glassdoor.co.in/job-listing/software-engineer-kla-JV_KO0,17_KE18,21.htm?jl=1010088051073</t>
  </si>
  <si>
    <t>GD_1010148914871</t>
  </si>
  <si>
    <t>ERPNext Developer (Junior)</t>
  </si>
  <si>
    <t>Desirous Global Consulting Pvt Ltd..</t>
  </si>
  <si>
    <t>IT Full-Time Job ID: DGC01170 
Chennai, Tamil Nadu 2-3 Yrs ₹250000 - ₹400000 Yearly 
Key Responsibilities
Develop and customize Frappe/ERPNext applications to meet client requirements
Build custom modules, reports, dashboards, and workflows
Write clean, efficient, and scalable Py...</t>
  </si>
  <si>
    <t>https://www.glassdoor.co.in/job-listing/erpnext-developer-junior-desirous-global-consulting-JV_IC2833209_KO0,24_KE25,51.htm?jl=1010148914871</t>
  </si>
  <si>
    <t>GD_1010187976006</t>
  </si>
  <si>
    <t>Software Engineering Senior Analyst - HIH - Evernorth</t>
  </si>
  <si>
    <t>Cigna Corporation</t>
  </si>
  <si>
    <t>Software Engineering Senior Analyst
Evernorth, a leading Health Services company, is looking for exceptional engineers/developers in our Data and Analytics organization. In this role, you will actively participate with your development team on initiatives that support Evernorth'...</t>
  </si>
  <si>
    <t>https://www.glassdoor.co.in/job-listing/software-engineering-senior-analyst-hih-evernorth-the-cigna-group-JV_KO0,49_KE50,65.htm?jl=1010187976006</t>
  </si>
  <si>
    <t>GD_1010128029582</t>
  </si>
  <si>
    <t>Barry-Wehmiller Companies, Inc.</t>
  </si>
  <si>
    <t>About Us: 
BW Design Group is a fully integrated architecture, engineering, construction, system integration, and consulting firm committed to helping our clients realize their most critical goals from Strategy to Commercialization. As the only firm born from a manufacturing tech...</t>
  </si>
  <si>
    <t>https://www.glassdoor.co.in/job-listing/senior-software-engineer-barry-wehmiller-JV_KO0,24_KE25,40.htm?jl=1010128029582</t>
  </si>
  <si>
    <t>GD_1010087854774</t>
  </si>
  <si>
    <t xml:space="preserve">Varex Imaging </t>
  </si>
  <si>
    <t>To apply to a Varex Imaging position, please create an account and sign-in.
CURRENT VAREX IMAGING EMPLOYEES: Please apply by logging into your internal Workday Account.
Summary
We are looking for a talented and motivated Software Engineer to contribute to the development of advan...</t>
  </si>
  <si>
    <t>https://www.glassdoor.co.in/job-listing/software-engineer-varex-imaging-JV_IC2856202_KO0,17_KE18,31.htm?jl=1010087854774</t>
  </si>
  <si>
    <t>GD_1010096903924</t>
  </si>
  <si>
    <t>Siemens AG</t>
  </si>
  <si>
    <t>Hello eager tech expert!
We provide support in Project Services and Transformation, Digital Solutions and Delivery Management.
We offer joint operations and digitalization services for Global Business Services and work closely alongside the entire Shared Services organization. We...</t>
  </si>
  <si>
    <t>https://www.glassdoor.co.in/job-listing/software-engineer-siemens-JV_IC2940587_KO0,17_KE18,25.htm?jl=1010096903924</t>
  </si>
  <si>
    <t>GD_1010079292821</t>
  </si>
  <si>
    <t>Pearson plc</t>
  </si>
  <si>
    <t>Role Summary 
We are seeking an experienced Salesforce Developer with approximately 4 years of hands-on expertise in designing, developing, and supporting Salesforce solutions. The ideal candidate will build scalable customizations, contribute to solution design, and help impleme...</t>
  </si>
  <si>
    <t>https://www.glassdoor.co.in/job-listing/software-engineer-ii-pearson-JV_KO0,20_KE21,28.htm?jl=1010079292821</t>
  </si>
  <si>
    <t>GD_1010162585916</t>
  </si>
  <si>
    <t xml:space="preserve">Finastra </t>
  </si>
  <si>
    <t>Who are we? 
At Finastra, we’re a global leader in financial services software, dedicated to expanding access to financial services and shaping what’s next for the industry. Our technology powers mission‑critical solutions across Lending, Payments and Universal Banking, supportin...</t>
  </si>
  <si>
    <t>https://www.glassdoor.co.in/job-listing/software-engineer-finastra-JV_IC2856202_KO0,17_KE18,26.htm?jl=1010162585916</t>
  </si>
  <si>
    <t>GD_1010192165325</t>
  </si>
  <si>
    <t>Salem</t>
  </si>
  <si>
    <t>https://www.glassdoor.co.in/job-listing/junior-backend-engineer-airavad-web-solutions-JV_IC2830069_KO0,23_KE24,45.htm?jl=1010192165325</t>
  </si>
  <si>
    <t>GD_1010162323462</t>
  </si>
  <si>
    <t>The Software Engineer will work closely with other software developers to develop and maintain different Desktop and cloud applications at ATS. This role is ideal for students or recent graduates of Computer Science and related Engineering fields.
Responsibilities
Cloud Applicati...</t>
  </si>
  <si>
    <t>https://www.glassdoor.co.in/job-listing/software-engineer-ats-corporation-JV_KO0,17_KE18,33.htm?jl=1010162323462</t>
  </si>
  <si>
    <t>GD_1010141392675</t>
  </si>
  <si>
    <t>ReactJS Developer</t>
  </si>
  <si>
    <t>Gāndhīnagar</t>
  </si>
  <si>
    <t>Role and Responsibility
As a Frontend Developer with a focus on creating responsive and engaging user interfaces, you will be responsible for using a range of frontend technologies, including HTML, CSS, JavaScript, ES6/ES7, and the React.js/Next.js framework. Your main tasks will...</t>
  </si>
  <si>
    <t>https://www.glassdoor.co.in/job-listing/reactjs-developer-accel-fintech-pvt-ltd-JV_IC2930390_KO0,17_KE18,39.htm?jl=1010141392675</t>
  </si>
  <si>
    <t>GD_1008242226212</t>
  </si>
  <si>
    <t>React Js Developer</t>
  </si>
  <si>
    <t>Skills: Webpack | Redux | Flux | Enzyme | React.js 
Qualification: Any Graduation with Excellent Communication
Experience: 2 – 3 Years &amp; 4 – 6 Years
Job Description: 1. Good experience on JavaScript, CSS, HTML, and front-end languages. Knowledge of REACT tools including React.js,...</t>
  </si>
  <si>
    <t>https://www.glassdoor.co.in/job-listing/react-js-developer-kanmalai-technologies-JV_IC2836047_KO0,18_KE19,40.htm?jl=1008242226212</t>
  </si>
  <si>
    <t>GD_1010083813321</t>
  </si>
  <si>
    <t>MTS 2, Software Engineer</t>
  </si>
  <si>
    <t>eBay inc.</t>
  </si>
  <si>
    <t>JOB DESCRIPTION 
At eBay, we're more than a global ecommerce leader — we’re changing the way the world shops and sells. Our platform empowers millions of buyers and sellers in more than 190 markets around the world. We’re committed to pushing boundaries and leaving our mark as we...</t>
  </si>
  <si>
    <t>https://www.glassdoor.co.in/job-listing/mts-2-software-engineer-ebay-JV_KO0,23_KE24,28.htm?jl=1010083813321</t>
  </si>
  <si>
    <t>GD_1010172389052</t>
  </si>
  <si>
    <t>MB.OS Cloud Backend developer</t>
  </si>
  <si>
    <t>Tätigkeitsbereich:Forschung &amp; Entwicklung incl. Design
Fachabteilung:Infotainment, UI, Interior sensing
Gesellschaft:Mercedes-Benz Research and Development India Private Limited
Standort:Mercedes-Benz Research and Development India Private Limited, Bangalore
Startdatum:sofort
Ver...</t>
  </si>
  <si>
    <t>https://www.glassdoor.co.in/job-listing/mb-os-cloud-backend-developer-mercedes-benz-group-JV_KO0,29_KE30,49.htm?jl=1010172389052</t>
  </si>
  <si>
    <t>GD_1010192125842</t>
  </si>
  <si>
    <t>https://www.glassdoor.co.in/job-listing/software-engineer-react-us-bank-JV_IC2833209_KO0,23_KE24,31.htm?jl=1010192125842</t>
  </si>
  <si>
    <t>GD_1010012601690</t>
  </si>
  <si>
    <t>Java Full stack Developer - React JS</t>
  </si>
  <si>
    <t>https://www.glassdoor.co.in/job-listing/java-full-stack-developer-react-js-citi-JV_IC2856202_KO0,34_KE35,39.htm?jl=1010012601690</t>
  </si>
  <si>
    <t>GD_1010181511679</t>
  </si>
  <si>
    <t>Website Developer (WordPress, Elementor &amp; Digital Content)</t>
  </si>
  <si>
    <t>Thrissur</t>
  </si>
  <si>
    <t>Website Developer (WordPress, Elementor &amp; AI Tools)
About Us
Dr Jennys Jeevanam Philosophy Private Limited is a growing healthcare company based in Kerala.
Our company operates:
Jeevanam Natural Hygiene Center – A 29-bedded Natural Hygiene &amp; Naturopathy Hospital
Jennismatix – Our...</t>
  </si>
  <si>
    <t>https://www.glassdoor.co.in/job-listing/website-developer-wordpress-elementor-digital-content-jeevanam-natural-hygiene-center-dr-jennys-jeevanam-philosophy-pvt-ltd-JV_IC2867866_KO0,53_KE54,123.htm?jl=1010181511679</t>
  </si>
  <si>
    <t>GD_1010181700255</t>
  </si>
  <si>
    <t>Mensa Brands Technologies Pvt Ltd</t>
  </si>
  <si>
    <t>About the Role
We are looking for a Frontend Developer with strong expertise in Angular and working knowledge of React to build scalable, high-performance web applications. The ideal candidate should have experience developing responsive user interfaces, collaborating with cross-...</t>
  </si>
  <si>
    <t>https://www.glassdoor.co.in/job-listing/frontend-developer-mensa-brands-JV_IC2940587_KO0,18_KE19,31.htm?jl=1010181700255</t>
  </si>
  <si>
    <t>GD_1010180341623</t>
  </si>
  <si>
    <t>Front-end Engineer - GPP/P2G</t>
  </si>
  <si>
    <t>https://www.glassdoor.co.in/job-listing/front-end-engineer-gpp-p2g-finastra-JV_IC2856202_KO0,26_KE27,35.htm?jl=1010180341623</t>
  </si>
  <si>
    <t>GD_1010187955806</t>
  </si>
  <si>
    <t>Khelo Tech and Strategy Private Limited</t>
  </si>
  <si>
    <t>Bambolim</t>
  </si>
  <si>
    <t>Company: Khelo Tech &amp; Strategy Private Limited
Experience: 3+ Years (excluding internships)
Location: Bambolim, Goa
Employment Type: Contractual, 1 Year - (extendable every 6 months based on project requirements, deliverables, and individual performance)
Work Mode: On-site (Mon-S...</t>
  </si>
  <si>
    <t>https://www.glassdoor.co.in/job-listing/frontend-developer-khelo-tech-and-strategy-JV_IC2843636_KO0,18_KE19,42.htm?jl=1010187955806</t>
  </si>
  <si>
    <t>GD_1010098871483</t>
  </si>
  <si>
    <t>Chennai 5+ Years Full-time Modern Frontend Development with React &amp; Next.js, UI Engineering, Design Systems &amp; Performance Optimization OPT0261
Job Description
Develop and maintain user-facing features using React.js and Next.js with high performance and responsiveness.
Write cle...</t>
  </si>
  <si>
    <t>https://www.glassdoor.co.in/job-listing/frontend-engineer-optimum-solutions-JV_KO0,17_KE18,35.htm?jl=1010098871483</t>
  </si>
  <si>
    <t>GD_1010172515977</t>
  </si>
  <si>
    <t>Frontend Developer - P M</t>
  </si>
  <si>
    <t>Cigres Technologies Private Limited</t>
  </si>
  <si>
    <t>Required Skills:
SvelteKit
ReactJS
JavaScript
HTML/CSS
RESTful APIs
Frontend Build Tools
Git
Nice to Have:
Angular
Java
Job Title: Frontend Developer - DDC Location: Bangalore Job Type: Contract Job Description: We are seeking an experienced Senior Frontend Developer to lead th...</t>
  </si>
  <si>
    <t>https://www.glassdoor.co.in/job-listing/frontend-developer-pm-cigres-technologies-JV_IC2940587_KO0,21_KE22,41.htm?jl=1010172515977</t>
  </si>
  <si>
    <t>GD_1010178034141</t>
  </si>
  <si>
    <t>Full Stack Developer - Angular and .NET</t>
  </si>
  <si>
    <t>Key Responsibilities:
Design, develop, and maintain web applications using .Net, Angular, and SQL.
Collaborate with cross-functional teams to define, design, and ship new features.
Optimize applications for maximum speed and scalability.
Write clean, scalable code using .NET prog...</t>
  </si>
  <si>
    <t>https://www.glassdoor.co.in/job-listing/full-stack-developer-angular-and-net-wworks-JV_KO0,36_KE37,43.htm?jl=1010178034141</t>
  </si>
  <si>
    <t>GD_1009807978046</t>
  </si>
  <si>
    <t>Frontend Web App Development</t>
  </si>
  <si>
    <t>REVOtic Engineering</t>
  </si>
  <si>
    <t>Internship Duration 
Two Months / 40 Days / 240 Hours 
Internship Details 
As a intern you will get complete training on frontend web app development. You will learn HTML framework creation, CSS and SCSS styling, Javascript and Javascript based libraries. You will learn to develo...</t>
  </si>
  <si>
    <t>https://www.glassdoor.co.in/job-listing/frontend-web-app-development-revotic-engineering-JV_KO0,28_KE29,48.htm?jl=1009807978046</t>
  </si>
  <si>
    <t>GD_1010087875504</t>
  </si>
  <si>
    <t>Frontend / Webflow Developer</t>
  </si>
  <si>
    <t>MetaDesign Solutions</t>
  </si>
  <si>
    <t>Frontend / Webflow Developer 
Company: MetaDesign Solutions ( metadesignsolutions.com ) 
Location: Gurugram 
Mode: Work from Office (5 days a week) 
Experience: 3–5 Years
Position Overview 
MetaDesign Solutions is looking for a skilled Frontend / Webflow Developer who can build ...</t>
  </si>
  <si>
    <t>https://www.glassdoor.co.in/job-listing/frontend-webflow-developer-metadesign-solutions-JV_IC2921225_KO0,26_KE27,47.htm?jl=1010087875504</t>
  </si>
  <si>
    <t>GD_1007649131636</t>
  </si>
  <si>
    <t>Front-End Javascript Developer</t>
  </si>
  <si>
    <t>Vanilla Networks Pvt Ltd</t>
  </si>
  <si>
    <t>Location : Anywhere in India 
Job description
Are you a passionate front-end/Javascript coder who loves to learn about new technologies as well? We are looking for talented Javascript coders who can harness the power of diverse technologies to deliver outstanding solutions to our...</t>
  </si>
  <si>
    <t>https://www.glassdoor.co.in/job-listing/front-end-javascript-developer-vanilla-networks-JV_KO0,30_KE31,47.htm?jl=1007649131636</t>
  </si>
  <si>
    <t>GD_1010164085663</t>
  </si>
  <si>
    <t>Senior Angular Frontend Developer - Assistant Vice President</t>
  </si>
  <si>
    <t>https://www.glassdoor.co.in/job-listing/senior-angular-frontend-developer-assistant-vice-president-citi-JV_KO0,58_KE59,63.htm?jl=1010164085663</t>
  </si>
  <si>
    <t>GD_1010189376313</t>
  </si>
  <si>
    <t>Sr Software Engineer (Frontend)</t>
  </si>
  <si>
    <t>Siemens Healthcare GmbH</t>
  </si>
  <si>
    <t>At Siemens Healthineers, we bring together the world's best talent to realize our vision of a world without fear of cancer. Together, we work passionately to develop and deliver easy-to-use, efficient oncology solutions. We are part of an incredible community of scientists, clini...</t>
  </si>
  <si>
    <t>https://www.glassdoor.co.in/job-listing/sr-software-engineer-frontend-siemens-healthineers-JV_IC2856202_KO0,29_KE30,50.htm?jl=1010189376313</t>
  </si>
  <si>
    <t>GD_1010161721779</t>
  </si>
  <si>
    <t>Frontend Software Engineer</t>
  </si>
  <si>
    <t>Tesla, Inc.</t>
  </si>
  <si>
    <t>Position Description
You will be working with fellow software engineers focused on building out Tesla's internal tools that facilitate process management of the design, permitting, and installation of energy products and systems. This team is focused on building a stable and scal...</t>
  </si>
  <si>
    <t>https://www.glassdoor.co.in/job-listing/frontend-software-engineer-tesla-JV_KO0,26_KE27,32.htm?jl=1010161721779</t>
  </si>
  <si>
    <t>GD_1010164982406</t>
  </si>
  <si>
    <t>Lead Product Software Engineer - React.js/NodeJS/AngularJS</t>
  </si>
  <si>
    <t>Wolters Kluwer nv</t>
  </si>
  <si>
    <t>BASIC FUNCTION
A Development Lead plays a crucial role in ensuring the successful delivery of software projects by combining technical expertise
with leadership and management skills to guide and support their team throughout the development lifecycle. They must
simultaneously be...</t>
  </si>
  <si>
    <t>https://www.glassdoor.co.in/job-listing/lead-product-software-engineer-react-js-nodejs-angularjs-wolters-kluwer-JV_IC2856202_KO0,56_KE57,71.htm?jl=1010164982406</t>
  </si>
  <si>
    <t>GD_1010175468610</t>
  </si>
  <si>
    <t>HOURLY</t>
  </si>
  <si>
    <t>We're looking for a detail-oriented Frontend Component Developer with solid experience in JavaScript frameworks, component-driven development and utility-first CSS. You'll enjoy the craft of building reusable UI, taking pride in clean APIs, thorough documentation and pixel-perfec...</t>
  </si>
  <si>
    <t>https://www.glassdoor.co.in/job-listing/senior-front-end-developer-verixans-technologies-JV_KO0,26_KE27,48.htm?jl=1010175468610</t>
  </si>
  <si>
    <t>GD_1010169982642</t>
  </si>
  <si>
    <t>Senior Digital Engineer (Frontend)</t>
  </si>
  <si>
    <t>Mott MacDonald Group Limited</t>
  </si>
  <si>
    <t>Locations
Bengaluru, India / Noida, India
Country
India
Contract type
Permanent
Work pattern
Full Time
Market
Various
Discipline
Digital design
Job ref
14750
Recruiter contact
Garima Rai
Mott MacDonald is a global engineering, management, and development consultancy committed to...</t>
  </si>
  <si>
    <t>https://www.glassdoor.co.in/job-listing/senior-digital-engineer-frontend-mott-macdonald-JV_IC2940587_KO0,32_KE33,47.htm?jl=1010169982642</t>
  </si>
  <si>
    <t>GD_1010180516798</t>
  </si>
  <si>
    <t>React JS Engr.</t>
  </si>
  <si>
    <t>Req ID: 359085 
NTT DATA strives to hire exceptional, innovative and passionate individuals who want to grow with us. If you want to be part of an inclusive, adaptable, and forward-thinking organization, apply now. 
We are currently seeking a React JS Engr. to join our team in ...</t>
  </si>
  <si>
    <t>https://www.glassdoor.co.in/job-listing/react-js-engr-ntt-data-JV_KO0,13_KE14,22.htm?jl=1010180516798</t>
  </si>
  <si>
    <t>GD_1010148271849</t>
  </si>
  <si>
    <t>Senior Frontend Developer@ PEOPLE10 (Remote)</t>
  </si>
  <si>
    <t>People10 Technosoft Private Limited</t>
  </si>
  <si>
    <t>Sr. Front End Engineer@ PEOPLE10
Experience: 5 - 6 years
Job Location: Bangalore (Remote)
Job Overview:
This position is for a technical position with Angular knowledge for the complete system rewrites of Logistics related Project at Laufer group International. They will be func...</t>
  </si>
  <si>
    <t>https://www.glassdoor.co.in/job-listing/senior-frontend-developer-people10-remote-people10-JV_KO0,41_KE42,50.htm?jl=1010148271849</t>
  </si>
  <si>
    <t>GD_1010143753606</t>
  </si>
  <si>
    <t>Integration Platform Frontend Engineer (M/F/D)</t>
  </si>
  <si>
    <t>BASF Group</t>
  </si>
  <si>
    <t>Objectives: 
Join our “Data Foundation” team and work on the cutting-edge “Integration” product that leverages innovative technologies to seamlessly connect applications and facilitate data exchange. The Integration Platform is a versatile framework for building and executing int...</t>
  </si>
  <si>
    <t>https://www.glassdoor.co.in/job-listing/integration-platform-frontend-engineer-mfd-basf-JV_KO0,42_KE43,47.htm?jl=1010143753606</t>
  </si>
  <si>
    <t>GD_1010182840651</t>
  </si>
  <si>
    <t>Movado Group Inc</t>
  </si>
  <si>
    <t>We are seeking a passionate and skilled Frontend Developer with strong expertise in crafting engaging, user-friendly, and high-performance web interfaces. This role demands deep proficiency in frontend technologies including HTML5, CSS3, JavaScript (ES6+), React, and Next.js. You...</t>
  </si>
  <si>
    <t>https://www.glassdoor.co.in/job-listing/frontend-developer-movado-group-inc-JV_IC2940587_KO0,18_KE19,35.htm?jl=1010182840651</t>
  </si>
  <si>
    <t>GD_1010183580699</t>
  </si>
  <si>
    <t>Frontend React / Angular Developer (0–3 Years Experience)</t>
  </si>
  <si>
    <t>Frontend React / Angular Developer (0–3 Years Experience)
We are looking for enthusiastic Frontend Developers with 0–3 years of experience to join our growing development team. Freshers with strong fundamentals and candidates with up to 3 years of experience are encouraged to app...</t>
  </si>
  <si>
    <t>https://www.glassdoor.co.in/job-listing/frontend-react-angular-developer-0-3-years-experience-zevan-tech-JV_KO0,53_KE54,64.htm?jl=1010183580699</t>
  </si>
  <si>
    <t>GD_1010003092577</t>
  </si>
  <si>
    <t>Frontend Developer (React+Nextjs)</t>
  </si>
  <si>
    <t>NUOX Technologies</t>
  </si>
  <si>
    <t>Calicut</t>
  </si>
  <si>
    <t>Calicut | Kerala | India - Full Time
Job Summary
We are seeking a talented Frontend Developer with strong expertise in API integration, GSAP animations and pixel-perfect design conversion. You’ll work closely with our design and backend teams to deliver high-quality, responsive, ...</t>
  </si>
  <si>
    <t>https://www.glassdoor.co.in/job-listing/frontend-developer-react-nextjs-nuox-technologies-JV_IC2868442_KO0,31_KE32,49.htm?jl=1010003092577</t>
  </si>
  <si>
    <t>GD_1009957474447</t>
  </si>
  <si>
    <t>Urgent React Developer</t>
  </si>
  <si>
    <t>Esenceweb</t>
  </si>
  <si>
    <t>7 months ago 
Required Skils: 
Strong proficiency in React.js, JSX, and component-based architecture
Good knowledge of JavaScript (ES6+), HTML5, CSS3
Experience with Redux / Context API
Familiarity with REST APIs and JSON
Understanding of Git / GitHub
Basic knowledge of React Hoo...</t>
  </si>
  <si>
    <t>https://www.glassdoor.co.in/job-listing/urgent-react-developer-esenceweb-JV_KO0,22_KE23,32.htm?jl=1009957474447</t>
  </si>
  <si>
    <t>GD_1010185877354</t>
  </si>
  <si>
    <t>AVP, Principal Software Engineer (L11)</t>
  </si>
  <si>
    <t>Overview
Location: Hyderabad, India
Salary: N/A
About Us
Synchrony is more than a financial services company, we’re a team of passionate innovators committed to delivering best-in-class solutions that support millions of customers across the U.S. With a bold focus on technology, ...</t>
  </si>
  <si>
    <t>https://www.glassdoor.co.in/job-listing/avp-principal-software-engineer-l11-synchrony-JV_KO0,35_KE36,45.htm?jl=1010185877354</t>
  </si>
  <si>
    <t>GD_1009269345936</t>
  </si>
  <si>
    <t>Senior UI/Frontend Developer</t>
  </si>
  <si>
    <t xml:space="preserve">Pivox Labs </t>
  </si>
  <si>
    <t>Guntūr</t>
  </si>
  <si>
    <t>Current Positions 
2-4 years expertise in Frontend Development 
Current Positions 
Understand platform requirements from stake holders and translate the same into UI designs 
Design, build, and maintain highly reusable JavaScript, HTML and CSS code 
Create and maintain digital as...</t>
  </si>
  <si>
    <t>https://www.glassdoor.co.in/job-listing/senior-ui-frontend-developer-pivox-labs-JV_IC2884656_KO0,28_KE29,39.htm?jl=1009269345936</t>
  </si>
  <si>
    <t>GD_1007935453441</t>
  </si>
  <si>
    <t>E2M Solutions Pvt. Ltd.</t>
  </si>
  <si>
    <t>No. of Openings: 2 
Experience Required: 0-2 Years
Understanding of key design principles.
Proficiency in HTML, CSS, JavaScript, and jQuery.
Understanding of server-side CSS.
Experience with responsive and adaptive design.
Determining the structure and design of web pages.
Ensur...</t>
  </si>
  <si>
    <t>https://www.glassdoor.co.in/job-listing/frontend-developer-e2m-solutions-JV_IC2935226_KO0,18_KE19,32.htm?jl=1007935453441</t>
  </si>
  <si>
    <t>GD_1010140508753</t>
  </si>
  <si>
    <t>Senior Software Engineer - Frontend (UI)</t>
  </si>
  <si>
    <t>smartShift Technologies</t>
  </si>
  <si>
    <t>Job Information
Date Opened
07/05/2026 
Job Type
Full time 
Work Experience
5-8years 
Location
India 
Industry
IT Services 
City
Bengaluru 
Province
Karnataka 
Country
India 
Postal Code
560103 
Job Description
Title: Senior Software Engineer – Frontend (UI)
Location: Vaishnavi ...</t>
  </si>
  <si>
    <t>https://www.glassdoor.co.in/job-listing/senior-software-engineer-frontend-ui-smartshift-technologies-JV_KO0,36_KE37,60.htm?jl=1010140508753</t>
  </si>
  <si>
    <t>GD_1010166385485</t>
  </si>
  <si>
    <t>Senior Frontend Developer - S S</t>
  </si>
  <si>
    <t>Required Skills:
Angular
ReactJS
TypeScript
JavaScript
HTML5 &amp; CSS3
Unit Testing
Git
Agile/SCRUM
Nice to Have:
CI/CD
Job Title: Front-End Developer – Select &amp; Config Platform Experience: 9–12 years About the Role We are looking for a highly skilled Front-End Developer to join o...</t>
  </si>
  <si>
    <t>https://www.glassdoor.co.in/job-listing/senior-frontend-developer-ss-cigres-technologies-JV_KO0,28_KE29,48.htm?jl=1010166385485</t>
  </si>
  <si>
    <t>GD_1010189446668</t>
  </si>
  <si>
    <t>https://www.glassdoor.co.in/job-listing/custom-software-engineer-accenture-JV_KO0,24_KE25,34.htm?jl=1010189446668</t>
  </si>
  <si>
    <t>GD_1010159300982</t>
  </si>
  <si>
    <t>Front-End Engineer (React / Next.js)</t>
  </si>
  <si>
    <t>Zensar Technologies Limited</t>
  </si>
  <si>
    <t>We are looking for a Front-End Engineer to design and build modern, high-performance user interfaces using React and Next.js. This role focuses on delivering scalable, data-driven UI experiences and working closely with back-end engineers and product teams</t>
  </si>
  <si>
    <t>https://www.glassdoor.co.in/job-listing/front-end-engineer-react-next-js-zensar-technologies-JV_KO0,32_KE33,52.htm?jl=1010159300982</t>
  </si>
  <si>
    <t>GD_1010100372238</t>
  </si>
  <si>
    <t>React Developer</t>
  </si>
  <si>
    <t>DoelSoft IT Services Pvt.Ltd.</t>
  </si>
  <si>
    <t>Mid-LevelChennaiMadurai 
Primary Responsibility:
Designing and implementing user interfaces using HTML, CSS, and React. Building and maintaining server-side logic and APIs.</t>
  </si>
  <si>
    <t>https://www.glassdoor.co.in/job-listing/react-developer-doelsoft-JV_IC2833209_KO0,15_KE16,24.htm?jl=1010100372238</t>
  </si>
  <si>
    <t>GD_1010144696787</t>
  </si>
  <si>
    <t>BW- 1417 Frontend Developer</t>
  </si>
  <si>
    <t>Softobiz Technologies Private Limited</t>
  </si>
  <si>
    <t>Job Title: Frontend Developer
Experience: 4+ years
Location: Hyderabad/ Mohali/Kochi
Position Overview
We are seeking a skilled Frontend Specialist with expertise in Coveo search solutions to design, implement, and optimize enterprise search experiences using Coveo Atomic and JS...</t>
  </si>
  <si>
    <t>https://www.glassdoor.co.in/job-listing/bw-1417-frontend-developer-softobiz-technologies-JV_KO0,26_KE27,48.htm?jl=1010144696787</t>
  </si>
  <si>
    <t>GD_1010161295243</t>
  </si>
  <si>
    <t>Front-End UI Developer</t>
  </si>
  <si>
    <t>Tekbon, Inc</t>
  </si>
  <si>
    <t>Should have a minimum of 3 to 8 years of experience.
Proficient understanding of web markup, including HTML5, CSS3, and vanilla JavaScript.
Should have good knowledge of ES6.
Understanding of CSS pre-processing platforms, such as LESS and SASS.
Should be proficient in any of the ...</t>
  </si>
  <si>
    <t>https://www.glassdoor.co.in/job-listing/front-end-ui-developer-tekbon-JV_KO0,22_KE23,29.htm?jl=1010161295243</t>
  </si>
  <si>
    <t>GD_1007854321823</t>
  </si>
  <si>
    <t>Software Development Engineer - Frontend Web Developer</t>
  </si>
  <si>
    <t xml:space="preserve">Lendbox </t>
  </si>
  <si>
    <t>About Lendbox
Lendbox is India’s premier peer-to-peer e-lending platform. We are creating a conducive environment for both borrowers and investors. Unlike banks and financial institutions Lendbox cuts down the interest rates for borrowers and increases investor’s yields by elimin...</t>
  </si>
  <si>
    <t>https://www.glassdoor.co.in/job-listing/software-development-engineer-frontend-web-developer-lendbox-JV_KO0,52_KE53,60.htm?jl=1007854321823</t>
  </si>
  <si>
    <t>GD_1010083845135</t>
  </si>
  <si>
    <t>Frontend Developer (ThreeJS/GSAP)</t>
  </si>
  <si>
    <t>About SimuPhish 
SimuPhish is an AI-driven Human Risk Management and Phishing Simulation platform built to help organizations strengthen their human firewall through realistic simulations, gamified awareness, and data-driven insights. We empower employees to become the strongest ...</t>
  </si>
  <si>
    <t>https://www.glassdoor.co.in/job-listing/frontend-developer-threejs-gsap-simuphish-cyber-security-fzc-llc-JV_KO0,31_KE32,64.htm?jl=1010083845135</t>
  </si>
  <si>
    <t>GD_1010154151646</t>
  </si>
  <si>
    <t>Software Developer (Frontend)</t>
  </si>
  <si>
    <t>Centiro Solutions</t>
  </si>
  <si>
    <t>Centiro is a Swedish software company with 650+ colleagues. Our solutions empower marquee brands and finer supply chains in 175+ countries. We believe in enabling and empowering commerce for companies with winning aspirations who seek to make a difference. Core focus is to connec...</t>
  </si>
  <si>
    <t>https://www.glassdoor.co.in/job-listing/software-developer-frontend-centiro-JV_KO0,27_KE28,35.htm?jl=1010154151646</t>
  </si>
  <si>
    <t>GD_1006041114241</t>
  </si>
  <si>
    <t>Frontend Developer-ReactJS/AngularJS</t>
  </si>
  <si>
    <t>Nuchange Informatics</t>
  </si>
  <si>
    <t>We are looking for frontend developers with 3+ years of experience on web application development tools and technologies who can build compelling web applications for enterprise B2B applications. We use HTML5, CSS3, Angular, React to build our product UI. Knowing these technologi...</t>
  </si>
  <si>
    <t>https://www.glassdoor.co.in/job-listing/frontend-developer-reactjs-angularjs-nuchange-informatics-JV_IC2940587_KO0,36_KE37,57.htm?jl=1006041114241</t>
  </si>
  <si>
    <t>GD_1007758833254</t>
  </si>
  <si>
    <t>Zumen Technologies Pvt Ltd</t>
  </si>
  <si>
    <t>Job Requirements
We’re seeking a frontend developer to translate designs into crisp code and build thoughtful experiences centered around our customers. During a typical day, you’ll be working alongside our web team to determine customer needs, brainstorm solutions, generate webs...</t>
  </si>
  <si>
    <t>https://www.glassdoor.co.in/job-listing/frontend-developer-zumen-JV_IC2833209_KO0,18_KE19,24.htm?jl=1007758833254</t>
  </si>
  <si>
    <t>GD_1010156826705</t>
  </si>
  <si>
    <t>Staff Software Engineer, Frontend</t>
  </si>
  <si>
    <t>HARVEY</t>
  </si>
  <si>
    <t>Location
Bengaluru
Employment Type
Full time
Location Type
Hybrid
Department
Engineering
Why Harvey
At Harvey, we’re transforming how legal and professional services operate. By combining frontier agentic AI, an enterprise-grade platform, and deep domain expertise, we’re reshapi...</t>
  </si>
  <si>
    <t>https://www.glassdoor.co.in/job-listing/staff-software-engineer-frontend-harvey-JV_IC2940587_KO0,32_KE33,39.htm?jl=1010156826705</t>
  </si>
  <si>
    <t>GD_1010188320452</t>
  </si>
  <si>
    <t>Sr. Frontend Developer (CMS Prismic)</t>
  </si>
  <si>
    <t>Genpact Limited</t>
  </si>
  <si>
    <t>Description
We are seeking a talented Prismic CMS Specialist/Front-End Developer to join our team. In this role, you’ll work hands-on with Prismic headless CMS and modern front-end technologies to build and maintain content-driven web experiences for enterprise clients. You will ...</t>
  </si>
  <si>
    <t>https://www.glassdoor.co.in/job-listing/sr-frontend-developer-cms-prismic-genpact-JV_IC2940587_KO0,33_KE34,41.htm?jl=1010188320452</t>
  </si>
  <si>
    <t>GD_1010147167150</t>
  </si>
  <si>
    <t>At Shriasys, we believe in creating powerful digital experiences that transform businesses. We’re on the lookout for passionate and creative individuals who want to make a real impact. If you’re ready to grow with a dynamic team and build a future in tech.
Web Developer
Experie...</t>
  </si>
  <si>
    <t>https://www.glassdoor.co.in/job-listing/web-developer-shria-sys-JV_KO0,13_KE14,23.htm?jl=1010147167150</t>
  </si>
  <si>
    <t>GD_1009972605237</t>
  </si>
  <si>
    <t>Xiarch Solutions Private Limited</t>
  </si>
  <si>
    <t>Employment Type: Full-time
Role Summary
We are looking for a Frontend Developer who enjoys building user interfaces from scratch , not just maintaining existing codebases.
Responsibilities
Build responsive and scalable web interfaces
Translate product requirements into intuiti...</t>
  </si>
  <si>
    <t>https://www.glassdoor.co.in/job-listing/frontend-developer-xiarch-solutions-JV_IC2921225_KO0,18_KE19,35.htm?jl=1009972605237</t>
  </si>
  <si>
    <t>GD_1009697553308</t>
  </si>
  <si>
    <t>HTML Developer</t>
  </si>
  <si>
    <t>Kush Infosystem Pvt. Ltd.,</t>
  </si>
  <si>
    <t>Job Description:
Converting Design to Responsive HTML
Expert with HTML5 + CSS3
must have jQuery knowledge
Knowledge of Bootstrap
Skillset: HTML, XHTML, HTML5, CSS3, Photoshop, jQuery, 
Salary Range from 1 Lakh Pa to 8 Lakh Pa (Depend On candidate skills) 
Location – Andheri East,...</t>
  </si>
  <si>
    <t>https://www.glassdoor.co.in/job-listing/html-developer-kush-infosystem-pvt-ltd-JV_IC2851180_KO0,14_KE15,38.htm?jl=1009697553308</t>
  </si>
  <si>
    <t>GD_1007954581337</t>
  </si>
  <si>
    <t>Brown Button Private Limited</t>
  </si>
  <si>
    <t>Our Tech Stack
React Js, React Native
HTML5, CSS3, Javascript
Node Js, Node Express (Advantage)
GitHub, AWS, Azure
Our Clients &amp; Projects
Our clients are startups such as Infomaxis, Incareview, Djinn Solutions, Baeroad. We also work with large companies.
The projects usually ...</t>
  </si>
  <si>
    <t>https://www.glassdoor.co.in/job-listing/react-js-developer-brown-button-JV_IC2833209_KO0,18_KE19,31.htm?jl=1007954581337</t>
  </si>
  <si>
    <t>GD_1007925882226</t>
  </si>
  <si>
    <t>ReactJs/AngularJS Developer</t>
  </si>
  <si>
    <t>Windfall Productions, Inc.</t>
  </si>
  <si>
    <t>Job Description : 
The React/Angular developer will be responsible for the development, maintenance of the website for Shalom Media.
Preferred skills/ Responsibilities : 
Experience in working React.JS/NodeJS, Angular JS.
Proficient in JavaScript, HTML, CSS.
Experience in MVC des...</t>
  </si>
  <si>
    <t>https://www.glassdoor.co.in/job-listing/reactjs-angularjs-developer-windfall-productions-JV_IC2867866_KO0,27_KE28,48.htm?jl=1007925882226</t>
  </si>
  <si>
    <t>GD_1010168408727</t>
  </si>
  <si>
    <t>Ceiyone</t>
  </si>
  <si>
    <t>Web Developer (HTML, CSS, JavaScript, Python &amp; Any Database)
Job Type: Contract
Work Location: Coimbatore, Tamil Nadu (Hybrid)
Experience Required: 2-3 Years
About the Role
We are seeking a motivated and detail-oriented full stack web developer with experience in HTML, CSS, JavaS...</t>
  </si>
  <si>
    <t>https://www.glassdoor.co.in/job-listing/web-developer-ceiyone-JV_IC2836047_KO0,13_KE14,21.htm?jl=1010168408727</t>
  </si>
  <si>
    <t>GD_1010188979493</t>
  </si>
  <si>
    <t>React Frontend Developer – AI Products</t>
  </si>
  <si>
    <t>React Frontend Developer – AI Products
Frontend Development | React | UI Integration | Feature Development | Production Support
Experience: 2–4 Years
Location: Hyderabad – Work from Office
Employment Type: Full-time
About the Role
We are looking for a React Frontend Developer to ...</t>
  </si>
  <si>
    <t>https://www.glassdoor.co.in/job-listing/react-frontend-developer-ai-products-atirath-technologies-pvt-lt-JV_KO0,36_KE37,64.htm?jl=1010188979493</t>
  </si>
  <si>
    <t>GD_1010179633514</t>
  </si>
  <si>
    <t>Project Role : Web Developer
Project Role Description : Design, build and test web-based applications for various site components and edit site content. Document technical designs and specifications. Research and incorporate updated content for websites. 
Must have skills : Hyper...</t>
  </si>
  <si>
    <t>https://www.glassdoor.co.in/job-listing/web-developer-accenture-JV_KO0,13_KE14,23.htm?jl=1010179633514</t>
  </si>
  <si>
    <t>GD_1010026037431</t>
  </si>
  <si>
    <t>Actoserba Active Wholesale Private Limited.</t>
  </si>
  <si>
    <t>Job Category: Technology 
Job Type: Full Time 
Job Location: Bangalore 
About Zivame
Zivame was founded in 2011 with the vision to facilitate women to shop uninhibitedly for intimate wear and to make lingerie shopping personalized and convenient. Zivame is now the No. 1 B2C intim...</t>
  </si>
  <si>
    <t>https://www.glassdoor.co.in/job-listing/frontend-developer-actoserba-JV_KO0,18_KE19,28.htm?jl=1010026037431</t>
  </si>
  <si>
    <t>GD_1010014774037</t>
  </si>
  <si>
    <t>AEM CMS/Frontend (Siliguri)</t>
  </si>
  <si>
    <t>Digitup B.V.</t>
  </si>
  <si>
    <t>Shiliguri</t>
  </si>
  <si>
    <t>Job Information
Department Name
Operations
Work Experience
0-1 years
Date Opened
1/28/2026
Location
Siliguri
Job Type
Fresher
About Job
We are looking for a motivated Fresher AEM CMS / Frontend Developer with a strong foundation in web development concepts. The candidate will wor...</t>
  </si>
  <si>
    <t>https://www.glassdoor.co.in/job-listing/aem-cms-frontend-siliguri-digitup-JV_IC2903144_KO0,25_KE26,33.htm?jl=1010014774037</t>
  </si>
  <si>
    <t>GD_1010172364874</t>
  </si>
  <si>
    <t>Front End Developer</t>
  </si>
  <si>
    <t>Sāngli</t>
  </si>
  <si>
    <t>Job Summary:
We are looking for a motivated and enthusiastic Frontend Developer with 0–2 years of experience to join our team. If you have a strong desire to learn and grow, we are ready to invest in you with the right training and mentorship. This is a great opportunity to build...</t>
  </si>
  <si>
    <t>https://www.glassdoor.co.in/job-listing/front-end-developer-phygitaltech-JV_IC2954156_KO0,19_KE20,32.htm?jl=1010172364874</t>
  </si>
  <si>
    <t>GD_1010005521393</t>
  </si>
  <si>
    <t>Senior Software Engineer- React + Next.js</t>
  </si>
  <si>
    <t>Robosoft Technologies Pvt. Ltd.</t>
  </si>
  <si>
    <t>We are looking for a proactive Frontend Developer to build and deliver high-quality, scalable user interfaces within agreed timelines while following defined development processes. The ideal candidate must have strong expertise in modern frontend technologies including React and ...</t>
  </si>
  <si>
    <t>https://www.glassdoor.co.in/job-listing/senior-software-engineer-react-next-js-robosoft-technologies-JV_KO0,38_KE39,60.htm?jl=1010005521393</t>
  </si>
  <si>
    <t>GD_1009563892630</t>
  </si>
  <si>
    <t>ReactJS developer</t>
  </si>
  <si>
    <t xml:space="preserve">Netfillip Technologies Private Limited </t>
  </si>
  <si>
    <t>Job Description
We are looking for a talented UI/UX/Front-end Developer to build &amp; develop optimized websites and apps. The main objective and responsibility will include the transformation of the UI/UX designs/layouts to actual code that will produce superior visual experiences ...</t>
  </si>
  <si>
    <t>https://www.glassdoor.co.in/job-listing/reactjs-developer-netfillip-technologies-JV_IC2935226_KO0,17_KE18,40.htm?jl=1009563892630</t>
  </si>
  <si>
    <t>GD_1010180960776</t>
  </si>
  <si>
    <t>Specialist Software engineer -Front end</t>
  </si>
  <si>
    <t>Responsibilities 
Senior Frontend Engineer – Ayvens (Velocity) 
About the role 
Join us as a Senior Frontend Engineer and help shape the future of the Ayvens digital experience. You’ll work on a comprehensive React/Typescript UI component library used across several Ayvens produc...</t>
  </si>
  <si>
    <t>https://www.glassdoor.co.in/job-listing/specialist-software-engineer-front-end-société-générale-JV_IC2940587_KO0,38_KE39,55.htm?jl=1010180960776</t>
  </si>
  <si>
    <t>GD_1010178488497</t>
  </si>
  <si>
    <t>Key Responsibilities:
Develop and maintain scalable, responsive web applications
Translate UI/UX designs into high-quality, reusable code
Optimize applications for maximum speed and performance
Collaborate with backend developers, product managers, and designers
Ensure cross-brow...</t>
  </si>
  <si>
    <t>https://www.glassdoor.co.in/job-listing/front-end-developer-k4-it-services-india-pvt-ltd-JV_KO0,19_KE20,48.htm?jl=1010178488497</t>
  </si>
  <si>
    <t>GD_1007909310817</t>
  </si>
  <si>
    <t>FrontEnd Developer</t>
  </si>
  <si>
    <t>The Modern Dimension</t>
  </si>
  <si>
    <t>Experience : 2 + Years - Location: Bangalore / Delhi
Company : Fintech/B2B/B2C/HealthTech/Logistics/Startup/Product
Responsibilities 
2+ years web development technologies including HTML5, Javascript, CSS, TDD and general Web 2.0 techniques. 
Experience in Angular/React
Experien...</t>
  </si>
  <si>
    <t>https://www.glassdoor.co.in/job-listing/frontend-developer-the-modern-dimension-JV_KO0,18_KE19,39.htm?jl=1007909310817</t>
  </si>
  <si>
    <t>GD_1009580545998</t>
  </si>
  <si>
    <t>UI Developer</t>
  </si>
  <si>
    <t>Position : UI Developer
Experience : 0 - 1 Years
No.of Seats : 2 
Location : Madurai
Key Responsibilities:
Develop modern, responsive web interfaces using HTML5, CSS3, Bootstrap, and JavaScript.
Collaborate with backend developers and designers to improve usability.
Implement U...</t>
  </si>
  <si>
    <t>https://www.glassdoor.co.in/job-listing/ui-developer-hivelance-technologies-JV_IC2833210_KO0,12_KE13,35.htm?jl=1009580545998</t>
  </si>
  <si>
    <t>GD_1010142372190</t>
  </si>
  <si>
    <t>Senior AI/ML Engineer</t>
  </si>
  <si>
    <t>https://www.glassdoor.co.in/job-listing/senior-ai-ml-engineer-optum-JV_KO0,21_KE22,27.htm?jl=1010142372190</t>
  </si>
  <si>
    <t>GD_1010181702245</t>
  </si>
  <si>
    <t>Principal Engineer (Backend + AI/ML) — Fintech / Trading Platform</t>
  </si>
  <si>
    <t>Stockwiz is one of India's fastest-growing wealth-tech platforms, simplifying trading and investing for over 30,000 active retail users. As a SEBI-registered firm, we work at the intersection of education, advisory, and trading technology. Our products include Stryke (smart tradi...</t>
  </si>
  <si>
    <t>https://www.glassdoor.co.in/job-listing/principal-engineer-backend-ai-ml-fintech-trading-platform-stockwiz-technologies-JV_KO0,57_KE58,79.htm?jl=1010181702245</t>
  </si>
  <si>
    <t>GD_1006549799475</t>
  </si>
  <si>
    <t>ReactJS Developers</t>
  </si>
  <si>
    <t xml:space="preserve">Salus Technologies Pvt Ltd </t>
  </si>
  <si>
    <t>We are looking for a Senior windows application developer to join us immediately to build and grow our extensive portfolio of gaming applications. 
Experience: 3 – 5 years relevant experience. [Min 2 years in ReactJs/AngularJs] 
Job Location: Pune 
Role: Software Developer 
J...</t>
  </si>
  <si>
    <t>https://www.glassdoor.co.in/job-listing/reactjs-developers-salus-technologies-JV_IC2856202_KO0,18_KE19,37.htm?jl=1006549799475</t>
  </si>
  <si>
    <t>GD_1010030433890</t>
  </si>
  <si>
    <t>Nexgile Technologies Pvt. Ltd</t>
  </si>
  <si>
    <t>Featured
Machine Learning Engineer
Agentic AI
Train, evaluate, and deploy the ML models that power our digital workers. Work on cutting-edge problems in enterprise AI automation.
PythonPyTorchMLOpsModel Evaluation+1 more
Full-time5+ yearsHybrid
Hyderabad, India</t>
  </si>
  <si>
    <t>https://www.glassdoor.co.in/job-listing/machine-learning-engineer-nexgile-technologies-JV_KO0,25_KE26,46.htm?jl=1010030433890</t>
  </si>
  <si>
    <t>GD_1007954581336</t>
  </si>
  <si>
    <t>Web UI Developer</t>
  </si>
  <si>
    <t>Our Tech Stack
HTML5
CSS3
Javascript
GitHub
UI Tools: Sketch, Figma, Adobe Xd, Photoshop
Our Clients &amp; Projects
Our clients are startups such as Infomaxis, Incareview, Djinn Solutions, Baeroad. We also work with large companies.
The projects usually last around 6 months and ...</t>
  </si>
  <si>
    <t>https://www.glassdoor.co.in/job-listing/web-ui-developer-brown-button-JV_KO0,16_KE17,29.htm?jl=1007954581336</t>
  </si>
  <si>
    <t>GD_1010158278023</t>
  </si>
  <si>
    <t>Senior ML Engineer</t>
  </si>
  <si>
    <t>Mantra Softech (India) Pvt. Ltd.</t>
  </si>
  <si>
    <t>Primary Goal
Reduce the cost and latency of model outputs. This person ensures the model doesn't just work, but runs fast enough for 100 people to chat simultaneously without lag.
Key Responsibilities
Inference Acceleration: Implement and tune high-performance backends like vLLM ...</t>
  </si>
  <si>
    <t>https://www.glassdoor.co.in/job-listing/senior-ml-engineer-mantra-softech-JV_KO0,18_KE19,33.htm?jl=1010158278023</t>
  </si>
  <si>
    <t>GD_1010092011505</t>
  </si>
  <si>
    <t>Frontend React/Next.js Developer</t>
  </si>
  <si>
    <t>Times World Information Technology LLC</t>
  </si>
  <si>
    <t>We are looking for a skilled Next.js Developer to build modern, scalable, and intelligent web applications. The ideal candidate should have strong expertise in React.js and Next.js, along with the ability to integrate pre-built machine learning models or AI APIs into frontend or ...</t>
  </si>
  <si>
    <t>https://www.glassdoor.co.in/job-listing/frontend-react-next-js-developer-times-world-information-technology-JV_IC2870859_KO0,32_KE33,67.htm?jl=1010092011505</t>
  </si>
  <si>
    <t>GD_1010171231135</t>
  </si>
  <si>
    <t>AVP, Strategy Sciences (L11)</t>
  </si>
  <si>
    <t>https://www.glassdoor.co.in/job-listing/avp-strategy-sciences-l11-synchrony-JV_KO0,25_KE26,35.htm?jl=1010171231135</t>
  </si>
  <si>
    <t>GD_1010189235182</t>
  </si>
  <si>
    <t>Job Description – Machine Learning Engineer / Analyst (Freshers)
Company: Predictive Research Inc.
Website: https://www.predictiveresearchinc.com
Number of Positions: 05
Work Locations
Bengaluru (JP Nagar), Karnataka
Siruguppa (Ballari District), Karnataka
About Predictive Resear...</t>
  </si>
  <si>
    <t>https://www.glassdoor.co.in/job-listing/machine-learning-engineer-predictive-research-JV_KO0,25_KE26,45.htm?jl=1010189235182</t>
  </si>
  <si>
    <t>GD_1010191093056</t>
  </si>
  <si>
    <t>AI ML Engineer</t>
  </si>
  <si>
    <t>https://www.glassdoor.co.in/job-listing/ai-ml-engineer-optum-JV_KO0,14_KE15,20.htm?jl=1010191093056</t>
  </si>
  <si>
    <t>GD_1010174665157</t>
  </si>
  <si>
    <t xml:space="preserve">Fospe Software </t>
  </si>
  <si>
    <t>Fospe is looking for a passionate and skilled AI Engineer to join our growing AI Product Engineering team. If you enjoy building AI-powered applications, developing custom AI skills and agents, optimizing LLM costs, and working with cutting-edge technologies, we’d love to hear fr...</t>
  </si>
  <si>
    <t>https://www.glassdoor.co.in/job-listing/ai-engineer-fospe-JV_IC2940587_KO0,11_KE12,17.htm?jl=1010174665157</t>
  </si>
  <si>
    <t>GD_1010115980326</t>
  </si>
  <si>
    <t>AIML Engineer</t>
  </si>
  <si>
    <t>luminous infoways</t>
  </si>
  <si>
    <t>Location - Bhubaneswar Experience - 2-3years 
Vacancies - 2
AI Engineers with 2-3 years experience specialize in RAG pipelines and agentic workflows. They integrate LLMs, vector databases, and APIs for production-grade AI systems in supply chain or enterprise use.
Key Responsibil...</t>
  </si>
  <si>
    <t>https://www.glassdoor.co.in/job-listing/aiml-engineer-luminous-infoways-JV_KO0,13_KE14,31.htm?jl=1010115980326</t>
  </si>
  <si>
    <t>GD_1010189230553</t>
  </si>
  <si>
    <t>We are looking for a hands-on Machine Learning Engineer - 1 with a strong understanding of the modern AI stack and the ability to contribute to production-grade AI systems. The ideal candidate understands how LLMs work, can navigate a real codebase, and is comfortable using AI to...</t>
  </si>
  <si>
    <t>https://www.glassdoor.co.in/job-listing/machine-learning-engineer-rapid-accelaration-partners-JV_IC2833209_KO0,25_KE26,53.htm?jl=1010189230553</t>
  </si>
  <si>
    <t>GD_1010141561000</t>
  </si>
  <si>
    <t>At Jabil (NYSE: JBL), we are proud to be a trusted partner for the world's top brands, offering comprehensive engineering, supply chain, and manufacturing solutions. With 60 years of experience across industries and a vast network of over 100 sites worldwide, Jabil combines globa...</t>
  </si>
  <si>
    <t>https://www.glassdoor.co.in/job-listing/inventory-analyst-jabil-JV_IC2856212_KO0,17_KE18,23.htm?jl=1010141561000</t>
  </si>
  <si>
    <t>GD_1010178677006</t>
  </si>
  <si>
    <t>Sr Machine Learning Engineer</t>
  </si>
  <si>
    <t>Amgen Inc.</t>
  </si>
  <si>
    <t>India - Hyderabad 
JOB ID: R-246927 LOCATION: India - Hyderabad WORK LOCATION TYPE: On Site DATE POSTED: Jun. 24, 2026 CATEGORY: Engineering 
ABOUT AMGEN
Amgen harnesses the best of biology and technology to fight the world’s toughest diseases, and make people’s lives easier, ful...</t>
  </si>
  <si>
    <t>https://www.glassdoor.co.in/job-listing/sr-machine-learning-engineer-amgen-JV_KO0,28_KE29,34.htm?jl=1010178677006</t>
  </si>
  <si>
    <t>GD_1010150220969</t>
  </si>
  <si>
    <t>SENIOR MACHINE LEARNING ENGINEER</t>
  </si>
  <si>
    <t>Apply Now
SENIOR MACHINE LEARNING ENGINEER 
Apply Now
COUNTRY
Ukraine
FORMAT
Remote
Svitla Systems Inc. is looking for a Senior ML Engineer for a full-time position (40 hours per week) in Ukraine.
Our client is an American mobile computing company. They provide AI innovation and...</t>
  </si>
  <si>
    <t>https://www.glassdoor.co.in/job-listing/senior-machine-learning-engineer-svitla-systems-JV_IC4476728_KO0,32_KE33,47.htm?jl=1010150220969</t>
  </si>
  <si>
    <t>GD_1010140533715</t>
  </si>
  <si>
    <t>Machine Learning Engineer 4</t>
  </si>
  <si>
    <t>Adobe Systems Incorporated</t>
  </si>
  <si>
    <t>About the Role 
Adobe is seeking a Machine Learning Engineer to join the Adobe Genuine Engineering team. This group protects Adobe's ecosystem from fraud, abuse, and misuse using intelligent systems worldwide. 
In this position, you will build and develop machine learning model...</t>
  </si>
  <si>
    <t>https://www.glassdoor.co.in/job-listing/machine-learning-engineer-4-adobe-JV_KO0,27_KE28,33.htm?jl=1010140533715</t>
  </si>
  <si>
    <t>GD_1010179297438</t>
  </si>
  <si>
    <t>Analyst II - Operations Support</t>
  </si>
  <si>
    <t>https://www.glassdoor.co.in/job-listing/analyst-ii-operations-support-zelis-JV_KO0,29_KE30,35.htm?jl=1010179297438</t>
  </si>
  <si>
    <t>GD_1010145393306</t>
  </si>
  <si>
    <t>At Sleepiz, we are shaping the future of healthcare to ensure that patient care is more personalized, comfortable, and supportive by utilizing real-world data collected from patients in their Homes.
We are seeking a skilled Backend Engineer to join our team. You will develop and ...</t>
  </si>
  <si>
    <t>https://www.glassdoor.co.in/job-listing/senior-backend-engineer-sleepiz-india-JV_KO0,23_KE24,37.htm?jl=1010145393306</t>
  </si>
  <si>
    <t>GD_1010191037769</t>
  </si>
  <si>
    <t>Senior Scientist - NGS Bioinformatics (Data Standardization &amp; Platform Integration)</t>
  </si>
  <si>
    <t>India - Hyderabad 
JOB ID: R-247977 LOCATION: India - Hyderabad WORK LOCATION TYPE: On Site DATE POSTED: Jul. 06, 2026 CATEGORY: Research 
HOW MIGHT YOU DEFY IMAGINATION?
If you feel like you’re part of something bigger, it’s because you are. At Amgen, our shared mission—to serve...</t>
  </si>
  <si>
    <t>https://www.glassdoor.co.in/job-listing/senior-scientist-ngs-bioinformatics-data-standardization-platform-integration-amgen-JV_KO0,77_KE78,83.htm?jl=1010191037769</t>
  </si>
  <si>
    <t>GD_1010150221315</t>
  </si>
  <si>
    <t>SENIOR ML ENGINEER</t>
  </si>
  <si>
    <t>Apply Now
SENIOR ML ENGINEER 
Apply Now
COUNTRY
Europe
FORMAT
Remote
Svitla Systems Inc. is looking for a Senior ML Engineer for a full-time position (40 hours per week) in Europe. Our client is an American mobile computing company. They provide AI innovation and acceleration for...</t>
  </si>
  <si>
    <t>https://www.glassdoor.co.in/job-listing/senior-ml-engineer-svitla-systems-JV_IC4476728_KO0,18_KE19,33.htm?jl=1010150221315</t>
  </si>
  <si>
    <t>GD_1010159381222</t>
  </si>
  <si>
    <t>AI/ML Engineer/Fresher</t>
  </si>
  <si>
    <t>GeakMinds, Inc</t>
  </si>
  <si>
    <t>Full Time
Chennai
Posted 1 month ago
About: 
We are looking for an Engineer who is eager to work across multiple modern technologies, including AI/ML. The ideal candidate should have strong programming fundamentals, an interest in emerging technologies, and hands-on academic or p...</t>
  </si>
  <si>
    <t>https://www.glassdoor.co.in/job-listing/ai-ml-engineer-fresher-geakminds-JV_IC2833209_KO0,22_KE23,32.htm?jl=1010159381222</t>
  </si>
  <si>
    <t>GD_1010173095451</t>
  </si>
  <si>
    <t>Applied Scientist</t>
  </si>
  <si>
    <t>Design and build data-centric GenAI methods for synthetic data generation, multimodal data curation, data augmentation, filtering, deduplication, and quality assessment. 
Develop and evaluate synthetic data pipelines for text, speech, vision, and multimodal GenAI use cases, inclu...</t>
  </si>
  <si>
    <t>https://www.glassdoor.co.in/job-listing/applied-scientist-oracle-JV_KO0,17_KE18,24.htm?jl=1010173095451</t>
  </si>
  <si>
    <t>GD_1010103116069</t>
  </si>
  <si>
    <t>Knowledge Managment Analyst</t>
  </si>
  <si>
    <t>https://www.glassdoor.co.in/job-listing/knowledge-managment-analyst-zelis-JV_KO0,27_KE28,33.htm?jl=1010103116069</t>
  </si>
  <si>
    <t>GD_1010176466452</t>
  </si>
  <si>
    <t>Senior Data Scientist Engineer</t>
  </si>
  <si>
    <t>GSK PLC</t>
  </si>
  <si>
    <t>Business Introduction GSK remains committed to achieving bold commercial ambitions for the future. By 2031, we aim to deliver £40 billion in annual sales, leveraging our existing strong performance momentum to significantly increase our positive impact on the health of billions o...</t>
  </si>
  <si>
    <t>https://www.glassdoor.co.in/job-listing/senior-data-scientist-engineer-gsk-JV_KO0,30_KE31,34.htm?jl=1010176466452</t>
  </si>
  <si>
    <t>GD_1010168827918</t>
  </si>
  <si>
    <t>GSCC Senior Manager</t>
  </si>
  <si>
    <t>Pinkerton</t>
  </si>
  <si>
    <t>Overview: 
170+ Years Strong. Industry Leader. Global Impact.
At Pinkerton, the mission is to protect our clients. To do this, we provide enterprise risk management services and programs specifically designed for each client. Pinkerton employees are one of our most important asse...</t>
  </si>
  <si>
    <t>https://www.glassdoor.co.in/job-listing/gscc-senior-manager-pinkerton-JV_IC2940587_KO0,19_KE20,29.htm?jl=1010168827918</t>
  </si>
  <si>
    <t>GD_1010141631674</t>
  </si>
  <si>
    <t>Sr. Engineer Data Engineering</t>
  </si>
  <si>
    <t>https://www.glassdoor.co.in/job-listing/sr-engineer-data-engineering-zelis-JV_KO0,28_KE29,34.htm?jl=1010141631674</t>
  </si>
  <si>
    <t>GD_1010179227160</t>
  </si>
  <si>
    <t>Principal Machine Learning Engineer, ITC</t>
  </si>
  <si>
    <t>NIKE, Inc.</t>
  </si>
  <si>
    <t>Position Type 
Full Time 
Career area 
Machine Learning 
Location 
4/F, WeWork, Embassy GolfLinks, Karnataka, Karnātaka 560093, India 
Job ID 
R-86601 
Become a Part of the NIKE, Inc. Team 
NIKE, Inc. does more than outfit the world’s best athletes. It’s a place where passionat...</t>
  </si>
  <si>
    <t>https://www.glassdoor.co.in/job-listing/principal-machine-learning-engineer-itc-nike-JV_KO0,39_KE40,44.htm?jl=1010179227160</t>
  </si>
  <si>
    <t>GD_1010190529757</t>
  </si>
  <si>
    <t>Applied Machine Learning / Computer Vision Engineer</t>
  </si>
  <si>
    <t>Code Driven Labs is an AI-first technology company building intelligent products that leverage Machine Learning, Computer Vision, and Large Language Models to solve real-world business problems. We develop production-grade AI systems across industries including marketing, retail,...</t>
  </si>
  <si>
    <t>https://www.glassdoor.co.in/job-listing/applied-machine-learning-computer-vision-engineer-code-driven-labs-JV_KO0,49_KE50,66.htm?jl=1010190529757</t>
  </si>
  <si>
    <t>GD_1010012156119</t>
  </si>
  <si>
    <t>ML Engineer – Databricks</t>
  </si>
  <si>
    <t>InfoTrellis</t>
  </si>
  <si>
    <t>Skills required 
ml_engineering 
Databricks 
mlflow 
automl 
mosaic_ai 
pytorch_and_tensorflow 
hyperopt 
Education/Qualification 
Bachelor’s degree in a related field 
Desirable skills 
Ability to influence and build trust with C-suite stakeholders. 
Years of experience 
5–12 ye...</t>
  </si>
  <si>
    <t>https://www.glassdoor.co.in/job-listing/ml-engineer-databricks-infotrellis-JV_IC2833209_KO0,22_KE23,34.htm?jl=1010012156119</t>
  </si>
  <si>
    <t>GD_1010185718796</t>
  </si>
  <si>
    <t>Machine Learning Senior Analyst - HIH - Evernorth</t>
  </si>
  <si>
    <t>https://www.glassdoor.co.in/job-listing/machine-learning-senior-analyst-hih-evernorth-the-cigna-group-JV_KO0,45_KE46,61.htm?jl=1010185718796</t>
  </si>
  <si>
    <t>GD_1010177148554</t>
  </si>
  <si>
    <t>ML RESEARCH ENGINEER</t>
  </si>
  <si>
    <t>Apply Now
ML RESEARCH ENGINEER 
Apply Now
COUNTRY
Ukraine
FORMAT
Remote
Svitla Systems Inc. is looking for an ML Research Engineer for a full-time position (40 hours per week) in Ukraine. Our client creates AI solutions for live and social experiences, allowing users to build int...</t>
  </si>
  <si>
    <t>https://www.glassdoor.co.in/job-listing/ml-research-engineer-svitla-systems-JV_IC4476728_KO0,20_KE21,35.htm?jl=1010177148554</t>
  </si>
  <si>
    <t>GD_1010145383223</t>
  </si>
  <si>
    <t>Operations Engineer</t>
  </si>
  <si>
    <t>We are a fast-growing medical device company serving customers across multiple geographies. Our operations rely on robust data pipelines, quality processes, and reliable metrics to ensure patient safety and regulatory compliance. As an Operations Engineer, you will own and evolve...</t>
  </si>
  <si>
    <t>https://www.glassdoor.co.in/job-listing/operations-engineer-sleepiz-india-JV_KO0,19_KE20,33.htm?jl=1010145383223</t>
  </si>
  <si>
    <t>GD_1010171462076</t>
  </si>
  <si>
    <t>T7E Aftermarket Connect Pvt. Ltd.</t>
  </si>
  <si>
    <t>ABOUT THE ROLE 
T7E Aftermarket Connect is building a Trade Growth Engine — an intelligent, data-driven platform that powers loyalty, rewards, and channel activation for leading brands across Auto Aftermarket, Building &amp; Construction, and Agriculture. As our Machine Learning Eng...</t>
  </si>
  <si>
    <t>https://www.glassdoor.co.in/job-listing/machine-learning-engineer-t7e-JV_KO0,25_KE26,29.htm?jl=1010171462076</t>
  </si>
  <si>
    <t>GD_1010167413078</t>
  </si>
  <si>
    <t>Robotics &amp; AI Trainer</t>
  </si>
  <si>
    <t>Are you passionate about teaching and technology? Do you have experience in Artificial Intelligence, Robotics, Internet of Things (IoT), and Python? Join our team at CyncNLeap Education Solutions as a Robotics &amp; Coding Trainer for school students!
Key Responsibilities:
1. Develop...</t>
  </si>
  <si>
    <t>https://www.glassdoor.co.in/job-listing/robotics-ai-trainer-cyncnleap-education-solution-JV_KO0,19_KE20,48.htm?jl=1010167413078</t>
  </si>
  <si>
    <t>GD_1010191093058</t>
  </si>
  <si>
    <t>Senior AI ML Engineer</t>
  </si>
  <si>
    <t>https://www.glassdoor.co.in/job-listing/senior-ai-ml-engineer-optum-JV_KO0,21_KE22,27.htm?jl=1010191093058</t>
  </si>
  <si>
    <t>GD_1010124989065</t>
  </si>
  <si>
    <t>Haystek Technologies</t>
  </si>
  <si>
    <t>Posted on
January 2nd, 2026
Location
Hyderabad
Type
Full-time
Role Overview
We are seeking a highly skilled and motivated Machine Learning/Deep Learning Engineer with expertise in neural network development, GenAI technologies, and cloud-native deployment on AWS.This role will be...</t>
  </si>
  <si>
    <t>https://www.glassdoor.co.in/job-listing/machine-learning-engineer-haystek-technologies-JV_KO0,25_KE26,46.htm?jl=1010124989065</t>
  </si>
  <si>
    <t>GD_1010148136638</t>
  </si>
  <si>
    <t>Founding Engineer</t>
  </si>
  <si>
    <t>THE OPPORTUNITY
The way most software teams are organised is a relic. The sprint cadences, the ticket grooming, the review bottlenecks — all built for a world where individual output was low and coordination was the hard problem. AI inverted that. The hard problem now is architec...</t>
  </si>
  <si>
    <t>https://www.glassdoor.co.in/job-listing/founding-engineer-sujho-ai-private-limited-JV_IC2921225_KO0,17_KE18,42.htm?jl=1010148136638</t>
  </si>
  <si>
    <t>GD_1010150845319</t>
  </si>
  <si>
    <t>AI Support Engineer</t>
  </si>
  <si>
    <t>Roots Group of Companies</t>
  </si>
  <si>
    <t>Job Information
Company Name
RMCL-HO 
Date Opened
05/22/2026 
State/Province
Tamil Nadu 
Industry
Manufacturing 
City
Coimbatore North 
Country
India 
Zip/Postal Code
641006 
Job Description
We are looking for a motivated and detail-oriented AI Developer (Fresher) to assist the S...</t>
  </si>
  <si>
    <t>https://www.glassdoor.co.in/job-listing/ai-support-engineer-roots-group-of-companies-JV_IC2836047_KO0,19_KE20,44.htm?jl=1010150845319</t>
  </si>
  <si>
    <t>GD_1010154041852</t>
  </si>
  <si>
    <t>Senior AI/ML Engineer-Conversational AI Engineer</t>
  </si>
  <si>
    <t>Design and scale voice &amp; chat conversational AI solutions using Amazon Lex, Dialogflow (ES/CX), and Google CX / Agent Studio, with strong focus on engineering excellence across CCaaS integrations, Agile delivery, and AI-assisted development.
Key Responsibilities
Build and deploy ...</t>
  </si>
  <si>
    <t>https://www.glassdoor.co.in/job-listing/senior-ai-ml-engineer-conversational-ai-engineer-optum-JV_KO0,48_KE49,54.htm?jl=1010154041852</t>
  </si>
  <si>
    <t>GD_1010162714004</t>
  </si>
  <si>
    <t>Release Engineer</t>
  </si>
  <si>
    <t>https://www.glassdoor.co.in/job-listing/release-engineer-zelis-JV_KO0,16_KE17,22.htm?jl=1010162714004</t>
  </si>
  <si>
    <t>GD_1010166378934</t>
  </si>
  <si>
    <t>AI or ML Engineer</t>
  </si>
  <si>
    <t>https://www.glassdoor.co.in/job-listing/ai-or-ml-engineer-optum-JV_KO0,17_KE18,23.htm?jl=1010166378934</t>
  </si>
  <si>
    <t>GD_1010127177966</t>
  </si>
  <si>
    <t>Machine Learning Engineer/Data Engineer</t>
  </si>
  <si>
    <t>Adient</t>
  </si>
  <si>
    <t>JOB DESCRIPTION
Responsibilities
Apply statistical analysis, and machine learning to solve business problems
Clean, process, and analyze large datasets from multiple sources
Write efficient, reusable, and reliable Python code for data processing and analysis.
Build and optimize p...</t>
  </si>
  <si>
    <t>https://www.glassdoor.co.in/job-listing/machine-learning-engineer-data-engineer-adient-JV_KO0,39_KE40,46.htm?jl=1010127177966</t>
  </si>
  <si>
    <t>GD_1010186159038</t>
  </si>
  <si>
    <t>Sr. Gen AI Engineer</t>
  </si>
  <si>
    <t>GAVS Technologies Private Limited</t>
  </si>
  <si>
    <t>JD:
Advanced AI/ML expertise with strong Python skills, covering machine learning, NLP, Generative AI, RAG architectures, vector search, model evaluation, and frameworks like LangChain, PyTorch, TensorFlow, HuggingFace, and vector databases.
Hands-on experience with cloud platf...</t>
  </si>
  <si>
    <t>https://www.glassdoor.co.in/job-listing/sr-gen-ai-engineer-neurealm-JV_IC2833209_KO0,18_KE19,27.htm?jl=1010186159038</t>
  </si>
  <si>
    <t>GD_1010123798569</t>
  </si>
  <si>
    <t>Codelogicx Technologies Private Limited</t>
  </si>
  <si>
    <t>Job Information
Date Opened
05/05/2026 
Job Type
Full time 
Industry
IT Services 
City
Kolkata 
Province
West Bengal 
Country
India 
Postal Code
700091 
About Us
We are a fast growing technology company specializing in current and emerging internet, cloud and mobile technologies....</t>
  </si>
  <si>
    <t>https://www.glassdoor.co.in/job-listing/machine-learning-engineer-codelogicx-technologies-JV_KO0,25_KE26,49.htm?jl=1010123798569</t>
  </si>
  <si>
    <t>GD_1010172944279</t>
  </si>
  <si>
    <t>Senior Marketing Technology Specialist (Employer of Record)</t>
  </si>
  <si>
    <t>Credit Acceptance Corporation</t>
  </si>
  <si>
    <t>Credit Acceptance is proud to be an award-winning company with workplace recognition in multiple categories! Our world-class culture is shaped by dedicated Team Members who share a drive to succeed as professionals and together as a company. A great product, amazing people and ou...</t>
  </si>
  <si>
    <t>https://www.glassdoor.co.in/job-listing/senior-marketing-technology-specialist-employer-of-record-credit-acceptance-JV_KO0,57_KE58,75.htm?jl=1010172944279</t>
  </si>
  <si>
    <t>GD_1010186469387</t>
  </si>
  <si>
    <t>Senior Machine Learning Engineer / Senior Applied Scientist, Search &amp; AI</t>
  </si>
  <si>
    <t>Apple Inc.</t>
  </si>
  <si>
    <t>Apple is where individual imaginations come together, committing to the values that lead to great work. Every new product we build, service we create, or Apple Store experience we deliver is the result of us strengthening each other’s ideas. That happens because every one of us b...</t>
  </si>
  <si>
    <t>https://www.glassdoor.co.in/job-listing/senior-machine-learning-engineer-senior-applied-scientist-search-ai-apple-JV_KO0,67_KE68,73.htm?jl=1010186469387</t>
  </si>
  <si>
    <t>GD_1010174651760</t>
  </si>
  <si>
    <t>Principal Research Scientist &amp; Professor of Practice (AI &amp; Machine Learning)</t>
  </si>
  <si>
    <t>Post Title: Principal Research Scientist &amp; Professor of Practice (AI &amp; Machine Learning)
Work Mode: Fully Remote
Employment Type: Full-time
Pay: ₹14-20 LPA per annum (based on qualifications, experience, and interview performance)
Education:
Doctorate (Ph.D.) – Required
Job descr...</t>
  </si>
  <si>
    <t>https://www.glassdoor.co.in/job-listing/principal-research-scientist-professor-of-practice-ai-machine-learning-aiclub-JV_KO0,70_KE71,77.htm?jl=1010174651760</t>
  </si>
  <si>
    <t>GD_1010188978524</t>
  </si>
  <si>
    <t>AVP, Senior Product Engineer (L10)</t>
  </si>
  <si>
    <t>https://www.glassdoor.co.in/job-listing/avp-senior-product-engineer-l10-synchrony-JV_KO0,31_KE32,41.htm?jl=1010188978524</t>
  </si>
  <si>
    <t>GD_1010180193124</t>
  </si>
  <si>
    <t>Senior Machine Learning Engineer (Gemini Enterprise)</t>
  </si>
  <si>
    <t>programming.com Inc.</t>
  </si>
  <si>
    <t>Senior Machine Learning Engineer
About Quantiphi
Quantiphi is an award-winning Data Science and Machine Learning Software and Services Company focused on helping organizations translate the big promise of Machine Learning technologies into quantifiable business impact. Founded on...</t>
  </si>
  <si>
    <t>https://www.glassdoor.co.in/job-listing/senior-machine-learning-engineer-gemini-enterprise-programming-com-JV_KO0,50_KE51,66.htm?jl=1010180193124</t>
  </si>
  <si>
    <t>GD_1010126807506</t>
  </si>
  <si>
    <t>Associate AI/ML Engineer</t>
  </si>
  <si>
    <t>https://www.glassdoor.co.in/job-listing/associate-ai-ml-engineer-optum-JV_IC2921225_KO0,24_KE25,30.htm?jl=1010126807506</t>
  </si>
  <si>
    <t>GD_1010191171851</t>
  </si>
  <si>
    <t>Sr. AI / ML Engineer – OpenAI Expert</t>
  </si>
  <si>
    <t>We are looking for a highly skilled Sr. AI / ML Engineer with deep OpenAI expertise to lead the design, development, and deployment of enterprise-grade AI solutions for Zensar's global client portfolio. This is a senior individual contributor role requiring hands-on mastery of Op...</t>
  </si>
  <si>
    <t>https://www.glassdoor.co.in/job-listing/sr-ai-ml-engineer-openai-expert-zensar-technologies-JV_KO0,31_KE32,51.htm?jl=1010191171851</t>
  </si>
  <si>
    <t>GD_1010188978515</t>
  </si>
  <si>
    <t>https://www.glassdoor.co.in/job-listing/avp-senior-product-engineer-l10-synchrony-JV_KO0,31_KE32,41.htm?jl=1010188978515</t>
  </si>
  <si>
    <t>GD_1010139263645</t>
  </si>
  <si>
    <t>Principal Machine Learning Engineer</t>
  </si>
  <si>
    <t>Revulytics Inc.</t>
  </si>
  <si>
    <t>https://www.glassdoor.co.in/job-listing/principal-machine-learning-engineer-revenera-JV_KO0,35_KE36,44.htm?jl=1010139263645</t>
  </si>
  <si>
    <t>GD_1010140623175</t>
  </si>
  <si>
    <t>Codvo.ai</t>
  </si>
  <si>
    <t>Please apply only if you are physically present in India
Machine Learning Engineer Job Description
Company: Codvo
Job Title: Machine Learning Engineer
Experience: 5+ years
About the Role
We are looking for a hands-on Machine Learning Engineer to join our analytics team and collab...</t>
  </si>
  <si>
    <t>https://www.glassdoor.co.in/job-listing/machine-learning-engineer-codvo-ai-JV_KO0,25_KE26,34.htm?jl=1010140623175</t>
  </si>
  <si>
    <t>GD_1010166279959</t>
  </si>
  <si>
    <t>Machine Learning Engineer (Predictive Analytics – Healthcare)</t>
  </si>
  <si>
    <t>Machine Learning Engineer (Predictive Analytics – Healthcare)About the Role
We are seeking an experienced Machine Learning Engineer to join our team for an initial experimental engagement focused on predictive analytics within the healthcare industry. The ideal candidate will hav...</t>
  </si>
  <si>
    <t>https://www.glassdoor.co.in/job-listing/machine-learning-engineer-predictive-analytics-healthcare-kasmoprav-JV_KO0,57_KE58,67.htm?jl=1010166279959</t>
  </si>
  <si>
    <t>GD_1010098621031</t>
  </si>
  <si>
    <t>SOC Analyst - L2</t>
  </si>
  <si>
    <t>https://www.glassdoor.co.in/job-listing/soc-analyst-l2-zelis-JV_KO0,14_KE15,20.htm?jl=1010098621031</t>
  </si>
  <si>
    <t>GD_1010029238562</t>
  </si>
  <si>
    <t>Hiring For Machine Learning Engineer</t>
  </si>
  <si>
    <t>BSRI Solutions Pvt Ltd</t>
  </si>
  <si>
    <t>Job openings for Machine Learning Engineer in Chennai
ðŸš€ We€™re Hiring: Machine Learning Engineer (2€“5 Years Experience) 
Are you passionate about building real-world AI/ML solutions and deploying them into production? We€™re looking for a hands-on ML Engineer to join our te...</t>
  </si>
  <si>
    <t>https://www.glassdoor.co.in/job-listing/hiring-for-machine-learning-engineer-bsri-solutions-JV_KO0,36_KE37,51.htm?jl=1010029238562</t>
  </si>
  <si>
    <t>GD_1007738788373</t>
  </si>
  <si>
    <t>MNJ Software Pvt. Ltd.</t>
  </si>
  <si>
    <t>About Us 
Energize your career with one of Information Technology’s fastest growing companies. 
You dream of a great career with a great company – where you can make an impact and help people. We dream of giving you the opportunity to do just this. And with the incredible growth ...</t>
  </si>
  <si>
    <t>https://www.glassdoor.co.in/job-listing/machine-learning-engineer-mnj-software-JV_KO0,25_KE26,38.htm?jl=1007738788373</t>
  </si>
  <si>
    <t>GD_1009938023608</t>
  </si>
  <si>
    <t>AI-Machine Learning Engineer</t>
  </si>
  <si>
    <t>V Support Solutions</t>
  </si>
  <si>
    <t>Job Title :AI-Machine Learning Engineer 
Job Location :Coimbatore 
No of Openings : 2 
Qualification ;Any degree or BE-Computer Science 
Experience: 03 to 05 Years 
Salary ;40k to 60k per month (Negotiable for the right candidate) 
Skills Required: 
Contribute towards building da...</t>
  </si>
  <si>
    <t>https://www.glassdoor.co.in/job-listing/ai-machine-learning-engineer-v-support-solutions-JV_IC2836047_KO0,28_KE29,48.htm?jl=1009938023608</t>
  </si>
  <si>
    <t>GD_1010039137384</t>
  </si>
  <si>
    <t>SOC Analyst L3</t>
  </si>
  <si>
    <t>https://www.glassdoor.co.in/job-listing/soc-analyst-l3-zelis-JV_KO0,14_KE15,20.htm?jl=1010039137384</t>
  </si>
  <si>
    <t>GD_1010053310494</t>
  </si>
  <si>
    <t>Deep Learning Engineer</t>
  </si>
  <si>
    <t>SeaportAI</t>
  </si>
  <si>
    <t>Full-time | Hybrid/Remote 
Deep Learning Engineer – Healthcare AI (0–5 Years) 
Skill Sets Needed 
Deep Learning Frameworks: Proficient in PyTorch or TensorFlow 
Programming: Strong Python skills with experience in NumPy, Pandas, and scikit-learn 
Model Development: Experience ...</t>
  </si>
  <si>
    <t>https://www.glassdoor.co.in/job-listing/deep-learning-engineer-seaportai-JV_KO0,22_KE23,32.htm?jl=1010053310494</t>
  </si>
  <si>
    <t>GD_1010171806523</t>
  </si>
  <si>
    <t>Data Analyst 2</t>
  </si>
  <si>
    <t>https://www.glassdoor.co.in/job-listing/data-analyst-2-optum-JV_KO0,14_KE15,20.htm?jl=1010171806523</t>
  </si>
  <si>
    <t>GD_1007839811676</t>
  </si>
  <si>
    <t>DeepEdge AI India Private Limited</t>
  </si>
  <si>
    <t>Machine Learning engineers with 1-3 years of industry experience
Hyderabad, India 
Full Time</t>
  </si>
  <si>
    <t>https://www.glassdoor.co.in/job-listing/machine-learning-engineer-deepedge-JV_KO0,25_KE26,34.htm?jl=1007839811676</t>
  </si>
  <si>
    <t>GD_1010117107248</t>
  </si>
  <si>
    <t>https://www.glassdoor.co.in/job-listing/software-engineer-zelis-JV_KO0,17_KE18,23.htm?jl=1010117107248</t>
  </si>
  <si>
    <t>GD_1010156509651</t>
  </si>
  <si>
    <t>Senior Manager – Technical (Legal Technology)</t>
  </si>
  <si>
    <t>Novartis Italia</t>
  </si>
  <si>
    <t>Summary 
#LI-Hybrid
Location: Hyderabad, India
Join us at the forefront of legal innovation, where technology meets real-world impact. As a Senior Manager – Technical (Legal Technology), you will help shape how legal services are delivered by building AI-enabled platforms that t...</t>
  </si>
  <si>
    <t>https://www.glassdoor.co.in/job-listing/senior-manager-technical-legal-technology-novartis-JV_KO0,41_KE42,50.htm?jl=1010156509651</t>
  </si>
  <si>
    <t>GD_1010163088434</t>
  </si>
  <si>
    <t>India - Hyderabad 
JOB ID: R-243719 LOCATION: India - Hyderabad WORK LOCATION TYPE: On Site DATE POSTED: Jun. 09, 2026 CATEGORY: Information Systems 
ABOUT AMGEN
Amgen harnesses the best of biology and technology to fight the world’s toughest diseases, making people’s lives easie...</t>
  </si>
  <si>
    <t>https://www.glassdoor.co.in/job-listing/sr-machine-learning-engineer-amgen-JV_KO0,28_KE29,34.htm?jl=1010163088434</t>
  </si>
  <si>
    <t>GD_1010137971260</t>
  </si>
  <si>
    <t>AI Engineer (Fresher)</t>
  </si>
  <si>
    <t>AAPNA Infotheek Pvt. Ltd.</t>
  </si>
  <si>
    <t>AI Engineer (Fresher)
Position – AI Engineer (Fresher)
Experience – 0–1 year
Location – Remote
Education – B.E/B.Tech/MCA or any bachelor’s degree in computers/AI/ML
Salary – Best in Class
Are you passionate about Artificial Intelligence, Machine Learning, and building the future...</t>
  </si>
  <si>
    <t>https://www.glassdoor.co.in/job-listing/ai-engineer-fresher-aapna-infotheek-JV_KO0,19_KE20,35.htm?jl=1010137971260</t>
  </si>
  <si>
    <t>GD_1010012156135</t>
  </si>
  <si>
    <t>ML Engineer – Snowflake</t>
  </si>
  <si>
    <t>Skills required 
snowpark_ml 
snowflake_model_registry 
snowflake_feature_store 
cortex_ml_functions 
snowpark_python_udfs_vectorized_udfs 
ml_libraries 
mlops_practices 
stored_procedures 
Education/Qualification 
Bachelor’s degree in a related field 
Desirable skills 
Ability t...</t>
  </si>
  <si>
    <t>https://www.glassdoor.co.in/job-listing/ml-engineer-snowflake-infotrellis-JV_IC2833209_KO0,21_KE22,33.htm?jl=1010012156135</t>
  </si>
  <si>
    <t>GD_1010189625907</t>
  </si>
  <si>
    <t>ML Engineer I</t>
  </si>
  <si>
    <t xml:space="preserve">UST Global Inc. </t>
  </si>
  <si>
    <t>Role description
Primary Skills: Python AI/ML engineering, , Agentic Layer A2A frameworks and MCP Protocol
Senior AI Engineers
JOB DESCRIPTION
Primary Skill
Python AI/ML and cloud.
Business
10X Engineering
Skill Category
Super Super Niche
JOB POSITION
5+ years of experience...</t>
  </si>
  <si>
    <t>https://www.glassdoor.co.in/job-listing/ml-engineer-i-ust-JV_IC2940587_KO0,13_KE14,17.htm?jl=1010189625907</t>
  </si>
  <si>
    <t>GD_1010159232550</t>
  </si>
  <si>
    <t>Senior AI Engineer</t>
  </si>
  <si>
    <t>Nokia Corporation</t>
  </si>
  <si>
    <t>We're hiring a Software Engineer to build the infrastructure that powers our AI agents and ML systems end-to-end — from fine-tuning foundation models to shipping production-grade agent harnesses. You'll work across the stack: building MLOps pipelines, customizing LLMs, and deploy...</t>
  </si>
  <si>
    <t>https://www.glassdoor.co.in/job-listing/senior-ai-engineer-nokia-JV_KO0,18_KE19,24.htm?jl=1010159232550</t>
  </si>
  <si>
    <t>GD_1010120417835</t>
  </si>
  <si>
    <t>Role: Data Scientist 
Location: Noida 
Exp Range: 5-9 years 
Tech stack: Python, Azure ML, AI, AWS SageMaker, GCP Vertex AI
Must have:
Build and validate ML models for time series forecasting and anomaly detection.
Analyze large datasets from IoT sensors and operational systems....</t>
  </si>
  <si>
    <t>https://www.glassdoor.co.in/job-listing/data-scientist-tata-consultancy-services-JV_KO0,14_KE15,40.htm?jl=1010120417835</t>
  </si>
  <si>
    <t>GD_1009357926703</t>
  </si>
  <si>
    <t>Frontend Web Developer</t>
  </si>
  <si>
    <t>For Surat residents only
Experience: 1year+ Exp.
Required Skills: HTML, CSS, SCSS, Photoshop, Figma, Addobe Xd
Salary: Negotiable
Bond: 1.5 year bond.
Qualification: Any</t>
  </si>
  <si>
    <t>https://www.glassdoor.co.in/job-listing/frontend-web-developer-zypac-infotech-JV_IC2933827_KO0,22_KE23,37.htm?jl=1009357926703</t>
  </si>
  <si>
    <t>GD_1008608606004</t>
  </si>
  <si>
    <t>Data Scientist (Machine Learning)</t>
  </si>
  <si>
    <t>Helius Technologies Pte Ltd</t>
  </si>
  <si>
    <t>As a Machine Learning Scientist, you will work collaboratively with our Data Scientists and Data Analysts to develop analytical frameworks and reliable measurement strategies for eCommerce.
In this role, you will be responsible for working on models to optimize customer experienc...</t>
  </si>
  <si>
    <t>https://www.glassdoor.co.in/job-listing/data-scientist-machine-learning-helius-technologies-JV_KO0,31_KE32,51.htm?jl=1008608606004</t>
  </si>
  <si>
    <t>GD_1010032999686</t>
  </si>
  <si>
    <t>Python Engineer</t>
  </si>
  <si>
    <t>Python Engineer Job Description
Experience - 3-7 years
About the Role
We are looking for a hands-on Python Engineer to join our analytics team and collaborate closely with the Data Science team. The ideal candidate will have strong Python development skills, apply best practices ...</t>
  </si>
  <si>
    <t>https://www.glassdoor.co.in/job-listing/python-engineer-codvo-ai-JV_KO0,15_KE16,24.htm?jl=1010032999686</t>
  </si>
  <si>
    <t>GD_1010155316672</t>
  </si>
  <si>
    <t>Senior ML Engineer (NLP/GenAI)</t>
  </si>
  <si>
    <t>Vestas Wind Systems A/S</t>
  </si>
  <si>
    <t>Digital Development Platform &gt; Autonomous Flows &gt; Autonomous Flows Advisors
At the core of Data &amp; AI organization, the AI/ML Chapter serves as the capability home for AI/ML, supporting craft excellence, skills development and scalable delivery practices across Vestas. With a glo...</t>
  </si>
  <si>
    <t>https://www.glassdoor.co.in/job-listing/senior-ml-engineer-nlp-genai-vestas-wind-systems-JV_IC2833209_KO0,28_KE29,48.htm?jl=1010155316672</t>
  </si>
  <si>
    <t>GD_1010188964739</t>
  </si>
  <si>
    <t>Forward Deployed Engineer</t>
  </si>
  <si>
    <t>Accordion Partners LLC</t>
  </si>
  <si>
    <t>LOCATIONS 
Atlanta 
Boston 
Charlotte 
New York City 
Chicago 
Dallas 
Los Angeles 
San Francisco 
DEPARTMENT 
Data &amp; Analytics 
Company Overview 
We are the better way to work in finance. As private equity’s value creation partner, we sit at the heart of PE—where sponsors and ...</t>
  </si>
  <si>
    <t>https://www.glassdoor.co.in/job-listing/forward-deployed-engineer-accordion-JV_KO0,25_KE26,35.htm?jl=1010188964739</t>
  </si>
  <si>
    <t>GD_1008157342102</t>
  </si>
  <si>
    <t>Tekolutions.AI</t>
  </si>
  <si>
    <t>Responsibilities:-
Meeting with the development team to discuss user interface ideas and applications
Reviewing application requirements and interface designs
Identifying web-based user interactions
Developing and implementing highly responsive user interface components using Rea...</t>
  </si>
  <si>
    <t>https://www.glassdoor.co.in/job-listing/react-js-developer-tekolutions-ai-JV_IC2851180_KO0,18_KE19,33.htm?jl=1008157342102</t>
  </si>
  <si>
    <t>GD_1010187384942</t>
  </si>
  <si>
    <t>Associate AI ML Engineer</t>
  </si>
  <si>
    <t>https://www.glassdoor.co.in/job-listing/associate-ai-ml-engineer-optum-JV_IC2940587_KO0,24_KE25,30.htm?jl=1010187384942</t>
  </si>
  <si>
    <t>GD_1010182470342</t>
  </si>
  <si>
    <t>Pratap Technocrats Private Limited</t>
  </si>
  <si>
    <t>Position Overview
Department: Engineering - ML &amp; Data Science
Role type: Full-Time, On-site
Experience: 3-6 Years (Mid-Senior)
Location: Gurgaon, HR
About the Role
This is the core technical role. You will own the full ML pipeline - from raw inverter and weather
time-series data ...</t>
  </si>
  <si>
    <t>https://www.glassdoor.co.in/job-listing/machine-learning-engineer-pratap-technocrats-JV_IC2921225_KO0,25_KE26,44.htm?jl=1010182470342</t>
  </si>
  <si>
    <t>GD_1010181493990</t>
  </si>
  <si>
    <t>JOB DESCRIPTION: AI ENGINEER
Role: Lead Agentic AI &amp; Edge-Computing Architect
Location: Hyderabad (Tech Office)
Employment Type: Full-Time
About the Role:
We are not using cloud AI; we are running 36 localized Agentic AI models on the edge. You will architect the "Brain" of the P...</t>
  </si>
  <si>
    <t>https://www.glassdoor.co.in/job-listing/ai-engineer-shattrimishat-tattva-project-pvt-ltd-JV_KO0,11_KE12,48.htm?jl=1010181493990</t>
  </si>
  <si>
    <t>GD_1009957476095</t>
  </si>
  <si>
    <t>Senior Machine Learning Engineer - Hybrid (Chennai/Coimbatore)</t>
  </si>
  <si>
    <t>Informica Solutions</t>
  </si>
  <si>
    <t>Responsibilities:
Design and develop machine learning models and algorithms specifically focused on English language processing and natural language understanding.
Apply advanced techniques in deep learning, natural language processing, and machine translation to extract meaningf...</t>
  </si>
  <si>
    <t>https://www.glassdoor.co.in/job-listing/senior-machine-learning-engineer-hybrid-chennai-coimbatore-informica-JV_IC2833209_KO0,58_KE59,68.htm?jl=1009957476095</t>
  </si>
  <si>
    <t>GD_1010057179983</t>
  </si>
  <si>
    <t>AI/ML Engineers</t>
  </si>
  <si>
    <t>Broadridge Financial Solutions, Inc.</t>
  </si>
  <si>
    <t>At Broadridge, we've built a culture where the highest goal is to empower others to accomplish more. If you’re passionate about developing your career, while helping others along the way, come join the Broadridge team.
What You’ll Do
Build and deploy LLM-powered applications and ...</t>
  </si>
  <si>
    <t>https://www.glassdoor.co.in/job-listing/ai-ml-engineers-broadridge-JV_IC2940587_KO0,15_KE16,26.htm?jl=1010057179983</t>
  </si>
  <si>
    <t>GD_1010031281658</t>
  </si>
  <si>
    <t>Teradata Corporation</t>
  </si>
  <si>
    <t>Our Company
At Teradata, we believe that people thrive when empowered with better information. Teradata Autonomous Knowledge Platform activates enterprise intelligence by unifying data, knowledge and business context to achieve tangible outcomes. With Teradata, organizations can ...</t>
  </si>
  <si>
    <t>https://www.glassdoor.co.in/job-listing/senior-ai-engineer-teradata-JV_KO0,18_KE19,27.htm?jl=1010031281658</t>
  </si>
  <si>
    <t>GD_1009686139822</t>
  </si>
  <si>
    <t>Junior ML Engineer</t>
  </si>
  <si>
    <t xml:space="preserve">Eastern Book Co. (P) Ltd. </t>
  </si>
  <si>
    <t>Junior ML Engineer 
Role Overview 
As a Junior ML Engineer, you’ll be exposed to real-world machine learning systems from day one. You’ll support model development, testing, and deployment — and also take ownership of core data tasks like ingestion, vectorization, and indexing th...</t>
  </si>
  <si>
    <t>https://www.glassdoor.co.in/job-listing/junior-ml-engineer-scc-online-JV_IC2873112_KO0,18_KE19,29.htm?jl=1009686139822</t>
  </si>
  <si>
    <t>GD_1009983534560</t>
  </si>
  <si>
    <t>python with AI/ML,pyspark,AWS</t>
  </si>
  <si>
    <t>Python Developer with AI/ML -Pyscpark AWS 
Location 
Chennai 
Job Function 
TECHNOLOGY 
Role 
Senior Engineer 
Job Id 
387441 
Desired Skills 
Python 
Desired Candidate Profile 
Qualifications : BACHELOR OF ENGINEERING</t>
  </si>
  <si>
    <t>https://www.glassdoor.co.in/job-listing/python-with-ai-ml-pyspark-aws-tata-consultancy-services-JV_IC2833209_KO0,29_KE30,55.htm?jl=1009983534560</t>
  </si>
  <si>
    <t>GD_1010191570350</t>
  </si>
  <si>
    <t>Baker Hughes Company</t>
  </si>
  <si>
    <t>AI Engineer
Are you passionate about software engineering and excited to build real-world AI services?
Would you like to grow your skills by working with experienced engineers on scalable, production-grade AI solutions?
Join our Artificial Intelligence Engineering Team
We design,...</t>
  </si>
  <si>
    <t>https://www.glassdoor.co.in/job-listing/ai-engineer-baker-hughes-JV_IC2921225_KO0,11_KE12,24.htm?jl=1010191570350</t>
  </si>
  <si>
    <t>GD_1010171869640</t>
  </si>
  <si>
    <t>AI Engineer II</t>
  </si>
  <si>
    <t>RealPage, Inc.</t>
  </si>
  <si>
    <t>Overview: 
RealPage is at the forefront of the Generative AI revolution, dedicated to shaping the future of artificial intelligence within the Property Tech domain. Our Agentic AI team is focused on driving innovation by building next generation AI applications and enhancing exis...</t>
  </si>
  <si>
    <t>https://www.glassdoor.co.in/job-listing/ai-engineer-ii-realpage-JV_KO0,14_KE15,23.htm?jl=1010171869640</t>
  </si>
  <si>
    <t>GD_1010154721981</t>
  </si>
  <si>
    <t>Associate AI Engineer</t>
  </si>
  <si>
    <t>A-38, Sector 67, Noida, Uttar Pradesh - 201301 Experience: 2-3 years No. of openings: 1 
Job Description (JD):
We are seeking a passionate and innovative Associate AI Engineer to join our growing technology team. In this role, you will work on cutting-edge Artificial Intelligence...</t>
  </si>
  <si>
    <t>https://www.glassdoor.co.in/job-listing/associate-ai-engineer-johnnette-technologies-JV_KO0,21_KE22,44.htm?jl=1010154721981</t>
  </si>
  <si>
    <t>GD_1009947953274</t>
  </si>
  <si>
    <t>Fresher Python AI/ML Developer</t>
  </si>
  <si>
    <t>Shine Infosoft</t>
  </si>
  <si>
    <t>About the Role
We are looking for a passionate and enthusiastic Fresher Python AI/ML Developer who is excited to begin their career in Python development and Generative AI. The ideal candidate should have a strong foundation in Python programming, hands-on knowledge of Python fra...</t>
  </si>
  <si>
    <t>https://www.glassdoor.co.in/job-listing/fresher-python-ai-ml-developer-shine-infosoft-JV_IC2935226_KO0,30_KE31,45.htm?jl=1009947953274</t>
  </si>
  <si>
    <t>GD_1010160809976</t>
  </si>
  <si>
    <t>Senior/ Lead Generative AI Developer/engineer</t>
  </si>
  <si>
    <t>https://www.glassdoor.co.in/job-listing/senior-lead-generative-ai-developer-engineer-citi-JV_KO0,44_KE45,49.htm?jl=1010160809976</t>
  </si>
  <si>
    <t>GD_1010168611359</t>
  </si>
  <si>
    <t>Job Family:
Data Science &amp; Analysis (India)
Travel Required:
None
Clearance Required:
None
What You Will Do:
Role Overview
We are looking for an experienced AI Developer with 3–5 years of hands-on experience to lead the development of enterprise-grade AI solutions. This role i...</t>
  </si>
  <si>
    <t>https://www.glassdoor.co.in/job-listing/senior-ai-engineer-guidehouse-JV_IC2833209_KO0,18_KE19,29.htm?jl=1010168611359</t>
  </si>
  <si>
    <t>GD_1010173443813</t>
  </si>
  <si>
    <t>Mandatory Skills &amp; Experience:
❖ Experience: 5-8 years of experience in data engineering, DevOps, or a related technical field.
❖ Snowflake Expertise: 3+ years of hands-on experience with Snowflake's core functionalities, including designing
database schemas, efficiently loading ...</t>
  </si>
  <si>
    <t>https://www.glassdoor.co.in/job-listing/data-engineer-connectguru-JV_KO0,13_KE14,25.htm?jl=1010173443813</t>
  </si>
  <si>
    <t>GD_1009982049042</t>
  </si>
  <si>
    <t>Software Engineer (Machine learning &amp; Recommendation)</t>
  </si>
  <si>
    <t>Mercari, Inc</t>
  </si>
  <si>
    <t>IntroductionAbout Us
Mercari is a Japan-based C2C marketplace company founded in 2013 with the mission to “Create value in a global marketplace where anyone can buy &amp; sell.” From being the first tech unicorn from Japan before its IPO in 2018 we have come a long way towards becomi...</t>
  </si>
  <si>
    <t>https://www.glassdoor.co.in/job-listing/software-engineer-machine-learning-recommendation-mercari-JV_KO0,49_KE50,57.htm?jl=1009982049042</t>
  </si>
  <si>
    <t>GD_1010080491679</t>
  </si>
  <si>
    <t>Sr. AI Engineer</t>
  </si>
  <si>
    <t>Bhukya Software Technologies Pvt Ltd</t>
  </si>
  <si>
    <t>Working at Bhukya Software Technologies.
What makes Bhukya Software Technologies a place you want to work ?
Our culture is focused on giving our people the opportunity to grow professionally, advancing their skills and careers. On recognizing and rewarding them for their efforts ...</t>
  </si>
  <si>
    <t>https://www.glassdoor.co.in/job-listing/sr-ai-engineer-bhukya-software-technologies-JV_KO0,14_KE15,43.htm?jl=1010080491679</t>
  </si>
  <si>
    <t>GD_1010159044694</t>
  </si>
  <si>
    <t>Shell Energy Retail Limited</t>
  </si>
  <si>
    <t>, India
Job Family Group: 
Research and Development
Worker Type: 
Regular
Posting Start Date: 
July 6, 2026
Business Unit: 
Finance
Experience Level: 
Experienced Professionals
Job Description: 
What’s the role 
The Commercial Data Science (CDS) team partners with Shell’s b...</t>
  </si>
  <si>
    <t>https://www.glassdoor.co.in/job-listing/data-scientist-shell-energy-retail-JV_IC2833209_KO0,14_KE15,34.htm?jl=1010159044694</t>
  </si>
  <si>
    <t>GD_1010170953433</t>
  </si>
  <si>
    <t>Scouting for Pytorch &amp; Python Engineer</t>
  </si>
  <si>
    <t>Quess Corp Ltd</t>
  </si>
  <si>
    <t>The PyTorch &amp; Python ML Engineer is expected to ensure that machine learning development is treated as production engineering, not experimentation.
Success in this role is measured by:
· Stable, maintainable ML codebases
· Reproducible training and evaluation outcomes
· Smooth tr...</t>
  </si>
  <si>
    <t>https://www.glassdoor.co.in/job-listing/scouting-for-pytorch-python-engineer-quess-JV_KO0,36_KE37,42.htm?jl=1010170953433</t>
  </si>
  <si>
    <t>GD_1010190942339</t>
  </si>
  <si>
    <t>Computer Faculty</t>
  </si>
  <si>
    <t>Rajahmundry Rural</t>
  </si>
  <si>
    <t>About the Role: Are you a tech professional with a passion for building real-world solutions and mentoring talent? Have you spent years writing code, deploying machine learning models, or defending networks, and are now looking to shape the next generation of tech leaders?
Rajiv ...</t>
  </si>
  <si>
    <t>https://www.glassdoor.co.in/job-listing/computer-faculty-rajiv-gandhi-degree-college-JV_IC5011758_KO0,16_KE17,44.htm?jl=1010190942339</t>
  </si>
  <si>
    <t>GD_1009943593992</t>
  </si>
  <si>
    <t>Applied AI Engineer</t>
  </si>
  <si>
    <t>Avaamo, Inc</t>
  </si>
  <si>
    <t>Job description
We are looking for a talented Applied AI Engineer to help design, build, and optimize intelligent conversational systems (chatbots, virtual assistants, voice interfaces) that deliver human-like, context-aware, and personalized user experiences. You will collaborat...</t>
  </si>
  <si>
    <t>https://www.glassdoor.co.in/job-listing/applied-ai-engineer-avaamo-JV_KO0,19_KE20,26.htm?jl=1009943593992</t>
  </si>
  <si>
    <t>GD_1010074305928</t>
  </si>
  <si>
    <t>Sr Data Engineers - AI/ML - Chennai</t>
  </si>
  <si>
    <t>Role Summary: 
We are seeking a Generative AI Engineer to build, optimize, and scale production-ready AI applications. You will design complex multi-agent systems, implement advanced RAG pipelines, and manage the deployment of both frontier and local LLMs. The ideal candidate ble...</t>
  </si>
  <si>
    <t>https://www.glassdoor.co.in/job-listing/sr-data-engineers-ai-ml-chennai-photon-JV_KO0,31_KE32,38.htm?jl=1010074305928</t>
  </si>
  <si>
    <t>GD_1010143393108</t>
  </si>
  <si>
    <t>Senior Applied AI/ML Engineer</t>
  </si>
  <si>
    <t>Minimum qualifications:
Master's degree in a quantitative discipline such as Statistics, Engineering, Sciences, or equivalent practical experience.
4 years of experience using analytics to solve product or business problems, coding (e.g., Python, R, SQL), querying databases or st...</t>
  </si>
  <si>
    <t>https://www.glassdoor.co.in/job-listing/senior-applied-ai-ml-engineer-google-JV_KO0,29_KE30,36.htm?jl=1010143393108</t>
  </si>
  <si>
    <t>GD_1010060640618</t>
  </si>
  <si>
    <t>Codeclouds IT Solutions Pvt. Ltd.</t>
  </si>
  <si>
    <t>Calcutta</t>
  </si>
  <si>
    <t>Available Locations
Kolkata, India
Category
Software Developer Jobs
Employment Type
Full-Time
Seniority
Senior
Experience Required
3+ Years
Skills Required
Classical Machine Learning, Deep Learning, and Generative AI systems (LLMs &amp; foundation models)
Job Description
We are seek...</t>
  </si>
  <si>
    <t>https://www.glassdoor.co.in/job-listing/machine-learning-engineer-codeclouds-JV_IC2901633_KO0,25_KE26,36.htm?jl=1010060640618</t>
  </si>
  <si>
    <t>GD_1010188978520</t>
  </si>
  <si>
    <t>BigID Product Engineer (L9)</t>
  </si>
  <si>
    <t>https://www.glassdoor.co.in/job-listing/bigid-product-engineer-l9-synchrony-JV_KO0,25_KE26,35.htm?jl=1010188978520</t>
  </si>
  <si>
    <t>GD_1009380930906</t>
  </si>
  <si>
    <t>Data Collection Infotech (India) Pvt. Ltd.</t>
  </si>
  <si>
    <t>We’re hiring! Come be part of our success story. Desired Candidate Profile Bachelor’s in Computer Science/ Engineering, Statistics, Math or related quantitative degree or equivalent work experience. Experience with modelling techniques such as clustering, linear &amp; logistic regres...</t>
  </si>
  <si>
    <t>https://www.glassdoor.co.in/job-listing/machine-learning-engineer-dcil-JV_KO0,25_KE26,30.htm?jl=1009380930906</t>
  </si>
  <si>
    <t>GD_1010189361611</t>
  </si>
  <si>
    <t>Flight physics ARtificial intelligence and Machine learning Data Scientist - FARMer</t>
  </si>
  <si>
    <t>Job Description: 
Flight Physics CoC is looking for a Machine Learning and Data Scientist Engineer to join our Flight Physics FARM team. 
The objective of the Flight Physics “FARM” team is to reinforce the technical and operational leadership in the 1G Artificial Intelligence eco...</t>
  </si>
  <si>
    <t>https://www.glassdoor.co.in/job-listing/flight-physics-artificial-intelligence-and-machine-learning-data-scientist-farmer-airbus-JV_KO0,81_KE82,88.htm?jl=1010189361611</t>
  </si>
  <si>
    <t>GD_1010179371625</t>
  </si>
  <si>
    <t>AI Forward Deployed Engineer (Offshore)</t>
  </si>
  <si>
    <t>The AI Forward Deployed Engineer works at the intersection of AI, engineering, and business , partnering closely with stakeholders to identify use cases, build prototypes, and deliver production-grade AI solutions. This role requires hands-on experience with LLMs, cloud platforms...</t>
  </si>
  <si>
    <t>https://www.glassdoor.co.in/job-listing/ai-forward-deployed-engineer-offshore-zensar-technologies-JV_KO0,37_KE38,57.htm?jl=1010179371625</t>
  </si>
  <si>
    <t>GD_1010191283887</t>
  </si>
  <si>
    <t>Associate Data Scientist</t>
  </si>
  <si>
    <t>TriNet Group, Inc.</t>
  </si>
  <si>
    <t>TriNet is a leading provider of comprehensive human resources solutions for small to midsize businesses (SMBs). We enhance business productivity by enabling our clients to outsource their HR function to one strategic partner and allowing them to focus on operating and growing the...</t>
  </si>
  <si>
    <t>https://www.glassdoor.co.in/job-listing/associate-data-scientist-trinet-JV_KO0,24_KE25,31.htm?jl=1010191283887</t>
  </si>
  <si>
    <t>GD_1010145742907</t>
  </si>
  <si>
    <t>Senior Engineer Data Science</t>
  </si>
  <si>
    <t>Infineon Technologies AG</t>
  </si>
  <si>
    <t>Your Role
Key responsibilities in your new role
Model Development &amp; Delivery
Design, build, and validate ML/DL models across diverse domains(computer vision, NLP, predictive analytics, anomaly detection)
Oversee and drive the full model lifecycle: problem framing, data engineeri...</t>
  </si>
  <si>
    <t>https://www.glassdoor.co.in/job-listing/senior-engineer-data-science-infineon-technologies-JV_KO0,28_KE29,50.htm?jl=1010145742907</t>
  </si>
  <si>
    <t>GD_1010143079080</t>
  </si>
  <si>
    <t>Applied AI/ML Engineer</t>
  </si>
  <si>
    <t>Minimum qualifications:
Master's degree in a quantitative discipline such as Statistics, Engineering, Sciences, or equivalent practical experience.
3 years of experience using analytics to solve product or business problems, coding (e.g., Python, R, SQL), querying databases or st...</t>
  </si>
  <si>
    <t>https://www.glassdoor.co.in/job-listing/applied-ai-ml-engineer-google-JV_KO0,22_KE23,29.htm?jl=1010143079080</t>
  </si>
  <si>
    <t>GD_1010081225033</t>
  </si>
  <si>
    <t>AI Prompt Engineer</t>
  </si>
  <si>
    <t xml:space="preserve">Tecvesten Consulting  </t>
  </si>
  <si>
    <t>About Us
Tecvesten is a technology consulting company that helps organizations solve complex business challenges through practical strategy and execution. We deliver tailored technology solutions, enterprise application support, and process improvement services that help clients ...</t>
  </si>
  <si>
    <t>https://www.glassdoor.co.in/job-listing/ai-prompt-engineer-tecvesten-consulting-JV_KO0,18_KE19,39.htm?jl=1010081225033</t>
  </si>
  <si>
    <t>GD_1010170972010</t>
  </si>
  <si>
    <t>Job Category: Data Science
Role: Internship with Full-Time Conversion
Duration: 3 months, performance-based.
Qualification: Chemical Engineering B.E, B.Tech, M.Tech, M.E
Skills: Python/Machine learning/Deeplearning.
Bachelor/master’s degree chemical engineering.
Strong proficienc...</t>
  </si>
  <si>
    <t>https://www.glassdoor.co.in/job-listing/data-scientist-digitwin-technology-pvt-ltd-JV_IC2833209_KO0,14_KE15,42.htm?jl=1010170972010</t>
  </si>
  <si>
    <t>GD_1010177411013</t>
  </si>
  <si>
    <t>Cochin</t>
  </si>
  <si>
    <t>Desired Competencies (Technical/Behavioral Competency)
Must-Have
Strong hands-on experience in Python for AI/ML development. 
Experience in building, training, validating, and deploying Machine Learning models using libraries such as NumPy, Pandas, Scikit-learn, or similar. 
...</t>
  </si>
  <si>
    <t>https://www.glassdoor.co.in/job-listing/ai-ml-engineer-tata-consultancy-services-JV_IC2887994_KO0,14_KE15,40.htm?jl=1010177411013</t>
  </si>
  <si>
    <t>GD_1010155398282</t>
  </si>
  <si>
    <t>AI/ML Engineer – (gen AI)</t>
  </si>
  <si>
    <t>CodeCraft Technologies</t>
  </si>
  <si>
    <t>Location: Bengaluru
Number of positions: 01
Experience: 2-5 years
Key Responsibilities:
Analyze and interpret complex datasets to uncover actionable insights.
Develop, train, and deploy machine learning models and predictive analytics solutions.
Collaborate with cross-functional ...</t>
  </si>
  <si>
    <t>https://www.glassdoor.co.in/job-listing/ai-ml-engineer-gen-ai-codecraft-technologies-JV_IC2940587_KO0,21_KE22,44.htm?jl=1010155398282</t>
  </si>
  <si>
    <t>GD_1009975014242</t>
  </si>
  <si>
    <t>Specialist II - Tax Accounting</t>
  </si>
  <si>
    <t>https://www.glassdoor.co.in/job-listing/specialist-ii-tax-accounting-crowdstrike-JV_KO0,28_KE29,40.htm?jl=1009975014242</t>
  </si>
  <si>
    <t>GD_1010145472620</t>
  </si>
  <si>
    <t>AI Engineer – L1</t>
  </si>
  <si>
    <t>Awaaz De Infosystems Private Limited</t>
  </si>
  <si>
    <t>Responsibilities
Build and ship well-scoped features across the stack – backend services, APIs, frontend interfaces, and data layers – taking each from implementation through testing and deployment, with guidance from senior engineers.
Contribute to the platform services that pow...</t>
  </si>
  <si>
    <t>https://www.glassdoor.co.in/job-listing/ai-engineer-l1-awaaz-de-JV_IC2935226_KO0,14_KE15,23.htm?jl=1010145472620</t>
  </si>
  <si>
    <t>GD_1010191450243</t>
  </si>
  <si>
    <t>AI Engineer to work on Agent Architecture and Orchestration</t>
  </si>
  <si>
    <t>Visulon Inc</t>
  </si>
  <si>
    <t>Agent architecture &amp; orchestration
Design and implement agentic systems capable of multi-step reasoning, planning, tool use, and workflow execution for a B2b operational processes.
Build stateful workflows using frameworks such as LangGraph and LangChain - including branching, re...</t>
  </si>
  <si>
    <t>https://www.glassdoor.co.in/job-listing/ai-engineer-to-work-on-agent-architecture-and-orchestration-visulon-JV_KO0,59_KE60,67.htm?jl=1010191450243</t>
  </si>
  <si>
    <t>GD_1010068823925</t>
  </si>
  <si>
    <t>GenAI Engineer</t>
  </si>
  <si>
    <t>Everestek LLC</t>
  </si>
  <si>
    <t>Overview
We are seeking a highly skilled GenAI Engineer with strong hands-on experience in building AI agents, orchestrating multi-step workflows, and integrating large language models (LLMs) into production-grade systems. The ideal candidate will have at least 2+ years of experi...</t>
  </si>
  <si>
    <t>https://www.glassdoor.co.in/job-listing/genai-engineer-everestek-JV_IC2876676_KO0,14_KE15,24.htm?jl=1010068823925</t>
  </si>
  <si>
    <t>GD_1010155359827</t>
  </si>
  <si>
    <t>Senior Software Engineer - AIML, Commercialization</t>
  </si>
  <si>
    <t>https://www.glassdoor.co.in/job-listing/senior-software-engineer-aiml-commercialization-bristol-myers-squibb-JV_KO0,47_KE48,68.htm?jl=1010155359827</t>
  </si>
  <si>
    <t>GD_1010156866036</t>
  </si>
  <si>
    <t>AVP - GenAI + ML Engineer</t>
  </si>
  <si>
    <t>Date live: 06/05/2026
Business Area: Customer Digital and Data
Area of Expertise: Technology
Contract: Permanent
Reference Code: JR-0000116333
Join Barclays as a Gen AI and ML Engineer, you will be responsible for leading design, build and delivery of cutting-edge solutions in G...</t>
  </si>
  <si>
    <t>https://www.glassdoor.co.in/job-listing/avp-genai-ml-engineer-barclays-JV_KO0,21_KE22,30.htm?jl=1010156866036</t>
  </si>
  <si>
    <t>GD_1010192040475</t>
  </si>
  <si>
    <t>HCL Technologies Ltd.</t>
  </si>
  <si>
    <t>https://www.glassdoor.co.in/job-listing/platform-engineer-ii-hcltech-JV_KO0,20_KE21,28.htm?jl=1010192040475</t>
  </si>
  <si>
    <t>GD_1010116216948</t>
  </si>
  <si>
    <t>Project description 
We're seeking a passionate and skilled Machine Learning Engineer to join our growing team in Hyderabad. You'll play a key role in designing, developing, and deploying scalable ML solutions in Capital Markets. This is a fantastic opportunity to work with cutti...</t>
  </si>
  <si>
    <t>https://www.glassdoor.co.in/job-listing/ml-engineer-luxoft-JV_KO0,11_KE12,18.htm?jl=1010116216948</t>
  </si>
  <si>
    <t>GD_1010159081986</t>
  </si>
  <si>
    <t>Sr. Analyst, SOX</t>
  </si>
  <si>
    <t>https://www.glassdoor.co.in/job-listing/sr-analyst-sox-crowdstrike-JV_KO0,14_KE15,26.htm?jl=1010159081986</t>
  </si>
  <si>
    <t>GD_1010191289089</t>
  </si>
  <si>
    <t>https://www.glassdoor.co.in/job-listing/ml-engineer-predictive-research-JV_IC2940587_KO0,11_KE12,31.htm?jl=1010191289089</t>
  </si>
  <si>
    <t>GD_1010165113571</t>
  </si>
  <si>
    <t>Product &amp; AI Transformation Lead (Talent Development)</t>
  </si>
  <si>
    <t>PropertyGuru Group</t>
  </si>
  <si>
    <t>PropertyGuru is Southeast Asia’s leading PropTech company, and the preferred destination for over 32 million property seekers monthly to connect with over 50,000 agents monthly to find their dream home. PropertyGuru empowers property seekers with more than 2.1 million real estate...</t>
  </si>
  <si>
    <t>https://www.glassdoor.co.in/job-listing/product-ai-transformation-lead-talent-development-propertyguru-group-JV_IC2940587_KO0,49_KE50,68.htm?jl=1010165113571</t>
  </si>
  <si>
    <t>GD_1010188241213</t>
  </si>
  <si>
    <t>Responsible AI Engineer</t>
  </si>
  <si>
    <t>Project Role : Responsible AI Engineer
Project Role Description : Assess AI systems for adherence to predefined thresholds and benchmarks related to responsible, ethical and sustainable practices. Design and implement technology mitigation strategies for systems to ensure ethical...</t>
  </si>
  <si>
    <t>https://www.glassdoor.co.in/job-listing/responsible-ai-engineer-accenture-JV_KO0,23_KE24,33.htm?jl=1010188241213</t>
  </si>
  <si>
    <t>GD_1010167065315</t>
  </si>
  <si>
    <t>Ecolab Inc.</t>
  </si>
  <si>
    <t>Job Characteristics: Lead the development of scalable GenAI-powered systems, designing intelligent workflows that leverage large language models (LLMs), vector-based retrieval, and multi-agent orchestration frameworks. Drive solution architecture, mentor junior engineers, and del...</t>
  </si>
  <si>
    <t>https://www.glassdoor.co.in/job-listing/sr-ai-engineer-ecolab-JV_IC2940587_KO0,14_KE15,21.htm?jl=1010167065315</t>
  </si>
  <si>
    <t>GD_1010080625658</t>
  </si>
  <si>
    <t>Sr. Data Engineer (5 PM to 2 AM IST)</t>
  </si>
  <si>
    <t>https://www.glassdoor.co.in/job-listing/sr-data-engineer-5-pm-to-2-am-ist-crowdstrike-JV_KO0,33_KE34,45.htm?jl=1010080625658</t>
  </si>
  <si>
    <t>GD_1010137828984</t>
  </si>
  <si>
    <t>Staff Engineer- AI/Machine Learning R&amp;D</t>
  </si>
  <si>
    <t>Company: 
Qualcomm India Private Limited 
Job Area: 
Engineering Group, Engineering Group &gt; Machine Learning Engineering 
General Summary: 
As a leading technology innovator, Qualcomm pushes the boundaries of what's possible to enable next-generation experiences and drives digita...</t>
  </si>
  <si>
    <t>https://www.glassdoor.co.in/job-listing/staff-engineer-ai-machine-learning-rd-qualcomm-JV_KO0,37_KE38,46.htm?jl=1010137828984</t>
  </si>
  <si>
    <t>GD_1010112166813</t>
  </si>
  <si>
    <t>Experience required: 3 to 6 years
Location:- Bengaluru
Required Technical Skillset:-
1. Experience in Design and Development of Agentic AI Solutions 
2. Expertise in Gen AI frameworks – RAG, MCP, langgraph, langchain, llamaindex etc. 
3. Hands on experience python microserv...</t>
  </si>
  <si>
    <t>https://www.glassdoor.co.in/job-listing/aiml-engineer-tata-consultancy-services-JV_KO0,13_KE14,39.htm?jl=1010112166813</t>
  </si>
  <si>
    <t>GD_1010000857705</t>
  </si>
  <si>
    <t>Sr Engineer, Data Science</t>
  </si>
  <si>
    <t>Micron Technology, Inc.</t>
  </si>
  <si>
    <t>Our vision is to transform how the world uses information to enrich life for all . 
Micron Technology is a world leader in innovating memory and storage solutions that accelerate the transformation of information into intelligence, inspiring the world to learn, communicate and ad...</t>
  </si>
  <si>
    <t>https://www.glassdoor.co.in/job-listing/sr-engineer-data-science-micron-technology-JV_KO0,24_KE25,42.htm?jl=1010000857705</t>
  </si>
  <si>
    <t>GD_1010133017294</t>
  </si>
  <si>
    <t>Senior Software Engineer I - ML</t>
  </si>
  <si>
    <t>Rakuten, Inc.</t>
  </si>
  <si>
    <t>Job Description
:
Responsibilities:
Work cross functionally with product managers, data scientists and product engineers, and communicate results to peers and leaders;
Develop scalable algorithms and methods to provide real-time recommendations;
Explore new technology shifts in o...</t>
  </si>
  <si>
    <t>https://www.glassdoor.co.in/job-listing/senior-software-engineer-i-ml-rakuten-JV_KO0,29_KE30,37.htm?jl=1010133017294</t>
  </si>
  <si>
    <t>GD_1010088035530</t>
  </si>
  <si>
    <t>Sr. Software Engineer - AI/ML</t>
  </si>
  <si>
    <t>https://www.glassdoor.co.in/job-listing/sr-software-engineer-ai-ml-kla-JV_KO0,26_KE27,30.htm?jl=1010088035530</t>
  </si>
  <si>
    <t>GD_1010104531228</t>
  </si>
  <si>
    <t>CLOUD MACHINE LEARNING ENGINEER</t>
  </si>
  <si>
    <t>VodafoneThree Ltd</t>
  </si>
  <si>
    <t>Who we are
VOIS (Vodafone Intelligent Solutions) is a strategic arm of Vodafone Group Plc, creating value for customers by delivering intelligent solutions through Talent, Technology &amp; Transformation.
As the largest shared services organisation in the global telco industry with 3...</t>
  </si>
  <si>
    <t>https://www.glassdoor.co.in/job-listing/cloud-machine-learning-engineer-vodafone-JV_IC2856202_KO0,31_KE32,40.htm?jl=1010104531228</t>
  </si>
  <si>
    <t>GD_1010157727798</t>
  </si>
  <si>
    <t>Muthoot Systems and Technologies Pvt Ltd.</t>
  </si>
  <si>
    <t>Join a team with over 20 years of experience delivering technology solutions in diverse domains including fintech. At Emsyne, you’ll work on meaningful projects that power real-world platforms, collaborating with experienced engineers and domain experts. If you’re looking for a p...</t>
  </si>
  <si>
    <t>https://www.glassdoor.co.in/job-listing/ai-engineer-emsyne-JV_KO0,11_KE12,18.htm?jl=1010157727798</t>
  </si>
  <si>
    <t>GD_1010189815049</t>
  </si>
  <si>
    <t>AVP Data Engineer (L10)</t>
  </si>
  <si>
    <t>https://www.glassdoor.co.in/job-listing/avp-data-engineer-l10-synchrony-JV_KO0,21_KE22,31.htm?jl=1010189815049</t>
  </si>
  <si>
    <t>GD_1010142850457</t>
  </si>
  <si>
    <t>Applied ML Engineer</t>
  </si>
  <si>
    <t>Remotestar Ltd</t>
  </si>
  <si>
    <t>Role: Applied ML Engineer
Location: Gurgaon (on-site) 5 days WFO
Employment type: Full-time
Company Overview:
Our client is revolutionising the gaming landscape as India’s first G-Commerce startup, bridging the gap between virtual achievements and real-world value. We empower g...</t>
  </si>
  <si>
    <t>https://www.glassdoor.co.in/job-listing/applied-ml-engineer-remotestar-JV_IC2921225_KO0,19_KE20,30.htm?jl=1010142850457</t>
  </si>
  <si>
    <t>GD_1010155515617</t>
  </si>
  <si>
    <t>AI Engineer(NLP)</t>
  </si>
  <si>
    <t>SrinSoft Technologies</t>
  </si>
  <si>
    <t>We're on the lookout for some awesome new additions to our team here at SrinSoft, and if you think you might just be the perfect fit then do drop us an email at tms@srinsofttech.com
AI Engineer(NLP) 
Location: Chennai, Hyderabad and Pune
Experience: 4 to 7 Years
Job Descriptio...</t>
  </si>
  <si>
    <t>https://www.glassdoor.co.in/job-listing/ai-engineer-nlp-srinsoft-technologies-JV_IC2833209_KO0,15_KE16,37.htm?jl=1010155515617</t>
  </si>
  <si>
    <t>GD_1010170042162</t>
  </si>
  <si>
    <t>AI/ML Engineer</t>
  </si>
  <si>
    <t>Agilisium LLC</t>
  </si>
  <si>
    <t>Job Information
Date Opened
06/16/2026 
City
Chennai 
Country
India 
Job Role
AI/ML Engineering 
State/Province
Tamil Nadu 
Industry
IT Services 
Job Type
Full time 
Zip/Postal Code
600096 
Job Description
Calling All AI/ML Engineers!
Ready to shape the future of intelligent sol...</t>
  </si>
  <si>
    <t>https://www.glassdoor.co.in/job-listing/ai-ml-engineer-agilisium-JV_IC2833209_KO0,14_KE15,24.htm?jl=1010170042162</t>
  </si>
  <si>
    <t>GD_1008011539630</t>
  </si>
  <si>
    <t>Ideapoke Technologies Pvt. Ltd</t>
  </si>
  <si>
    <t>Full time
Apply 
Machine Learning Engineer 
Full time
Apply 
About @Ideapoke
Emerging Technologies | Bengaluru, India
Ideapoke is a global, fast growing start-up with offices in Bengaluru, Bay Area, Tokyo and Shanghai. Our software, search and insights power the innovation agenda...</t>
  </si>
  <si>
    <t>https://www.glassdoor.co.in/job-listing/machine-learning-engineer-ideapoke-technologies-JV_IC2940587_KO0,25_KE26,47.htm?jl=1008011539630</t>
  </si>
  <si>
    <t>GD_1010171892782</t>
  </si>
  <si>
    <t>Data Platform Engineer</t>
  </si>
  <si>
    <t>Project Role : Data Platform Engineer
Project Role Description : Assists with the data platform blueprint and design, encompassing the relevant data platform components. Collaborates with the Integration Architects and Data Architects to ensure cohesive integration between system...</t>
  </si>
  <si>
    <t>https://www.glassdoor.co.in/job-listing/data-platform-engineer-accenture-JV_KO0,22_KE23,32.htm?jl=1010171892782</t>
  </si>
  <si>
    <t>GD_1010123364663</t>
  </si>
  <si>
    <t>Project description 
We are looking AI Engineers for a strategic initiative to build Agentic AI use cases around Trading Surveillance. 
Responsibilities
Design, develop, and maintain full-stack Python applications with modern frontend frameworks 
Build and optimize RAG (Retrieval...</t>
  </si>
  <si>
    <t>https://www.glassdoor.co.in/job-listing/senior-ai-engineer-luxoft-JV_IC2833209_KO0,18_KE19,25.htm?jl=1010123364663</t>
  </si>
  <si>
    <t>GD_1010159128941</t>
  </si>
  <si>
    <t>Job Characteristics: Independently design, implement, and deploy intelligent systems powered by large language models (LLMs), agent orchestration frameworks, and embedding-based retrieval solutions. This role blends hands-on engineering with solution thinking — focusing on scalab...</t>
  </si>
  <si>
    <t>https://www.glassdoor.co.in/job-listing/ai-engineer-ecolab-JV_KO0,11_KE12,18.htm?jl=1010159128941</t>
  </si>
  <si>
    <t>GD_1010136211095</t>
  </si>
  <si>
    <t>Rayvector LLP</t>
  </si>
  <si>
    <t>Engineering 
Bangalore 
Full-time 
0-3 years 
At Rayvector, we are looking for talented AI / ML / Computer Vision developers who can create cutting-edge ML solutions. This role requires a proactive attitude and good team ethic to unify a common vision.
Why Work With Us?
We belie...</t>
  </si>
  <si>
    <t>https://www.glassdoor.co.in/job-listing/ai-engineer-rayvector-JV_KO0,11_KE12,21.htm?jl=1010136211095</t>
  </si>
  <si>
    <t>GD_1009811135446</t>
  </si>
  <si>
    <t>https://www.glassdoor.co.in/job-listing/senior-machine-learning-engineer-chevron-JV_KO0,32_KE33,40.htm?jl=1009811135446</t>
  </si>
  <si>
    <t>GD_1010105043986</t>
  </si>
  <si>
    <t>https://www.glassdoor.co.in/job-listing/ai-ml-engineer-accenture-JV_KO0,14_KE15,24.htm?jl=1010105043986</t>
  </si>
  <si>
    <t>GD_1010156345538</t>
  </si>
  <si>
    <t>Sales Executive (US Market)</t>
  </si>
  <si>
    <t>IT Sales Executive (US Market)
Location: Mohali, Punjab (Work From Office)
Job Type: Full-Time
Experience: Minimum 1 Year
Salary: Open / Negotiable
About the Role
Asrit Technologies Private Limited is looking for a motivated and results-driven IT Sales Executive to join our growi...</t>
  </si>
  <si>
    <t>https://www.glassdoor.co.in/job-listing/sales-executive-us-market-asrit-technologies-pvt-ltd-JV_KO0,25_KE26,52.htm?jl=1010156345538</t>
  </si>
  <si>
    <t>GD_1010191210689</t>
  </si>
  <si>
    <t>We are looking for a passionate AI Engineer to join our product development team. You will be responsible for designing, developing, and deploying AI-powered solutions for enterprise applications in the apparel manufacturing industry. The role involves working with Computer Visio...</t>
  </si>
  <si>
    <t>https://www.glassdoor.co.in/job-listing/ai-engineer-track-teck-solution-JV_KO0,11_KE12,31.htm?jl=1010191210689</t>
  </si>
  <si>
    <t>GD_1009986647733</t>
  </si>
  <si>
    <t>Gloinnt Solutions Pvt Ltd</t>
  </si>
  <si>
    <t>Experience : 2 to 6 years
Work location- Bangalore
Notice Period : Immediate joiners
Mandatory Skills- AI/ML, Python, GENAI and lists mentioned in JD
Qualification Required- B.Sc/ M.Sc in Computer Vision, ML, Statistics
Job Description:
Core Technical Skills
Programming: Python (...</t>
  </si>
  <si>
    <t>https://www.glassdoor.co.in/job-listing/genai-engineer-gloinnt-JV_KO0,14_KE15,22.htm?jl=1009986647733</t>
  </si>
  <si>
    <t>GD_1010145688870</t>
  </si>
  <si>
    <t>nCircle Tech Pvt. Ltd.</t>
  </si>
  <si>
    <t>Job Information
Date Opened
05/26/2026 
Job Type
Full time 
Industry
IT Services 
Work Experience
2-3 years 
City
Pune City 
State/Province
Maharashtra 
Country
India 
Zip/Postal Code
411057 
About Us
nCircle Tech Private Limited (Incorporated in 2012) empowers passionate innovat...</t>
  </si>
  <si>
    <t>https://www.glassdoor.co.in/job-listing/aiml-engineer-ncircle-tech-JV_KO0,13_KE14,26.htm?jl=1010145688870</t>
  </si>
  <si>
    <t>GD_1009851904385</t>
  </si>
  <si>
    <t>Senior Machine Learning Engineer (Delhi / Bangalore)</t>
  </si>
  <si>
    <t>Job Requirement – Senior Machine Learning Engineer
Location – Delhi / Bangalore
Company Overview 
At Codvo, software and people transformations go hand-in-hand. We are a global empathy-led technology services company. Product innovation and mature software engineering are part o...</t>
  </si>
  <si>
    <t>https://www.glassdoor.co.in/job-listing/senior-machine-learning-engineer-delhi-bangalore-codvo-ai-JV_KO0,48_KE49,57.htm?jl=1009851904385</t>
  </si>
  <si>
    <t>GD_1010144855565</t>
  </si>
  <si>
    <t>Gen AI LLMOps Engineer</t>
  </si>
  <si>
    <t>Infosys Limited</t>
  </si>
  <si>
    <t>Job Description:
We are looking for a GenAI LLMOps Engineer to operationalize and scale Large Language Models LLMs and Generative AI applications in production environments
This role focuses on LLM deployment orchestration monitoring and optimization ensuring reliable and effici...</t>
  </si>
  <si>
    <t>https://www.glassdoor.co.in/job-listing/gen-ai-llmops-engineer-infosys-JV_KO0,22_KE23,30.htm?jl=1010144855565</t>
  </si>
  <si>
    <t>GD_1010176875477</t>
  </si>
  <si>
    <t>Software Engineer, AI Optimization</t>
  </si>
  <si>
    <t>Advantest Corporation</t>
  </si>
  <si>
    <t>We are looking for a Software Engineer to work on optimization algorithms and applied ML for
AI-assisted engineering automation. This role is ideal for someone who enjoys planning problems,
constraint handling, benchmarking, evaluation metrics, and practical ML experiments that i...</t>
  </si>
  <si>
    <t>https://www.glassdoor.co.in/job-listing/software-engineer-ai-optimization-advantest-JV_IC2833209_KO0,33_KE34,43.htm?jl=1010176875477</t>
  </si>
  <si>
    <t>GD_1009902680489</t>
  </si>
  <si>
    <t>Data Engineer (LLM Data Pipeline)</t>
  </si>
  <si>
    <t xml:space="preserve"> Building Blocks Software Services</t>
  </si>
  <si>
    <t>Remote/Hybrid
3 - 6 years
Data Engineer
About BuildingBlocks
Regardless of whether accomplishing astounding customer work or aiding assemble our organization from the inside, our different gifted organization shares a solitary mission: to fabricate lovely encounters that decidedl...</t>
  </si>
  <si>
    <t>https://www.glassdoor.co.in/job-listing/data-engineer-llm-data-pipeline-building-blocks-software-JV_IC2833209_KO0,31_KE32,56.htm?jl=1009902680489</t>
  </si>
  <si>
    <t>GD_1010172534818</t>
  </si>
  <si>
    <t>AI Engineer Global IT Infrastructure</t>
  </si>
  <si>
    <t>Vishay Intertechnology, Inc.</t>
  </si>
  <si>
    <t>Pune, IN, India | IT Strategy &amp; Architecture 
Job Description
Role Summary
The AI Engineer contributes to the end-to-end delivery of AI/ML solutions within the Office of Innovation, working alongside broader platform teams. This role spans model development support, GenAI applica...</t>
  </si>
  <si>
    <t>https://www.glassdoor.co.in/job-listing/ai-engineer-global-it-infrastructure-vishay-JV_KO0,36_KE37,43.htm?jl=1010172534818</t>
  </si>
  <si>
    <t>GD_1010158303629</t>
  </si>
  <si>
    <t>Principal ML Engineer</t>
  </si>
  <si>
    <t>Signify</t>
  </si>
  <si>
    <t>Bangalore, India Category Digital(IT) Posted Date 06/02/2026 Job Id 364546
About Signify
Through bold discovery and cutting-edge innovation, we lead an industry that is vital for the future of our planet: lighting. Through our leadership in connected lighting and the Internet of...</t>
  </si>
  <si>
    <t>https://www.glassdoor.co.in/job-listing/principal-ml-engineer-signify-JV_KO0,21_KE22,29.htm?jl=1010158303629</t>
  </si>
  <si>
    <t>GD_1010186926919</t>
  </si>
  <si>
    <t>Lead Machine Learning Engineer (Python, GenAI, MLOps)</t>
  </si>
  <si>
    <t>Simeio Solutions</t>
  </si>
  <si>
    <t>About the Role:
We are seeking a senior technical lead to architect, develop, and deploy scalable Machine Learning and Generative AI solutions. This role involves end‑to‑end ownership of the model lifecycle, driving MLOps excellence, enabling cloud‑native deployments, and collab...</t>
  </si>
  <si>
    <t>https://www.glassdoor.co.in/job-listing/lead-machine-learning-engineer-python-genai-mlops-simeio-JV_IC2940587_KO0,49_KE50,56.htm?jl=1010186926919</t>
  </si>
  <si>
    <t>GD_1010098780346</t>
  </si>
  <si>
    <t>EPAM Systems, Inc.</t>
  </si>
  <si>
    <t>EPAM is a leading global provider of digital platform engineering and development services. We are committed to having a positive impact on our customers, our employees, and our communities. We embrace a dynamic and inclusive culture. Here you will collaborate with multi-national...</t>
  </si>
  <si>
    <t>https://www.glassdoor.co.in/job-listing/senior-ai-engineer-epam-systems-JV_KO0,18_KE19,31.htm?jl=1010098780346</t>
  </si>
  <si>
    <t>GD_1010077973005</t>
  </si>
  <si>
    <t>Engineer AI - SEG</t>
  </si>
  <si>
    <t>Presidio, Inc.</t>
  </si>
  <si>
    <t>Presidio, Where Teamwork and Innovation Shape the Future
At Presidio, we’re at the forefront of a global technology revolution, transforming industries through cutting-edge digital solutions and next-generation AI. We empower businesses—and their customers—to achieve more through...</t>
  </si>
  <si>
    <t>https://www.glassdoor.co.in/job-listing/engineer-ai-seg-presidio-JV_KO0,15_KE16,24.htm?jl=1010077973005</t>
  </si>
  <si>
    <t>GD_1010112166808</t>
  </si>
  <si>
    <t>AIML Senior Engineer</t>
  </si>
  <si>
    <t>Required Technical Skillset:-
1. Programming: Python (strong), SQL 
2. ML Frameworks: Scikit learn, TensorFlow / PyTorch 
3. GenAI / LLMs: OpenAI / Azure OpenAI, LangChain, vector databases 
4. Data Engineering: ETL pipelines, data modeling, data validation 
5. Cloud: Azure / A...</t>
  </si>
  <si>
    <t>https://www.glassdoor.co.in/job-listing/aiml-senior-engineer-tata-consultancy-services-JV_IC2940587_KO0,20_KE21,46.htm?jl=1010112166808</t>
  </si>
  <si>
    <t>GD_1009606697635</t>
  </si>
  <si>
    <t>React JS Developer</t>
  </si>
  <si>
    <t>Calibraint</t>
  </si>
  <si>
    <t>Job Description:
We are looking for an experienced react js developer. The primary focus of the selected candidate would be on developing user interface components implementing and executing them following well-known React.js workflows (such as Flux or Redux). Also ensuring that ...</t>
  </si>
  <si>
    <t>https://www.glassdoor.co.in/job-listing/react-js-developer-calibraint-JV_IC2833209_KO0,18_KE19,29.htm?jl=1009606697635</t>
  </si>
  <si>
    <t>GD_1010078879212</t>
  </si>
  <si>
    <t>AI Engineer / Chennai/P01</t>
  </si>
  <si>
    <t>Tristha Global Pvt. Ltd.</t>
  </si>
  <si>
    <t>REQ ID: Req/2026/ AI Engineer / Chennai/P01
Experience: 3 to 5 years
Designation: AI Engineer
Location: Chennai
Notice Period: Immediate to 30 days
Mandatory Skills:
3–5 years overall experience, strong hands-on in Python
At least one project experience in RAG OR MCP-based AI aug...</t>
  </si>
  <si>
    <t>https://www.glassdoor.co.in/job-listing/ai-engineer-chennai-p01-tristha-global-JV_KO0,23_KE24,38.htm?jl=1010078879212</t>
  </si>
  <si>
    <t>GD_1010169109055</t>
  </si>
  <si>
    <t>AI Engineer (Gemini Enterprise)</t>
  </si>
  <si>
    <t>22 days ago
Remote, India 
| 
Full Time 
| 
Mid-Level 
Skills Required
Non-Negotiable Skills:
Python Programming
Machine Learning &amp; Deep Learning Fundamentals
Generative AI Architectures (LLMs, Transformers)
Google Cloud Platform (GCP) - Vertex AI
Prompt Engineering
Data Preproce...</t>
  </si>
  <si>
    <t>https://www.glassdoor.co.in/job-listing/ai-engineer-gemini-enterprise-techolution-JV_KO0,29_KE30,41.htm?jl=1010169109055</t>
  </si>
  <si>
    <t>GD_1010176451496</t>
  </si>
  <si>
    <t>Senior Technical Lead - Traditional ML</t>
  </si>
  <si>
    <t>Chennai, Tamil Nadu 
Job Summary 
This role is accountable for developing, optimizing, and deploying advanced machine learning and natural language processing solutions focused on time series forecasting. The individual applies solid expertise in Python, distributed data processi...</t>
  </si>
  <si>
    <t>https://www.glassdoor.co.in/job-listing/senior-technical-lead-traditional-ml-hcltech-JV_IC2833209_KO0,36_KE37,44.htm?jl=1010176451496</t>
  </si>
  <si>
    <t>GD_1007219199125</t>
  </si>
  <si>
    <t>Blue Horizon Infotech</t>
  </si>
  <si>
    <t>We are seeking a UI Developer responsible for building UI for websites and/or web applications. This position requires a combination of programming/designing skills (namely PHP, MySQL, HTML5, CSS3, JavaScript, photoshop, adobe xd, illustrator etc..) and aesthetics (understanding ...</t>
  </si>
  <si>
    <t>https://www.glassdoor.co.in/job-listing/ui-developer-blue-horizon-infotech-JV_IC2887994_KO0,12_KE13,34.htm?jl=1007219199125</t>
  </si>
  <si>
    <t>GD_1010170502748</t>
  </si>
  <si>
    <t>Senior Web Developer</t>
  </si>
  <si>
    <t>Aadija Technologies</t>
  </si>
  <si>
    <t>Āsansol</t>
  </si>
  <si>
    <t>Designation 
Senior Web Developer 
Experience 
1 to 3 Years 
Location 
Asansol 
Key Skills 
Html, Css, Java Script, Ajax, Php, JQuery, Mysql etc. 
Qualification 
BCA / MCA / B.Tech / M.Tech / Other Diploma in IT. 
Salary 
As per Industry Standards 
Send us your CV at 
hr@aa...</t>
  </si>
  <si>
    <t>https://www.glassdoor.co.in/job-listing/senior-web-developer-aadija-technologies-JV_IC2901961_KO0,20_KE21,40.htm?jl=1010170502748</t>
  </si>
  <si>
    <t>GD_1010098308228</t>
  </si>
  <si>
    <t>Lead– Full Stack-Front End</t>
  </si>
  <si>
    <t>Inspiron Labs</t>
  </si>
  <si>
    <t>Experience: 4–9 years
We are seeking a proactive and technically strong Lead Full Stack – Front End Developer to drive the development of scalable web applications and lead front-end initiatives. This role involves hands-on coding, collaborating with designers and backend teams, ...</t>
  </si>
  <si>
    <t>https://www.glassdoor.co.in/job-listing/lead-full-stack-front-end-inspiron-labs-JV_KO0,25_KE26,39.htm?jl=1010098308228</t>
  </si>
  <si>
    <t>GD_1005957142708</t>
  </si>
  <si>
    <t>Full Stack UI Developer</t>
  </si>
  <si>
    <t>WPoets Technology LLP</t>
  </si>
  <si>
    <t>Role: Developer
Salary: Rs. 6L – 10L per annum 
Experience- 2 yrs or more
Brief:
We are looking for a smart, passionate hands-on engineer to join our team. In this role, you will be responsible to drive innovation in full-stack development of complex web applications, while impro...</t>
  </si>
  <si>
    <t>https://www.glassdoor.co.in/job-listing/full-stack-ui-developer-wpoets-technology-JV_IC2856202_KO0,23_KE24,41.htm?jl=1005957142708</t>
  </si>
  <si>
    <t>GD_1007738788364</t>
  </si>
  <si>
    <t>https://www.glassdoor.co.in/job-listing/senior-web-developer-mnj-software-JV_KO0,20_KE21,33.htm?jl=1007738788364</t>
  </si>
  <si>
    <t>GD_1010029433740</t>
  </si>
  <si>
    <t>Senior Engineer - Sharepoint</t>
  </si>
  <si>
    <t>Quest Global Services Pte. Ltd.</t>
  </si>
  <si>
    <t>Job Requirements
Expert in SharePoint – design, configuration, integration
Expert in creating HTML page layouts in standard framework with custom Scripts, CSS, JavaScript/jQuery, browser compatible,
Database experience and ability to write custom SQL to pull business data
Demons...</t>
  </si>
  <si>
    <t>https://www.glassdoor.co.in/job-listing/senior-engineer-sharepoint-quest-global-JV_KO0,26_KE27,39.htm?jl=1010029433740</t>
  </si>
  <si>
    <t>GD_1009901589738</t>
  </si>
  <si>
    <t>Frontend Developer (HTML)</t>
  </si>
  <si>
    <t>You’ll work on:
Building and optimizing front-end for web applications
Translating UI/UX designs into responsive code
Integrating APIs and ensuring performance across devices
Must-Have Skills:
HTML5, CSS3, JavaScript (ES6+)
Shopify / WordPress / eCommerce front-end experience
Rea...</t>
  </si>
  <si>
    <t>https://www.glassdoor.co.in/job-listing/frontend-developer-html-informica-JV_IC4477468_KO0,23_KE24,33.htm?jl=1009901589738</t>
  </si>
  <si>
    <t>GD_1008551659880</t>
  </si>
  <si>
    <t>Zimong Software Private Limited</t>
  </si>
  <si>
    <t>Experience : up to 3 years 
Qualification: 
BTech/BE (CS, IT), BCA, MCA, Computer diploma in software development 
Job Responsiblity:
Develop new user-facing features.
Build reusable code and libraries for future use.
Ensure the technical feasibility of UI/UX designs.
Optimize ap...</t>
  </si>
  <si>
    <t>https://www.glassdoor.co.in/job-listing/front-end-developer-zimong-software-JV_IC4477468_KO0,19_KE20,35.htm?jl=1008551659880</t>
  </si>
  <si>
    <t>GD_1005900414928</t>
  </si>
  <si>
    <t>WEB DEVELOPER (Urgent Hiring)</t>
  </si>
  <si>
    <t>WebPreneurs Pvt Ltd</t>
  </si>
  <si>
    <t>Development experience in CMS: WordPress/Magento/Opencart
Experience of Magento 1.x&amp;2.x themes and extension development project. Worked on Magento 1.x&amp;2.x customization project according client’s requirements
Frameworks: Codeignitor/Zend/Symphony
Hands on experience with any E-c...</t>
  </si>
  <si>
    <t>https://www.glassdoor.co.in/job-listing/web-developer-urgent-hiring-webpreneurs-JV_KO0,27_KE28,39.htm?jl=1005900414928</t>
  </si>
  <si>
    <t>GD_1008903136323</t>
  </si>
  <si>
    <t>Web Developer Executive</t>
  </si>
  <si>
    <t>Pepgra Healthcare</t>
  </si>
  <si>
    <t>Pepgra scientific editing and publication division serves clients across the globe. We offer editing, publication support, medical writing, translation, transcription, and researcher training services, to help individuals achieve their scientific communication goals. Pepgra emplo...</t>
  </si>
  <si>
    <t>https://www.glassdoor.co.in/job-listing/web-developer-executive-pepgra-JV_KO0,23_KE24,30.htm?jl=1008903136323</t>
  </si>
  <si>
    <t>GD_1009618805607</t>
  </si>
  <si>
    <t>AEM Developer</t>
  </si>
  <si>
    <t>Suffixtree Technologies Pvt Ltd</t>
  </si>
  <si>
    <t>Description
Design, develop and support all AEM components, integrations, and related applications for the website
Work closely with other engineers on the team to understand dependent components in AWS, APIs, and Salesforce components
Work closely with business analysts and prod...</t>
  </si>
  <si>
    <t>https://www.glassdoor.co.in/job-listing/aem-developer-suffixtree-technologies-JV_KO0,13_KE14,37.htm?jl=1009618805607</t>
  </si>
  <si>
    <t>GD_1009680910749</t>
  </si>
  <si>
    <t>JavaScript/StencilJS Developer</t>
  </si>
  <si>
    <t>InitiateFirst Information Services</t>
  </si>
  <si>
    <t>Requirements:
Experience: 4+ Years
Experience: Minimum 4+ years (Must have enterprise-level experience).
Strong JavaScript skills with expertise in front-end development.
Hands-on experience with UI frameworks (such as React, Angular, or Vue).
Experience with Web Components and S...</t>
  </si>
  <si>
    <t>https://www.glassdoor.co.in/job-listing/javascript-stenciljs-developer-initiatefirst-JV_KO0,30_KE31,44.htm?jl=1009680910749</t>
  </si>
  <si>
    <t>GD_1006877162145</t>
  </si>
  <si>
    <t>Click Informatics</t>
  </si>
  <si>
    <t>Nehru Nagar</t>
  </si>
  <si>
    <t>Job Responsibilities:
Write well designed, testable, efficient code by using best software development practices.
Create website layout/user interface by using standard HTML/CSS practices.
Integrate data from various back-end services and databases.
Gather and refine specificatio...</t>
  </si>
  <si>
    <t>https://www.glassdoor.co.in/job-listing/web-developer-click-informatics-JV_IC2831972_KO0,13_KE14,31.htm?jl=1006877162145</t>
  </si>
  <si>
    <t>GD_1007559187733</t>
  </si>
  <si>
    <t>Dedicated IT, LLC</t>
  </si>
  <si>
    <t>Cerchiamo un professionista competente e desideroso di collaborare allo sviluppo della nuova piattaforma COMPLY.
Offriamo l’opportunità di perfezionare le proprie competenze professionali all’interno di un progetto internazionale, basato sulle più recenti tecnologie e metodologie...</t>
  </si>
  <si>
    <t>https://www.glassdoor.co.in/job-listing/frontend-developer-dedicated-it-JV_IC2856202_KO0,18_KE19,31.htm?jl=1007559187733</t>
  </si>
  <si>
    <t>GD_1009974847166</t>
  </si>
  <si>
    <t>NilayHr Techonlogies LLP dba Bluphlux</t>
  </si>
  <si>
    <t>Job Summary
Bluphlux is seeking a talented Front End Developer to join our dynamic team. As a Front End Developer, you will play a crucial role in designing and implementing user interfaces that enhance the user experience of our innovative recruitment platform. You will work clo...</t>
  </si>
  <si>
    <t>https://www.glassdoor.co.in/job-listing/front-end-developer-bluphlux-JV_KO0,19_KE20,28.htm?jl=1009974847166</t>
  </si>
  <si>
    <t>GD_1009513636736</t>
  </si>
  <si>
    <t>Requirements:
Experience: 6-8 Years
Should have strong experience on React JS
Strong at JavaScript
React basics – hooks, class and functional components, component life cycle etc.
Advanced JS concepts – design patterns, factory patterns, working with iFrames etc.
Should have good...</t>
  </si>
  <si>
    <t>https://www.glassdoor.co.in/job-listing/react-js-developer-initiatefirst-JV_KO0,18_KE19,32.htm?jl=1009513636736</t>
  </si>
  <si>
    <t>GD_1010187992498</t>
  </si>
  <si>
    <t>Nagercoil</t>
  </si>
  <si>
    <t>Required Skills
Minimum 3+ years of hands-on experience with WordPress and Shopify development.
Strong knowledge of PHP, JavaScript, HTML5, CSS3, and MySQL.
Experience building custom WordPress themes and plugins.
Strong understanding of Shopify theme customization using Liquid.
...</t>
  </si>
  <si>
    <t>https://www.glassdoor.co.in/job-listing/senior-web-developer-zyntics-labs-llp-JV_IC2833221_KO0,20_KE21,37.htm?jl=1010187992498</t>
  </si>
  <si>
    <t>GD_1010036467238</t>
  </si>
  <si>
    <t>Transcorp International Ltd</t>
  </si>
  <si>
    <t>Job Summary
Published On: Feb 17th, 2026
Vacancy: 1 Position
Job Nature: Full-time
Salary: ₹ as per Industry standard
Location: Jaipur
Date Line: Jun 30th, 2026
Job description
Front End Developer
We’re Hiring | Senior Front-End Developer (5+ Years) | IC Role
We’re looking for a...</t>
  </si>
  <si>
    <t>https://www.glassdoor.co.in/job-listing/front-end-developer-transcorp-international-JV_IC2942216_KO0,19_KE20,43.htm?jl=1010036467238</t>
  </si>
  <si>
    <t>GD_1006649775121</t>
  </si>
  <si>
    <t>Frontend Developer (Angular, JavaScript, Lighthouse Performance Testing)</t>
  </si>
  <si>
    <t>Mobile Programming LLC</t>
  </si>
  <si>
    <t>Candidate Skill:
Angular, JavaScript, TypeScript, HTML5, CSS3, Lighthouse, Core Web Vitals, Performance Optimization, REST API, Responsive Design, Git, Jenkins, Karma, Jasmine, Webpack, CI/CD, Troubleshooting. 
Experience:
4- Years 
City:
Bangalore 
Country:
India 
Job Descri...</t>
  </si>
  <si>
    <t>https://www.glassdoor.co.in/job-listing/frontend-developer-angular-javascript-lighthouse-performance-testing-mobile-programming-JV_IC2940587_KO0,68_KE69,87.htm?jl=1006649775121</t>
  </si>
  <si>
    <t>GD_1009708707903</t>
  </si>
  <si>
    <t>Full Stack Developer – Web Application</t>
  </si>
  <si>
    <t>Welcome to EQSIS
Career is by Choice
Not by Chance
EQSIS is committed in promoting energetic work culture by attracting the ambitious professionals. We provide various platforms where you can show your talent to empower yourself. The backbone of EQSIS growth is our creative thoug...</t>
  </si>
  <si>
    <t>https://www.glassdoor.co.in/job-listing/full-stack-developer-web-application-eqsis-JV_KO0,36_KE37,42.htm?jl=1009708707903</t>
  </si>
  <si>
    <t>GD_1010142059921</t>
  </si>
  <si>
    <t>Full Stack Developer Web Platform</t>
  </si>
  <si>
    <t>Samriddhi Automations Pvt Ltd.</t>
  </si>
  <si>
    <t>Full Stack | Web Platforms | B2B Systems
Noida 
0–3 years 
Full Stack Development | Platform Ownership
Job Snapshot
location
Noida
experience
0–3 years
function
Full Stack Development | Platform Ownership
reporting_to
Product / Tech Lead
work_nature
Ownership-driven / System-focu...</t>
  </si>
  <si>
    <t>https://www.glassdoor.co.in/job-listing/full-stack-developer-web-platform-samriddhi-automations-JV_KO0,33_KE34,55.htm?jl=1010142059921</t>
  </si>
  <si>
    <t>GD_1010170885627</t>
  </si>
  <si>
    <t>Frontend Engineer (Web Application)</t>
  </si>
  <si>
    <t>Job Description: Frontend Engineer (Web Application)Position Overview
We are hiring a Frontend Engineer for a time-bound, private blockchain MVP. You will build the web client layer: role-based dashboards for multiple user types, authenticated workflows, and a public read-only ve...</t>
  </si>
  <si>
    <t>https://www.glassdoor.co.in/job-listing/frontend-engineer-web-application-maxwell-electrodeal-JV_IC2930179_KO0,33_KE34,53.htm?jl=1010170885627</t>
  </si>
  <si>
    <t>GD_1005649563038</t>
  </si>
  <si>
    <t>WEB DEVELOPER</t>
  </si>
  <si>
    <t>B2L Mobitech pvt Ltd</t>
  </si>
  <si>
    <t>B2LMobitech is looking for a technically savvy and experienced/Fresher web developer to expand development efforts for our website. You will design and develop elegant interfaces that exceed expectations in terms of value and benefit. Additionally, you will have to organise all t...</t>
  </si>
  <si>
    <t>https://www.glassdoor.co.in/job-listing/web-developer-b2lmobitech-JV_IC2833209_KO0,13_KE14,25.htm?jl=1005649563038</t>
  </si>
  <si>
    <t>GD_1009433735056</t>
  </si>
  <si>
    <t>Awapal Solutions Pvt. Ltd.</t>
  </si>
  <si>
    <t>We’re Hiring! Your skills are valued
The key to our exceptional success is our passionate team who work relentlessly every day to make Awapal the most respected name in the world.
Passion
Each member consistently pushes oneself and colleagues to achieve results, dynamically inspi...</t>
  </si>
  <si>
    <t>https://www.glassdoor.co.in/job-listing/react-developer-awapal-solutions-JV_IC4477468_KO0,15_KE16,32.htm?jl=1009433735056</t>
  </si>
  <si>
    <t>GD_1007467247069</t>
  </si>
  <si>
    <t>Full Stack Web Developer</t>
  </si>
  <si>
    <t>Rrayze Business Solutions</t>
  </si>
  <si>
    <t>We have following Job Opportunity with our Client leading in Education Tech Start-up :-
Position: Full Stack Web Developer
Experience: 2 to 3 Years
CTC: 6 to 8 LPA
Location: Delhi
Education: BE/BTech in Computer Science, Information Technology or Electronics and Communication
Ke...</t>
  </si>
  <si>
    <t>https://www.glassdoor.co.in/job-listing/full-stack-web-developer-rrayze-business-solutions-JV_KO0,24_KE25,50.htm?jl=1007467247069</t>
  </si>
  <si>
    <t>GD_1009065281506</t>
  </si>
  <si>
    <t>Available Locations
Kolkata, India
Category
Software Developer Jobs
Employment Type
Full-Time
Seniority
Intermediate
Experience Required
3+ Years
Skills Required
HTML5, CSS3, Bootstrap &amp; Tailwind CSS, JavaScript (ES6+), TypeScript, React.js, Next.js (SSR/SSG/ISR), Generative AI-a...</t>
  </si>
  <si>
    <t>https://www.glassdoor.co.in/job-listing/front-end-developer-codeclouds-JV_IC2901633_KO0,19_KE20,30.htm?jl=1009065281506</t>
  </si>
  <si>
    <t>GD_1010187957009</t>
  </si>
  <si>
    <t>Senior Software Developer</t>
  </si>
  <si>
    <t>Employment Type: Full-Time
Location: Ambattur Industrial Estate
About the Role:
We are looking for an experienced Full Stack Developer to lead and support the development of our internal applications. The ideal candidate will be responsible for designing, developing, and maintain...</t>
  </si>
  <si>
    <t>https://www.glassdoor.co.in/job-listing/senior-software-developer-dreamzcoder-software-solutions-JV_KO0,25_KE26,56.htm?jl=1010187957009</t>
  </si>
  <si>
    <t>GD_1009750432181</t>
  </si>
  <si>
    <t>Jr. Web Developer</t>
  </si>
  <si>
    <t>Syndell Technologies Pvt Ltd</t>
  </si>
  <si>
    <t>Experience: 0 to 2 years
Position Open: 2
Job Location: Navrangpura, Ahmedabad
Eligibility: Only Local Candidates Can Apply
Job Description:
Join Our Dynamic Team!
We’re looking for enthusiastic and detail-oriented Jr. Web Developers to join our growing development team. At Synde...</t>
  </si>
  <si>
    <t>https://www.glassdoor.co.in/job-listing/jr-web-developer-syndell-technologies-JV_KO0,16_KE17,37.htm?jl=1009750432181</t>
  </si>
  <si>
    <t>GD_1006367490721</t>
  </si>
  <si>
    <t>Govche India Private Limited</t>
  </si>
  <si>
    <t>Requirements: 
Ability to design and modify websites, from layout to function according to client’s specifications. 
Develop visually appealing websites that provide user friendly design with clear navigation route 
Top notch knowledge in web applications and programming language...</t>
  </si>
  <si>
    <t>https://www.glassdoor.co.in/job-listing/web-developer-govche-JV_IC2833209_KO0,13_KE14,20.htm?jl=1006367490721</t>
  </si>
  <si>
    <t>GD_1010166417609</t>
  </si>
  <si>
    <t>Front-end React Engineer</t>
  </si>
  <si>
    <t>Job Requirements
Senior Front-end Developer
Experience : 5+ years
Required Skills:
Should have minimum 5 years of experience in developing web applications in React.
Should have at least 5 years hands on experience on HTML5, CSS 3, JavaScript, TypeScript.
Should have good hands-...</t>
  </si>
  <si>
    <t>https://www.glassdoor.co.in/job-listing/front-end-react-engineer-quest-global-JV_IC2940587_KO0,24_KE25,37.htm?jl=1010166417609</t>
  </si>
  <si>
    <t>GD_1009724595329</t>
  </si>
  <si>
    <t>Sr Frontend Engineer</t>
  </si>
  <si>
    <t>Excel Net Solutions Pvt. Ltd.</t>
  </si>
  <si>
    <t>Job Category: Tech
Job Type: Full-time
Job Location: Gurugram
Requirements: Education: B.Tech in Computer Science (or equivalent professional experience) Experience: 6+ years of relevant experience Skills: ReactJS Redux JavaScript HTML CSS
About Investwell
Investwell (Excel Net S...</t>
  </si>
  <si>
    <t>https://www.glassdoor.co.in/job-listing/sr-frontend-engineer-excel-net-solutions-JV_IC2921225_KO0,20_KE21,40.htm?jl=1009724595329</t>
  </si>
  <si>
    <t>GD_1010187911677</t>
  </si>
  <si>
    <t>Job Title: React.js Frontend Developer (2+ Years Experience)
Job Type: Full-Time (Work From Office)About the RoleWe are looking for a passionate React.js Frontend Developer with 2+ years of hands-on experience in building modern, responsive, and high-performance web applications....</t>
  </si>
  <si>
    <t>https://www.glassdoor.co.in/job-listing/front-end-developer-rowth-tech-limited-JV_IC2879615_KO0,19_KE20,38.htm?jl=1010187911677</t>
  </si>
  <si>
    <t>GD_1008540990872</t>
  </si>
  <si>
    <t>React.JS Developer</t>
  </si>
  <si>
    <t>Bizzeonline</t>
  </si>
  <si>
    <t>Job Details 
Total Experience: 4+ Years
Salary: 3.5 LPA - 5 LPA
Skills : Onpage, Offpage, Technical
Job Description
We are looking for a result-driven SEO executive to be responsible for developing optimized web content for travel-based portals. The SEO executive's responsibili...</t>
  </si>
  <si>
    <t>https://www.glassdoor.co.in/job-listing/react-js-developer-bizzeonline-JV_IC2921225_KO0,18_KE19,30.htm?jl=1008540990872</t>
  </si>
  <si>
    <t>GD_1010176475069</t>
  </si>
  <si>
    <t>Senior React Frontend Developer - 100% Remote</t>
  </si>
  <si>
    <t>VGreenTEK</t>
  </si>
  <si>
    <t>Senior React Frontend Developer - 100% Remote
Location: 100% Remote
Job Type: Contract
Duration: 3 months
Budget: 1 LPM
Experience: 5-7 years
Required Skills
5-7 years of experience in frontend development.
Strong expertise in React.js and modern JavaScript (ES6+).
Hands-on expe...</t>
  </si>
  <si>
    <t>https://www.glassdoor.co.in/job-listing/senior-react-frontend-developer-100-remote-vgreen-technology-solutions-vgreentek-JV_IC2887994_KO0,42_KE43,80.htm?jl=1010176475069</t>
  </si>
  <si>
    <t>GD_1007966234404</t>
  </si>
  <si>
    <t>institute for engineers</t>
  </si>
  <si>
    <t>Responsibilities
Work with development teams and product managers to ideate software solutions
Design client-side and server-side architecture
Build the front-end of applications through appealing visual design
Develop and manage well-functioning databases and applications
Write ...</t>
  </si>
  <si>
    <t>https://www.glassdoor.co.in/job-listing/web-developer-ies-master-JV_KO0,13_KE14,24.htm?jl=1007966234404</t>
  </si>
  <si>
    <t>GD_1005906786647</t>
  </si>
  <si>
    <t>ITC Infotech India Ltd.</t>
  </si>
  <si>
    <t>Who We Are?
Tech India infotech is a Best Information technology company in Delhi from last 5 Years. In the last 5 years, We made lot of brand and promote in a competing market. We have a great team with excellent team leaders. We always hunting the best talents, so if you think ...</t>
  </si>
  <si>
    <t>https://www.glassdoor.co.in/job-listing/web-developer-itc-infotech-JV_KO0,13_KE14,26.htm?jl=1005906786647</t>
  </si>
  <si>
    <t>GD_1010190962141</t>
  </si>
  <si>
    <t>Shopify Developer(FrontEnd / BackEnd)</t>
  </si>
  <si>
    <t>Job Description:
Position: Shopify backend developers / Shopify frontend developers
Industry: IT
Location: Near Shivranjani Cross Road,Ahmedabad.
CTC Range: 3 LPA to 15 LPA
3+ years of Front-end or full-stack developer experience
2+ years of recent ecommerce experience, as a fron...</t>
  </si>
  <si>
    <t>https://www.glassdoor.co.in/job-listing/shopify-developer-frontend-backend-hunch-JV_IC2935226_KO0,34_KE35,40.htm?jl=1010190962141</t>
  </si>
  <si>
    <t>GD_1006234974639</t>
  </si>
  <si>
    <t>SoulPage IT Solutions</t>
  </si>
  <si>
    <t>April 29, 2020 
Role: React JS Developer 
Required/Essential: JavaScript, React JS, CSS/XSLT, GitHub, HTML5,UI Design 
Added Advantages: Angular 2, MongoDB, No SQL, Rest API Services, UNIX, Automation Testing. 
Location: Hyderabad, India. 
Job Type: Full Time 
Experience: 2...</t>
  </si>
  <si>
    <t>https://www.glassdoor.co.in/job-listing/react-js-developer-soulpage-it-solutions-JV_KO0,18_KE19,40.htm?jl=1006234974639</t>
  </si>
  <si>
    <t>GD_1007928568285</t>
  </si>
  <si>
    <t>Alps Web Solutions</t>
  </si>
  <si>
    <t>Employment : Full Time
Location : Ahmedabad
Experience : 0.6 to 2 Years
Qualification : BE-IT / B-Tech / BSc-IT / MSc-IT / MCA
Job Description :
We are looking for a Front-End Web Developer who is motivated to combine the art of design with the art of programming. Responsibilitie...</t>
  </si>
  <si>
    <t>https://www.glassdoor.co.in/job-listing/front-end-developer-alps-web-solutions-JV_KO0,19_KE20,38.htm?jl=1007928568285</t>
  </si>
  <si>
    <t>GD_1008833461339</t>
  </si>
  <si>
    <t>TYASuite Software Solutions Private Limited</t>
  </si>
  <si>
    <t>Bachelor's degree in Computer Science, Engineering, or related field. &gt; Minimum of 5 years of experience working as a Full Stack Developer, with expertise in Angular (up to version 17) for front-end development and CodeIgniter for backend development. &gt; Strong understanding of RE...</t>
  </si>
  <si>
    <t>https://www.glassdoor.co.in/job-listing/full-stack-developer-tya-suite-software-solutions-JV_KO0,20_KE21,49.htm?jl=1008833461339</t>
  </si>
  <si>
    <t>GD_1007152078972</t>
  </si>
  <si>
    <t>Website Developer</t>
  </si>
  <si>
    <t>S.S. Rana &amp; Company</t>
  </si>
  <si>
    <t>JOB DESCRIPTION
The front end developer needs to be proficient in HTML5, worked on bootstrap framework using Angular JS.
Should have worked on Responsive designs for websites.
Should know implementation of Jquery, Javascript, CSS, JSS .
Should have worked with design/creative/UX ...</t>
  </si>
  <si>
    <t>https://www.glassdoor.co.in/job-listing/website-developer-ss-rana-co-JV_KO0,17_KE18,28.htm?jl=1007152078972</t>
  </si>
  <si>
    <t>GD_1010006816634</t>
  </si>
  <si>
    <t>Saarthee LLC</t>
  </si>
  <si>
    <t>About Saarthee:
Saarthee is a Global Strategy, Analytics, Technology and AI consulting company, where our passion for helping others fuels our approach and our products and solutions. We are a onestop shop for all things data and analytics. Unlike other analytics consulting firm...</t>
  </si>
  <si>
    <t>https://www.glassdoor.co.in/job-listing/react-developer-saarthee-JV_KO0,15_KE16,24.htm?jl=1010006816634</t>
  </si>
  <si>
    <t>GD_1009318131514</t>
  </si>
  <si>
    <t>iSHR</t>
  </si>
  <si>
    <t>About the job Front End Developer
Position: Front End Developer
Experience Required: 4 Years+
Budget: 70k/Month
Location-: Bangalore (Onsite)
Contract Length: 6 Months Initially Extendable as per Performance 
Skill Required: React js, Next.js</t>
  </si>
  <si>
    <t>https://www.glassdoor.co.in/job-listing/front-end-developer-ishr-JV_KO0,19_KE20,24.htm?jl=1009318131514</t>
  </si>
  <si>
    <t>GD_1006034255929</t>
  </si>
  <si>
    <t>TraveloPro</t>
  </si>
  <si>
    <t>Starting a Career as a Front End Developer
We 're looking for a Front-End Web Developer who's motivated to combine the art of design with the art of programming.
Are You Suited to Be a Front-End Developer?
We’re looking for a talented, dedicated Lead Web Designer to design travel...</t>
  </si>
  <si>
    <t>https://www.glassdoor.co.in/job-listing/front-end-developer-travelopro-JV_IC2940587_KO0,19_KE20,30.htm?jl=1006034255929</t>
  </si>
  <si>
    <t>GD_1010165805804</t>
  </si>
  <si>
    <t>Lead I - Frontend (React JS, Typescript)</t>
  </si>
  <si>
    <t>Role description
We are looking for a highly skilled Senior Front-end Engineer with strong expertise in modern web technologies and backend development. The ideal candidate will have hands on experience in React.JS, JavaScript, Typescript, CSS/UI Kits, and high performance appli...</t>
  </si>
  <si>
    <t>https://www.glassdoor.co.in/job-listing/lead-i-frontend-react-js-typescript-ust-JV_IC2870859_KO0,35_KE36,39.htm?jl=1010165805804</t>
  </si>
  <si>
    <t>GD_1010177163435</t>
  </si>
  <si>
    <t>Guidewire developer | 6 to 12 years | PAN India</t>
  </si>
  <si>
    <t>https://www.glassdoor.co.in/job-listing/guidewire-developer-6-to-12-years-pan-india-capgemini-JV_IC2856202_KO0,43_KE44,53.htm?jl=1010177163435</t>
  </si>
  <si>
    <t>GD_1008468998302</t>
  </si>
  <si>
    <t>Bluee Eagle Software Solutions</t>
  </si>
  <si>
    <t>Job Category: PHP Programmer
Job Type: Full Time
Experience: 1 - 3 years
Salary: Best in Industry Standard</t>
  </si>
  <si>
    <t>https://www.glassdoor.co.in/job-listing/web-developer-bluee-eagle-JV_KO0,13_KE14,25.htm?jl=1008468998302</t>
  </si>
  <si>
    <t>GD_1010169886951</t>
  </si>
  <si>
    <t>Member of Technical Staff II (Fullstack - Frontend Heavy)</t>
  </si>
  <si>
    <t>The Opportunity 
Join Adobe’s dynamic team as a Software Development Engineer (Fullstack - Frontend Heavy) in Noida, Uttar Pradesh, India. You will work on world-class frontend engineering projects involving advanced technology. This is an outstanding opportunity to be part of an...</t>
  </si>
  <si>
    <t>https://www.glassdoor.co.in/job-listing/member-of-technical-staff-ii-fullstack-frontend-heavy-adobe-JV_KO0,53_KE54,59.htm?jl=1010169886951</t>
  </si>
  <si>
    <t>GD_1010157388730</t>
  </si>
  <si>
    <t>Software Developer (1-5yrs)</t>
  </si>
  <si>
    <t>danamojo Online Solutions Pvt. Ltd</t>
  </si>
  <si>
    <t>Job Summary
We are seeking a motivated and eager Junior Software Developer to join our development team. In this entry-level role, you will work closely with senior developers and other team members and great opportunity to directly connect with CEOs also. You will have the oppor...</t>
  </si>
  <si>
    <t>https://www.glassdoor.co.in/job-listing/software-developer-1-5yrs-danamojo-JV_KO0,25_KE26,34.htm?jl=1010157388730</t>
  </si>
  <si>
    <t>GD_1009650130305</t>
  </si>
  <si>
    <t>Front end Designer and Developer</t>
  </si>
  <si>
    <t>Creative Web Designers (I) Pvt. Ltd.</t>
  </si>
  <si>
    <t>Jalandhar</t>
  </si>
  <si>
    <t>Qualification : B.TECH / B.E / MCA / IT Graduate
Experience : 10+ Years 
Required Skills
HTML 5 and CSS 3 
They should create an interface to style the dynamic pages with drag-and-drop blocks for e-commerce sites, and CMS page builders. 
For example, on selecting page elements, d...</t>
  </si>
  <si>
    <t>https://www.glassdoor.co.in/job-listing/front-end-designer-and-developer-creative-india-JV_IC2941562_KO0,32_KE33,47.htm?jl=1009650130305</t>
  </si>
  <si>
    <t>GD_1009606922304</t>
  </si>
  <si>
    <t>HashStudioz Technologies Pvt Ltd</t>
  </si>
  <si>
    <t>Skill set :
Strong proficiency in JavaScript, including DOM manipulation and the JavaScript object model
Thorough understanding of React.js and its core principles
Experience with popular React.js workflows (such as Flux or Redux)
Familiarity with newer specifications of ECMAScr...</t>
  </si>
  <si>
    <t>https://www.glassdoor.co.in/job-listing/react-js-developer-hashstudioz-JV_IC2833209_KO0,18_KE19,30.htm?jl=1009606922304</t>
  </si>
  <si>
    <t>GD_1009422177997</t>
  </si>
  <si>
    <t>Hack2skill Private Limited</t>
  </si>
  <si>
    <t>Job Summary
As a React Developer at Hack2skill, you will play a crucial role in designing, developing, and maintaining high-quality web applications using React.js. You will work closely with our development and design teams to create seamless user interfaces and exceptional user...</t>
  </si>
  <si>
    <t>https://www.glassdoor.co.in/job-listing/front-end-developer-hack2skill-JV_IC4477468_KO0,19_KE20,30.htm?jl=1009422177997</t>
  </si>
  <si>
    <t>GD_1010169814702</t>
  </si>
  <si>
    <t>Frontend Developer
Antique Network Solution Pvt. Ltd. (Chitchaat)
Bengaluru (JP Nagar Phase 1) | Full-time, In-Office
About Us
Antique Network Solution Pvt. Ltd. powers Chitchaat, a next-generation multichannel communication platform that enables businesses to engage customers ac...</t>
  </si>
  <si>
    <t>https://www.glassdoor.co.in/job-listing/front-end-developer-antique-network-solution-pvt-ltd-JV_KO0,19_KE20,52.htm?jl=1010169814702</t>
  </si>
  <si>
    <t>GD_1008161892624</t>
  </si>
  <si>
    <t>SRV Info Tech</t>
  </si>
  <si>
    <t>Cannanore</t>
  </si>
  <si>
    <t>Translate creative software design concepts and ideas into reality using front end technology.
Posted Date: 02 August 2022
Qualification B.Tech
Experience 2 -5 Years
Salary 25k - 30k
Kannur, Kerala - 670002</t>
  </si>
  <si>
    <t>https://www.glassdoor.co.in/job-listing/ui-developer-srv-info-tech-JV_IC2888002_KO0,12_KE13,26.htm?jl=1008161892624</t>
  </si>
  <si>
    <t>GD_1010086567193</t>
  </si>
  <si>
    <t>Maruthi Technologies, Llc</t>
  </si>
  <si>
    <t>Key Responsibilities:
Required Skills:
Solid programming experience with React practices and commonly used modules with minimum experience of 8 yrs.
Proficiency with native JavaScript, HTML5, CSS3 and jQuery
Hands on experience in any Unit testing framework.
Able to create self-c...</t>
  </si>
  <si>
    <t>https://www.glassdoor.co.in/job-listing/reactjs-developer-anblicks-JV_KO0,17_KE18,26.htm?jl=1010086567193</t>
  </si>
  <si>
    <t>GD_1010175631785</t>
  </si>
  <si>
    <t>Technical Lead (front end developer) _2840</t>
  </si>
  <si>
    <t>Allianz SE</t>
  </si>
  <si>
    <t>Overall Objectives of Job 
Fullstack Developer – Frontend Focus 
About the Role 
We're looking for a Fullstack Developer to join our team at Allianz Technology. You'll take the lead on frontend development — building and maintaining Angular component libraries with a global footp...</t>
  </si>
  <si>
    <t>https://www.glassdoor.co.in/job-listing/technical-lead-front-end-developer-2840-allianz-JV_KO0,39_KE40,47.htm?jl=1010175631785</t>
  </si>
  <si>
    <t>GD_1009767220977</t>
  </si>
  <si>
    <t>Spacedge Creation</t>
  </si>
  <si>
    <t>Job Profile/Description:
We are looking for a skilled and detail-oriented Web Developer to join our team. The ideal candidate will be responsible for designing, coding, and maintaining websites and web applications that are responsive, user-friendly, and optimized for performance...</t>
  </si>
  <si>
    <t>https://www.glassdoor.co.in/job-listing/web-developer-spacedge-creation-JV_IC2851180_KO0,13_KE14,31.htm?jl=1009767220977</t>
  </si>
  <si>
    <t>GD_1007767904151</t>
  </si>
  <si>
    <t>Front End developer</t>
  </si>
  <si>
    <t>Orbiqe Technologies Pvt Ltd</t>
  </si>
  <si>
    <t>Job Description :
What are we looking for?
We are looking for a talented Front End developer with good knowledge of Angular 6 or upgraded versions along with SQL Server 
Experience: 3 Years – 7 Years.
Location: Noida, Sector 62 (currently work from office).
Immediate Joiner.
Elig...</t>
  </si>
  <si>
    <t>https://www.glassdoor.co.in/job-listing/front-end-developer-orbiqe-technologies-JV_IC4477468_KO0,19_KE20,39.htm?jl=1007767904151</t>
  </si>
  <si>
    <t>GD_1008692839578</t>
  </si>
  <si>
    <t>Sr. Software Engineer – React JS {5 – 8 years}</t>
  </si>
  <si>
    <t>Kalkitech</t>
  </si>
  <si>
    <t>We are looking for a Senior Developer who has hands on programming experience and a passion for new technologies. The person should be proficient in React JS technologies on windows and Linux based systems. This is a unique and exciting opportunity for software professionals to t...</t>
  </si>
  <si>
    <t>https://www.glassdoor.co.in/job-listing/sr-software-engineer-react-js-5-8-years-kalkitech-JV_KO0,39_KE40,49.htm?jl=1008692839578</t>
  </si>
  <si>
    <t>GD_1007741637948</t>
  </si>
  <si>
    <t>Sr Web Developer</t>
  </si>
  <si>
    <t xml:space="preserve">Arivon Technologies </t>
  </si>
  <si>
    <t>Arivon is looking for Sr Web developer who understands PHP, WordPress, HTML and can design, develop, maintain website.
Bachelors or Masters Degree in Computer Science, Electronics, Communications or Electrical Engineering.
Knowledge of latest web technologies.
Good programming sk...</t>
  </si>
  <si>
    <t>https://www.glassdoor.co.in/job-listing/sr-web-developer-arivon-technologies-JV_KO0,16_KE17,36.htm?jl=1007741637948</t>
  </si>
  <si>
    <t>GD_1007894528847</t>
  </si>
  <si>
    <t>FRONT END DEVELOPER</t>
  </si>
  <si>
    <t>AheadRace</t>
  </si>
  <si>
    <t>Level: Mid / Senior
Key Skills: Angular/ React, OOPs</t>
  </si>
  <si>
    <t>https://www.glassdoor.co.in/job-listing/front-end-developer-aheadrace-JV_KO0,19_KE20,29.htm?jl=1007894528847</t>
  </si>
  <si>
    <t>GD_1007582396429</t>
  </si>
  <si>
    <t>NeuraTech Pvt Ltd</t>
  </si>
  <si>
    <t>We are looking for a great JavaScript developer who is proficient with React.js. Your primary focus will be on developing user interface components and implementing them following well-known React.js workflows (such as Flux or Redux). You will ensure that these components and the...</t>
  </si>
  <si>
    <t>https://www.glassdoor.co.in/job-listing/react-js-developer-neuratech-JV_IC2876676_KO0,18_KE19,28.htm?jl=1007582396429</t>
  </si>
  <si>
    <t>GD_1007764359544</t>
  </si>
  <si>
    <t>Back End Web Developer</t>
  </si>
  <si>
    <t>Startupwala Pvt. Ltd.</t>
  </si>
  <si>
    <t>Job Description:
Designing and development of PHP Web Application
Web database setup and knowledge of SQL
Knowledge of Core Java &amp; Fundamentals of OOPs (Preferred or Optional)
Working with APIs (REST &amp; SOAP)
Knowledge of Laravel &amp; MVC framework (Preferred or Optional)
Proficient ...</t>
  </si>
  <si>
    <t>https://www.glassdoor.co.in/job-listing/back-end-web-developer-startupwala-JV_KO0,22_KE23,34.htm?jl=1007764359544</t>
  </si>
  <si>
    <t>GD_1010188006539</t>
  </si>
  <si>
    <t>Ānand</t>
  </si>
  <si>
    <t>We are looking for a talented and motivated Fullstack Web Developer to join our growing development team. The ideal candidate will have hands-on experience building scalable web applications using C#, Angular, Python, MySQL, and AWS. You will be involved in the full software deve...</t>
  </si>
  <si>
    <t>https://www.glassdoor.co.in/job-listing/full-stack-web-developer-nilmay-system-JV_IC2934533_KO0,24_KE25,38.htm?jl=1010188006539</t>
  </si>
  <si>
    <t>GD_1007873531275</t>
  </si>
  <si>
    <t>SSP Technology</t>
  </si>
  <si>
    <t>We have urgent opening for Java Developer to enhance their careers by doing Job in Reputed Mid-Level Company
Role and Responsibilities:
Delivering a complete front end application using Angular JS, Node J S and React JS.
Writing tested, idiomatic, and documented JavaScript, HTML ...</t>
  </si>
  <si>
    <t>https://www.glassdoor.co.in/job-listing/ui-developer-ssp-technology-JV_IC2856202_KO0,12_KE13,27.htm?jl=1007873531275</t>
  </si>
  <si>
    <t>GD_1010132890028</t>
  </si>
  <si>
    <t>Compensation for this role will be determined based on the candidate's current CTC, relevant experience, technical skills, and interview performance.
(Freshers do not apply, 2+ years experience ONLY)
About Us
Codescure Technologies Pvt. Ltd. is a forward-thinking IT service compa...</t>
  </si>
  <si>
    <t>https://www.glassdoor.co.in/job-listing/front-end-developer-codescure-technologies-pvt-ltd-JV_IC2876676_KO0,19_KE20,50.htm?jl=1010132890028</t>
  </si>
  <si>
    <t>GD_1009114695797</t>
  </si>
  <si>
    <t>REACT JS DEVELOPER</t>
  </si>
  <si>
    <t>Location :
Ahmedabad
Industry :
IT
Description :
Dasinfomedia is a leading IT company located in Ahmedabad and US based. We are urgently seeking to fill the key position of PHP developer.
Ideal candidates for this position should possess one or all of the expertise below:
Skill r...</t>
  </si>
  <si>
    <t>https://www.glassdoor.co.in/job-listing/react-js-developer-dasinfomedia-JV_KO0,18_KE19,31.htm?jl=1009114695797</t>
  </si>
  <si>
    <t>GD_1010162422852</t>
  </si>
  <si>
    <t>Job Title: Senior Frontend Developer
Location: Nashik (Work From Office)
Employment Type: Full-Time
Experience: 4 years to 8 years
Company Overview:
Greetings from Techxot Software! We're a renowned software development company in India, recognized for our top-notch implementatio...</t>
  </si>
  <si>
    <t>https://www.glassdoor.co.in/job-listing/senior-front-end-developer-techxot-JV_KO0,26_KE27,34.htm?jl=1010162422852</t>
  </si>
  <si>
    <t>GD_1005647265471</t>
  </si>
  <si>
    <t>Web Developers</t>
  </si>
  <si>
    <t>Nagar</t>
  </si>
  <si>
    <t>Drik Panchang is a world famous online Panchang and Hindu Calendar. Last year in 2024 we received 58 million total visitors and served 324.6 million pages.
Within a short period of time Drik Panchang has become a popular Panchang and has significant fan following on Facebook and ...</t>
  </si>
  <si>
    <t>https://www.glassdoor.co.in/job-listing/web-developers-drikpanchang-JV_IC2951495_KO0,14_KE15,27.htm?jl=1005647265471</t>
  </si>
  <si>
    <t>GD_1008804260395</t>
  </si>
  <si>
    <t>Sjain Ventures</t>
  </si>
  <si>
    <t>Raipur</t>
  </si>
  <si>
    <t>Chhattisgarh</t>
  </si>
  <si>
    <t>JOB DESCRIPTION
React.js Developer
We are looking for a great JavaScript developer who is proficient with React.js. Your primary focus will be on developing user interface components and implementing them following well-known React.js workflows (such as Flux or Redux). You will e...</t>
  </si>
  <si>
    <t>https://www.glassdoor.co.in/job-listing/react-js-developer-sjain-ventures-JV_IC2899440_KO0,18_KE19,33.htm?jl=1008804260395</t>
  </si>
  <si>
    <t>GD_1008687043240</t>
  </si>
  <si>
    <t>Web Designer Frontend / UX Developer</t>
  </si>
  <si>
    <t>Akuna Technologies</t>
  </si>
  <si>
    <t>Experience : 2 - 5 Years.
Working Location : Mysore, India.
Job Responsibilities :
Collaborate with some of the best development talents to build custom solutions for our enterprise clients. 
Write efficient, robust and reusable code. 
Manage project tasks, timelines and communic...</t>
  </si>
  <si>
    <t>https://www.glassdoor.co.in/job-listing/web-designer-frontend-ux-developer-akuna-technologies-JV_KO0,34_KE35,53.htm?jl=1008687043240</t>
  </si>
  <si>
    <t>GD_1009286502053</t>
  </si>
  <si>
    <t>Trainee - Frontend</t>
  </si>
  <si>
    <t>Safetrax</t>
  </si>
  <si>
    <t>Be Yourself, Discover Your Potential
We at MTAP are passionate about creating innovative solutions that make a difference in people’s lives. Our team is made up of talented and driven individuals who are dedicated to delivering exceptional products and services to our customers.
...</t>
  </si>
  <si>
    <t>https://www.glassdoor.co.in/job-listing/trainee-frontend-mtap-technologies-JV_IC2921225_KO0,16_KE17,34.htm?jl=1009286502053</t>
  </si>
  <si>
    <t>GD_1010180964001</t>
  </si>
  <si>
    <t>Sr Application Developer</t>
  </si>
  <si>
    <t>Birlasoft (India) Private Limited</t>
  </si>
  <si>
    <t>Country/Region: IN 
Requisition ID: 35873 
Work Model: 
Position Type: 
Salary Range: 
Location: INDIA - HYDERABAD - BIRLASOFT OFFICE 
Title: Sr Application Developer 
Description: 
Area(s) of responsibility
Full stack(JAVA+Reactjs) developerJD S.No Reactjs JD 1Strong proficiency...</t>
  </si>
  <si>
    <t>https://www.glassdoor.co.in/job-listing/sr-application-developer-birlasoft-JV_KO0,24_KE25,34.htm?jl=1010180964001</t>
  </si>
  <si>
    <t>GD_1007301187953</t>
  </si>
  <si>
    <t>Front-end Engineer</t>
  </si>
  <si>
    <t>PaGaLGuY</t>
  </si>
  <si>
    <t>An engineer/perfectionist with a fast keyboard, ready to take on entire features.
What You’ll Do:
Build the next cool thing on PaGaLGuY
And improve the existing things on PaGaLGuY
Collaborate seamlessly with super talented designers and backend engineers
Be an integral part of a ...</t>
  </si>
  <si>
    <t>https://www.glassdoor.co.in/job-listing/front-end-engineer-pagalguy-JV_IC2851180_KO0,18_KE19,27.htm?jl=1007301187953</t>
  </si>
  <si>
    <t>GD_1009686139823</t>
  </si>
  <si>
    <t>Front End Engineer 
Role Overview 
As a Frontend Engineer, you’ll be responsible for implementing the core user interface of our legal search web app, based on designs provided via Figma. You’ll work closely with the full-stack engineer to consume APIs for login, subscription, us...</t>
  </si>
  <si>
    <t>https://www.glassdoor.co.in/job-listing/front-end-engineer-scc-online-JV_IC2873112_KO0,18_KE19,29.htm?jl=1009686139823</t>
  </si>
  <si>
    <t>GD_1009211007543</t>
  </si>
  <si>
    <t xml:space="preserve">Wonder Home Finance Ltd </t>
  </si>
  <si>
    <t>Job Description
Openings:2
Work Experience:Minimum to 5 years
Location:Head Office, Jaipur, Rajasthan
Minimum Qualification:M.Tech/B.Tech/MCA/BCA 
Knowledge of object-oriented PHP(Cake) programming.
Excellent understanding of Front-End Development including HTML5, CSS3, and JavaS...</t>
  </si>
  <si>
    <t>https://www.glassdoor.co.in/job-listing/senior-software-developer-wonder-home-finance-JV_IC2942216_KO0,25_KE26,45.htm?jl=1009211007543</t>
  </si>
  <si>
    <t>GD_1007767972502</t>
  </si>
  <si>
    <t>Web Application Developer</t>
  </si>
  <si>
    <t>Allies Interactive</t>
  </si>
  <si>
    <t>Kanpur Nagar</t>
  </si>
  <si>
    <t>Interested to work with us? Have some questions about job openings or work-culture? email us : [email protected]
Must be
thinker, creative, passionate, confident and smart
great team player
Must have
solid basics, fundamentals, hours of practice in programming
great analytical a...</t>
  </si>
  <si>
    <t>https://www.glassdoor.co.in/job-listing/web-application-developer-allies-interactive-JV_IC5003513_KO0,25_KE26,44.htm?jl=1007767972502</t>
  </si>
  <si>
    <t>GD_1010006849675</t>
  </si>
  <si>
    <t>CustomerXPs™ Software Private Limited</t>
  </si>
  <si>
    <t>Full Time
Bangalore
Posted 6 months ago 
Responsibilities:
Should be a team player with a keen eye for detail and problem-solving skills.
Primary responsibility is to build programs as per the goal including implicit needs with required efficiency
Writing and implementing program...</t>
  </si>
  <si>
    <t>https://www.glassdoor.co.in/job-listing/ui-developer-customerxps-JV_KO0,12_KE13,24.htm?jl=1010006849675</t>
  </si>
  <si>
    <t>GD_1008730016489</t>
  </si>
  <si>
    <t>Rentech Digital</t>
  </si>
  <si>
    <t>A company’s success starts with the right and worthy people who can create value for the customers. Our company is constantly looking for creative, talented, and goal-oriented professionals. At RentechDigital we provide an opportunity for you to learn and grow with us. If you wou...</t>
  </si>
  <si>
    <t>https://www.glassdoor.co.in/job-listing/react-js-developer-rentech-digital-JV_IC2933827_KO0,18_KE19,34.htm?jl=1008730016489</t>
  </si>
  <si>
    <t>GD_1010179151240</t>
  </si>
  <si>
    <t>Software Development Engineer II - Frontend Technologies</t>
  </si>
  <si>
    <t>StashFin</t>
  </si>
  <si>
    <t>We are looking for a Frontend Engineer (SDE-2) with 3-4 years of experience to build and scale customer-facing fintech products across web and mobile platforms.
Key Responsibilities :
- Develop and maintain high-quality applications using React and TypeScript.
- Collaborate with ...</t>
  </si>
  <si>
    <t>https://www.glassdoor.co.in/job-listing/software-development-engineer-ii-frontend-technologies-stashfin-JV_KO0,54_KE55,63.htm?jl=1010179151240</t>
  </si>
  <si>
    <t>GD_1010156436634</t>
  </si>
  <si>
    <t>Assent Compliance Inc</t>
  </si>
  <si>
    <t>Company Description
Assent is the leading AI native platform for supply chain sustainability and compliance, trusted by complex manufacturers and distributors around the world. Built and backed by experts who have led global compliance programs, our unified platform combines adv...</t>
  </si>
  <si>
    <t>https://www.glassdoor.co.in/job-listing/web-developer-assent-JV_KO0,13_KE14,20.htm?jl=1010156436634</t>
  </si>
  <si>
    <t>GD_1008457097003</t>
  </si>
  <si>
    <t>Aeon Logiciel</t>
  </si>
  <si>
    <t>Exp min 1 year to 3+ years..
Location : Noida .
Key Skills: HTML5, CSS, Bootstrap, JQuery, Angular JS, Ajax, Wordpress Basic.
careers@aeonlogiciel.com</t>
  </si>
  <si>
    <t>https://www.glassdoor.co.in/job-listing/ui-developer-aeon-logiciel-JV_IC4477468_KO0,12_KE13,26.htm?jl=1008457097003</t>
  </si>
  <si>
    <t>GD_1010153981675</t>
  </si>
  <si>
    <t>Frontend Engineer - Studio</t>
  </si>
  <si>
    <t>Sarvam Safety Equipment Private Limited</t>
  </si>
  <si>
    <t>About Sarvam
Sarvam is building the bedrock of Sovereign AI for India. The company is developing India’s full-stack sovereign AI platform, building across research, models, infrastructure and applications with a singular focus on making AI genuinely work for India. Sarvam works w...</t>
  </si>
  <si>
    <t>https://www.glassdoor.co.in/job-listing/frontend-engineer-studio-sarvam-safety-equipment-JV_KO0,24_KE25,48.htm?jl=1010153981675</t>
  </si>
  <si>
    <t>GD_1007972739731</t>
  </si>
  <si>
    <t>React Lead Developer</t>
  </si>
  <si>
    <t xml:space="preserve">Appzia Technologies Pte. Ltd. </t>
  </si>
  <si>
    <t>If you match following qualification then send your resume to hr@appziatech.com and mention post name in subject.
Experience: 3 to 4+ years
Location: Pune
Mandatory Skills:
1. knowledge of strong storybook integration and taking ownership of task 
2. he/she needs to talk with cl...</t>
  </si>
  <si>
    <t>https://www.glassdoor.co.in/job-listing/react-lead-developer-appzia-technologies-JV_IC2856202_KO0,20_KE21,40.htm?jl=1007972739731</t>
  </si>
  <si>
    <t>GD_1010122634632</t>
  </si>
  <si>
    <t>IN_Senior Associate_UI Developer_D&amp;A_Advisory_Noida</t>
  </si>
  <si>
    <t>https://www.glassdoor.co.in/job-listing/in-senior-associate-ui-developer-d-a-advisory-noida-pwc-JV_KO0,51_KE52,55.htm?jl=1010122634632</t>
  </si>
  <si>
    <t>GD_1010058117010</t>
  </si>
  <si>
    <t>Prompt Engineer</t>
  </si>
  <si>
    <t>Orange Mantra</t>
  </si>
  <si>
    <t>Gurgaon 
2 
1 to 4 years 
Full Time
We are looking for a creative and technically skilled Prompt Engineer and AI Interaction Designer to design and optimize prompts and conversational experiences for AI-powered applications.
Role Overview
As a Prompt Engineer and AI Interaction ...</t>
  </si>
  <si>
    <t>https://www.glassdoor.co.in/job-listing/prompt-engineer-orange-mantra-JV_KO0,15_KE16,29.htm?jl=1010058117010</t>
  </si>
  <si>
    <t>GD_1010171327248</t>
  </si>
  <si>
    <t>Analytics &amp; GenAI Architect-Life Sciences Technology</t>
  </si>
  <si>
    <t>Job Family:
Data Science &amp; Analysis (India)
Travel Required:
None
Clearance Required:
None
Position Summary: 
The Analytics &amp; GenAI Architect, Life Sciences Technology, designs and governs analytics and AI-enabled decision solutions that support commercial, market access, patie...</t>
  </si>
  <si>
    <t>https://www.glassdoor.co.in/job-listing/analytics-genai-architect-life-sciences-technology-guidehouse-JV_KO0,50_KE51,61.htm?jl=1010171327248</t>
  </si>
  <si>
    <t>GD_1010103489311</t>
  </si>
  <si>
    <t>Our Company:
At Teradata, we believe that people thrive when empowered with better information. Teradata Autonomous Knowledge Platform activates enterprise intelligence by unifying data, knowledge and business context to achieve tangible outcomes. With Teradata, organizations can...</t>
  </si>
  <si>
    <t>https://www.glassdoor.co.in/job-listing/senior-ai-engineer-teradata-JV_KO0,18_KE19,27.htm?jl=1010103489311</t>
  </si>
  <si>
    <t>GD_1010137832334</t>
  </si>
  <si>
    <t>AI/ML Engineer (Python + LLM)</t>
  </si>
  <si>
    <t>Jade Global</t>
  </si>
  <si>
    <t>Key Responsibilities: 
Experience - 4-8 years. 
Location - Hyderabad preferred 
Customer Interview - Yes 
Strong hands-on experience in Python development, building data-driven applications, creating APIs, debugging, testing, and deploying production-ready solutions. 
Must have e...</t>
  </si>
  <si>
    <t>https://www.glassdoor.co.in/job-listing/ai-ml-engineer-python-llm-jade-global-JV_KO0,25_KE26,37.htm?jl=1010137832334</t>
  </si>
  <si>
    <t>GD_1010154948927</t>
  </si>
  <si>
    <t>Senior AWS Migration Engineer with Gen AI</t>
  </si>
  <si>
    <t>https://www.glassdoor.co.in/job-listing/senior-aws-migration-engineer-with-gen-ai-epam-systems-JV_IC2836047_KO0,41_KE42,54.htm?jl=1010154948927</t>
  </si>
  <si>
    <t>GD_1010051230672</t>
  </si>
  <si>
    <t>Semantic AI/ML Engineer</t>
  </si>
  <si>
    <t>Project description 
We are seeking a Senior Semantic Engineer to implement semantic data frameworks that provide a shared structure for enterprise data. In this role you will focus on building and maintaining ontologies and knowledge graphs, enforcing semantic validation rules f...</t>
  </si>
  <si>
    <t>https://www.glassdoor.co.in/job-listing/semantic-ai-ml-engineer-luxoft-JV_KO0,23_KE24,30.htm?jl=1010051230672</t>
  </si>
  <si>
    <t>GD_1010107684331</t>
  </si>
  <si>
    <t>SoftMaji InfoTech Pvt. Ltd.</t>
  </si>
  <si>
    <t>By HR at SoftMaji / 20/05/2026 
Experience Level: 1 Year Experience
Responsibilities:
Develop and maintain high-quality websites using HTML, CSS, JavaScript, and PHP.
Collaborate with designers and other developers to create and implement website features.
Troubleshoot and resolv...</t>
  </si>
  <si>
    <t>https://www.glassdoor.co.in/job-listing/web-developer-softmaji-infotech-JV_KO0,13_KE14,31.htm?jl=1010107684331</t>
  </si>
  <si>
    <t>GD_1007171694587</t>
  </si>
  <si>
    <t>Angular Trainees</t>
  </si>
  <si>
    <t>Lenvica Computer Solutions Pvt.Ltd</t>
  </si>
  <si>
    <t>(BE / B Tech / MCA / BCA with an overall score of 65%) 
No prior experience required.
Apply Now!</t>
  </si>
  <si>
    <t>https://www.glassdoor.co.in/job-listing/angular-trainees-lenvica-computer-solutions-JV_IC2887994_KO0,16_KE17,43.htm?jl=1007171694587</t>
  </si>
  <si>
    <t>GD_1010176911781</t>
  </si>
  <si>
    <t>Bareilly</t>
  </si>
  <si>
    <t>Location: This is an office-based (Bareilly, Uttar Pradesh) position only. Remote or freelance applications will not be considered. Candidates from Bareilly, nearby cities, or those willing to relocate are encouraged to apply.
Experience: 1–3 Years
Salary: ₹20,000 – ₹40,000 per m...</t>
  </si>
  <si>
    <t>https://www.glassdoor.co.in/job-listing/react-developer-banttech-JV_IC2874425_KO0,15_KE16,24.htm?jl=1010176911781</t>
  </si>
  <si>
    <t>GD_1009496244856</t>
  </si>
  <si>
    <t>IN-Senior Associate_ML Engineer_Advisory Corporate_Advisory_Bangalore</t>
  </si>
  <si>
    <t>Line of Service 
Advisory 
Industry/Sector 
Not Applicable 
Specialism 
Data, Analytics &amp; AI 
Management Level 
Senior Associate 
Job Description &amp; Summary 
A career within Data and Analytics services will provide you with the opportunity to help organisations uncover enterprise ...</t>
  </si>
  <si>
    <t>https://www.glassdoor.co.in/job-listing/in-senior-associate-ml-engineer-advisory-corporate-advisory-bangalore-pwc-JV_KO0,69_KE70,73.htm?jl=1009496244856</t>
  </si>
  <si>
    <t>GD_1009848084931</t>
  </si>
  <si>
    <t>Experience: 6+ Years
Qualification-BE/B.Tech/ME/M.Tech
Job Description:
Strong programming expertise in Python, R, SQL.
Hands-on experience in Machine Learning (predictive maintenance, driver behaviour) and Deep Learning (ADAS).
Proficiency in Data Visualization tools (Power BI, ...</t>
  </si>
  <si>
    <t>https://www.glassdoor.co.in/job-listing/data-scientist-gloinnt-JV_KO0,14_KE15,22.htm?jl=1009848084931</t>
  </si>
  <si>
    <t>GD_1010183498633</t>
  </si>
  <si>
    <t>AI Engineer III</t>
  </si>
  <si>
    <t>American Express Company</t>
  </si>
  <si>
    <t>https://www.glassdoor.co.in/job-listing/ai-engineer-iii-american-express-JV_IC2940587_KO0,15_KE16,32.htm?jl=1010183498633</t>
  </si>
  <si>
    <t>GD_1010144599480</t>
  </si>
  <si>
    <t>Senior Agentic AI Engineer</t>
  </si>
  <si>
    <t>Infocusp Inc</t>
  </si>
  <si>
    <t>Company Profile
Infocusp Innovations is an IT firm working in the broad fields of Machine Learning, Artificial Intelligence (AI), Computer Science, Software Engineering, Mobile and Web App Development, QA, and Signal Processing. Global presence in India and The United States of A...</t>
  </si>
  <si>
    <t>https://www.glassdoor.co.in/job-listing/senior-agentic-ai-engineer-infocusp-JV_KO0,26_KE27,35.htm?jl=1010144599480</t>
  </si>
  <si>
    <t>GD_1010149416882</t>
  </si>
  <si>
    <t>Digital Twin AI</t>
  </si>
  <si>
    <t>Tätigkeitsbereich:Forschung &amp; Entwicklung incl. Design
Fachabteilung:Ramp up Plant &amp; Digitalization: Omniverse &amp; Mfg. Engg
Gesellschaft:Mercedes-Benz Research and Development India Private Limited
Standort:Mercedes-Benz Research and Development India Private Limited, Bangalore
St...</t>
  </si>
  <si>
    <t>https://www.glassdoor.co.in/job-listing/digital-twin-ai-mercedes-benz-group-JV_KO0,15_KE16,35.htm?jl=1010149416882</t>
  </si>
  <si>
    <t>GD_1010068797690</t>
  </si>
  <si>
    <t>AI Automation &amp; Robotics Engineer</t>
  </si>
  <si>
    <t>Unis, LLC</t>
  </si>
  <si>
    <t>Overview
The AI Automation &amp; Robotics Engineer will be responsible for designing, developing, and implementing innovative robotic systems and AI-driven automation processes. The role involves collaborating with cross-functional teams to integrate advanced technologies into existi...</t>
  </si>
  <si>
    <t>https://www.glassdoor.co.in/job-listing/ai-automation-robotics-engineer-unified-network-information-services-JV_KO0,31_KE32,68.htm?jl=1010068797690</t>
  </si>
  <si>
    <t>GD_1010166818113</t>
  </si>
  <si>
    <t>Senior AI / Agentic AI Engineer</t>
  </si>
  <si>
    <t>The Senior AI / Agentic AI Engineer will play a critical role in AAMG AI’s initial POC and commercialization phase.
Key Responsibilities :
Build autonomous AI agents for Finance, AP, GR/IR, tax, and close processes.
Design LLM orchestration, prompt engineering, RAG, and enterpris...</t>
  </si>
  <si>
    <t>https://www.glassdoor.co.in/job-listing/senior-ai-agentic-ai-engineer-aamg-ai-JV_KO0,29_KE30,37.htm?jl=1010166818113</t>
  </si>
  <si>
    <t>GD_1010143057918</t>
  </si>
  <si>
    <t>AI Enabled Data Scraping Engineer – Mid Level</t>
  </si>
  <si>
    <t>AIMLEAP</t>
  </si>
  <si>
    <t>by Aimleap | May 22, 2026 
AI Enabled Data Scraping Engineer – Mid Level 
 
Aimleap 
 
India (Remote) 
 
Posted on May 22, 2026 
AIMLEAP is Hiring:
AI Enabled Data Scraping Engineer – Mid Level 
Experience: 2 to 4 Years 
Location: Remote (Work from Home) / Bangalore / Indi...</t>
  </si>
  <si>
    <t>https://www.glassdoor.co.in/job-listing/ai-enabled-data-scraping-engineer-mid-level-aimleap-JV_KO0,43_KE44,51.htm?jl=1010143057918</t>
  </si>
  <si>
    <t>GD_1010061452163</t>
  </si>
  <si>
    <t>AppZoy Technologies Pvt Ltd</t>
  </si>
  <si>
    <t>We’re seeking an AI Engineer with strong hands-on experience in computer vision and multimodal (vision + voice) systems—from data preparation and model training to scalable inference and production deployment. You’ll build and ship end-to-end AI solutions: curate datasets, fine-t...</t>
  </si>
  <si>
    <t>https://www.glassdoor.co.in/job-listing/ai-engineer-appzoy-JV_KO0,11_KE12,18.htm?jl=1010061452163</t>
  </si>
  <si>
    <t>GD_1010142826000</t>
  </si>
  <si>
    <t>Advanced AI Engr</t>
  </si>
  <si>
    <t>Honeywell International Inc.</t>
  </si>
  <si>
    <t>Honeywell's Value Engineering (VE) and Component Engineering (CE) Center of Excellence (COE) is a dynamic collective of professionals dedicated to refining product development through innovative engineering and strategic component selection. 
You will be part of Honeywell's VE/CE...</t>
  </si>
  <si>
    <t>https://www.glassdoor.co.in/job-listing/advanced-ai-engr-honeywell-JV_KO0,16_KE17,26.htm?jl=1010142826000</t>
  </si>
  <si>
    <t>GD_1010180517373</t>
  </si>
  <si>
    <t>Senior Generative AI Engineer</t>
  </si>
  <si>
    <t>About the role
We are looking for a mid-level Generative AI Engineer to design, build, and deploy production-grade AI systems — spanning retrieval-augmented generation pipelines, multi-agent orchestration, structured document extraction, and conversational AI.
You will work close...</t>
  </si>
  <si>
    <t>https://www.glassdoor.co.in/job-listing/senior-generative-ai-engineer-cyrino-llc-JV_IC2833209_KO0,29_KE30,40.htm?jl=1010180517373</t>
  </si>
  <si>
    <t>GD_1010127395711</t>
  </si>
  <si>
    <t>Clinical Prompt Engineer</t>
  </si>
  <si>
    <t>Truveta</t>
  </si>
  <si>
    <t>Truveta provides unprecedented real-world data and real-time intelligence, powered by a dataset built with and owned by US health systems united in a mission of Saving Lives with Data. Together, we power breakthrough medical discoveries, accelerate regulatory-grade evidence, and ...</t>
  </si>
  <si>
    <t>https://www.glassdoor.co.in/job-listing/clinical-prompt-engineer-truveta-JV_KO0,24_KE25,32.htm?jl=1010127395711</t>
  </si>
  <si>
    <t>GD_1008402828250</t>
  </si>
  <si>
    <t>Senior Data Scientist</t>
  </si>
  <si>
    <t>Sciera Inc.</t>
  </si>
  <si>
    <t>Job Location: Chennai
Job Description 8+ years of experience
We are looking for a Data Scientist lead to analyze large amounts of raw data to find patterns that will help improve our client’s business processes. We will rely on you to build data products to extract valuable busi...</t>
  </si>
  <si>
    <t>https://www.glassdoor.co.in/job-listing/senior-data-scientist-sciera-JV_KO0,21_KE22,28.htm?jl=1008402828250</t>
  </si>
  <si>
    <t>GD_1010158940821</t>
  </si>
  <si>
    <t>Engr, Algorithm (P2)</t>
  </si>
  <si>
    <t>https://www.glassdoor.co.in/job-listing/engr-algorithm-p2-kla-JV_IC2833209_KO0,17_KE18,21.htm?jl=1010158940821</t>
  </si>
  <si>
    <t>GD_1010062115647</t>
  </si>
  <si>
    <t>AIML- Staff Enginerr</t>
  </si>
  <si>
    <t>Company: 
Qualcomm India Private Limited 
Job Area: 
Engineering Group, Engineering Group &gt; Software Applications Engineering 
General Summary: 
As a leading technology innovator, Qualcomm pushes the boundaries of what's possible to enable next-generation experiences and drives d...</t>
  </si>
  <si>
    <t>https://www.glassdoor.co.in/job-listing/aiml-staff-enginerr-qualcomm-JV_KO0,19_KE20,28.htm?jl=1010062115647</t>
  </si>
  <si>
    <t>GD_1009757118914</t>
  </si>
  <si>
    <t>Research Engineer</t>
  </si>
  <si>
    <t>Niramai Health Analytix Pvt Ltd</t>
  </si>
  <si>
    <t>We are inviting applications from Research Engineer to work on an exciting health tech projects at NIRAMAI. If you have good problem solving skills, a passion for machine learning research and creating social impact, this is the right place for you.
Skills and Abilities:
Knowledg...</t>
  </si>
  <si>
    <t>https://www.glassdoor.co.in/job-listing/research-engineer-niramai-health-analytix-JV_KO0,17_KE18,41.htm?jl=1009757118914</t>
  </si>
  <si>
    <t>GD_1010168611697</t>
  </si>
  <si>
    <t>Ingersoll Rand plc</t>
  </si>
  <si>
    <t>Ingersoll Rand is committed to achieving workforce diversity reflective of our communities. We are an equal opportunity employer. All qualified applicants will receive consideration for employment without regard to age, ancestry, color, family or medical care leave, gender identi...</t>
  </si>
  <si>
    <t>https://www.glassdoor.co.in/job-listing/data-scientist-ingersoll-rand-JV_KO0,14_KE15,29.htm?jl=1010168611697</t>
  </si>
  <si>
    <t>GD_1009906961196</t>
  </si>
  <si>
    <t>AI/ML &amp; Data Engineer</t>
  </si>
  <si>
    <t>Congruent Info-Tech Pvt. Ltd</t>
  </si>
  <si>
    <t>Location: Chennai
Experience
4~6 years in ML/NLP, preferably in document-heavy domains (finance, legal, policy)
Key Responsibilities
Data Ingestion and Preprocessing: Ability to build and maintain data pipelines to ingest unstructured data from PDFs, gazettes, HTML circulars etc....</t>
  </si>
  <si>
    <t>https://www.glassdoor.co.in/job-listing/ai-ml-data-engineer-congruent-info-tech-JV_IC2833209_KO0,19_KE20,39.htm?jl=1009906961196</t>
  </si>
  <si>
    <t>GD_1010169586676</t>
  </si>
  <si>
    <t>Cognite</t>
  </si>
  <si>
    <t>What Cognite is: Relentless to achieve
Cognite operates at the forefront of industrial digitalization, building AI, and data solutions that solve the world's hardest, highest-impact problems. With unmatched industrial heritage and a comprehensive suite of AI capabilities, includi...</t>
  </si>
  <si>
    <t>https://www.glassdoor.co.in/job-listing/senior-machine-learning-engineer-cognite-JV_IC2940587_KO0,32_KE33,40.htm?jl=1010169586676</t>
  </si>
  <si>
    <t>GD_1010025371495</t>
  </si>
  <si>
    <t>Senior NLP Engineer</t>
  </si>
  <si>
    <t>Alphastream Technologies Private Limited</t>
  </si>
  <si>
    <t>Position Summary
We're seeking a Senior NLP Engineer with a hacker mindset to revolutionize our information extraction engine for financial/legal data processing. This is a product-driven role focused on delivering production-ready solutions where accuracy and speed of output are...</t>
  </si>
  <si>
    <t>https://www.glassdoor.co.in/job-listing/senior-nlp-engineer-alphastream-ai-JV_KO0,19_KE20,34.htm?jl=1010025371495</t>
  </si>
  <si>
    <t>GD_1009989921449</t>
  </si>
  <si>
    <t>AI/ML Engineer2&lt;p&gt;&lt;b&gt;Key Responsibilities&lt;/b&gt;&lt;/p&gt;&lt;ul&gt;&lt;li&gt;Build and deploy LLM-based GenAI applications end-to-end&lt;/li&gt;&lt;li&gt;Work with multiple LLMs (OpenAI/Azure OpenAI, Gemini, Claude, LLaMA, Mistral)&lt;/li&gt;&lt;li&gt;Design and implement agentic and multi-agent systems using MCP and A2A&lt;/...</t>
  </si>
  <si>
    <t>https://www.glassdoor.co.in/job-listing/ai-ml-engineer-jade-global-JV_IC2856202_KO0,14_KE15,26.htm?jl=1009989921449</t>
  </si>
  <si>
    <t>GD_1009790591402</t>
  </si>
  <si>
    <t>Data Scientist- Pytorch/ TensorFlow</t>
  </si>
  <si>
    <t>United Parcel Service, Inc.</t>
  </si>
  <si>
    <t>https://www.glassdoor.co.in/job-listing/data-scientist-pytorch-tensorflow-ups-JV_IC2833209_KO0,33_KE34,37.htm?jl=1009790591402</t>
  </si>
  <si>
    <t>GD_1010137912838</t>
  </si>
  <si>
    <t>Senior AIML Developer</t>
  </si>
  <si>
    <t xml:space="preserve">Vrinsoft Technology Pvt. Ltd </t>
  </si>
  <si>
    <t>EXPERIENCE THAT MATTERS
Our Employees Always Come First
Get the Recognition You Deserve
Best Opportunity to Learn &amp; Grow
Freedom &amp; Flexibility to Perform
Balance Your Professional &amp; Personal Life
Professional Yet Friendly Environment
Stay Abreast with Current Technologies
Think l...</t>
  </si>
  <si>
    <t>https://www.glassdoor.co.in/job-listing/senior-aiml-developer-vrinsoft-technology-JV_KO0,21_KE22,41.htm?jl=1010137912838</t>
  </si>
  <si>
    <t>GD_1010006954834</t>
  </si>
  <si>
    <t>Senior Machine learning Engineer</t>
  </si>
  <si>
    <t>Robert Bosch LLC</t>
  </si>
  <si>
    <t>Company Description
Bosch Global Software Technologies Private Limited is a 100% owned subsidiary of Robert Bosch GmbH, one of the world's leading global supplier of technology and services, offering end-to-end Engineering, IT and Business Solutions. With over 27,000+ associates...</t>
  </si>
  <si>
    <t>https://www.glassdoor.co.in/job-listing/senior-machine-learning-engineer-bosch-JV_KO0,32_KE33,38.htm?jl=1010006954834</t>
  </si>
  <si>
    <t>GD_1009306584498</t>
  </si>
  <si>
    <t>Gen AI Developer/Specialist - Tamilnadu</t>
  </si>
  <si>
    <t>We are seeking a talented and experienced Gen AI developer/specialist to join our growing team. You will play a key role in designing, developing, and implementing Gen AI solutions across various domains, including chatbots, IVR systems, and the banking sector.
Responsibilities: ...</t>
  </si>
  <si>
    <t>https://www.glassdoor.co.in/job-listing/gen-ai-developer-specialist-tamilnadu-photon-JV_KO0,37_KE38,44.htm?jl=1009306584498</t>
  </si>
  <si>
    <t>GD_1010156458244</t>
  </si>
  <si>
    <t>Job Title: Data Scientist 
Location: Chennai 
Experience: 7–12 years
Role Summary: 
Analyze large datasets and build ML models to drive data-driven insights and business decisions.
Key Responsibilities:
Collect, clean, and analyze structured/unstructured data
Perform EDA and deri...</t>
  </si>
  <si>
    <t>https://www.glassdoor.co.in/job-listing/data-scientist-tata-consultancy-services-JV_IC2833209_KO0,14_KE15,40.htm?jl=1010156458244</t>
  </si>
  <si>
    <t>GD_1010091526641</t>
  </si>
  <si>
    <t>AI / ML Engineer – Fresher</t>
  </si>
  <si>
    <t>Job Information
Date Opened
12/24/2025 
Job Type
Full time 
Industry
Industrial Automation 
Required Skills
scada
python programming
+15
Work Experience
Fresher 
City
Pune 
State/Province
maharashtra 
Country
India 
Zip/Postal Code
412308 
About Us
Total Automation Solutions (TAS...</t>
  </si>
  <si>
    <t>https://www.glassdoor.co.in/job-listing/ai-ml-engineer-fresher-total-automations-solutions-JV_IC2856202_KO0,22_KE23,50.htm?jl=1010091526641</t>
  </si>
  <si>
    <t>GD_1010017223414</t>
  </si>
  <si>
    <t>Computer Vision Engineer</t>
  </si>
  <si>
    <t>Infolks Pvt Ltd</t>
  </si>
  <si>
    <t>Palakkad</t>
  </si>
  <si>
    <t>Computer Vision Engineer
Model development and deployment involve designing, training, optimizing, and deploying computer vision models for tasks such as detection, classification, segmentation, and tracking, with ongoing improvements for accuracy and performance. Image and video...</t>
  </si>
  <si>
    <t>https://www.glassdoor.co.in/job-listing/computer-vision-engineer-infolks-JV_IC4469496_KO0,24_KE25,32.htm?jl=1010017223414</t>
  </si>
  <si>
    <t>GD_1009790591797</t>
  </si>
  <si>
    <t>https://www.glassdoor.co.in/job-listing/data-scientist-ups-JV_IC2833209_KO0,14_KE15,18.htm?jl=1009790591797</t>
  </si>
  <si>
    <t>GD_1010070137986</t>
  </si>
  <si>
    <t>Data Scientist, MAPLE - Recommender System</t>
  </si>
  <si>
    <t>DESCRIPTION
Are you excited by the idea of developing personalized experiences for Amazon customers as they shop? Are you looking for new challenges and to solve hard science problems while applying state-of-the-art recommendation system modeling and GenAI techniques? Join us and...</t>
  </si>
  <si>
    <t>https://www.glassdoor.co.in/job-listing/data-scientist-maple-recommender-system-amazon-JV_KO0,39_KE40,46.htm?jl=1010070137986</t>
  </si>
  <si>
    <t>GD_1010144855575</t>
  </si>
  <si>
    <t>MLOps Engineer</t>
  </si>
  <si>
    <t>Job Description:
We are looking for a hands on MLOps Engineer who will work closely with Data Scientists and ML Engineers to build deploy monitor and optimize machine learning models in production
This role is NOT focused on platform engineering or infrastructure only work inste...</t>
  </si>
  <si>
    <t>https://www.glassdoor.co.in/job-listing/mlops-engineer-infosys-JV_KO0,14_KE15,22.htm?jl=1010144855575</t>
  </si>
  <si>
    <t>GD_1010096880410</t>
  </si>
  <si>
    <t>Senior AI ML Engineer - Assistant Vice President</t>
  </si>
  <si>
    <t>https://www.glassdoor.co.in/job-listing/senior-ai-ml-engineer-assistant-vice-president-citi-JV_IC2856202_KO0,46_KE47,51.htm?jl=1010096880410</t>
  </si>
  <si>
    <t>GD_1009885644466</t>
  </si>
  <si>
    <t>Location: Bangalore
Type: Full-time
About the Role
We are seeking a highly skilled AI/ML Engineer with a strong background in data science, machine learning, and advanced analytics to join our manufacturing innovation team. The ideal candidate will design, build, and deploy AI/ML...</t>
  </si>
  <si>
    <t>https://www.glassdoor.co.in/job-listing/ml-engineer-artpark-i-hub-for-robotics-and-autonomous-systems-innovation-foundation-JV_KO0,11_KE12,83.htm?jl=1009885644466</t>
  </si>
  <si>
    <t>GD_1006244639466</t>
  </si>
  <si>
    <t>Tata Sons Private Limited</t>
  </si>
  <si>
    <t>COMPANY OVERVIEW 
Tata Group is an Indian multinational conglomerate company headquartered in Mumbai, India. It encompasses seven business sectors: communications and information technology, engineering, materials, services, energy, consumer products and chemicals. Tata Group was...</t>
  </si>
  <si>
    <t>https://www.glassdoor.co.in/job-listing/data-scientist-tata-group-JV_KO0,14_KE15,25.htm?jl=1006244639466</t>
  </si>
  <si>
    <t>GD_1010177998034</t>
  </si>
  <si>
    <t>WorkHack Inc</t>
  </si>
  <si>
    <t>About Metaforms
Metaforms is redefining how market research gets done. Our AI platform empowers the world's leading research agencies to scale 10x faster while maintaining uncompromising quality. With AI Agents that augment survey programming, data processing, and project managem...</t>
  </si>
  <si>
    <t>https://www.glassdoor.co.in/job-listing/senior-ai-engineer-metaforms-JV_IC2940587_KO0,18_KE19,28.htm?jl=1010177998034</t>
  </si>
  <si>
    <t>GD_1010180492375</t>
  </si>
  <si>
    <t>Senior Data Engineer</t>
  </si>
  <si>
    <t>Data Engineer
Experience:7+years
Fulltime
Shift: 2:00 PM – 11:00 PM IST
Work Mode: Remote (Candidates must be based in Pune, Bangalore, Mumbai, or Hyderabad and should be available to visit the office whenever required for business needs.)
6+ years of overall experience with at l...</t>
  </si>
  <si>
    <t>https://www.glassdoor.co.in/job-listing/senior-data-engineer-mindtrilogy-it-solutions-pvt-ltd-JV_KO0,20_KE21,53.htm?jl=1010180492375</t>
  </si>
  <si>
    <t>GD_1010171238155</t>
  </si>
  <si>
    <t>AI / GenAI Engineer</t>
  </si>
  <si>
    <t>Lenovo Group Limited</t>
  </si>
  <si>
    <t>General Information 
Req # 
WD00099863 
Career area: 
Hardware Engineering 
Country/Region: 
India 
State: 
Karnataka 
City: 
BANGALORE 
Date: 
Wednesday, June 17, 2026 
Working time: 
Full-time 
Additional Locations: 
India - Karnātaka - Bangalore 
India - Karnātaka - BANGALORE ...</t>
  </si>
  <si>
    <t>https://www.glassdoor.co.in/job-listing/ai-genai-engineer-lenovo-JV_KO0,17_KE18,24.htm?jl=1010171238155</t>
  </si>
  <si>
    <t>GD_1010179440175</t>
  </si>
  <si>
    <t>Junior Architect</t>
  </si>
  <si>
    <t>Company Description
Poetry Designs, established in 2020, specializes in offering comprehensive and affordable architectural and sustainable construction services. By integrating architectural planning, sustainable methods for urban habitat, landscape design, and construction mana...</t>
  </si>
  <si>
    <t>https://www.glassdoor.co.in/job-listing/junior-architect-poetry-designs-JV_IC2940587_KO0,16_KE17,31.htm?jl=1010179440175</t>
  </si>
  <si>
    <t>GD_1009985088860</t>
  </si>
  <si>
    <t>Specialist Software Engineer - Python, Elastic</t>
  </si>
  <si>
    <t>Responsibilities 
J ob Summary: 
We are seeking a highly skilled and motivated Specialist Software Engineer with deep expertise in Big Data technologies , data pipeline orchestration , and observability tooling . The ideal candidate will be responsible for designing, developing, ...</t>
  </si>
  <si>
    <t>https://www.glassdoor.co.in/job-listing/specialist-software-engineer-python-elastic-société-générale-JV_KO0,43_KE44,60.htm?jl=1009985088860</t>
  </si>
  <si>
    <t>GD_1010191674872</t>
  </si>
  <si>
    <t>AI Data Scientist</t>
  </si>
  <si>
    <t>India - Hyderabad 
JOB ID: R-249630 LOCATION: India - Hyderabad WORK LOCATION TYPE: On Site DATE POSTED: Jul. 06, 2026 CATEGORY: Information Systems 
ABOUT AMGEN
Amgen harnesses the best of biology and technology to fight the world’s toughest diseases, and make people’s lives eas...</t>
  </si>
  <si>
    <t>https://www.glassdoor.co.in/job-listing/ai-data-scientist-amgen-JV_KO0,17_KE18,23.htm?jl=1010191674872</t>
  </si>
  <si>
    <t>GD_1010191082784</t>
  </si>
  <si>
    <t>Visions</t>
  </si>
  <si>
    <t>AI/ML Engineer (1.5–2 Years Experience)
Location: Chandigarh (On-site)
Experience: 1.5–2 Years
Joining: Immediate Joiners Preferred
We are looking for a passionate AI/ML Engineer to join our team and work on Artificial Intelligence, Machine Learning, and Generative AI projects.
R...</t>
  </si>
  <si>
    <t>https://www.glassdoor.co.in/job-listing/ai-ml-engineer-visions-india-JV_IC2879615_KO0,14_KE15,28.htm?jl=1010191082784</t>
  </si>
  <si>
    <t>GD_1009496777294</t>
  </si>
  <si>
    <t>Lead Machine Learning Engineer</t>
  </si>
  <si>
    <t>Diageo plc</t>
  </si>
  <si>
    <t>Job Description :
About Diageo:
Diageo is the world’s leading premium drinks company with Outstanding collection of brands, such as Johnnie Walker, Smirnoff, Baileys, Captain Morgan, Tanqueray and Guinness. With over 200 brands in 180 countries and a global network of daring indi...</t>
  </si>
  <si>
    <t>https://www.glassdoor.co.in/job-listing/lead-machine-learning-engineer-diageo-JV_KO0,30_KE31,37.htm?jl=1009496777294</t>
  </si>
  <si>
    <t>GD_1010178394554</t>
  </si>
  <si>
    <t>Senior AI Data Engineer</t>
  </si>
  <si>
    <t>Job Description: Key Responsibilities 
Design and develop LLM-powered applications using agentic patterns (single/multi-agent) for business use cases 
Build and optimise end-to-end RAG pipelines (ingestion, embeddings, retrieval, orchestration, response synthesis) 
Implement prom...</t>
  </si>
  <si>
    <t>https://www.glassdoor.co.in/job-listing/senior-ai-data-engineer-exl-service-JV_IC2856202_KO0,23_KE24,35.htm?jl=1010178394554</t>
  </si>
  <si>
    <t>GD_1010177529628</t>
  </si>
  <si>
    <t>Python ML Engineer</t>
  </si>
  <si>
    <t>Solulever</t>
  </si>
  <si>
    <t>Noida
Engineering / Full Time/ Remote
We’re on the lookout for a Python ML Engineer who loves real-world challenges more than Kaggle competitions. At Solulever, your models won’t just predict—they’ll perform, scale, and power smarter manufacturing through our Brabo platform. You’...</t>
  </si>
  <si>
    <t>https://www.glassdoor.co.in/job-listing/python-ml-engineer-solulever-JV_IC4477468_KO0,18_KE19,28.htm?jl=1010177529628</t>
  </si>
  <si>
    <t>GD_1010173569046</t>
  </si>
  <si>
    <t>We are looking for an experienced AI Agentic Engineer to design, develop, and deploy AI-driven autonomous and semi-autonomous systems using LLMs, workflows, and AI orchestration frameworks.
Key Responsibilities
Build AI agent-based applications using LLMs and multi-agent workflow...</t>
  </si>
  <si>
    <t>https://www.glassdoor.co.in/job-listing/ai-engineer-credentech-solutions-JV_KO0,11_KE12,32.htm?jl=1010173569046</t>
  </si>
  <si>
    <t>GD_1010094160149</t>
  </si>
  <si>
    <t>Software Engineer, Fleet Analytics, PhD, Early Career, 2026</t>
  </si>
  <si>
    <t>Minimum qualifications:
PhD degree in Computer Science, Electrical Engineering, or a related technical field, or equivalent practical experience.
Experience applying mathematical techniques to solve large-scale, intractable problems.
Experience conducting advanced research in Com...</t>
  </si>
  <si>
    <t>https://www.glassdoor.co.in/job-listing/software-engineer-fleet-analytics-phd-early-career-2026-google-JV_KO0,55_KE56,62.htm?jl=1010094160149</t>
  </si>
  <si>
    <t>GD_1010162614586</t>
  </si>
  <si>
    <t>Role description
Agentic AI systems
RAG &amp; vector databases
LLM frameworks &amp; Python
MLOps CI/CD (train/finetune/eval/deploy)
Cloud &amp; ML platforms
AI observability &amp; feedback loops
IaC, reliability, cost &amp; security
Production GenAI/LLM experience (3+ yrs)
Skills
mlops,vector dat...</t>
  </si>
  <si>
    <t>https://www.glassdoor.co.in/job-listing/ml-engineer-i-ust-JV_KO0,13_KE14,17.htm?jl=1010162614586</t>
  </si>
  <si>
    <t>GD_1010162743814</t>
  </si>
  <si>
    <t>Data Engineer, AI (Hybrid)</t>
  </si>
  <si>
    <t>Kaplan, Inc.</t>
  </si>
  <si>
    <t>Job Description
The Data Engineer (India Offshore) is responsible for building, maintaining, and optimising data pipelines and transformation processes that deliver trusted, analytics-ready datasets for Kaplan Australia. This role will be the primary contributor driving data tran...</t>
  </si>
  <si>
    <t>https://www.glassdoor.co.in/job-listing/data-engineer-ai-hybrid-kaplan-JV_KO0,23_KE24,30.htm?jl=1010162743814</t>
  </si>
  <si>
    <t>GD_1010181391595</t>
  </si>
  <si>
    <t>AI Agent Developer</t>
  </si>
  <si>
    <t>Hakimi Technology Solutions</t>
  </si>
  <si>
    <t>Rājkot</t>
  </si>
  <si>
    <t>Join the team and learn Leadership with Job
Let’s convert your job into a wonderful lifetime experience
Post: AI Agent Developer 
Positions: 2 
Experince: Fresher or any 
Priority: Urgent</t>
  </si>
  <si>
    <t>https://www.glassdoor.co.in/job-listing/ai-agent-developer-hakimi-technology-solutions-JV_IC2936707_KO0,18_KE19,46.htm?jl=1010181391595</t>
  </si>
  <si>
    <t>GD_1010109420702</t>
  </si>
  <si>
    <t>GenAI Engineer / GenAI Senior Lead Engineer</t>
  </si>
  <si>
    <t>Vayavya Labs Pvt. Ltd.</t>
  </si>
  <si>
    <t>Position: GenAI Engineer / GenAI Senior Lead Engineer
Years of Experience: 2-6 years
Location: Bengaluru/Belagavi
Job Summary:
This position involves joining a dynamic team as a Generative AI Engineer or Senior Lead Engineer. The role includes designing, building, and deploying ...</t>
  </si>
  <si>
    <t>https://www.glassdoor.co.in/job-listing/genai-engineer-genai-senior-lead-engineer-vayavya-labs-JV_KO0,41_KE42,54.htm?jl=1010109420702</t>
  </si>
  <si>
    <t>GD_1010161837536</t>
  </si>
  <si>
    <t>Staff/Principal Engineer - AI/ML &amp; System-Level Validation</t>
  </si>
  <si>
    <t>Advanced Micro Devices, Inc.</t>
  </si>
  <si>
    <t>https://www.glassdoor.co.in/job-listing/staff-principal-engineer-ai-ml-system-level-validation-amd-JV_KO0,54_KE55,58.htm?jl=1010161837536</t>
  </si>
  <si>
    <t>GD_1010150210469</t>
  </si>
  <si>
    <t>Blackbuck Insights, LLC</t>
  </si>
  <si>
    <t>Job Information
Industry
IT Services 
Date Opened
05/29/2026 
Job Type
Full time 
Work Experience
5-10 years 
City
Bengaluru 
State/Province
Karnataka 
Country
India 
Zip/Postal Code
560045 
About Us
BBI is a global data engineering consulting firm that empowers clients to effect...</t>
  </si>
  <si>
    <t>https://www.glassdoor.co.in/job-listing/senior-ml-engineer-blackbuck-insights-JV_IC2940587_KO0,18_KE19,37.htm?jl=1010150210469</t>
  </si>
  <si>
    <t>GD_1010118399450</t>
  </si>
  <si>
    <t>Senior Engineer (ML + Data Engineering) Gurgaon/Jaipur</t>
  </si>
  <si>
    <t>Key Management Group, Inc.</t>
  </si>
  <si>
    <t>Senior Engineer (ML + Data Engineering) Gurgaon/Jaipur | Job Code #00006469
Experience: 4 - 6 Years
Technical Skills 
Hands-on experience in Python.
Hands-on experience in Machine Learning (Supervised &amp; Unsupervised) and other algorithmic models.
Expertise in working with Data An...</t>
  </si>
  <si>
    <t>https://www.glassdoor.co.in/job-listing/senior-engineer-ml-data-engineering-gurgaon-jaipur-kmg-infotech-ltd-JV_IC2921225_KO0,50_KE51,67.htm?jl=1010118399450</t>
  </si>
  <si>
    <t>GD_1009945322830</t>
  </si>
  <si>
    <t>Manager-Data Science-Data Scientist</t>
  </si>
  <si>
    <t>Job Description: Are you ready to help shape the future of AI? Join our dynamic Data Science Center of Excellence (CoE) and be at the forefront of transforming real business challenges into innovative, AI-powered solutions. As a Data Scientist in the CoE, you’ll work with experie...</t>
  </si>
  <si>
    <t>https://www.glassdoor.co.in/job-listing/manager-data-science-data-scientist-exl-service-JV_IC2921225_KO0,35_KE36,47.htm?jl=1009945322830</t>
  </si>
  <si>
    <t>GD_1010190641761</t>
  </si>
  <si>
    <t>Sr Engineer - AI COE</t>
  </si>
  <si>
    <t>Tata Communications Limited</t>
  </si>
  <si>
    <t>Tata Communications Redefines Connectivity with Innovation and IntelligenceDriving the next level of intelligence powered by Cloud, Mobility, Internet of Things, Collaboration, Security, Media services and Network services, we at Tata Communications are envisaging a New World of ...</t>
  </si>
  <si>
    <t>https://www.glassdoor.co.in/job-listing/sr-engineer-ai-coe-tata-communications-JV_KO0,18_KE19,38.htm?jl=1010190641761</t>
  </si>
  <si>
    <t>GD_1010061778763</t>
  </si>
  <si>
    <t>AI Engineer, India, 2-3 years</t>
  </si>
  <si>
    <t>Job Description: AI Engineer, India, 2-3 years
Responsibilities: • Design, build, and optimize agentic AI systems leveraging LLMs, multi-agent frameworks, tool‑use orchestration, retrieval systems, and autonomous workflows to solve complex real‑world problems. 
• Develop scalabl...</t>
  </si>
  <si>
    <t>https://www.glassdoor.co.in/job-listing/ai-engineer-india-23-years-exl-service-JV_IC4477468_KO0,26_KE27,38.htm?jl=1010061778763</t>
  </si>
  <si>
    <t>GD_1010191317928</t>
  </si>
  <si>
    <t>AI Agent Engineer</t>
  </si>
  <si>
    <t>ToXSL Technologies Pvt Ltd</t>
  </si>
  <si>
    <t>Mohali</t>
  </si>
  <si>
    <t>Location: Mohali, India Experience: 1-5 Years Positions: 4 Salary: 4-10 lacs per annum Telephonic Interview: Not Available li ol { counter-reset: item; } li ol li { display: block; position: relative; } li ol li:before { content: counter(item, lower-alpha)"."; counter-increment: ...</t>
  </si>
  <si>
    <t>https://www.glassdoor.co.in/job-listing/ai-agent-engineer-toxsl-technologies-JV_IC4469455_KO0,17_KE18,36.htm?jl=1010191317928</t>
  </si>
  <si>
    <t>GD_1010182253295</t>
  </si>
  <si>
    <t>Freelance Web Application Developer (AI-First + Shopify Required)</t>
  </si>
  <si>
    <t>Description:
We're hiring a developer to build and maintain our web-based SaaS application—starting from Lovable prototypes and scaling to production code. You must be proficient using AI tools like Cursor to write, debug, and refactor code efficiently while owning the full stack...</t>
  </si>
  <si>
    <t>https://www.glassdoor.co.in/job-listing/freelance-web-application-developer-ai-first-shopify-required-glory-medal-hangers-JV_KO0,61_KE62,81.htm?jl=1010182253295</t>
  </si>
  <si>
    <t>GD_1009396668754</t>
  </si>
  <si>
    <t xml:space="preserve">JAWK Softwares </t>
  </si>
  <si>
    <t>Job Code : FE01 
Qualification : BE, BTech, MCA, MTech, M.Sc. 
Job Experience: 2 to 5 years 
Job Expectations : 
Extensive experience with React, Angular, HTML, CSS, and JavaScript.
Must be a hands-on developer who can deliver robust UI solutions.
Experienced in responsive design...</t>
  </si>
  <si>
    <t>https://www.glassdoor.co.in/job-listing/front-end-developer-jawk-softwares-JV_IC2856202_KO0,19_KE20,34.htm?jl=1009396668754</t>
  </si>
  <si>
    <t>GD_1008506603359</t>
  </si>
  <si>
    <t>Web Developer - Senior</t>
  </si>
  <si>
    <t xml:space="preserve">Meriton Group </t>
  </si>
  <si>
    <t>Salary 1.8 lkh to 3 lkh per annum or even more based on skills and expertise. 
Work location: Coimbatore (Willing to travel as work demands) 
Functional Area : Website Development 
Software Skills : HTML, CSS, WordPress, PHP 
Job description
As a Senior Web developer you will be ...</t>
  </si>
  <si>
    <t>https://www.glassdoor.co.in/job-listing/web-developer-senior-meriton-group-JV_IC2836047_KO0,20_KE21,34.htm?jl=1008506603359</t>
  </si>
  <si>
    <t>GD_1010170069400</t>
  </si>
  <si>
    <t>https://www.glassdoor.co.in/job-listing/senior-ai-engineer-finastra-JV_IC2940587_KO0,18_KE19,27.htm?jl=1010170069400</t>
  </si>
  <si>
    <t>GD_1010155061733</t>
  </si>
  <si>
    <t>Solution Architect - Data Engineer</t>
  </si>
  <si>
    <t>KSB SE &amp; Co. KGaA</t>
  </si>
  <si>
    <t>Key Responsibilities
Contribute to the design and development of scalable data pipelines and a growing data lake
Build and extend data processing workflows using Python, Apache Spark, and Databricks
Define technical standards, best practices, and reusable frameworks for data engi...</t>
  </si>
  <si>
    <t>https://www.glassdoor.co.in/job-listing/solution-architect-data-engineer-ksb-JV_IC2856202_KO0,32_KE33,36.htm?jl=1010155061733</t>
  </si>
  <si>
    <t>GD_1009551095276</t>
  </si>
  <si>
    <t>Senior Frontend Developer</t>
  </si>
  <si>
    <t>Senior Full Stack Developer
Location: Bengaluru, India
Type: Full-time
Experience Level: Senior (9+ years)
Job Summary
We are seeking an experienced Frontend Developer with over 9 years of hands-on experience in development and team handling. The ideal candidate will have a robu...</t>
  </si>
  <si>
    <t>https://www.glassdoor.co.in/job-listing/senior-frontend-developer-remotestar-JV_KO0,25_KE26,36.htm?jl=1009551095276</t>
  </si>
  <si>
    <t>GD_1007999449903</t>
  </si>
  <si>
    <t>Fulltime React.js / Node js Developer</t>
  </si>
  <si>
    <t>Litost India Infotech Pvt Ltd</t>
  </si>
  <si>
    <t>Greater Noida</t>
  </si>
  <si>
    <t>Posted Date :-
2023-04-11
Function/Business Area :-
️ To create/develop world class UIs at par with market standard and best practices. ️ To use/integrate backend APIs (that shall be developed by other teams) in the Web Applications or Mobile Applications. ️ Research better libra...</t>
  </si>
  <si>
    <t>https://www.glassdoor.co.in/job-listing/fulltime-react-js-node-js-developer-litost-india-JV_IC4475367_KO0,35_KE36,48.htm?jl=1007999449903</t>
  </si>
  <si>
    <t>GD_1010124869482</t>
  </si>
  <si>
    <t>MaxVal Group Inc</t>
  </si>
  <si>
    <t>Job Information
Department Name MARKETING 
Date Opened 04/25/2026 
Department Sales and Marketing 
Job Type Permanent 
Industry Software Development 
Type of Resource Experienced 
Required Skills 
wordpress 
javascript 
+8 
City Bangalore 
State/Province Karnataka 
Country India ...</t>
  </si>
  <si>
    <t>https://www.glassdoor.co.in/job-listing/web-developer-maxval-group-JV_KO0,13_KE14,26.htm?jl=1010124869482</t>
  </si>
  <si>
    <t>GD_1010186679920</t>
  </si>
  <si>
    <t>Senior Software Engineer, RAG and Agentic AI</t>
  </si>
  <si>
    <t>NVIDIA Corporation</t>
  </si>
  <si>
    <t>NVIDIA has been transforming computer graphics, PC gaming, and accelerated computing for more than 25 years. It’s a unique legacy of innovation that’s fueled by great technology—and amazing people. Today, we’re tapping into the unlimited potential of AI to define the next era of ...</t>
  </si>
  <si>
    <t>https://www.glassdoor.co.in/job-listing/senior-software-engineer-rag-and-agentic-ai-nvidia-JV_IC2940587_KO0,43_KE44,50.htm?jl=1010186679920</t>
  </si>
  <si>
    <t>GD_1010156553416</t>
  </si>
  <si>
    <t>Job Title: PHP Developer
Position: PHP Developer
Experience: 3-4 years
Type: Full-time
Location: Office 801, 8th Floor, Cerebrum IT Park- B3, Kalyani Nagar, Pune, 411014
Length: Permanent position with a six-month probation period
Qualification: Any Graduate
Work Hours: EST shift...</t>
  </si>
  <si>
    <t>https://www.glassdoor.co.in/job-listing/web-developer-valasys-media-pvt-ltd-JV_KO0,13_KE14,35.htm?jl=1010156553416</t>
  </si>
  <si>
    <t>GD_1009152850087</t>
  </si>
  <si>
    <t>https://www.glassdoor.co.in/job-listing/frontend-engineer-mtap-technologies-JV_IC2921225_KO0,17_KE18,35.htm?jl=1009152850087</t>
  </si>
  <si>
    <t>GD_1007894643859</t>
  </si>
  <si>
    <t>UI DEVELOPER</t>
  </si>
  <si>
    <t>Vchip Technology Pvt ltd</t>
  </si>
  <si>
    <t>Qualification:Qualification BE/B.Tech/MCA 
Industry Type:IT Functional Area: UI developer 
Minimum 1 year of experience on UI developements
Having Expertise in HTML5, JavaScript, jQuery, Bootstrap 
To Participate in Web Application development and testing.
Location: Pune</t>
  </si>
  <si>
    <t>https://www.glassdoor.co.in/job-listing/ui-developer-vchip-technology-JV_IC2856202_KO0,12_KE13,29.htm?jl=1007894643859</t>
  </si>
  <si>
    <t>GD_1009606712806</t>
  </si>
  <si>
    <t>LogicHive Solutions Pvt Ltd</t>
  </si>
  <si>
    <t>Puttūr</t>
  </si>
  <si>
    <t>React Developer
We are looking for a skilled ReactJS and Javascript developer to join our engineering team. In this role, you will be responsible for understanding the existing codebase, developing, and implementing user interfaces, components using React and its supporting libr...</t>
  </si>
  <si>
    <t>https://www.glassdoor.co.in/job-listing/react-developer-logichive-solutions-JV_IC2939635_KO0,15_KE16,35.htm?jl=1009606712806</t>
  </si>
  <si>
    <t>GD_1005696187287</t>
  </si>
  <si>
    <t>Saivion Outsourcing Services Pvt. Ltd.</t>
  </si>
  <si>
    <t>Opening Date : Mon Jul 06 2026 
Required Experience: 1-4 Years
Required skill set: PHP, Magento, Joomla, Drupal, PHP MySQL, Ajax, Open Source, HTML, CSS, JavaScript, JQuery etc.
Description: We are looking for PHP programmers having good experience and good working knowledge of M...</t>
  </si>
  <si>
    <t>https://www.glassdoor.co.in/job-listing/web-developer-saivion-outsourcing-services-JV_KO0,13_KE14,42.htm?jl=1005696187287</t>
  </si>
  <si>
    <t>GD_1009697643092</t>
  </si>
  <si>
    <t>World Web Technology</t>
  </si>
  <si>
    <t>Join Our Team
Join our innovative team and drive success through creativity and cutting-edge technology!
career@worldwebtechnology.com 
+91 (79) 4008 6872
Experience: 2-4 Years
1 Position
Job Profile :
Hands-on experience with WordPress page builders, primarily Elementor and Ele...</t>
  </si>
  <si>
    <t>https://www.glassdoor.co.in/job-listing/front-end-developer-world-web-technology-JV_KO0,19_KE20,40.htm?jl=1009697643092</t>
  </si>
  <si>
    <t>GD_1007738788390</t>
  </si>
  <si>
    <t>https://www.glassdoor.co.in/job-listing/web-developer-mnj-software-JV_KO0,13_KE14,26.htm?jl=1007738788390</t>
  </si>
  <si>
    <t>GD_1010069901581</t>
  </si>
  <si>
    <t>Full Stack UI Developer &amp; + E2E Automation Testing (TT)</t>
  </si>
  <si>
    <t>Tätigkeitsbereich:IT/Telekommunikation
Fachabteilung:Digital Signature and Welcome Assist
Gesellschaft:Mercedes-Benz Research and Development India Private Limited
Standort:Mercedes-Benz Research and Development India Private Limited, Bangalore
Startdatum:sofort
Veröffentlichungs...</t>
  </si>
  <si>
    <t>https://www.glassdoor.co.in/job-listing/full-stack-ui-developer-e2e-automation-testing-tt-mercedes-benz-group-JV_KO0,49_KE50,69.htm?jl=1010069901581</t>
  </si>
  <si>
    <t>GD_1007593697710</t>
  </si>
  <si>
    <t>IoTech Designs Pvt Ltd</t>
  </si>
  <si>
    <t>We are looking for an experienced Front end Reactjs Developer who is passionate for user experience and product design. Axess.ai was started in Feb 2019 to manage, monitor and control IoT devices by creating a dynamic web application. Individuals must have experience building com...</t>
  </si>
  <si>
    <t>https://www.glassdoor.co.in/job-listing/react-js-developer-iotech-designs-JV_KO0,18_KE19,33.htm?jl=1007593697710</t>
  </si>
  <si>
    <t>GD_1008999595896</t>
  </si>
  <si>
    <t>Sr. Angular Web Developer</t>
  </si>
  <si>
    <t>CONTUS TECH</t>
  </si>
  <si>
    <t>We are seeking an experienced Angular Web Developer with a minimum of 8 years of IT experience and at least 5 years specializing in Angular (version 2 and above). The ideal candidate should possess a solid understanding of JavaScript, TypeScript, and agile development methodologi...</t>
  </si>
  <si>
    <t>https://www.glassdoor.co.in/job-listing/sr-angular-web-developer-contus-tech-JV_KO0,24_KE25,36.htm?jl=1008999595896</t>
  </si>
  <si>
    <t>GD_1010124488773</t>
  </si>
  <si>
    <t>Company: Khelo Tech &amp; Strategy Private Limited
Experience: 5+ Years (excluding internships)
Location: Shillong, Meghalaya
Employment Type: Contractual, 1 Year - (extendable every 6 months based on project requirements, deliverables, and individual performance)
Work Mode: On-site ...</t>
  </si>
  <si>
    <t>https://www.glassdoor.co.in/job-listing/senior-front-end-developer-khelo-tech-and-strategy-JV_KO0,26_KE27,50.htm?jl=1010124488773</t>
  </si>
  <si>
    <t>GD_1009978327120</t>
  </si>
  <si>
    <t>Frontend Developer Manager</t>
  </si>
  <si>
    <t>FashionTV India PVT LTD</t>
  </si>
  <si>
    <t>5 to 7 Years
Full Time
Mumbai
As per industry standard
Reporting HR Contact Details
hr@ftv.ind.in
Opening - 1 Positions
Job Description
Lead and oversee frontend architecture across all web projects .
Manage and mentor the frontend team, ensuring coding standards and best practic...</t>
  </si>
  <si>
    <t>https://www.glassdoor.co.in/job-listing/frontend-developer-manager-fashiontv-india-JV_IC2851180_KO0,26_KE27,42.htm?jl=1009978327120</t>
  </si>
  <si>
    <t>GD_1008952246347</t>
  </si>
  <si>
    <t>RocketTEch</t>
  </si>
  <si>
    <t>Ujjain</t>
  </si>
  <si>
    <t>About Us
As rocketTECH Solutions we believe in providing High quality, Effective and Smart solutions.
We work closely with customers to understand the business and processes and their objectives, we then build solid architecture and application to achieve it.
Our Vision
Work make...</t>
  </si>
  <si>
    <t>https://www.glassdoor.co.in/job-listing/front-end-developer-rockettech-JV_IC2946925_KO0,19_KE20,30.htm?jl=1008952246347</t>
  </si>
  <si>
    <t>GD_1010138092158</t>
  </si>
  <si>
    <t>Who are we?
Whatfix is a leading global B2B SaaS provider and the largest pure-play digital adoption platform (DAP). Whatfix empowers organizations to maximize the ROI of their digital investments by tailoring it for the needs of each unique user.
Spearheading the category with s...</t>
  </si>
  <si>
    <t>https://www.glassdoor.co.in/job-listing/software-engineer-e6-frontend-whatfix-JV_KO0,29_KE30,37.htm?jl=1010138092158</t>
  </si>
  <si>
    <t>GD_1007764359541</t>
  </si>
  <si>
    <t>Job Description:
Designing and development of Websites
Development of Web Applications
Working on CRM Application
Eligibility:
Graduate/Post Graduate in IT Engineering
1 year experience is preferred
Good Knowledge of HTML5, CSS, Javascript &amp; PHP is required
Reasonable Knowledge o...</t>
  </si>
  <si>
    <t>https://www.glassdoor.co.in/job-listing/web-application-developer-startupwala-JV_KO0,25_KE26,37.htm?jl=1007764359541</t>
  </si>
  <si>
    <t>GD_1009625976564</t>
  </si>
  <si>
    <t>Front End UI Developer July 2026 Sector 6, Noida</t>
  </si>
  <si>
    <t>DigiVersal Consultant Pvt Ltd</t>
  </si>
  <si>
    <t>Responsibilities
Develop new user-facing features
Build reusable code and libraries for future use
Ensure the technical feasibility of UI/UX designs
Optimize application for maximum speed and scalability
Assure that all user input is validated before submitting to back-end
Collab...</t>
  </si>
  <si>
    <t>https://www.glassdoor.co.in/job-listing/front-end-ui-developer-july-2026-sector-6-noida-digiversal-consultant-JV_IC4477468_KO0,47_KE48,69.htm?jl=1009625976564</t>
  </si>
  <si>
    <t>GD_1010188669899</t>
  </si>
  <si>
    <t>Sr. Front End Developer</t>
  </si>
  <si>
    <t>Job Title – Sr. Front End Developer – Sr. Analyst-ACS SONG
Management Level: &lt;Level 10 – Specialist&gt;
Location: Kochi
Must have skills: React.js
Good to have skills: TypeScript, API-driven front-end development
Experience: 3-5 years of experience is required
Educational Qualificat...</t>
  </si>
  <si>
    <t>https://www.glassdoor.co.in/job-listing/sr-front-end-developer-accenture-JV_IC2887994_KO0,22_KE23,32.htm?jl=1010188669899</t>
  </si>
  <si>
    <t>GD_1010085863733</t>
  </si>
  <si>
    <t>RELX Group plc</t>
  </si>
  <si>
    <t>About Team: 
RX Global aims to create unforgettable experiences for attendees and exhibitors through organizing events. Innovation, creativity, and collaboration drive the company to offer exceptional services to clients. 
About the role: 
This position performs complex research,...</t>
  </si>
  <si>
    <t>https://www.glassdoor.co.in/job-listing/senior-front-end-developer-relx-JV_KO0,26_KE27,31.htm?jl=1010085863733</t>
  </si>
  <si>
    <t>GD_1009227091208</t>
  </si>
  <si>
    <t>ekZero Corporation</t>
  </si>
  <si>
    <t>Key Responsibilities
Hands-on experience on React Native APIs, ReactJS, Javascript, ECMAScript (OOJS) and JSX
Hands-on experience on iOS or Android is an added advantage
Demonstrated experience with React Native and Javascript best coding practices and conventions.
React.js, Java...</t>
  </si>
  <si>
    <t>https://www.glassdoor.co.in/job-listing/react-developer-ekzero-JV_IC2930179_KO0,15_KE16,22.htm?jl=1009227091208</t>
  </si>
  <si>
    <t>GD_1009983702174</t>
  </si>
  <si>
    <t>Zeotap &amp; React</t>
  </si>
  <si>
    <t>Job Summary • 4+ years of experience in Zeotap and ReactJS and Java Spring Boot development. • Strong proficiency in JavaScript, HTML5, CSS3, and ES6+. • Experience with Redux, React Hooks, and component-based architecture. • Strong proficiency in JavaScript, HTML5, and CSS3. • S...</t>
  </si>
  <si>
    <t>https://www.glassdoor.co.in/job-listing/zeotap-react-tata-consultancy-services-JV_IC2833209_KO0,12_KE13,38.htm?jl=1009983702174</t>
  </si>
  <si>
    <t>GD_1007316218480</t>
  </si>
  <si>
    <t>We are looking for an experienced candidate with excellent academic credentials from good institutes to work in development of the front-end of our websites www.csfreelist.com , www.researchprime.com. and integrating it with the server back-end written in PHP. You will be respons...</t>
  </si>
  <si>
    <t>https://www.glassdoor.co.in/job-listing/front-end-developer-integrated-scientific-computing-and-information-technologies-JV_IC2940587_KO0,19_KE20,80.htm?jl=1007316218480</t>
  </si>
  <si>
    <t>GD_1007838721358</t>
  </si>
  <si>
    <t>Alleviate Technologies pvt ltd</t>
  </si>
  <si>
    <t>Job Description
Person will be working onsite for a duration minimum of 1 year, he will be supporting and developing UI for the websites which includes website using JavaScript Jqeury along with XSLT for creating templates. ITs a team of 7 people which works in 3 shifts. We are p...</t>
  </si>
  <si>
    <t>https://www.glassdoor.co.in/job-listing/ui-developer-alleviate-technologies-JV_KO0,12_KE13,35.htm?jl=1007838721358</t>
  </si>
  <si>
    <t>GD_1010191056777</t>
  </si>
  <si>
    <t>We are looking for a Web Developer with hands-on experience in modern JavaScript frameworks and full-stack development. The ideal candidate should be proficient in building responsive, secure, and scalable web applications while collaborating with designers, project managers, and...</t>
  </si>
  <si>
    <t>https://www.glassdoor.co.in/job-listing/web-developer-three-fourth-solutions-JV_IC2901633_KO0,13_KE14,36.htm?jl=1010191056777</t>
  </si>
  <si>
    <t>GD_1009235618698</t>
  </si>
  <si>
    <t>Softura Inc.</t>
  </si>
  <si>
    <t>Experience
5+ Years
Work Location
Ahmedabad
No. of
Positions
1
Industry Type
Information Technology and Services; Computer Software
Key Skills
ReactJS, Redux, Flux, HTML, CSS, JSON, AJAX, AWS
Required Skills:
Experience deploying secure and highly available production systems on ...</t>
  </si>
  <si>
    <t>https://www.glassdoor.co.in/job-listing/frontend-developer-softura-JV_IC2935226_KO0,18_KE19,26.htm?jl=1009235618698</t>
  </si>
  <si>
    <t>GD_1010183654341</t>
  </si>
  <si>
    <t>Encoders</t>
  </si>
  <si>
    <t>Encoders Technologies is looking for an experienced Mobile developer to join our team. You will be working with our developers to develop and maintain high-quality mobile applications.
Required Candidate profile
1. Work as part of a small team to build React Native iOS / Android ...</t>
  </si>
  <si>
    <t>https://www.glassdoor.co.in/job-listing/react-js-developer-encoders-JV_KO0,18_KE19,27.htm?jl=1010183654341</t>
  </si>
  <si>
    <t>GD_1007856515877</t>
  </si>
  <si>
    <t>Sr. UI / FRONTEND DEVELOPER</t>
  </si>
  <si>
    <t>Northcorp Software Pvt Ltd</t>
  </si>
  <si>
    <t>Required Education and Experience:
Any Bachelor Degree.
3+ years of relevant experience in developing enterprise level software.
Should have good development experience in REACT, Material UI/Elastic UI.
Good knowledge of CSS, HTML, Bootstrap and ElasticUI or MaterialUI
Solid unde...</t>
  </si>
  <si>
    <t>https://www.glassdoor.co.in/job-listing/sr-ui-frontend-developer-northcorp-software-JV_IC2921225_KO0,24_KE25,43.htm?jl=1007856515877</t>
  </si>
  <si>
    <t>GD_1010150131303</t>
  </si>
  <si>
    <t>Full Stack Developer (70-80% Backend &amp; 20-30% Frontend)</t>
  </si>
  <si>
    <t>Arcadis NV</t>
  </si>
  <si>
    <t>Arcadis is the world's leading company delivering sustainable design, engineering, and consultancy solutions for natural and built assets.
We are more than 34,000 people, in over 30 countries, dedicated to improving quality of life. Everyone has an important role to play. With th...</t>
  </si>
  <si>
    <t>https://www.glassdoor.co.in/job-listing/full-stack-developer-70-80-backend-20-30-frontend-arcadis-JV_KO0,49_KE50,57.htm?jl=1010150131303</t>
  </si>
  <si>
    <t>GD_1009707959183</t>
  </si>
  <si>
    <t>Frontend/React JS Developer</t>
  </si>
  <si>
    <t>Delemont Studio</t>
  </si>
  <si>
    <t>Experience : 1-2
A mid-level to senior Frontend/React JS Expert with wide range of programming skills who is able to understand and learn new technologies quickly</t>
  </si>
  <si>
    <t>https://www.glassdoor.co.in/job-listing/frontend-react-js-developer-delemont-studio-JV_IC2933827_KO0,27_KE28,43.htm?jl=1009707959183</t>
  </si>
  <si>
    <t>GD_1006184230755</t>
  </si>
  <si>
    <t>TechiesGroup IT Solution Pvt Ltd</t>
  </si>
  <si>
    <t>We have Immediate Requirement for Web developer position.
Please find the below job description
Experience : 1 to 3 Yrs 
Work Location : Gwalior
Role : Web Developer
Education : BE/B.Tech/ MCA
Skills : PHP, Java script, HTML, XML, CSS, MySQL/Oracle DB, Added advantage with ...</t>
  </si>
  <si>
    <t>https://www.glassdoor.co.in/job-listing/web-developer-techiesgroup-it-solution-JV_IC2949120_KO0,13_KE14,38.htm?jl=1006184230755</t>
  </si>
  <si>
    <t>GD_1009834334893</t>
  </si>
  <si>
    <t>REACT JS FRONT END DEVELOPER</t>
  </si>
  <si>
    <t>SKC Infotech</t>
  </si>
  <si>
    <t>Bārāsat</t>
  </si>
  <si>
    <t>Location: BARASAT
Type: Full-Time
Experience: N/A
We are hiring a fresher React JS developer who understands front-end technologies well and has worked on personal or academic projects using React JS. Key Responsibilities: * Develop new features using React JS * Modify and mainta...</t>
  </si>
  <si>
    <t>https://www.glassdoor.co.in/job-listing/react-js-front-end-developer-skc-infotech-JV_IC2902296_KO0,28_KE29,41.htm?jl=1009834334893</t>
  </si>
  <si>
    <t>GD_1009183009766</t>
  </si>
  <si>
    <t>Senior Software Engineer – Frontend</t>
  </si>
  <si>
    <t>VComply, Inc.</t>
  </si>
  <si>
    <t>Location: Bangalore, Karnataka 
About The Job
Do you have the skill to turn pixels into magic? Are you a frontend wizard, who can make the most complex user interfaces look easy? We are looking for a Frontend Magician to join our team at VComply, a fast-growing GRC SaaS company. ...</t>
  </si>
  <si>
    <t>https://www.glassdoor.co.in/job-listing/senior-software-engineer-frontend-vcomply-JV_KO0,33_KE34,41.htm?jl=1009183009766</t>
  </si>
  <si>
    <t>GD_1010162187887</t>
  </si>
  <si>
    <t>We are seeking a talented Frontend Developer with strong expertise in React.js and modern frontend technologies. The ideal candidate will be responsible for developing responsive, high-performance web applications, collaborating with UI/UX designers and backend developers, and en...</t>
  </si>
  <si>
    <t>https://www.glassdoor.co.in/job-listing/front-end-developer-codegene-technologies-pvt-ltd-JV_KO0,19_KE20,49.htm?jl=1010162187887</t>
  </si>
  <si>
    <t>GD_1010187981497</t>
  </si>
  <si>
    <t>Shopify Developer</t>
  </si>
  <si>
    <t>Job Description:
Junior Shopify Developer
Location: Mumbai, India (Onsite)
Employment Type: Full-Time
Experience: 1-3 years
Working Hours:
Monday to Friday: 11:00 AM – 7:00 PM
Saturday: 11:00 AM – 3:30 PM
Working Days:
Monday to Saturday
About 7th Heaven:
7th Heaven is one of Ind...</t>
  </si>
  <si>
    <t>https://www.glassdoor.co.in/job-listing/shopify-developer-kitchen-fragrances-india-llp-JV_KO0,17_KE18,46.htm?jl=1010187981497</t>
  </si>
  <si>
    <t>GD_1008729660592</t>
  </si>
  <si>
    <t>Osource Global Pvt. Ltd.</t>
  </si>
  <si>
    <t>Key Responsibilities • Develop responsive and interactive user interfaces using HTML5, CSS3, JavaScript • Convert UI/UX designs (Figma / PSD) into high-quality code • Implement layouts using Bootstrap / Material UI • Ensure cross-browser and cross-device compatibility • Optimize ...</t>
  </si>
  <si>
    <t>https://www.glassdoor.co.in/job-listing/software-developer-osource-global-JV_IC5021997_KO0,18_KE19,33.htm?jl=1008729660592</t>
  </si>
  <si>
    <t>GD_1008713225915</t>
  </si>
  <si>
    <t>Web &amp; Mobile Developer</t>
  </si>
  <si>
    <t>Harness Digitech Private Limited</t>
  </si>
  <si>
    <t>Hands on experience in application Design and Development on Android platform
Experience in Mobile application development
Understanding of Mobile best practices for application development.
Experience in design and development of Android application(s) requiring integration with...</t>
  </si>
  <si>
    <t>https://www.glassdoor.co.in/job-listing/web-mobile-developer-harness-digitech-JV_IC2836047_KO0,20_KE21,37.htm?jl=1008713225915</t>
  </si>
  <si>
    <t>GD_1008910208262</t>
  </si>
  <si>
    <t>React JS &amp; Next JS Developer</t>
  </si>
  <si>
    <t>Aadrika Enterprises</t>
  </si>
  <si>
    <t>Rānchī</t>
  </si>
  <si>
    <t>As a Developer at Aadrika Enterprises, you will be responsible for designing, developing, and maintaining mobile applications for both iOS and Android platforms. You will work closely with our product managers, designers, and other developers to deliver high-quality, user-friendl...</t>
  </si>
  <si>
    <t>https://www.glassdoor.co.in/job-listing/react-js-next-js-developer-aadrika-enterprises-JV_IC2923847_KO0,26_KE27,46.htm?jl=1008910208262</t>
  </si>
  <si>
    <t>GD_1008546131448</t>
  </si>
  <si>
    <t>Appsly Infotech</t>
  </si>
  <si>
    <t>Job description
We are looking for outstanding individuals to join our Appsly’s Software Engineering team in Surat. Our team’s goal is to ensure quality software delivery, metrics and analysis by enabling teams to operate with efficiency. This role is a software engineering focus...</t>
  </si>
  <si>
    <t>https://www.glassdoor.co.in/job-listing/reactjs-developer-appsly-infotech-JV_IC2933827_KO0,17_KE18,33.htm?jl=1008546131448</t>
  </si>
  <si>
    <t>GD_1009822945804</t>
  </si>
  <si>
    <t>Phygital Insights</t>
  </si>
  <si>
    <t>Full time
|
Work From Office
This Position is Currently Open
Department / Category: 
Developer 
Listed on Jul 25, 2025
Work Location: 
Bangalore 
Noida 
Hyderabad 
Job Descritpion of JavaScript Developer
4 to 8 Years Relevant Experience
We are seeking a highly skilled JavaScript ...</t>
  </si>
  <si>
    <t>https://www.glassdoor.co.in/job-listing/javascript-developer-phygital-insights-JV_KO0,20_KE21,38.htm?jl=1009822945804</t>
  </si>
  <si>
    <t>GD_1010107888021</t>
  </si>
  <si>
    <t>Web Developer/ Frontend Developer</t>
  </si>
  <si>
    <t>Suffescom Solutions Pvt. Ltd</t>
  </si>
  <si>
    <t>We are looking for a skilled Frontend Developer with strong experience in React.js and Next.js to build scalable, high-performance web applications. The ideal candidate should be passionate about clean UI, performance optimization, and modern frontend development practices.
Key ...</t>
  </si>
  <si>
    <t>https://www.glassdoor.co.in/job-listing/web-developer-frontend-developer-suffescom-solutions-JV_IC4469455_KO0,32_KE33,52.htm?jl=1010107888021</t>
  </si>
  <si>
    <t>GD_1010174150084</t>
  </si>
  <si>
    <t>Junior Front End Developer</t>
  </si>
  <si>
    <t>xJob description:
Role Overview
We are looking for a Junior Frontend Developer to join our engineering team. You will work closely with senior engineers and designers to build responsive, user-facing interfaces for the product. This is a hands-on, growth-focused role: we expect s...</t>
  </si>
  <si>
    <t>https://www.glassdoor.co.in/job-listing/junior-front-end-developer-ink-in-caps-JV_IC2851180_KO0,26_KE27,38.htm?jl=1010174150084</t>
  </si>
  <si>
    <t>GD_1010177029336</t>
  </si>
  <si>
    <t>Digital Software Engineer Senior Analyst - Web Development</t>
  </si>
  <si>
    <t>https://www.glassdoor.co.in/job-listing/digital-software-engineer-senior-analyst-web-development-citi-JV_IC2833209_KO0,56_KE57,61.htm?jl=1010177029336</t>
  </si>
  <si>
    <t>GD_1009157678232</t>
  </si>
  <si>
    <t>Web Designer &amp; Developer</t>
  </si>
  <si>
    <t>InduTech IT Solutions Pvt Ltd</t>
  </si>
  <si>
    <t>Āgra</t>
  </si>
  <si>
    <t>Job Title 
Web Designer &amp; Developer
Job Type 
Permanent
Experience 
Fresher
Salary 
not mention
Location 
Agra
Job Description 
Job Description
Web Designer &amp; Developer Intern Roles:-
Create applications that address the phases of SDLC (software development life cycle).
Develop c...</t>
  </si>
  <si>
    <t>https://www.glassdoor.co.in/job-listing/web-designer-developer-indutech-it-JV_IC2829436_KO0,22_KE23,34.htm?jl=1009157678232</t>
  </si>
  <si>
    <t>GD_1009869065699</t>
  </si>
  <si>
    <t>Full Stack Sr Developer - CHN</t>
  </si>
  <si>
    <t>Location: Chennai 
Job Summary 
We are seeking a highly skilled and motivated Senior Fullstack Engineer with 6 to 9 years of experience to join our talented development team. The ideal candidate will be responsible for designing, developing, and deploying end-to-end solutions, fr...</t>
  </si>
  <si>
    <t>https://www.glassdoor.co.in/job-listing/full-stack-sr-developer-chn-photon-JV_KO0,27_KE28,34.htm?jl=1009869065699</t>
  </si>
  <si>
    <t>GD_1008233108435</t>
  </si>
  <si>
    <t>Back-end Developer</t>
  </si>
  <si>
    <t>Riaxe Systems</t>
  </si>
  <si>
    <t>Bhubaneshwar</t>
  </si>
  <si>
    <t>Orissa</t>
  </si>
  <si>
    <t>Experience : 
2+ years
Salary :
As per experience/expertise
Job Description
We are looking for an experienced Back-end Developer with the following requirements. 
Requirements
– Experience in working with one of the following server side scripting languages: Python/PHP/ NodeJS/ R...</t>
  </si>
  <si>
    <t>https://www.glassdoor.co.in/job-listing/back-end-developer-riaxe-systems-JV_IC4469444_KO0,18_KE19,32.htm?jl=1008233108435</t>
  </si>
  <si>
    <t>GD_1009880519201</t>
  </si>
  <si>
    <t>Senior Frontend Engineer</t>
  </si>
  <si>
    <t>CSC Generation</t>
  </si>
  <si>
    <t>CSC Generation is the AI-native holding company re-engineering omnichannel retail. We acquire iconic brands and transform them with Genesis, our operating platform combining a Data Fabric, Automation Engine, proprietary tools, and shared services to modernize operations, elevate ...</t>
  </si>
  <si>
    <t>https://www.glassdoor.co.in/job-listing/senior-frontend-engineer-csc-generation-JV_KO0,24_KE25,39.htm?jl=1009880519201</t>
  </si>
  <si>
    <t>GD_1009960227232</t>
  </si>
  <si>
    <t>HorizonCore InfoSoft Pvt. Ltd.</t>
  </si>
  <si>
    <t>Location: Ahmedabad, India
Education: B.E. / B.Tech / BCA / MCA / M.Tech / MSC (IT) / Equivalent
Salary: No bar for the right candidate
Career Level: 2+ years of experiance
No. of Position: 02
Job Description
Developing new user-facing features using React.js
Building reusab...</t>
  </si>
  <si>
    <t>https://www.glassdoor.co.in/job-listing/react-js-developer-horizoncore-infosoft-JV_IC2935226_KO0,18_KE19,39.htm?jl=1009960227232</t>
  </si>
  <si>
    <t>GD_1009013510254</t>
  </si>
  <si>
    <t>Staff Engineer, Frontend AngularJS</t>
  </si>
  <si>
    <t>Nagarro SE</t>
  </si>
  <si>
    <t>Company Description
We're Nagarro. We are a digital product engineering company that is scaling in a big way! We build products, services, and experiences that inspire, excite, and delight. We work at scale — across all devices and digital mediums, and our people exist everywher...</t>
  </si>
  <si>
    <t>https://www.glassdoor.co.in/job-listing/staff-engineer-frontend-angularjs-nagarro-JV_KO0,33_KE34,41.htm?jl=1009013510254</t>
  </si>
  <si>
    <t>GD_1010109200590</t>
  </si>
  <si>
    <t>Senior Frontend Engineers</t>
  </si>
  <si>
    <t>Revspot</t>
  </si>
  <si>
    <t>As the Frontend Engineer at Revspot, you will be responsible for architecting, building, and scaling the core technology stack of our platform. You will work across three major layers: the data layer, intelligence layer, and application layer, ensuring seamless integration and fu...</t>
  </si>
  <si>
    <t>https://www.glassdoor.co.in/job-listing/senior-frontend-engineers-revspot-JV_KO0,25_KE26,33.htm?jl=1010109200590</t>
  </si>
  <si>
    <t>GD_1007754610218</t>
  </si>
  <si>
    <t>JavaScript Frontend Developer</t>
  </si>
  <si>
    <t>DesignnBuy Pvt Ltd</t>
  </si>
  <si>
    <t>Location: Ahmedabad 
Experience: 
3-7 years
Required Skills: 
Basic understanding of Java, JavaScript 
Will give you training JavaScript and JQuery 
Responsible for development of new highly-responsive, web-based user interface 
Construct visualizations that are able to depict v...</t>
  </si>
  <si>
    <t>https://www.glassdoor.co.in/job-listing/javascript-frontend-developer-design-n-buy-JV_IC2935226_KO0,29_KE30,42.htm?jl=1007754610218</t>
  </si>
  <si>
    <t>GD_1009013186394</t>
  </si>
  <si>
    <t>Associate Staff Engineer, Frontend AngularJS</t>
  </si>
  <si>
    <t>https://www.glassdoor.co.in/job-listing/associate-staff-engineer-frontend-angularjs-nagarro-JV_KO0,43_KE44,51.htm?jl=1009013186394</t>
  </si>
  <si>
    <t>GD_1010183797476</t>
  </si>
  <si>
    <t>Lead Engineer Software UI</t>
  </si>
  <si>
    <t>Empower Retirement, LLC</t>
  </si>
  <si>
    <t>Job ID R.0058561 Primary location Bengaluru, Karnataka Date posted 06/30/2026 Worker type Regular Workplace flexibility Remote - Nationwide
Save
Our vision for the future is based on the idea that transforming financial lives starts by giving our people the freedom to transform t...</t>
  </si>
  <si>
    <t>https://www.glassdoor.co.in/job-listing/lead-engineer-software-ui-empower-JV_IC2940587_KO0,25_KE26,33.htm?jl=1010183797476</t>
  </si>
  <si>
    <t>GD_1006416784372</t>
  </si>
  <si>
    <t xml:space="preserve">Technoarch Softwares </t>
  </si>
  <si>
    <t>We are looking for an experienced top-notch full-stack developer to grow with our dev team. As a React JS Developer, you will be involved from conception to completion with projects that are technologically sound and aesthetically impressive. 
Must Haves:
Prior experience develop...</t>
  </si>
  <si>
    <t>https://www.glassdoor.co.in/job-listing/react-js-developer-technoarch-JV_KO0,18_KE19,29.htm?jl=1006416784372</t>
  </si>
  <si>
    <t>GD_1009730986043</t>
  </si>
  <si>
    <t>Accely Group</t>
  </si>
  <si>
    <t>Make a difference with your experience
480+
Projects Completed
20+
Global Offices
1800+
Group Employees
Why join Accely?
At Accely, we encourage creativity, collaboration, and lifelong learning. We also give our employees ample opportunities to advance their careers. To make your...</t>
  </si>
  <si>
    <t>https://www.glassdoor.co.in/job-listing/ai-engineer-accely-JV_KO0,11_KE12,18.htm?jl=1009730986043</t>
  </si>
  <si>
    <t>GD_1010191302680</t>
  </si>
  <si>
    <t>Software engineer - Frontend</t>
  </si>
  <si>
    <t>InfraCloud Technologies</t>
  </si>
  <si>
    <t>Location - Bangalore
What You’ll Do
Engage in fast-paced agile application development teams in terms of organizing, managing and executing your work with minimal supervision.
Participate with the team and stakeholders on requirements understanding, design and solutions in line w...</t>
  </si>
  <si>
    <t>https://www.glassdoor.co.in/job-listing/software-engineer-frontend-infracloud-technologies-JV_KO0,26_KE27,50.htm?jl=1010191302680</t>
  </si>
  <si>
    <t>GD_1010168485170</t>
  </si>
  <si>
    <t>Staff AI Engineer</t>
  </si>
  <si>
    <t>Core Software AI (CAIE) team is dedicated to inventing and deploying the next generation of intelligent, generative AI and machine learning technologies that will shape Nokia’s future. This team represents a strategic investment and unification of our AI initiatives—transitioning...</t>
  </si>
  <si>
    <t>https://www.glassdoor.co.in/job-listing/staff-ai-engineer-nokia-JV_KO0,17_KE18,23.htm?jl=1010168485170</t>
  </si>
  <si>
    <t>GD_1007551368595</t>
  </si>
  <si>
    <t>Bhopal</t>
  </si>
  <si>
    <t>We are considering you for the role of Web Developer.
Location: Bhopal
Experience: : 1+ Year 
Keywords / Skills: HTML, CSS, jQuery, PHP 
Eligibility: B.E. / B.Tech / Any Graduate /Any Degree / Any Specialization )
Apply Now 
Interested and eligible candidates are requested to s...</t>
  </si>
  <si>
    <t>https://www.glassdoor.co.in/job-listing/web-developer-konark-soft-web-solutions-JV_IC2837784_KO0,13_KE14,39.htm?jl=1007551368595</t>
  </si>
  <si>
    <t>GD_1010190804353</t>
  </si>
  <si>
    <t>We are seeking a skilled and detail-oriented Web Developer to join our growing team. In this role, you will be responsible for designing, developing, testing, and maintaining responsive, user-friendly websites and web applications. You will collaborate with designers, developers,...</t>
  </si>
  <si>
    <t>https://www.glassdoor.co.in/job-listing/web-developer-levelupcampaigns-technologies-JV_KO0,13_KE14,43.htm?jl=1010190804353</t>
  </si>
  <si>
    <t>GD_1010037476315</t>
  </si>
  <si>
    <t>InOpTra Digital Pvt Ltd</t>
  </si>
  <si>
    <t>Develop and maintain modern, responsive web applications using Next.js and React, ensuring high performance, scalability, and clean component architecture.
Design and implement secure authentication and authorization flows on the frontend, including integration with OAuth/JWT-bas...</t>
  </si>
  <si>
    <t>https://www.glassdoor.co.in/job-listing/frontend-developer-inoptra-digital-innovations-JV_IC2940587_KO0,18_KE19,46.htm?jl=1010037476315</t>
  </si>
  <si>
    <t>GD_1010117752923</t>
  </si>
  <si>
    <t>Data Scientist - Innovation</t>
  </si>
  <si>
    <t>Comscore, Inc.</t>
  </si>
  <si>
    <t>https://www.glassdoor.co.in/job-listing/data-scientist-innovation-comscore-JV_KO0,25_KE26,34.htm?jl=1010117752923</t>
  </si>
  <si>
    <t>GD_1010175416681</t>
  </si>
  <si>
    <t>Experience : 1.5-3 Years
Vacancy : 1
Job brief:
We are looking for a Front-End Web Developer who is motivated to combine the art of design with the art of programming. Responsibilities will include translation of the UI/UX design wireframes to actual code that will produce visual...</t>
  </si>
  <si>
    <t>https://www.glassdoor.co.in/job-listing/front-end-developer-happlabs-software-private-limited-JV_IC2940587_KO0,19_KE20,53.htm?jl=1010175416681</t>
  </si>
  <si>
    <t>GD_1008584769095</t>
  </si>
  <si>
    <t>Pulse Associates Pvt. Ltd.</t>
  </si>
  <si>
    <t>Eligibility: BCA, BE, BTech, MCA, MTech
Skills Required: HTML, CSS, PHP, WordPress, should know how to publish a website</t>
  </si>
  <si>
    <t>https://www.glassdoor.co.in/job-listing/web-developer-pulse-associates-JV_KO0,13_KE14,30.htm?jl=1008584769095</t>
  </si>
  <si>
    <t>GD_1010183107409</t>
  </si>
  <si>
    <t>REMOTE (INDIA): AI Engineer- SaaS Platform</t>
  </si>
  <si>
    <t>Marrina Decisions</t>
  </si>
  <si>
    <t>Role Overview
We are looking for an AI Engineer to maintain and enhance the AI-driven backbone of the Sootra platform. This role involves ensuring production stability of LLM/VLM pipelines, optimizing model interactions, maintaining APIs and queues, and building feedback loops th...</t>
  </si>
  <si>
    <t>https://www.glassdoor.co.in/job-listing/remote-india-ai-engineer-saas-platform-marrina-decisions-JV_KO0,38_KE39,56.htm?jl=1010183107409</t>
  </si>
  <si>
    <t>GD_1009945217920</t>
  </si>
  <si>
    <t>WeAddo</t>
  </si>
  <si>
    <t>About the Role
Weaddo is looking for a passionate and skilled AI/ML Engineer with 1+ years of hands-on experience to join our fast-growing team. In this role, you will work on building, optimizing, and deploying intelligent AI systems, focusing on GenAI, automation, and real-worl...</t>
  </si>
  <si>
    <t>https://www.glassdoor.co.in/job-listing/ai-ml-engineer-weaddo-JV_KO0,14_KE15,21.htm?jl=1009945217920</t>
  </si>
  <si>
    <t>GD_1010137384215</t>
  </si>
  <si>
    <t>Weather Data Scientist (Data Assimilation)</t>
  </si>
  <si>
    <t>Pravah</t>
  </si>
  <si>
    <t>Weather Data Scientist: Data Assimilation
Working hours: The team is distributed across India and the US, so expect a few hours of evening overlap with US Pacific Time on most workdays.
Overview
About Pravāh
Pravāh is an AI lab building foundational intelligence for the electr...</t>
  </si>
  <si>
    <t>https://www.glassdoor.co.in/job-listing/weather-data-scientist-data-assimilation-pravah-JV_KO0,40_KE41,47.htm?jl=1010137384215</t>
  </si>
  <si>
    <t>GD_1010057039510</t>
  </si>
  <si>
    <t>Engineer, Staff - IEIOT AI Systems</t>
  </si>
  <si>
    <t>Company: 
Qualcomm India Private Limited 
Job Area: 
Engineering Group, Engineering Group &gt; Systems Engineering 
General Summary: 
As a leading technology innovator, Qualcomm pushes the boundaries of what's possible to enable next-generation experiences and drives digital transfo...</t>
  </si>
  <si>
    <t>https://www.glassdoor.co.in/job-listing/engineer-staff-ieiot-ai-systems-qualcomm-JV_IC2940587_KO0,31_KE32,40.htm?jl=1010057039510</t>
  </si>
  <si>
    <t>GD_1010131836114</t>
  </si>
  <si>
    <t>AVP, Channel Marketing (L10)</t>
  </si>
  <si>
    <t>https://www.glassdoor.co.in/job-listing/avp-channel-marketing-l10-synchrony-JV_KO0,25_KE26,35.htm?jl=1010131836114</t>
  </si>
  <si>
    <t>GD_1010189207361</t>
  </si>
  <si>
    <t>Engr III Cslt-Data Science</t>
  </si>
  <si>
    <t>Verizon Communications Inc.</t>
  </si>
  <si>
    <t>https://www.glassdoor.co.in/job-listing/engr-iii-cslt-data-science-verizon-JV_IC2833209_KO0,26_KE27,34.htm?jl=1010189207361</t>
  </si>
  <si>
    <t>GD_1010188266576</t>
  </si>
  <si>
    <t>Data &amp; AI Lead Engineer</t>
  </si>
  <si>
    <t>Req ID: 369797 
NTT DATA strives to hire exceptional, innovative and passionate individuals who want to grow with us. If you want to be part of an inclusive, adaptable, and forward-thinking organization, apply now. 
We are currently seeking a Data AI Lead Engineer to join our t...</t>
  </si>
  <si>
    <t>https://www.glassdoor.co.in/job-listing/data-ai-lead-engineer-ntt-data-JV_IC2940587_KO0,21_KE22,30.htm?jl=1010188266576</t>
  </si>
  <si>
    <t>GD_1010163588544</t>
  </si>
  <si>
    <t>AI / ML Platform Engineer Specialist</t>
  </si>
  <si>
    <t>Esko-Graphics BV</t>
  </si>
  <si>
    <t>Are you…
Interested to work on cutting edge AI work and be a front runner in AI space?
Excited to work on solving business problems using AI?
Interested in developing your career in a leading packaging and printing industry?
Interested in working for a company that is dedicated t...</t>
  </si>
  <si>
    <t>https://www.glassdoor.co.in/job-listing/ai-ml-platform-engineer-specialist-esko-JV_KO0,34_KE35,39.htm?jl=1010163588544</t>
  </si>
  <si>
    <t>GD_1010005722510</t>
  </si>
  <si>
    <t>AI integration Engineer</t>
  </si>
  <si>
    <t>Touchworld technology</t>
  </si>
  <si>
    <t>We are seeking a skilled AI Integration Engineer to design, develop, and integrate AI-driven solutions into existing applications and systems. The ideal candidate will have strong hands-on experience with Node.js, exposure to Angular, and practical experience working with AI tech...</t>
  </si>
  <si>
    <t>https://www.glassdoor.co.in/job-listing/ai-integration-engineer-touchworld-technology-JV_KO0,23_KE24,45.htm?jl=1010005722510</t>
  </si>
  <si>
    <t>GD_1010118252462</t>
  </si>
  <si>
    <t>Lead AI Engineer – Artificial Intelligence</t>
  </si>
  <si>
    <t>LOCATION
Hyderabad, India
DEPARTMENT
Data &amp; Analytics
Company overview
Accordion is a global financial consulting and technology firm helping CFOs and their teams drive value creation. Rooted in private equity rigor and powered by data, analytics, and AI, we partner with compani...</t>
  </si>
  <si>
    <t>https://www.glassdoor.co.in/job-listing/lead-ai-engineer-artificial-intelligence-accordion-JV_KO0,40_KE41,50.htm?jl=1010118252462</t>
  </si>
  <si>
    <t>GD_1010188010519</t>
  </si>
  <si>
    <t>AI / ML Engineer (Senior)</t>
  </si>
  <si>
    <t>R R K Cotton's India Private Limited</t>
  </si>
  <si>
    <t>AI / ML Engineer (Senior)
Job Type: Full-Time
Experience: Senior Level (3+ Years Preferred)
About the Role
We are hiring one exceptional AI / ML Engineer. This is a high-standard, high-impact role focused on building real-world systems — not experiments. The work is challenging, ...</t>
  </si>
  <si>
    <t>https://www.glassdoor.co.in/job-listing/ai-ml-engineer-senior-rrk-cottons-india-private-limited-JV_KO0,21_KE22,55.htm?jl=1010188010519</t>
  </si>
  <si>
    <t>GD_1010183214023</t>
  </si>
  <si>
    <t>Job Description:
As a Data Scientist you will play a key role in developing and delivering end to end
solutions for AI use cases
By taking up a use case right from the start you will help our
customers define and scope the problem pick the right ML solution and technology as
wel...</t>
  </si>
  <si>
    <t>https://www.glassdoor.co.in/job-listing/data-scientist-infosys-JV_IC2940587_KO0,14_KE15,22.htm?jl=1010183214023</t>
  </si>
  <si>
    <t>GD_1010191313068</t>
  </si>
  <si>
    <t>Sales Specialist</t>
  </si>
  <si>
    <t>Job Title: Sales Specialist – IT ServicesJob Summary
We are looking for a dynamic and results-driven Sales Specialist to join our growing IT team. The ideal candidate will be responsible for identifying business opportunities, generating qualified leads, building strong client re...</t>
  </si>
  <si>
    <t>https://www.glassdoor.co.in/job-listing/sales-specialist-vsm-global-technologies-JV_KO0,16_KE17,40.htm?jl=1010191313068</t>
  </si>
  <si>
    <t>GD_1010183799124</t>
  </si>
  <si>
    <t>Lead-ML Engineer</t>
  </si>
  <si>
    <t>Egen Solutions, LLC</t>
  </si>
  <si>
    <t>Job Description :
We are seeking a highly motivated and experienced Lead ML Engineer to join our growing ML/GenAI team.
You will play a key role in designing, developing and productionalizing ML/GenAI applications by evaluating models, training and/or fine tuning them. As a lead,...</t>
  </si>
  <si>
    <t>https://www.glassdoor.co.in/job-listing/lead-ml-engineer-egen-JV_KO0,16_KE17,21.htm?jl=1010183799124</t>
  </si>
  <si>
    <t>GD_1010036579611</t>
  </si>
  <si>
    <t>Data Science software Architect</t>
  </si>
  <si>
    <t>SES S.A.</t>
  </si>
  <si>
    <t>Data Science software Architect
The job responsibilities outlined in this document are not exhaustive and may evolve over time and be reviewed according to business needs.
ROLE DESCRIPTION SUMMARY
Software Center of Expertise plays a key role in SES digital transformation by deli...</t>
  </si>
  <si>
    <t>https://www.glassdoor.co.in/job-listing/data-science-software-architect-ses-JV_KO0,31_KE32,35.htm?jl=1010036579611</t>
  </si>
  <si>
    <t>GD_1010180693709</t>
  </si>
  <si>
    <t>Senior Data Scientist - ML, Python</t>
  </si>
  <si>
    <t>Chennai, Tamil Nadu 
Job Summary 
Job Title: Data Scientist (AI/ML) – Data Engineering &amp; MLOps 
Role Summary 
We are seeking a hands-on Data Scientist who can operate across data engineering and machine learning to deliver production-ready analytics/AI solutions. This role inclu...</t>
  </si>
  <si>
    <t>https://www.glassdoor.co.in/job-listing/senior-data-scientist-ml-python-hcltech-JV_IC2833209_KO0,31_KE32,39.htm?jl=1010180693709</t>
  </si>
  <si>
    <t>GD_1010190935105</t>
  </si>
  <si>
    <t>Software Engineer - AI/ML</t>
  </si>
  <si>
    <t>Inkey Solutions</t>
  </si>
  <si>
    <t>Job Description:
Prior experience delivering production-grade ML solutions in a lead or senior role.
Lead the end-to-end design, development, and deployment of AI/ML models.
Provide technical leadership and mentorship to junior team members.
Translate business requirements into ...</t>
  </si>
  <si>
    <t>https://www.glassdoor.co.in/job-listing/software-engineer-ai-ml-inkey-JV_IC2933827_KO0,23_KE24,29.htm?jl=1010190935105</t>
  </si>
  <si>
    <t>GD_1010171049173</t>
  </si>
  <si>
    <t>Job Opportunity – AI Engineer (Remote | Contract)
Role: AI Engineer
Experience Required: 5+ Years
Work Mode: Remote
Employment Type: Contract-Based
We are looking for an experienced AI Engineer with a strong background in building and deploying AI-driven analytics solutions. The ...</t>
  </si>
  <si>
    <t>https://www.glassdoor.co.in/job-listing/ai-engineer-codetoday-io-JV_KO0,11_KE12,24.htm?jl=1010171049173</t>
  </si>
  <si>
    <t>GD_1010155927831</t>
  </si>
  <si>
    <t>Gen AI Engineer_Danske</t>
  </si>
  <si>
    <t>Job Description:
We are looking for a highly skilled GenAI Engineer with 5 years of overall experience in designing developing and deploying AI ML solutions with strong hands on expertise in Generative AI LLMs and NLP use cases
The ideal candidate should have experience building...</t>
  </si>
  <si>
    <t>https://www.glassdoor.co.in/job-listing/gen-ai-engineer-danske-infosys-JV_KO0,22_KE23,30.htm?jl=1010155927831</t>
  </si>
  <si>
    <t>GD_1010189426426</t>
  </si>
  <si>
    <t>Research Engineer, Applied ML</t>
  </si>
  <si>
    <t>Triomics Healthcare Private Limited</t>
  </si>
  <si>
    <t>H .S .R Layout B .D .A Complex</t>
  </si>
  <si>
    <t>ABOUT THE ROLE
We are looking for a Research Engineer to build applied NLP and LLM systems for healthcare and oncology workflows. You will work on real-world clinical text, information extraction, patient-trial matching, summarization, RWE abstraction, and structured outputs from...</t>
  </si>
  <si>
    <t>https://www.glassdoor.co.in/job-listing/research-engineer-applied-ml-triomics-JV_IC4469327_KO0,28_KE29,37.htm?jl=1010189426426</t>
  </si>
  <si>
    <t>GD_1009966575923</t>
  </si>
  <si>
    <t>LLM / Generative AI Engineer</t>
  </si>
  <si>
    <t>Refrens Internet Pvt. Ltd</t>
  </si>
  <si>
    <t>About the job
Location
Surat
Job Type
Full Time
Total Openings
2
Total Experience (Years)
2
Salary Range
Job posted on
Thursday, 11 December 2025
Must have skill
AI tools
llms
Good to have skill
python
Job Description
About Refrens.com:
Refrens.com is a leading business operating...</t>
  </si>
  <si>
    <t>https://www.glassdoor.co.in/job-listing/llm-generative-ai-engineer-refrens-internet-JV_IC2933827_KO0,26_KE27,43.htm?jl=1009966575923</t>
  </si>
  <si>
    <t>GD_1010164967991</t>
  </si>
  <si>
    <t>AI Developer</t>
  </si>
  <si>
    <t>Fujitsu Limited</t>
  </si>
  <si>
    <t>Job Description 
AI Developer 
Job Location: Bangalore 
Location Flexibility: Primary Location Only 
Req Id: 8860 
Posting Start Date: 6/9/26 
Fujitsu’s R&amp;D vision is to create cutting-edge technologies that support society and prioritize the flow of data. Our five key technologi...</t>
  </si>
  <si>
    <t>https://www.glassdoor.co.in/job-listing/ai-developer-fujitsu-JV_IC2940587_KO0,12_KE13,20.htm?jl=1010164967991</t>
  </si>
  <si>
    <t>GD_1010131554907</t>
  </si>
  <si>
    <t>Senior Principal Data Scientist</t>
  </si>
  <si>
    <t>Meesho</t>
  </si>
  <si>
    <t>About the role
Are you a strategic thinker with a passion for solving large-scale problems using data? Do you enjoy mentoring high-performing teams and building ML systems that directly impact millions of users? We're looking for a Senior Principal Data Scientist to lead a team o...</t>
  </si>
  <si>
    <t>https://www.glassdoor.co.in/job-listing/senior-principal-data-scientist-meesho-JV_KO0,31_KE32,38.htm?jl=1010131554907</t>
  </si>
  <si>
    <t>GD_1010150457025</t>
  </si>
  <si>
    <t>Senior Machine Learning Developer</t>
  </si>
  <si>
    <t>Arting Digital</t>
  </si>
  <si>
    <t>Position- Senior Machine Learning Developer
Location- Pune
Exp- 5+ Years
Notice Period- Immediate- 15 Days
Skills- Python and ML libraries such as TensorFlow, PyTorch, or JAX, MLOps tools: MLflow, Kubeflow, Weights &amp; Biases, cloud platforms (AWS, GCP, or Azure), design patterns, ...</t>
  </si>
  <si>
    <t>https://www.glassdoor.co.in/job-listing/senior-machine-learning-developer-arting-digital-JV_KO0,33_KE34,48.htm?jl=1010150457025</t>
  </si>
  <si>
    <t>GD_1010070065170</t>
  </si>
  <si>
    <t>Quantitative Researcher - Commodities</t>
  </si>
  <si>
    <t>Millennium Management LLC</t>
  </si>
  <si>
    <t>Quantitative Researcher - Commodities
Millennium is a top tier global hedge fund with a strong commitment to leveraging innovations in technology and data science to solve complex problems for the business. We are assembling a strong Quant Technology team to build our next genera...</t>
  </si>
  <si>
    <t>https://www.glassdoor.co.in/job-listing/quantitative-researcher-commodities-millennium-JV_KO0,35_KE36,46.htm?jl=1010070065170</t>
  </si>
  <si>
    <t>GD_1010158760362</t>
  </si>
  <si>
    <t>Kensium LLC</t>
  </si>
  <si>
    <t>Job Description:
As an AI Engineer at OmnifiCX, you will design, build, and deploy intelligent AI-driven capabilities that power our commerce platform. You will work at the intersection of machine learning, backend engineering, and product intelligence — delivering features like ...</t>
  </si>
  <si>
    <t>https://www.glassdoor.co.in/job-listing/ai-engineer-kensium-JV_KO0,11_KE12,19.htm?jl=1010158760362</t>
  </si>
  <si>
    <t>GD_1010164479532</t>
  </si>
  <si>
    <t>Senior AI/ML Engineer - Vice President</t>
  </si>
  <si>
    <t>https://www.glassdoor.co.in/job-listing/senior-ai-ml-engineer-vice-president-citi-JV_IC2833209_KO0,36_KE37,41.htm?jl=1010164479532</t>
  </si>
  <si>
    <t>GD_1010158307254</t>
  </si>
  <si>
    <t>Principal Data Scientist</t>
  </si>
  <si>
    <t>Bangalore, India Category Digital(IT) Posted Date 06/04/2026 Job Id 364545
About Signify
Through bold discovery and cutting-edge innovation, we lead an industry that is vital for the future of our planet: lighting. Through our leadership in connected lighting and the Internet of...</t>
  </si>
  <si>
    <t>https://www.glassdoor.co.in/job-listing/principal-data-scientist-signify-JV_KO0,24_KE25,32.htm?jl=1010158307254</t>
  </si>
  <si>
    <t>GD_1010168683724</t>
  </si>
  <si>
    <t>Business Development &amp; Digital Operations Specialist</t>
  </si>
  <si>
    <t>Job Summary
We are looking for a resourceful and tech-savvy Lead Generation &amp; Digital Operations Specialist to support our real estate development business. The role involves sourcing land parcel opportunities through online portals, maintaining and organizing project enquiry dat...</t>
  </si>
  <si>
    <t>https://www.glassdoor.co.in/job-listing/business-development-digital-operations-specialist-irasi-housing-JV_KO0,50_KE51,64.htm?jl=1010168683724</t>
  </si>
  <si>
    <t>GD_1010160315693</t>
  </si>
  <si>
    <t>Cepoch</t>
  </si>
  <si>
    <t>We are seeking an experienced AI Developer with hands-on expertise in Agentic AI, Generative AI, and Retrieval-Augmented Generation (RAG) applications. The ideal candidate will design, develop, and deploy intelligent AI agents, multi-agent systems, and enterprise-grade AI solutio...</t>
  </si>
  <si>
    <t>https://www.glassdoor.co.in/job-listing/ai-engineer-cepoch-JV_KO0,11_KE12,18.htm?jl=1010160315693</t>
  </si>
  <si>
    <t>GD_1009850362760</t>
  </si>
  <si>
    <t>AI Developer / Engineer</t>
  </si>
  <si>
    <t>Dimakh Consultants Pvt. Ltd</t>
  </si>
  <si>
    <t>Dimakh Consultants, a leading IT and digital solutions company, is hiring an AI Engineer in Pune with a focus on Generative AI and RAG architecture. This role centers on designing and deploying advanced AI systems, integrating Large Language Models, and building scalable retrieva...</t>
  </si>
  <si>
    <t>https://www.glassdoor.co.in/job-listing/ai-developer-engineer-dimakh-consultants-JV_KO0,21_KE22,40.htm?jl=1009850362760</t>
  </si>
  <si>
    <t>GD_1010183724312</t>
  </si>
  <si>
    <t>Senior IT Technologist - LLM Platform Engineer</t>
  </si>
  <si>
    <t>Medtronic plc</t>
  </si>
  <si>
    <t>Careers that change lives start here. Medtronic is a global leader in healthcare technology with a Mission to alleviate pain, restore health, and extend life. Our 95,000 employees work across more than 150 countries to put patients first — developing innovative medical technologi...</t>
  </si>
  <si>
    <t>https://www.glassdoor.co.in/job-listing/senior-it-technologist-llm-platform-engineer-medtronic-JV_KO0,44_KE45,54.htm?jl=1010183724312</t>
  </si>
  <si>
    <t>GD_1009373319709</t>
  </si>
  <si>
    <t>Machine Learning Engineer – II</t>
  </si>
  <si>
    <t>GrapheneAI</t>
  </si>
  <si>
    <t>Primary Purpose:
As a Machine Learning Engineer, you’ll work with a highly skilled and collaborative AI team focused on solving complex business problems with NLP and GenAI (multi-modal) technologies. You’ll gain hands-on experience in building production-grade systems, integrati...</t>
  </si>
  <si>
    <t>https://www.glassdoor.co.in/job-listing/machine-learning-engineer-ii-grapheneai-JV_KO0,28_KE29,39.htm?jl=1009373319709</t>
  </si>
  <si>
    <t>GD_1007999853631</t>
  </si>
  <si>
    <t>Research Associate – Data Science</t>
  </si>
  <si>
    <t>Recode Minds Pvt Ltd,</t>
  </si>
  <si>
    <t>RECODE minds is looking for a full-time research associate in Data Science for an exciting new venture in the e-learning space.
The ideal candidate will be intricately involved in running analytical experiments in a methodical manner and regularly evaluate alternate models via th...</t>
  </si>
  <si>
    <t>https://www.glassdoor.co.in/job-listing/research-associate-data-science-recode-minds-JV_KO0,31_KE32,44.htm?jl=1007999853631</t>
  </si>
  <si>
    <t>GD_1010083845057</t>
  </si>
  <si>
    <t>Commdel Pvt. Ltd.</t>
  </si>
  <si>
    <t>Why Join Commdel?
We're committed to creating an environment where talent thrives and innovation flourishes
Competitive compensation packages
Comprehensive health insurance
Flexible work arrangements
Professional development programs
Modern office facilities
Team building activit...</t>
  </si>
  <si>
    <t>https://www.glassdoor.co.in/job-listing/ai-ml-engineer-commdel-JV_IC4477468_KO0,14_KE15,22.htm?jl=1010083845057</t>
  </si>
  <si>
    <t>GD_1009833698923</t>
  </si>
  <si>
    <t>AI/Ml Developer</t>
  </si>
  <si>
    <t>About the Role
We are seeking an experienced AI/ML Developer to help build an intelligent, multi-agent financial operating system that simplifies bookkeeping, accounting, compliance, and financial advisory for businesses and individuals.
You will work closely with product designe...</t>
  </si>
  <si>
    <t>https://www.glassdoor.co.in/job-listing/ai-ml-developer-bluee-eagle-JV_IC2833209_KO0,15_KE16,27.htm?jl=1009833698923</t>
  </si>
  <si>
    <t>GD_1010145530233</t>
  </si>
  <si>
    <t>Opening For Data Scientist</t>
  </si>
  <si>
    <t>Job openings for Data Scientist in Sholinganallur Chennai
Clustering, Python, SQL, Statistical Analysis, Qlik Sense, RAG, LLM, Evaluation Packages, PIP Installation, ability to create custom APIs, LangChain, Cognitive Layer, GCP, Chunking Strategy, Tokenization , Deployment.Spa...</t>
  </si>
  <si>
    <t>https://www.glassdoor.co.in/job-listing/opening-for-data-scientist-bsri-solutions-JV_IC2833209_KO0,26_KE27,41.htm?jl=1010145530233</t>
  </si>
  <si>
    <t>GD_1010183546706</t>
  </si>
  <si>
    <t>Senior AIML engineer</t>
  </si>
  <si>
    <t>Role: AIML Engineer (Remote)
Experience: 6 to 10 Years
Np-Immediate to 15 days
Must Have Skills:
Open AI/Generative AI, LLMs, Dataiku, Client Presentations, Stakeholder Management, Python
Roles &amp; Responsibilities
Identify high-impact opportunities to leverage Machine Learning, De...</t>
  </si>
  <si>
    <t>https://www.glassdoor.co.in/job-listing/senior-aiml-engineer-businessup-software-solutions-private-limited-JV_KO0,20_KE21,66.htm?jl=1010183546706</t>
  </si>
  <si>
    <t>GD_1009971205574</t>
  </si>
  <si>
    <t>MLE(Machine Learning Engineer)</t>
  </si>
  <si>
    <t>TWO95 International Inc.</t>
  </si>
  <si>
    <t>Title: MLE (Machine Learning Engineer)
Type: Full Time
Location: Hyderabad
Salary: Open (INR)
Requirements
Job Description
Apply strong software engineering &amp; machine learning expertise to industrialize predictive &amp; prescriptive solutions across big datasets and handle both str...</t>
  </si>
  <si>
    <t>https://www.glassdoor.co.in/job-listing/mle-machine-learning-engineer-two95-international-JV_KO0,29_KE30,49.htm?jl=1009971205574</t>
  </si>
  <si>
    <t>GD_1008270450249</t>
  </si>
  <si>
    <t>Careervira</t>
  </si>
  <si>
    <t>Job Descriptions
Key Responsibilities
Machine Learning models, algorithms
Inference, service, API
Neural Networks
Experience modelling graph-based data structures
Deployment, packaging, versioning of models
Experiment design, A/B testing, performance measurement
Educational Qual...</t>
  </si>
  <si>
    <t>https://www.glassdoor.co.in/job-listing/machine-learning-engineer-careervira-JV_IC2921225_KO0,25_KE26,36.htm?jl=1008270450249</t>
  </si>
  <si>
    <t>GD_1009824167819</t>
  </si>
  <si>
    <t>AI/ML</t>
  </si>
  <si>
    <t>Riverstone Info Tech</t>
  </si>
  <si>
    <t>Position Overview: 
We are seeking a highly motivated and detail-oriented AI/ML Engineer to join our talented team. This role is perfect for individuals looking to kickstart their career in AI and Machine Learning, with a strong foundation in Python programming and a good underst...</t>
  </si>
  <si>
    <t>https://www.glassdoor.co.in/job-listing/ai-ml-riverstone-infotech-JV_IC2833209_KO0,5_KE6,25.htm?jl=1009824167819</t>
  </si>
  <si>
    <t>GD_1009872582638</t>
  </si>
  <si>
    <t>Hands On AI Engineer (NLP)</t>
  </si>
  <si>
    <t>Technix India Solutions (P) Ltd</t>
  </si>
  <si>
    <t>Bangalore
Opening: 04-Mar-2023
Skills Required: Python, NLTK, spaCy, Gensim, Scikit-learn, TensorFlow, PyTorch or Keras
Experience Required: 2+ years of experience in Natural Language Processing (NLP)
Educational Qualification: Bachelor's/Master's degree in Computer Science, Engi...</t>
  </si>
  <si>
    <t>https://www.glassdoor.co.in/job-listing/hands-on-ai-engineer-nlp-technix-india-solutions-JV_KO0,24_KE25,48.htm?jl=1009872582638</t>
  </si>
  <si>
    <t>GD_1010149556163</t>
  </si>
  <si>
    <t>Specialist, Sales Finance Analytics</t>
  </si>
  <si>
    <t>https://www.glassdoor.co.in/job-listing/specialist-sales-finance-analytics-crowdstrike-JV_KO0,34_KE35,46.htm?jl=1010149556163</t>
  </si>
  <si>
    <t>GD_1010005371754</t>
  </si>
  <si>
    <t>AI/ML Developer (3–6 Yrs)</t>
  </si>
  <si>
    <t>Seanergy Digital Inc.</t>
  </si>
  <si>
    <t>We are looking for an experienced AI/ML Developer to design, build, and deploy machine learning models using Python and modern web frameworks. The role involves developing APIs, handling data pipelines, and integrating ML solutions into scalable production environments.
Key Skill...</t>
  </si>
  <si>
    <t>https://www.glassdoor.co.in/job-listing/ai-ml-developer-3-6-yrs-seanergy-digital-JV_KO0,23_KE24,40.htm?jl=1010005371754</t>
  </si>
  <si>
    <t>GD_1010179285788</t>
  </si>
  <si>
    <t>Role: ML Engineer
WM: Remote
Experience: 5+ years of experience with minimum 2 years of ML engineering experience
Description
Position Overview:
The Machine Learning Engineer at Workiva is responsible for contributing to the development and implementation of frameworks to evaluat...</t>
  </si>
  <si>
    <t>https://www.glassdoor.co.in/job-listing/ml-engineer-ruhumi-technologies-JV_KO0,11_KE12,31.htm?jl=1010179285788</t>
  </si>
  <si>
    <t>GD_1007888115295</t>
  </si>
  <si>
    <t>Machine Learning (ML) Engineer</t>
  </si>
  <si>
    <t>Conbuss Online Manufacturing Pvt Ltd</t>
  </si>
  <si>
    <t>Opening - 02 Nos
Min Experience - 4 year 
Education background - BE in Computer Science 
Location - Mumbai
We are looking for a Machine Learning (ML) Engineer to help us create artificial intelligence products. Machine Learning Engineer responsibilities include creating machine l...</t>
  </si>
  <si>
    <t>https://www.glassdoor.co.in/job-listing/machine-learning-ml-engineer-online-manufacturing-JV_IC2851180_KO0,28_KE29,49.htm?jl=1007888115295</t>
  </si>
  <si>
    <t>GD_1010168549799</t>
  </si>
  <si>
    <t>Sun King</t>
  </si>
  <si>
    <t>Description
Job location: Remote in India
About the role:
We are looking for a seasoned Machine Learning Engineer with deep expertise in deep learning to design and build production-grade models in the speech/audio and computer vision domains. The Machine Learning Engineer will...</t>
  </si>
  <si>
    <t>https://www.glassdoor.co.in/job-listing/machine-learning-engineer-sun-king-JV_KO0,25_KE26,34.htm?jl=1010168549799</t>
  </si>
  <si>
    <t>GD_1009801880286</t>
  </si>
  <si>
    <t>Data Scientist – R01551326</t>
  </si>
  <si>
    <t>Data Scientist - R01551326
Senior Data Science Lead
Primary Skills
Hypothesis Testing, T-Test, Z-Test, Regression (Linear, Logistic), Python/PySpark, SAS/SPSS, Statistical analysis and computing, Probabilistic Graph Models, Great Expectation, Evidently AI, Forecasting (Exponentia...</t>
  </si>
  <si>
    <t>https://www.glassdoor.co.in/job-listing/data-scientist-r01551326-brillio-JV_IC2833209_KO0,24_KE25,32.htm?jl=1009801880286</t>
  </si>
  <si>
    <t>GD_1010172359178</t>
  </si>
  <si>
    <t>CAMNCLOUD TECHNOLOGIES PVT LIMITED</t>
  </si>
  <si>
    <t>Responsibilities
Design, develop, train, and deploy machine learning models.
Build and maintain data pipelines for model training and inference.
Work with structured and unstructured datasets.
Evaluate model performance and optimize accuracy, latency, and scalability.
Implement d...</t>
  </si>
  <si>
    <t>https://www.glassdoor.co.in/job-listing/ai-ml-engineer-camncloud-technologies-JV_IC2876676_KO0,14_KE15,37.htm?jl=1010172359178</t>
  </si>
  <si>
    <t>GD_1010165178465</t>
  </si>
  <si>
    <t>AI Software Engineer</t>
  </si>
  <si>
    <t>Job Title: AI Software Engineer
Location: Chennai, Tamil Nadu
Job Type: Full-Time
Experience: 0–5 Years
Job Summary:
We are looking for a talented and motivated AI Software Engineer to join our team in Chennai. The ideal candidate will be responsible for developing, implementing,...</t>
  </si>
  <si>
    <t>https://www.glassdoor.co.in/job-listing/ai-software-engineer-worksbot-applications-private-limited-JV_IC2833209_KO0,20_KE21,58.htm?jl=1010165178465</t>
  </si>
  <si>
    <t>GD_1010028316025</t>
  </si>
  <si>
    <t>Sr Data Scientist - Advanced Machine Learning</t>
  </si>
  <si>
    <t>Target Corporation</t>
  </si>
  <si>
    <t>About Us:
As a Fortune 50 company with more than 400,000 team members worldwide, Target is an iconic brand and one of America's leading retailers.
Joining Target means promoting a culture of mutual care and respect and striving to make the most meaningful and positive impact. Bec...</t>
  </si>
  <si>
    <t>https://www.glassdoor.co.in/job-listing/sr-data-scientist-advanced-machine-learning-target-JV_KO0,43_KE44,50.htm?jl=1010028316025</t>
  </si>
  <si>
    <t>GD_1009773332719</t>
  </si>
  <si>
    <t>Biz-Metric Partners, Inc</t>
  </si>
  <si>
    <t>Full Time All Locations May 29 2026 
Notice Period: Immediate or Serving Notice Period
Experience: 5-10 Years 
Required Skills:
MLE, Azure Databricks, MLOps
About Bizmetric:
Bizmetric is a dynamic and innovative technology solutions company specializing in cutting-edge
services i...</t>
  </si>
  <si>
    <t>https://www.glassdoor.co.in/job-listing/machine-learning-engineer-bizmetric-JV_KO0,25_KE26,35.htm?jl=1009773332719</t>
  </si>
  <si>
    <t>GD_1010164343430</t>
  </si>
  <si>
    <t>AI Security Engineer</t>
  </si>
  <si>
    <t>J.S. Held LLC</t>
  </si>
  <si>
    <t>Company Description
Are you looking to join an organization that is growing and dynamic? What about a high-energy, collaborative environment that rewards hard work?
J.S. Held is a global consulting firm that combines technical, scientific, financial, and strategic expertise to a...</t>
  </si>
  <si>
    <t>https://www.glassdoor.co.in/job-listing/ai-security-engineer-js-held-JV_KO0,20_KE21,28.htm?jl=1010164343430</t>
  </si>
  <si>
    <t>GD_1010162242503</t>
  </si>
  <si>
    <t>Prompt Engineer / GenAI Specialist_4Yrs of Experience</t>
  </si>
  <si>
    <t>Job Description – Prompt Engineer / GenAI Specialist Location: Gurgaon / Bangalore Key Responsibilities • Design and refine prompts for chatbots, automation, and AI workflows. • Evaluate AI outputs and optimize for accuracy, bias, and performance. • Build reusable prompt librarie...</t>
  </si>
  <si>
    <t>https://www.glassdoor.co.in/job-listing/prompt-engineer-genai-specialist-4yrs-of-experience-blute-technologies-pvt-ltd-JV_KO0,51_KE52,78.htm?jl=1010162242503</t>
  </si>
  <si>
    <t>GD_1010178415088</t>
  </si>
  <si>
    <t>Data Science and Machine Learning Specialist</t>
  </si>
  <si>
    <t>The ERM International Group Limited</t>
  </si>
  <si>
    <t>Job Description
Position: Senior AI/ML Specialist – Sustainability, Health &amp; Safety
ERM is Senior AI/ML Specialist to lead the development of AI accelerators, intelligent agents, and machine learning models for sustainability, health, and safety domains. The role involves guiding...</t>
  </si>
  <si>
    <t>https://www.glassdoor.co.in/job-listing/data-science-and-machine-learning-specialist-erm-JV_KO0,44_KE45,48.htm?jl=1010178415088</t>
  </si>
  <si>
    <t>GD_1010182420785</t>
  </si>
  <si>
    <t>Job Title: Data Engineer – Databricks | Remote</t>
  </si>
  <si>
    <t>Job Title: Data Engineer – Databricks | Remote
Job Type: Full-time / Contract
Location: Remote (4 days/month office visit required – Noida / Hyderabad / Chennai / Pune / Bengaluru)
Experience Required: 6+ Years
Shift: IST Normal Shift
Budget: ₹1.3 LPM + GST
Job Description:
We ar...</t>
  </si>
  <si>
    <t>https://www.glassdoor.co.in/job-listing/job-title-data-engineer-databricks-remote-kasmoprav-JV_KO0,41_KE42,51.htm?jl=1010182420785</t>
  </si>
  <si>
    <t>GD_1010117784339</t>
  </si>
  <si>
    <t>Cloud Analytics and ML</t>
  </si>
  <si>
    <t>Bajaj Auto Limited</t>
  </si>
  <si>
    <t>Experience
3 - 8 Years 
Location
Nature of Job
R&amp;D 
Job role
Research Central Support
Division
R&amp;D
Department
Rider Apps and Connected
Level
EX
Functional Area
Cloud Analytics &amp; ML
1
Job Title
Cloud Analytics &amp; ML
2
Reporting
Functional reporting to LX, R&amp;D
3
...</t>
  </si>
  <si>
    <t>https://www.glassdoor.co.in/job-listing/cloud-analytics-and-ml-bajaj-auto-JV_KO0,22_KE23,33.htm?jl=1010117784339</t>
  </si>
  <si>
    <t>GD_1008204441965</t>
  </si>
  <si>
    <t xml:space="preserve">Chiplogic Technologies Pvt Ltd </t>
  </si>
  <si>
    <t>Key Tasks / Responsibilities 
Formal or informal certification in AI/ML required.
Ability to write code in Python and C/C++ 
Knowledge on basics of math and probability
Good understanding and strong knowledge in algorithms and statistics
Good understanding on the fundamentals of ...</t>
  </si>
  <si>
    <t>https://www.glassdoor.co.in/job-listing/ai-ml-engineer-chiplogic-technologies-JV_KO0,14_KE15,37.htm?jl=1008204441965</t>
  </si>
  <si>
    <t>GD_1010015282838</t>
  </si>
  <si>
    <t>GenAI engineer</t>
  </si>
  <si>
    <t xml:space="preserve">HNM Solutions </t>
  </si>
  <si>
    <t>Job Description:
Large Language Models (LLM):
Experience with LangChain, LangGraph
Proficiency in building agentic patterns like ReAct, ReWoo, LLMCompiler
Multi-modal Retrieval-Augmented Generation (RAG):
Expertise in multi-modal AI systems (text, images, audio, video)
Design...</t>
  </si>
  <si>
    <t>https://www.glassdoor.co.in/job-listing/genai-engineer-hnm-solutions-JV_KO0,14_KE15,28.htm?jl=1010015282838</t>
  </si>
  <si>
    <t>GD_1010137384217</t>
  </si>
  <si>
    <t>Weather Data Scientist (Numerical Weather Prediction)</t>
  </si>
  <si>
    <t>Weather Data Scientist (Numerical Weather Prediction)
Working hours: The team is distributed across India and the US, so expect a few hours of evening overlap with US Pacific Time on most workdays.
Overview
About Pravāh
Pravāh is an AI lab building foundational intelligence for...</t>
  </si>
  <si>
    <t>https://www.glassdoor.co.in/job-listing/weather-data-scientist-numerical-weather-prediction-pravah-JV_KO0,51_KE52,58.htm?jl=1010137384217</t>
  </si>
  <si>
    <t>GD_1010092878989</t>
  </si>
  <si>
    <t>Data &amp; AI Engineering</t>
  </si>
  <si>
    <t>Opella Healthcare Group SAS.</t>
  </si>
  <si>
    <t>Job title : Data &amp; AI Engineering 
Location : Hyderabad 
Opella is the self-care challenger with the purest and third-largest portfolio in the Over-The-Counter (OTC) &amp; Vitamins, Minerals &amp; Supplements (VMS) market globally . 
Our mission is to bring health in people’s hands by ma...</t>
  </si>
  <si>
    <t>https://www.glassdoor.co.in/job-listing/data-ai-engineering-opella-healthcare-group-JV_KO0,19_KE20,43.htm?jl=1010092878989</t>
  </si>
  <si>
    <t>GD_1010156764559</t>
  </si>
  <si>
    <t>Data Axle Inc.</t>
  </si>
  <si>
    <t>https://www.glassdoor.co.in/job-listing/associate-data-scientist-data-axle-JV_KO0,24_KE25,34.htm?jl=1010156764559</t>
  </si>
  <si>
    <t>GD_1010178524106</t>
  </si>
  <si>
    <t>Associate - Development</t>
  </si>
  <si>
    <t xml:space="preserve">SoftTech Engineers Pvt. Ltd </t>
  </si>
  <si>
    <t>Desired Skills and Experience:
Graduate Engineer or Post graduate with 2-4 years of experience, out of which about 2+ years in Advance AI (Gen AI) techniques and rest in data Science, AI and Machine Learning.
Must have good grasp on database management, including both SQL (Struct...</t>
  </si>
  <si>
    <t>https://www.glassdoor.co.in/job-listing/associate-development-softtech-engineers-JV_KO0,21_KE22,40.htm?jl=1010178524106</t>
  </si>
  <si>
    <t>GD_1010032049182</t>
  </si>
  <si>
    <t>AI Lead Engineer</t>
  </si>
  <si>
    <t>Merkle Group Inc.</t>
  </si>
  <si>
    <t>Technology
DGS India - Mumbai - Thane Ashar IT Park
About the job
Senior Applied AI / GenAI Specialist
Theme: Scalable Systems &amp; Technical Leadership
Design and deliver scalable AI and GenAI systems combining ML models, LLMs, retrieval, orchestration, and data pipelines
Lead solu...</t>
  </si>
  <si>
    <t>https://www.glassdoor.co.in/job-listing/ai-lead-engineer-merkle-JV_KO0,16_KE17,23.htm?jl=1010032049182</t>
  </si>
  <si>
    <t>GD_1010128131203</t>
  </si>
  <si>
    <t>HackerRank helps companies like NVIDIA, Amazon, and Microsoft hire and upskill the next generation of developers based on skills, not pedigree. Our platform is trusted by over 2,500 of the world's most innovative companies to build strong engineering teams ready for what's next.
...</t>
  </si>
  <si>
    <t>https://www.glassdoor.co.in/job-listing/senior-machine-learning-engineer-hackerrank-JV_KO0,32_KE33,43.htm?jl=1010128131203</t>
  </si>
  <si>
    <t>GD_1007415195803</t>
  </si>
  <si>
    <t>Zessta Software Services Private Limited</t>
  </si>
  <si>
    <t>At Zessta, ideation and innovation is a tradition, team spirit a culture, and customer oriented approach a religion. With these values we are treading ahead to become game-changers in the arena of next generation technologies. We are amongst the torch-bearing companies in the SMA...</t>
  </si>
  <si>
    <t>https://www.glassdoor.co.in/job-listing/machine-learning-engineer-zessta-software-services-JV_KO0,25_KE26,50.htm?jl=1007415195803</t>
  </si>
  <si>
    <t>GD_1010172063186</t>
  </si>
  <si>
    <t>Python Data Mining (AI,ML) Developer</t>
  </si>
  <si>
    <t>Onprice Infotech PvtLtd</t>
  </si>
  <si>
    <t>If you want to make a carrier in IT industries and learn technical and management skills in a real-time environment enroll internship module.</t>
  </si>
  <si>
    <t>https://www.glassdoor.co.in/job-listing/python-data-mining-ai-ml-developer-onprice-infotech-JV_KO0,34_KE35,51.htm?jl=1010172063186</t>
  </si>
  <si>
    <t>GD_1010191021020</t>
  </si>
  <si>
    <t>Applied AI Sr Associate Engineer</t>
  </si>
  <si>
    <t>https://www.glassdoor.co.in/job-listing/applied-ai-sr-associate-engineer-moody-s-JV_IC2921225_KO0,32_KE33,40.htm?jl=1010191021020</t>
  </si>
  <si>
    <t>GD_1010190430179</t>
  </si>
  <si>
    <t>Job Description
We are looking for a AI/ML Engineer who is passionate about building and improving machine learning models. You will support model development, experimentation, and integration into real-world applications.
Responsibilities
Develop and train machine learning model...</t>
  </si>
  <si>
    <t>https://www.glassdoor.co.in/job-listing/ai-ml-engineer-i11labs-JV_KO0,14_KE15,22.htm?jl=1010190430179</t>
  </si>
  <si>
    <t>GD_1010155511055</t>
  </si>
  <si>
    <t>Data Scientist I</t>
  </si>
  <si>
    <t>As a Data Scientist I here at Honeywell, you will be responsible for applying data analysis, machine learning, and statistical modeling techniques to solve business problems. You will work closely with senior data scientists and cross-functional teams to develop and implement dat...</t>
  </si>
  <si>
    <t>https://www.glassdoor.co.in/job-listing/data-scientist-i-honeywell-JV_IC2940587_KO0,16_KE17,26.htm?jl=1010155511055</t>
  </si>
  <si>
    <t>GD_1010060511276</t>
  </si>
  <si>
    <t>JOB DESCRIPTION
Designation: AI Engineer
Location: South Delhi, New Delhi
PQE-: 1-2 Years
Employment Type: Full-time
Education: Bachelor’s or Master’s degree in Computer Science, AI, Data Science, or related field
Key Responsibilities
Develop and implement AI-powered applications...</t>
  </si>
  <si>
    <t>https://www.glassdoor.co.in/job-listing/ai-engineer-ss-rana-co-JV_KO0,11_KE12,22.htm?jl=1010060511276</t>
  </si>
  <si>
    <t>GD_1010161289522</t>
  </si>
  <si>
    <t>Senior AI/ML Engineer – Time Series</t>
  </si>
  <si>
    <t>Dear Aspirant!
We empower our people to stay resilient and relevant in a constantly changing world. We’re looking for people who are always searching for creative ways to grow and learn. People who want to make a real impact, now and in the future. Does that sound like you? Then ...</t>
  </si>
  <si>
    <t>https://www.glassdoor.co.in/job-listing/senior-ai-ml-engineer-time-series-siemens-JV_KO0,33_KE34,41.htm?jl=1010161289522</t>
  </si>
  <si>
    <t>GD_1010183655157</t>
  </si>
  <si>
    <t>Agentic AI Developer</t>
  </si>
  <si>
    <t>a 1. Core Software Engineering
Strong Python — OOP, async/await, type hints, decorators, generators, clean exception handling.
Solid grasp of data structures, algorithms, and writing maintainable, testable, modular code.
REST / GraphQL / gRPC API design and consumption; authentic...</t>
  </si>
  <si>
    <t>https://www.glassdoor.co.in/job-listing/agentic-ai-developer-the-reciprocal-solutions-JV_KO0,20_KE21,45.htm?jl=1010183655157</t>
  </si>
  <si>
    <t>GD_1010183753878</t>
  </si>
  <si>
    <t>Lead/Sr MLOps Engineer - Domino Data Lab</t>
  </si>
  <si>
    <t>https://www.glassdoor.co.in/job-listing/lead-sr-mlops-engineer-domino-data-lab-epam-systems-JV_IC2836047_KO0,38_KE39,51.htm?jl=1010183753878</t>
  </si>
  <si>
    <t>GD_1010173841202</t>
  </si>
  <si>
    <t>Coherent Pixel Systems Hiring
About the Role
We are looking for a skilled AI/ML Engineer with strong experience in Artificial Intelligence and Machine Learning development.
The ideal candidate should have hands-on expertise in building data-driven solutions, working with large da...</t>
  </si>
  <si>
    <t>https://www.glassdoor.co.in/job-listing/ai-ml-engineer-coherent-pixel-systems-pvt-ltd-JV_IC2833209_KO0,14_KE15,45.htm?jl=1010173841202</t>
  </si>
  <si>
    <t>GD_1008297385561</t>
  </si>
  <si>
    <t>Jr./ Sr. Machine Learning Developer</t>
  </si>
  <si>
    <t>Vertscend Automation Pvt Ltd</t>
  </si>
  <si>
    <t>B.E/B.tech : Computer/ Electronics/ MCA/MSc Computer/BSc Computer
Experience: 2 to 5 Year
Positions: Available
Skills: 
Core Python, 
Web frame works, 
Machine Learning and AI, 
Django 
Role and Responsibilities: 
Develop back end component 
Good Analytical and Design skills like...</t>
  </si>
  <si>
    <t>https://www.glassdoor.co.in/job-listing/jr-sr-machine-learning-developer-vertscend-automation-JV_IC2856202_KO0,32_KE33,53.htm?jl=1008297385561</t>
  </si>
  <si>
    <t>GD_1010116961866</t>
  </si>
  <si>
    <t>AI/ML Engineer - (Network Optimization)</t>
  </si>
  <si>
    <t>A.P. Møller - Mærsk A/S</t>
  </si>
  <si>
    <t>Maersk Ground Freight (MGF) is the go-to-market brand for Maersk’s Middle Mile business. We are at the forefront of developing cutting-edge technologies to improve the customer’s experience with personalized and automated end-to-end digital journeys that enable Maersk customers t...</t>
  </si>
  <si>
    <t>https://www.glassdoor.co.in/job-listing/ai-ml-engineer-network-optimization-maersk-JV_IC2940587_KO0,35_KE36,42.htm?jl=1010116961866</t>
  </si>
  <si>
    <t>GD_1010183982576</t>
  </si>
  <si>
    <t>AI Data Engineer</t>
  </si>
  <si>
    <t>Job Description: Key Responsibilities 
Design and develop LLM-based applications using single-agent or simple multi-agent patterns for business use cases 
Build and maintain RAG pipelines : data ingestion chunking embeddings retrieval response generation 
Implement prompt enginee...</t>
  </si>
  <si>
    <t>https://www.glassdoor.co.in/job-listing/ai-data-engineer-exl-service-JV_KO0,16_KE17,28.htm?jl=1010183982576</t>
  </si>
  <si>
    <t>GD_1009978345112</t>
  </si>
  <si>
    <t>AWS Bedrock AI Development Engineer</t>
  </si>
  <si>
    <t>Cloudbyz Inc</t>
  </si>
  <si>
    <t>About the Role
We are hiring an AWS Bedrock AI Development Engineer in India to build and scale production-grade Generative AI and AI Agent solutions using Amazon Bedrock and the AWS cloud ecosystem. This role is highly hands-on and execution-focused. You will work on LLM-powered...</t>
  </si>
  <si>
    <t>https://www.glassdoor.co.in/job-listing/aws-bedrock-ai-development-engineer-cloudbyz-JV_KO0,35_KE36,44.htm?jl=1009978345112</t>
  </si>
  <si>
    <t>GD_1010180405652</t>
  </si>
  <si>
    <t>W2S Solutions Pvt Ltd</t>
  </si>
  <si>
    <t>Experience Range: 5-10 Years
Roles &amp; Responsibilities
Design, develop, and deploy scalable AI-powered applications using Python.
Build and maintain enterprise-grade Generative AI solutions leveraging Large Language Models (LLMs).
Develop intelligent AI workflows using LangChain, ...</t>
  </si>
  <si>
    <t>https://www.glassdoor.co.in/job-listing/ai-ml-engineer-w2s-solutions-JV_KO0,14_KE15,28.htm?jl=1010180405652</t>
  </si>
  <si>
    <t>GD_1010171039679</t>
  </si>
  <si>
    <t>Eng, Artificial Intelligence</t>
  </si>
  <si>
    <t>https://www.glassdoor.co.in/job-listing/eng-artificial-intelligence-kla-JV_IC2833209_KO0,27_KE28,31.htm?jl=1010171039679</t>
  </si>
  <si>
    <t>GD_1010120053957</t>
  </si>
  <si>
    <t>Antino Labs</t>
  </si>
  <si>
    <t>We seek a highly skilled ML Engineer with 3-5 years of industry experience specializing in AI/ML, MLOps, Azure cloud computing, and Python to collaborate with our team of Data Scientists, Data Engineers, and Subject Matter Experts (SMEs).
Candidate should have strong expertise in...</t>
  </si>
  <si>
    <t>https://www.glassdoor.co.in/job-listing/ml-engineer-antino-labs-JV_IC2921225_KO0,11_KE12,23.htm?jl=1010120053957</t>
  </si>
  <si>
    <t>GD_1010144666965</t>
  </si>
  <si>
    <t>66degrees Inc.</t>
  </si>
  <si>
    <t>Overview of 66degrees
66degrees is an end-to-end AI transformation partner that guides enterprises from complex business challenges to clear, quantifiable outcomes. Our company is the culmination of several successful firms, each a leader in its own right in cloud, artificial int...</t>
  </si>
  <si>
    <t>https://www.glassdoor.co.in/job-listing/ai-ml-engineer-66degrees-JV_KO0,14_KE15,24.htm?jl=1010144666965</t>
  </si>
  <si>
    <t>GD_1010178679173</t>
  </si>
  <si>
    <t>Novnex Corporation Private Limited</t>
  </si>
  <si>
    <t>Python, TensorFlow, PyTorch, LLMs, Machine Learning, Deep Learning
Are you passionate about building intelligent systems that can learn and adapt? Do you get excited about training models, fine-tuning LLMs, and deploying AI solutions that solve real-world problems? We are looking...</t>
  </si>
  <si>
    <t>https://www.glassdoor.co.in/job-listing/ai-engineer-novnex-corporation-JV_KO0,11_KE12,30.htm?jl=1010178679173</t>
  </si>
  <si>
    <t>GD_1010190708652</t>
  </si>
  <si>
    <t>https://www.glassdoor.co.in/job-listing/data-scientist-optum-JV_IC2856202_KO0,14_KE15,20.htm?jl=1010190708652</t>
  </si>
  <si>
    <t>GD_1010142380849</t>
  </si>
  <si>
    <t>Project Role : Prompt Engineer
Project Role Description : Design, create, and refine prompts for Large Language Models (LLMs). Employ techniques to guide and enhance model responses. Develop effective AI interactions through proficient programming and utilization of playgrounds.
...</t>
  </si>
  <si>
    <t>https://www.glassdoor.co.in/job-listing/prompt-engineer-accenture-JV_KO0,15_KE16,25.htm?jl=1010142380849</t>
  </si>
  <si>
    <t>GD_1010177988834</t>
  </si>
  <si>
    <t>AI/ML Engineer - Healthcare</t>
  </si>
  <si>
    <t>Role: AI/ML Engineer
Engagement Type : Freelance / Contract
Domain :Healthcare — Medical Imaging (CT, X-Ray, DICOM/PACS)
Location: Remote
Experience Required: 5+ Years (Healthcare AI mandatory)
We are looking for a seasoned AI/ML Engineer with deep expertise in healthcare technol...</t>
  </si>
  <si>
    <t>https://www.glassdoor.co.in/job-listing/ai-ml-engineer-healthcare-alchi-design-studio-JV_KO0,25_KE26,45.htm?jl=1010177988834</t>
  </si>
  <si>
    <t>GD_1010177599630</t>
  </si>
  <si>
    <t>Senior Data Scientist I</t>
  </si>
  <si>
    <t>Job Description: 
We are looking for a passionate Senior Data Scientist with strong hands-on expertise in 
AI/ML, Generative AI, Computer Vision, LLMs, Agentic AI, and Edge AI to join our team. The 
role will focus on identifying, designing, and enabling AI-driven capabilities ac...</t>
  </si>
  <si>
    <t>https://www.glassdoor.co.in/job-listing/senior-data-scientist-i-schneider-electric-JV_IC2940587_KO0,23_KE24,42.htm?jl=1010177599630</t>
  </si>
  <si>
    <t>GD_1010098634941</t>
  </si>
  <si>
    <t>Manufacturing Manager - Industrialization</t>
  </si>
  <si>
    <t>Sānand</t>
  </si>
  <si>
    <t>At Arabelle Solutions, part of EDF Group, we’re proud to design services and solutions that are generating power not just for today and tomorrow but for generations to come. 
You’ll work alongside passionate bright minds. We offer a broad range of opportunities for those eager to...</t>
  </si>
  <si>
    <t>https://www.glassdoor.co.in/job-listing/manufacturing-manager-industrialization-powerstatic-solutions-india-private-limited-JV_IC2856254_KO0,39_KE40,83.htm?jl=1010098634941</t>
  </si>
  <si>
    <t>GD_1010088051104</t>
  </si>
  <si>
    <t>https://www.glassdoor.co.in/job-listing/sr-software-engineer-ai-ml-kla-JV_KO0,26_KE27,30.htm?jl=1010088051104</t>
  </si>
  <si>
    <t>GD_1010173095045</t>
  </si>
  <si>
    <t>Project Role : Forward Deployed Engineer
Project Role Description : Organize the deployment of AI workflows and architectures across diverse AI and technology platforms. Facilitate solution design across enterprise technology stack to integrate into the ecosystem of AI models and...</t>
  </si>
  <si>
    <t>https://www.glassdoor.co.in/job-listing/forward-deployed-engineer-accenture-JV_KO0,25_KE26,35.htm?jl=1010173095045</t>
  </si>
  <si>
    <t>GD_1010188146796</t>
  </si>
  <si>
    <t>Junior AI Developer</t>
  </si>
  <si>
    <t>CivicDataLab</t>
  </si>
  <si>
    <t>Job Information
Date Opened
07/02/2026 
Job Type
Full time 
Industry
Research &amp; Development 
Work Experience
1 year + 
Salary
6.5 - 7.5 LPA 
City
New Delhi 
State/Province
Delhi 
Country
India 
Zip/Postal Code
110019 
Job Description
Junior AI Developer
Full Time | Delhi | 1-2 Y...</t>
  </si>
  <si>
    <t>https://www.glassdoor.co.in/job-listing/junior-ai-developer-civicdatalab-JV_KO0,19_KE20,32.htm?jl=1010188146796</t>
  </si>
  <si>
    <t>GD_1010166267085</t>
  </si>
  <si>
    <t>Hiring: AI Engineer
Location: Vadodara, Gujarat
Salary: Up to ₹10 – ₹12 LPA (Based on Skills &amp; Experience)
Experience: 1+ Year
About the Role
We are looking for a passionate and innovative AI Engineer to develop cutting-edge AI solutions for engineering applications. The selected...</t>
  </si>
  <si>
    <t>https://www.glassdoor.co.in/job-listing/ai-engineer-krishna-enterprise-JV_IC2930179_KO0,11_KE12,30.htm?jl=1010166267085</t>
  </si>
  <si>
    <t>GD_1010027686025</t>
  </si>
  <si>
    <t>Remidio Innovative Solutions Pvt. Ltd.</t>
  </si>
  <si>
    <t>AI Engineer
About the Company
Remidio is on a mission to bring cutting-edge healthcare access to everyone. We do this by building next-generation medical devices — combining custom hardware and AI into tools that anyone, anywhere can use.
Today, our products deliver some of the w...</t>
  </si>
  <si>
    <t>https://www.glassdoor.co.in/job-listing/ai-engineer-remidio-JV_KO0,11_KE12,19.htm?jl=1010027686025</t>
  </si>
  <si>
    <t>GD_1010131060442</t>
  </si>
  <si>
    <t>Sr ML Engineer- Hyderabad (Hybrid)</t>
  </si>
  <si>
    <t>Syneos Health</t>
  </si>
  <si>
    <t>Updated: Today
Location: Hyderabad, TS, India
Job ID: 25107854 
Not ready to apply?
Join our Talent Network 
Description 
Sr ML Engineer- Hyderabad (Hybrid)
Syneos Health® is a leading fully-integrated life sciences services organization built to accelerate customer success. We p...</t>
  </si>
  <si>
    <t>https://www.glassdoor.co.in/job-listing/sr-ml-engineer-hyderabad-hybrid-syneos-health-JV_KO0,31_KE32,45.htm?jl=1010131060442</t>
  </si>
  <si>
    <t>GD_1010094165429</t>
  </si>
  <si>
    <t>3 months ago
Hyderabad, India 
| 
Full Time 
| 
Associate 
Skills Required
Non-Negotiable Skills:
python
rag
langgraph
multiagent
Ownership
Seeker Mindset
Passionate Towards Work
Extremely Ambitious
Unbeatable Work Ethics
Ability to comprehend
Negotiable Skills:
docker
gcp
google...</t>
  </si>
  <si>
    <t>https://www.glassdoor.co.in/job-listing/ai-engineer-techolution-JV_KO0,11_KE12,23.htm?jl=1010094165429</t>
  </si>
  <si>
    <t>GD_1007955280209</t>
  </si>
  <si>
    <t>Candidate Skill:
Python, R, TensorFlow, PyTorch, Scikit-learn, MLflow, Kubeflow, Docker, Kubernetes, AWS SageMaker, GCP AI Platform, Airflow, Data Engineering, Model Deployment, NLP, Computer Vision, CI/CD, Git, Spark, Data Lake. 
Experience:
3 - 5 Years 
City:
Navi Mumbai, Gha...</t>
  </si>
  <si>
    <t>https://www.glassdoor.co.in/job-listing/machine-learning-engineer-mobile-programming-JV_KO0,25_KE26,44.htm?jl=1007955280209</t>
  </si>
  <si>
    <t>GD_1010013578419</t>
  </si>
  <si>
    <t>EY - GDS Consulting - AI And DATA - Data Scientist - Senior - E</t>
  </si>
  <si>
    <t>Ernst &amp; Young Global Ltd</t>
  </si>
  <si>
    <t>Location: Coimbatore 
Other locations: Primary Location Only 
Salary: Competitive 
Date: Jul 3, 2026 
Job description
Requisition ID: 1634553</t>
  </si>
  <si>
    <t>https://www.glassdoor.co.in/job-listing/ey-gds-consulting-ai-and-data-data-scientist-senior-e-ey-JV_KO0,53_KE54,56.htm?jl=1010013578419</t>
  </si>
  <si>
    <t>GD_1010162540767</t>
  </si>
  <si>
    <t>Senior AI/ML Engineer (LLM, Kafka &amp; Kubernetes)</t>
  </si>
  <si>
    <t>Job Title: Senior AI/ML Engineer (LLM, Kafka &amp; Kubernetes)
Location: Chennai
Employment Type: Full-Time
Experience: 4+ Years
About the Role
We are looking for a highly skilled Senior AI/ML Engineer with strong expertise in Generative AI, Large Language Models (LLMs), Apache Kafka...</t>
  </si>
  <si>
    <t>https://www.glassdoor.co.in/job-listing/senior-ai-ml-engineer-llm-kafka-kubernetes-rytsense-technologies-JV_IC2833209_KO0,42_KE43,64.htm?jl=1010162540767</t>
  </si>
  <si>
    <t>GD_1010141692753</t>
  </si>
  <si>
    <t>AI Engineer – Copilot, Bot &amp; Automation Developer</t>
  </si>
  <si>
    <t>CleanMax</t>
  </si>
  <si>
    <t>Role Summary
We are looking for a highly skilled AI Engineer – Copilot, Bot &amp; Automation Developer who can design, develop, deploy, and manage intelligent AI-powered applications, copilots, chatbots, and workflow automation solutions across Microsoft and AI platforms.
The ideal ...</t>
  </si>
  <si>
    <t>https://www.glassdoor.co.in/job-listing/ai-engineer-copilot-bot-automation-developer-cleanmax-JV_KO0,44_KE45,53.htm?jl=1010141692753</t>
  </si>
  <si>
    <t>GD_1010179872933</t>
  </si>
  <si>
    <t>Computer Vision Engineer - Biomedical Imaging</t>
  </si>
  <si>
    <t>Aganitha Cognitive Solutions Inc</t>
  </si>
  <si>
    <t>Join us and contribute to the discovery of medicines that will impact lives!
Location: Hyderabad, India 
Experience: Freshers to 5 Years 
About Aganitha
Accelerate drug discovery and development for Biopharma and Biotech R&amp;D with in silico solutions leveraging Computational Biolo...</t>
  </si>
  <si>
    <t>https://www.glassdoor.co.in/job-listing/computer-vision-engineer-biomedical-imaging-aganitha-cognitive-solutions-JV_KO0,43_KE44,72.htm?jl=1010179872933</t>
  </si>
  <si>
    <t>GD_1010188049148</t>
  </si>
  <si>
    <t>Data Engineer / ML Engineer</t>
  </si>
  <si>
    <t>Arrow Electronics, Inc.</t>
  </si>
  <si>
    <t>Position:
Data Engineer / ML Engineer 
Job Description:
Position: Data ML Engineer 
Location: Ahmedabad | Pune | Indore 
Experience: 4–8 Years 
Preferred Notice Period: Immediate to 30 Days 
About the Role 
We are looking for a passionateData ML Engineer to join our engineering...</t>
  </si>
  <si>
    <t>https://www.glassdoor.co.in/job-listing/data-engineer-ml-engineer-arrow-electronics-JV_IC2935226_KO0,25_KE26,43.htm?jl=1010188049148</t>
  </si>
  <si>
    <t>GD_1010188981339</t>
  </si>
  <si>
    <t>Lead Software Engineer - Machine Learning</t>
  </si>
  <si>
    <t>Freshworks Inc.</t>
  </si>
  <si>
    <t>https://www.glassdoor.co.in/job-listing/lead-software-engineer-machine-learning-freshworks-JV_IC2940587_KO0,39_KE40,50.htm?jl=1010188981339</t>
  </si>
  <si>
    <t>GD_1010147404998</t>
  </si>
  <si>
    <t>Senior Engineer - AI</t>
  </si>
  <si>
    <t>Trampoline technologies</t>
  </si>
  <si>
    <t>Job ID: 857964
5 - 7 Years
1 Opening
Chennai
Role description
Senior Engineer - AI, with Technology domain having 5.0-7.0 years of experience, the ideal candidate should possess advanced skills in Machine Learning, demonstrating expertise in developing algorithms and models that...</t>
  </si>
  <si>
    <t>https://www.glassdoor.co.in/job-listing/senior-engineer-ai-ripplehire-JV_IC2833209_KO0,18_KE19,29.htm?jl=1010147404998</t>
  </si>
  <si>
    <t>GD_1009930820809</t>
  </si>
  <si>
    <t>LLM Operations Engineer</t>
  </si>
  <si>
    <t>Project Role : LLM Operations Engineer
Project Role Description : Utilize cloud-native services and tools for scalable and efficient deployment. Monitor LLM performance, address operational challenges, and ensure compliance and security standards in AI operations. 
Must have skil...</t>
  </si>
  <si>
    <t>https://www.glassdoor.co.in/job-listing/llm-operations-engineer-accenture-JV_KO0,23_KE24,33.htm?jl=1009930820809</t>
  </si>
  <si>
    <t>GD_1010180686926</t>
  </si>
  <si>
    <t>AI Engineer – Physical AI &amp; Digital Twin Systems</t>
  </si>
  <si>
    <t>Title: AI Engineer – Physical AI &amp; Digital Twin Systems
Position Summary:
Siemens Energy Gas Services (GS) seeks an AI Engineer to build production-grade Physical AI and Digital Twin systems for advanced manufacturing. The role centers on robot perception, reasoning, control, s...</t>
  </si>
  <si>
    <t>https://www.glassdoor.co.in/job-listing/ai-engineer-physical-ai-digital-twin-systems-siemens-JV_IC2856202_KO0,44_KE45,52.htm?jl=1010180686926</t>
  </si>
  <si>
    <t>GD_1010110455239</t>
  </si>
  <si>
    <t>Architect / Interior Designer</t>
  </si>
  <si>
    <t>B.Arch with 2-3 yrs work experience.No diploma degree,
Should be able to do Architecture and Interior space planning , Should have a good knowledge of available materials , should be able to understand and make detailed working drawings , develop design concept.
Proficiency in Au...</t>
  </si>
  <si>
    <t>https://www.glassdoor.co.in/job-listing/architect-interior-designer-d-breathing-spaces-JV_KO0,27_KE28,46.htm?jl=1010110455239</t>
  </si>
  <si>
    <t>GD_1010042353124</t>
  </si>
  <si>
    <t>https://www.glassdoor.co.in/job-listing/ai-engineer-mercedes-benz-group-JV_KO0,11_KE12,31.htm?jl=1010042353124</t>
  </si>
  <si>
    <t>GD_1010184544999</t>
  </si>
  <si>
    <t>Contractor - Data Science &amp; AI</t>
  </si>
  <si>
    <t>YASH Technologies, Inc.</t>
  </si>
  <si>
    <t>Date: Jun 30, 2026 
Job Requisition Id: 65331 
Location:
Indore, MP, IN 
#job-location.job-location-inline { display: inline; } 
.buttontext47d030a40eb4ac5c a{ border: 1px solid transparent; } .buttontext47d030a40eb4ac5c a: focus{ border: 1px dashed #2b97ef !important; outline:...</t>
  </si>
  <si>
    <t>https://www.glassdoor.co.in/job-listing/contractor-data-science-ai-yash-technologies-JV_IC2876676_KO0,26_KE27,44.htm?jl=1010184544999</t>
  </si>
  <si>
    <t>GD_1010124802873</t>
  </si>
  <si>
    <t>Senior Engineer, Machine Learning</t>
  </si>
  <si>
    <t>SanDisk Corporation</t>
  </si>
  <si>
    <t>Company Description
SanDisk is a leading global provider of flash memory and solid‑state storage solutions, designing and manufacturing products such as SSDs, memory cards, and USB flash drives for consumer, mobile, and enterprise applications. Founded in 1988, the company has b...</t>
  </si>
  <si>
    <t>https://www.glassdoor.co.in/job-listing/senior-engineer-machine-learning-sandisk-JV_KO0,32_KE33,40.htm?jl=1010124802873</t>
  </si>
  <si>
    <t>GD_1010075872711</t>
  </si>
  <si>
    <t>https://www.glassdoor.co.in/job-listing/custom-software-engineer-accenture-JV_KO0,24_KE25,34.htm?jl=1010075872711</t>
  </si>
  <si>
    <t>GD_1009992842022</t>
  </si>
  <si>
    <t>Senior Artificial Intelligence Engineer</t>
  </si>
  <si>
    <t>Jai Infoway</t>
  </si>
  <si>
    <t>AI Development
Ranchi
Full Time
Posted: 12/31/2025
Job Description
Lead GenAI Engineers (5–8 yrs) to build production-grade solutions using LLMs, RAG, and agentic AI for global clients in healthcare, fintech, and real estate. Strong Python; solid understanding of LLMs, prompt eng...</t>
  </si>
  <si>
    <t>https://www.glassdoor.co.in/job-listing/senior-artificial-intelligence-engineer-jai-infoway-JV_IC2923847_KO0,39_KE40,51.htm?jl=1009992842022</t>
  </si>
  <si>
    <t>GD_1010139664158</t>
  </si>
  <si>
    <t>AI / LLM Engineer</t>
  </si>
  <si>
    <t>Insuserve-1</t>
  </si>
  <si>
    <t>Job Information
Date Opened
05/11/2026 
Job Type
Full time 
Industry
IT Services 
Work Experience
4-5 years 
City
Visakhapatnam 
State/Province
Andhra Pradesh 
Country
India 
Zip/Postal Code
530013 
About Us
Venture Informatrix is a next-generation Insurance BPO service provider ...</t>
  </si>
  <si>
    <t>https://www.glassdoor.co.in/job-listing/ai-llm-engineer-insuserve-1-JV_IC2879606_KO0,15_KE16,27.htm?jl=1010139664158</t>
  </si>
  <si>
    <t>GD_1010181468234</t>
  </si>
  <si>
    <t>Pune, Maharashtra 
Job Summary 
Required 
Master's degree in Computer Science or equivalent Engineering field with strong knowledge in Machine Learning, Deep Learning, AI, Statistics, and Data Mining.
Experience in Machine Learning, Deep Learning (CNN,RNN, ..), Reinforcement Lea...</t>
  </si>
  <si>
    <t>https://www.glassdoor.co.in/job-listing/data-scientist-hcltech-JV_KO0,14_KE15,22.htm?jl=1010181468234</t>
  </si>
  <si>
    <t>GD_1009518573705</t>
  </si>
  <si>
    <t>AI Developer (LLMs, RAG, Chatbots)</t>
  </si>
  <si>
    <t>AKRA TECH</t>
  </si>
  <si>
    <t>LOCATION: CHENNAI / HYBRID
We are seeking a highly skilled AI Python Developer with hands-on experience in building production-grade applications powered by Large Language Models (LLMs). The ideal candidate should have a strong background in designing and deploying AI agents, cha...</t>
  </si>
  <si>
    <t>https://www.glassdoor.co.in/job-listing/ai-developer-llms-rag-chatbots-akra-tech-JV_IC2833209_KO0,30_KE31,40.htm?jl=1009518573705</t>
  </si>
  <si>
    <t>GD_1010183724563</t>
  </si>
  <si>
    <t>Associate Machine Learning Engineer-1</t>
  </si>
  <si>
    <t>The Goodyear Tire &amp; Rubber Company</t>
  </si>
  <si>
    <t>To join our team, you will need:
Education:
M.Sc. in Data Science, Mathematics, Computer Science, or related technical field
Languages:
You are fluent in English.
Experience:
3+ years of experience in developing machine learning and advanced data analysis solutions on large data...</t>
  </si>
  <si>
    <t>https://www.glassdoor.co.in/job-listing/associate-machine-learning-engineer-1-goodyear-JV_KO0,37_KE38,46.htm?jl=1010183724563</t>
  </si>
  <si>
    <t>GD_1009974155767</t>
  </si>
  <si>
    <t>Gen AI Developer/AI ML Engineer</t>
  </si>
  <si>
    <t xml:space="preserve">CoRover Private Limited </t>
  </si>
  <si>
    <t>Role Requirements 
What We're Looking For
Everything you need to know about this role — responsibilities and the skills we value.
01 
Key Responsibilities
Build LLM/RAG services in Python (FastAPI/asyncio, Pydantic) with clean APIs and tests. 
Implement agentic AI workflows — too...</t>
  </si>
  <si>
    <t>https://www.glassdoor.co.in/job-listing/gen-ai-developer-ai-ml-engineer-corover-JV_KO0,31_KE32,39.htm?jl=1009974155767</t>
  </si>
  <si>
    <t>GD_1010162400924</t>
  </si>
  <si>
    <t>DocuSign, Inc.</t>
  </si>
  <si>
    <t>https://www.glassdoor.co.in/job-listing/ai-engineer-docusign-JV_KO0,11_KE12,20.htm?jl=1010162400924</t>
  </si>
  <si>
    <t>GD_1010159173378</t>
  </si>
  <si>
    <t>Senior Software Engineer/Data Scientist</t>
  </si>
  <si>
    <t>The Hartford Financial Services Group, Inc.</t>
  </si>
  <si>
    <t>Job Details
Location:
Hyderabad, Telangāna, IN
Category:
Data Science and Analytics
Employment Type:
Full time 
Job Ref:
R2625704-333
IND Lead Software Engineer - GCC093
We’re determined to make a difference and are proud to be an insurance company that goes well beyond coverages...</t>
  </si>
  <si>
    <t>https://www.glassdoor.co.in/job-listing/senior-software-engineer-data-scientist-the-hartford-JV_KO0,39_KE40,52.htm?jl=1010159173378</t>
  </si>
  <si>
    <t>GD_1010191466085</t>
  </si>
  <si>
    <t>Lead / Sr. Generative AI Developer with AWS</t>
  </si>
  <si>
    <t>https://www.glassdoor.co.in/job-listing/lead-sr-generative-ai-developer-with-aws-epam-systems-JV_IC2836047_KO0,40_KE41,53.htm?jl=1010191466085</t>
  </si>
  <si>
    <t>GD_1010154755091</t>
  </si>
  <si>
    <t>Associate, Specialist Data Scientist, Transformation and Data</t>
  </si>
  <si>
    <t>DBS Group Holdings Ltd.</t>
  </si>
  <si>
    <t>Job Purpose 
Develop statistical learning models by using AI / ML Techniques 
Identifying the Opportunities for Business growth 
Support business in meeting the Budgets through Analytical Insights 
Communicate results and ideas to key decision makers 
Key Accountabilities &amp; requ...</t>
  </si>
  <si>
    <t>https://www.glassdoor.co.in/job-listing/associate-specialist-data-scientist-transformation-and-data-dbs-bank-JV_KO0,59_KE60,68.htm?jl=1010154755091</t>
  </si>
  <si>
    <t>GD_1010179671074</t>
  </si>
  <si>
    <t>AI Engineer / Senior Engineer</t>
  </si>
  <si>
    <t>Doceree Media India Pvt. Ltd.</t>
  </si>
  <si>
    <t>Department
Product &amp; Engineering
Location
Noida, India
Job scope
India
Work setting
Work from office (WFO)
About Doceree
Doceree is the world's only AI-powered Operating System for healthcare marketing. We aim to be a catalyst for change, improving healthcare by enabling more me...</t>
  </si>
  <si>
    <t>https://www.glassdoor.co.in/job-listing/ai-engineer-senior-engineer-doceree-JV_KO0,27_KE28,35.htm?jl=1010179671074</t>
  </si>
  <si>
    <t>GD_1010179435825</t>
  </si>
  <si>
    <t>AVP, Analytics - Metadata Developer</t>
  </si>
  <si>
    <t>https://www.glassdoor.co.in/job-listing/avp-analytics-metadata-developer-synchrony-JV_KO0,32_KE33,42.htm?jl=1010179435825</t>
  </si>
  <si>
    <t>GD_1010178394464</t>
  </si>
  <si>
    <t>Associate AI Data Engineer</t>
  </si>
  <si>
    <t>Job Description: Key Responsibilities 
Design and develop LLM-based solutions for business use cases (e.g., chatbots, summarisation, document intelligence). 
Build and optimise RAG (Retrieval Augmented Generation) pipelines including data ingestion, embeddings, and retrieval. 
Im...</t>
  </si>
  <si>
    <t>https://www.glassdoor.co.in/job-listing/associate-ai-data-engineer-exl-service-JV_IC2856202_KO0,26_KE27,38.htm?jl=1010178394464</t>
  </si>
  <si>
    <t>GD_1010191270425</t>
  </si>
  <si>
    <t>AI Engineer - A S</t>
  </si>
  <si>
    <t>Required Skills:
Python
Copilot Studio
AI Agent Development
REST APIs
Prompt Engineering
GitHub Copilot / Claude Code
Git
Nice to Have:
RAG
Power Platform
Enterprise App Integration
AI Engineer – PoCs &amp; Agent Development Role Summary We're hiring an AI Engineer to rapidly build...</t>
  </si>
  <si>
    <t>https://www.glassdoor.co.in/job-listing/ai-engineer-as-cigres-technologies-JV_KO0,14_KE15,34.htm?jl=1010191270425</t>
  </si>
  <si>
    <t>GD_1010145752333</t>
  </si>
  <si>
    <t>ContenTerra Software Pvt. Ltd.</t>
  </si>
  <si>
    <t>Job Information
Date Opened
02/25/2026 
Job Type
Full time 
Industry
IT Services 
Work Experience
5+ years 
Created Time
02/25/2026 14:55 
City
Hyderabad 
State/Province
Telangana 
Country
India 
Zip/Postal Code
500081 
Job Description
Position: Senior AI Engineer
Location: Hyder...</t>
  </si>
  <si>
    <t>https://www.glassdoor.co.in/job-listing/ai-engineer-contenterra-software-JV_KO0,11_KE12,32.htm?jl=1010145752333</t>
  </si>
  <si>
    <t>GD_1010154129644</t>
  </si>
  <si>
    <t>Huron Consulting Group Inc.</t>
  </si>
  <si>
    <t>Huron is a global consultancy that collaborates with clients to drive strategic growth, ignite innovation and navigate constant change. Through a combination of strategy, expertise and creativity, we help clients accelerate operational, digital and cultural transformation, enabli...</t>
  </si>
  <si>
    <t>https://www.glassdoor.co.in/job-listing/ml-engineer-huron-consulting-group-JV_KO0,11_KE12,34.htm?jl=1010154129644</t>
  </si>
  <si>
    <t>GD_1009560045549</t>
  </si>
  <si>
    <t>Associate Frontend Developer</t>
  </si>
  <si>
    <t>Kodo Card</t>
  </si>
  <si>
    <t>We are seeking an experienced React Developer to join our dynamic team. The ideal candidate should have a minimum of 6 months of hands-on experience in developing cross-platform mobile applications using React. 
As a React Developer, you will be responsible for designing and impl...</t>
  </si>
  <si>
    <t>https://www.glassdoor.co.in/job-listing/associate-frontend-developer-kodo-JV_KO0,28_KE29,33.htm?jl=1009560045549</t>
  </si>
  <si>
    <t>GD_1010109135312</t>
  </si>
  <si>
    <t>Junior Frontend Engineer</t>
  </si>
  <si>
    <t>Plane</t>
  </si>
  <si>
    <t>About Plane
Plane is an incisive response to config-heavy, opinionated, and restrictive project management software. Check out our website.
In just two years, Plane’s grown to #1 in its category on GitHub and become a viable open-core alternative to Jira, Monday, Wrike, Asana, C...</t>
  </si>
  <si>
    <t>https://www.glassdoor.co.in/job-listing/junior-frontend-engineer-plane-software-inc-JV_KO0,24_KE25,43.htm?jl=1010109135312</t>
  </si>
  <si>
    <t>GD_1010165533475</t>
  </si>
  <si>
    <t>Fresenius Medical Care</t>
  </si>
  <si>
    <t>AI Engineer – Job Description
PURPOSE AND SCOPE
Design and deliver Generative AI solutions (LLMs, copilots, agents) that enhance automation, knowledge access, and decision-making across the enterprise.
Translate business problems into prompt-driven and retrieval-augmented (RAG) A...</t>
  </si>
  <si>
    <t>https://www.glassdoor.co.in/job-listing/senior-ai-engineer-fresenius-medical-care-JV_KO0,18_KE19,41.htm?jl=1010165533475</t>
  </si>
  <si>
    <t>GD_1010155237241</t>
  </si>
  <si>
    <t>THE WORK: Explore new horizons and inspire innovation. You will collaborate across multiple teams and contribute to key decisions while managing and guiding others to perform effectively. You will provide solutions to complex problems that impact various groups, all while embraci...</t>
  </si>
  <si>
    <t>https://www.glassdoor.co.in/job-listing/ai-ml-engineer-accenture-JV_IC2940587_KO0,14_KE15,24.htm?jl=1010155237241</t>
  </si>
  <si>
    <t>GD_1010067307304</t>
  </si>
  <si>
    <t>Jr. Frontend Developer</t>
  </si>
  <si>
    <t>Enzigma Software Pvt. Ltd.</t>
  </si>
  <si>
    <t>Job Description 
Position: Front End Developer/Sr. Front End Developer 
Experience: 0-1 years
Responsibilities 
Develop and maintain web applications using Front End (Angular) technologies 
Develop user-facing features using Angular framework 
Troubleshoot and debug applications...</t>
  </si>
  <si>
    <t>https://www.glassdoor.co.in/job-listing/jr-frontend-developer-enzigma-JV_IC2856202_KO0,21_KE22,29.htm?jl=1010067307304</t>
  </si>
  <si>
    <t>GD_1010167234493</t>
  </si>
  <si>
    <t>United Nations</t>
  </si>
  <si>
    <t>Chikmagalūr</t>
  </si>
  <si>
    <t>Result of Service 
• Design and Development of software applications using Machine Learning models • Contribute technical expertise to requirements analysis to improve the quality of the solution design • Provide detailed documentation of changes and manage version control with t...</t>
  </si>
  <si>
    <t>https://www.glassdoor.co.in/job-listing/ai-developer-united-nations-JV_IC2938204_KO0,12_KE13,27.htm?jl=1010167234493</t>
  </si>
  <si>
    <t>GD_1010186743270</t>
  </si>
  <si>
    <t>Technical Lead – AI Systems &amp; Architecture</t>
  </si>
  <si>
    <t>Company: 
Qualcomm India Private Limited 
Job Area: 
Engineering Group, Engineering Group &gt; Hardware Engineering 
General Summary: 
Our team is focused on applying state-of-the-art AI and ML technologies to solve complex business problems in the chip design, qualification, and de...</t>
  </si>
  <si>
    <t>https://www.glassdoor.co.in/job-listing/technical-lead-ai-systems-architecture-qualcomm-JV_IC2940587_KO0,38_KE39,47.htm?jl=1010186743270</t>
  </si>
  <si>
    <t>GD_1010182578535</t>
  </si>
  <si>
    <t>Frontend Engineer (React.js + TypeScript)</t>
  </si>
  <si>
    <t>We're looking for a passionate Frontend Engineer to join our team and contribute to the development of Project Sentinel. If you enjoy building modern, scalable, and high-performance web applications using React.js and TypeScript, we'd love to hear from you!
What You'll Do Develop...</t>
  </si>
  <si>
    <t>https://www.glassdoor.co.in/job-listing/frontend-engineer-react-js-typescript-findq-JV_IC2836047_KO0,37_KE38,43.htm?jl=1010182578535</t>
  </si>
  <si>
    <t>GD_1010179354109</t>
  </si>
  <si>
    <t>Sr. Frontend Developer (Vistech)</t>
  </si>
  <si>
    <t xml:space="preserve">Hengstler GmbH </t>
  </si>
  <si>
    <t>Bengaluru North, Karnataka, India 
Role summary
Configurators are how our customers find the exact sensor, encoder, or instrument they need from a catalog with thousands of variants. You'll own the configurator stack — primarily **Vistech**, plus the front-end glue (BigCommerce /...</t>
  </si>
  <si>
    <t>https://www.glassdoor.co.in/job-listing/sr-frontend-developer-vistech-hengstler-JV_KO0,29_KE30,39.htm?jl=1010179354109</t>
  </si>
  <si>
    <t>GD_1007764716710</t>
  </si>
  <si>
    <t>HTML 5, CSS3 &amp; bootstrap + js &amp; jquery developer</t>
  </si>
  <si>
    <t>PrimaThink Technologies Private Limited</t>
  </si>
  <si>
    <t>Amravati</t>
  </si>
  <si>
    <t>Job description
We are offering a Front End Developer Position with expertise in Wordpress development. This position requires a combination of programming skills (namely HTML5, CSS3, and JavaScript &amp; jquery) and aesthetics (understanding element arrangements on the screen, the c...</t>
  </si>
  <si>
    <t>https://www.glassdoor.co.in/job-listing/html-5-css3-bootstrap-js-jquery-developer-primathink-JV_IC2856234_KO0,41_KE42,52.htm?jl=1007764716710</t>
  </si>
  <si>
    <t>GD_1008123796798</t>
  </si>
  <si>
    <t xml:space="preserve"> Redinent Innovations Pvt Ltd.</t>
  </si>
  <si>
    <t>About Us
&lt;div&gt;&lt;b style="font-weight: bolder; color: rgb(33, 37, 41); font-family: &amp;quot;Averta Standard&amp;quot;; font-size: 17.6px; font-style: normal; letter-spacing: normal; orphans: 2; text-align: center; text-indent: 0px; text-transform: none; white-space: normal; widows: 2; wo...</t>
  </si>
  <si>
    <t>https://www.glassdoor.co.in/job-listing/frontend-developer-redinent-innovations-JV_KO0,18_KE19,39.htm?jl=1008123796798</t>
  </si>
  <si>
    <t>GD_1010015131663</t>
  </si>
  <si>
    <t>Software Engineer-Frontend</t>
  </si>
  <si>
    <t>Rocketlane Corp</t>
  </si>
  <si>
    <t>About Rocketlane
Rocketlane is a fast-growing, innovative SaaS company making waves in customer onboarding and professional services automation.
Our mission? To empower B2B companies with a smooth, consistent, and efficient way to onboard customers and manage client projects—redu...</t>
  </si>
  <si>
    <t>https://www.glassdoor.co.in/job-listing/software-engineer-frontend-rocketlane-JV_IC2833209_KO0,26_KE27,37.htm?jl=1010015131663</t>
  </si>
  <si>
    <t>GD_1010183689211</t>
  </si>
  <si>
    <t>Technical Specialist - CSS, Angular, HTML</t>
  </si>
  <si>
    <t>Hyderabad, Telangana 
Job Summary 
Job Description : Front end developer We are looking for a Product developer with a strong background in UI development, specifically Angular (TypeScript) , and Java/Python backend development to design, develop, and deliver high-quality softwa...</t>
  </si>
  <si>
    <t>https://www.glassdoor.co.in/job-listing/technical-specialist-css-angular-html-hcltech-JV_KO0,37_KE38,45.htm?jl=1010183689211</t>
  </si>
  <si>
    <t>GD_1010130714418</t>
  </si>
  <si>
    <t>Gen AI Python Intmd Programmer Analyst</t>
  </si>
  <si>
    <t>https://www.glassdoor.co.in/job-listing/gen-ai-python-intmd-programmer-analyst-citi-JV_KO0,38_KE39,43.htm?jl=1010130714418</t>
  </si>
  <si>
    <t>GD_1010192125872</t>
  </si>
  <si>
    <t>https://www.glassdoor.co.in/job-listing/software-engineer-react-us-bank-JV_IC2833209_KO0,23_KE24,31.htm?jl=1010192125872</t>
  </si>
  <si>
    <t>GD_1010176883990</t>
  </si>
  <si>
    <t>Sai BioCare Pvt.Ltd</t>
  </si>
  <si>
    <t>*Job Summary*
We are seeking a Front-End Developer to build responsive, user-friendly web applications. The ideal candidate should have strong knowledge of HTML, CSS, JavaScript, and modern front-end frameworks, and be able to collaborate with designers and back-end developers to...</t>
  </si>
  <si>
    <t>https://www.glassdoor.co.in/job-listing/frontend-developer-sai-biocare-JV_KO0,18_KE19,30.htm?jl=1010176883990</t>
  </si>
  <si>
    <t>GD_1010098698927</t>
  </si>
  <si>
    <t>Python Developer - DEV-PY-UDR01</t>
  </si>
  <si>
    <t>Job Description:
Python Developer responsibilities include writing and testing code, debugging programs and integrating applications with third-party web services. To be successful in this role, you should have experience using server-side logic and work well in a team.
Write eff...</t>
  </si>
  <si>
    <t>https://www.glassdoor.co.in/job-listing/python-developer-dev-py-udr01-pegasus-turnkey-solution-private-limited-JV_KO0,29_KE30,70.htm?jl=1010098698927</t>
  </si>
  <si>
    <t>GD_1010173564441</t>
  </si>
  <si>
    <t>Job Description: Lead the development of the frontend of web applications, ensuring high performance and visual appeal.
Responsibilities: Develop responsive web applications, work with backend teams for integration, ensure cross browser compatibility, conduct code reviews
Quali...</t>
  </si>
  <si>
    <t>https://www.glassdoor.co.in/job-listing/senior-frontend-developer-exl-service-JV_IC2940587_KO0,25_KE26,37.htm?jl=1010173564441</t>
  </si>
  <si>
    <t>GD_1009978326750</t>
  </si>
  <si>
    <t>Jr. Frontend Developer Executive</t>
  </si>
  <si>
    <t>0.6 to 2 Years
Full Time
Mumbai
As per industry standard
Reporting HR Contact Details
hr@ftv.ind.in
Opening - 3 Positions
Job Description
Assist in developing UI components using HTML, CSS, and JavaScript .
Support senior developers in integrating APIs and React components .
Conv...</t>
  </si>
  <si>
    <t>https://www.glassdoor.co.in/job-listing/jr-frontend-developer-executive-fashiontv-india-JV_IC2851180_KO0,31_KE32,47.htm?jl=1009978326750</t>
  </si>
  <si>
    <t>GD_1010180357063</t>
  </si>
  <si>
    <t>Senior Industrial Automation &amp; Electrical Design Engineer</t>
  </si>
  <si>
    <t>EXPERIENCE: 8+ Years
Role Overview
We are seeking a skilled and detail-oriented Electrical Design Engineer to join our engineering team. The successful candidate will be responsible for designing, developing, and documenting electrical systems for Low Voltage (LV) distribution, m...</t>
  </si>
  <si>
    <t>https://www.glassdoor.co.in/job-listing/senior-industrial-automation-electrical-design-engineer-asset-eyes-infomatics-private-limited-JV_KO0,55_KE56,93.htm?jl=1010180357063</t>
  </si>
  <si>
    <t>GD_1010189444625</t>
  </si>
  <si>
    <t>Overview
Commercial Engineering &amp; AI (CEAI) organization is at the forefront of Microsoft’s mission to accelerate AI-driven business value for customers and partners. As a Software Engineer in CEAI, you will join a dynamic team dedicated to building innovative AI solutions that ...</t>
  </si>
  <si>
    <t>https://www.glassdoor.co.in/job-listing/software-engineer-2-microsoft-JV_KO0,19_KE20,29.htm?jl=1010189444625</t>
  </si>
  <si>
    <t>GD_1010149979393</t>
  </si>
  <si>
    <t>Experience with 3DX Installation/configuration, system administration functionalities and Visualization(UI)/Configuration Management.
Experience in customization of various centrals such as GLR, GLS, Variant Configuration, Library, Program, Engineering Centrals etc.
Experience wi...</t>
  </si>
  <si>
    <t>https://www.glassdoor.co.in/job-listing/software-engineer-ecolab-JV_KO0,17_KE18,24.htm?jl=1010149979393</t>
  </si>
  <si>
    <t>GD_1010186333538</t>
  </si>
  <si>
    <t>Appian Corporation</t>
  </si>
  <si>
    <t>https://www.glassdoor.co.in/job-listing/software-engineer-ii-appian-JV_IC2833209_KO0,20_KE21,27.htm?jl=1010186333538</t>
  </si>
  <si>
    <t>GD_1010019615993</t>
  </si>
  <si>
    <t>frontend devoloper</t>
  </si>
  <si>
    <t>Job Summary
Bluphlux is seeking a skilled Frontend Developer with 3 to 5 years of experience to join our dynamic team. As a Frontend Developer, you will play a crucial role in designing and implementing user-friendly web interfaces that enhance the user experience. You will work ...</t>
  </si>
  <si>
    <t>https://www.glassdoor.co.in/job-listing/frontend-devoloper-bluphlux-JV_KO0,18_KE19,27.htm?jl=1010019615993</t>
  </si>
  <si>
    <t>GD_1010189273543</t>
  </si>
  <si>
    <t>Job Characteristics: In this entry level position, the employee's primary duty is to write code that meets project requirements and complies with documentation and design standards. Assists in writing the standard documentation used to translate project needs into software design...</t>
  </si>
  <si>
    <t>https://www.glassdoor.co.in/job-listing/associate-software-engineer-ecolab-JV_IC2940587_KO0,27_KE28,34.htm?jl=1010189273543</t>
  </si>
  <si>
    <t>GD_1010186703724</t>
  </si>
  <si>
    <t>Sr. Software Platform Engineer II</t>
  </si>
  <si>
    <t>General Information 
Location
Pune, Maharashtra
Working Schedule 
Full-Time 
Work Arrangement 
Hybrid 
Relocation Assistance Available 
No 
Posted Date 
01-Jul-2026 
Job ID 
18813 
Description and Requirements 
TBD
About MetLife
Recognized on Fortune magazine's list of the "World...</t>
  </si>
  <si>
    <t>https://www.glassdoor.co.in/job-listing/sr-software-platform-engineer-ii-metlife-JV_IC2856202_KO0,32_KE33,40.htm?jl=1010186703724</t>
  </si>
  <si>
    <t>GD_1010191916331</t>
  </si>
  <si>
    <t>https://www.glassdoor.co.in/job-listing/senior-application-software-engineer-oracle-JV_KO0,36_KE37,43.htm?jl=1010191916331</t>
  </si>
  <si>
    <t>GD_1010180465184</t>
  </si>
  <si>
    <t>Amantya Technologies, Inc</t>
  </si>
  <si>
    <t>Applications for this position will be accepted till 29th June 2026.
Frontend Web Developer
Education- Bachelors degree in Computer Science, Software Engineering, or a related field. Master’s degree preferred.
Requirements:
5-7 years of experience in backend software developmen...</t>
  </si>
  <si>
    <t>https://www.glassdoor.co.in/job-listing/senior-software-engineer-amantya-technologies-JV_KO0,24_KE25,45.htm?jl=1010180465184</t>
  </si>
  <si>
    <t>GD_1010133747126</t>
  </si>
  <si>
    <t>https://www.glassdoor.co.in/job-listing/full-stack-engineer-optum-JV_KO0,19_KE20,25.htm?jl=1010133747126</t>
  </si>
  <si>
    <t>GD_1010153293672</t>
  </si>
  <si>
    <t>https://www.glassdoor.co.in/job-listing/software-engineer-revenera-JV_KO0,17_KE18,26.htm?jl=1010153293672</t>
  </si>
  <si>
    <t>GD_1010123675720</t>
  </si>
  <si>
    <t>Safe Securities, Inc.</t>
  </si>
  <si>
    <t>https://www.glassdoor.co.in/job-listing/software-development-engineer-ii-safe-security-JV_KO0,32_KE33,46.htm?jl=1010123675720</t>
  </si>
  <si>
    <t>GD_1010170023467</t>
  </si>
  <si>
    <t>https://www.glassdoor.co.in/job-listing/software-engineer-zelis-JV_KO0,17_KE18,23.htm?jl=1010170023467</t>
  </si>
  <si>
    <t>GD_1010182740227</t>
  </si>
  <si>
    <t>Project Role : Custom Software Engineer
Project Role Description : Develop and configure software systems either end-to-end or for a specific stage of product lifecycle. Apply knowledge of technologies, applications, methodologies, processes and tools to support a client, project...</t>
  </si>
  <si>
    <t>https://www.glassdoor.co.in/job-listing/custom-software-engineer-accenture-JV_IC2940587_KO0,24_KE25,34.htm?jl=1010182740227</t>
  </si>
  <si>
    <t>GD_1010191071152</t>
  </si>
  <si>
    <t>Frontend Developer (React / Next.js)</t>
  </si>
  <si>
    <t>Frontend Developer (React / Next.js)
Organization: Entellus &amp; Co – E-WORKS Portal
Location: Bangalore / Remote
Experience: 2–4 Years
Role Overview
We are looking for a Frontend Developer to build scalable, responsive, and high-performance user interfaces for the E-WORKS platform....</t>
  </si>
  <si>
    <t>https://www.glassdoor.co.in/job-listing/frontend-developer-react-next-js-entellus-co-JV_KO0,32_KE33,44.htm?jl=1010191071152</t>
  </si>
  <si>
    <t>GD_1010143078216</t>
  </si>
  <si>
    <t>Datametrics Software Systems, Inc.</t>
  </si>
  <si>
    <t>Software Development Engineer in Test is needed to perform the following duties: Responsible for providing feedback on artifacts developed during requirements and analysis. Responsible for providing feedback and provide improvement suggestions on QA processes. Define the scope of...</t>
  </si>
  <si>
    <t>https://www.glassdoor.co.in/job-listing/software-development-engineer-datametrics-software-systems-JV_KO0,29_KE30,58.htm?jl=1010143078216</t>
  </si>
  <si>
    <t>GD_1010182131517</t>
  </si>
  <si>
    <t>https://www.glassdoor.co.in/job-listing/software-engineer-endur-shell-energy-retail-JV_IC2940587_KO0,23_KE24,43.htm?jl=1010182131517</t>
  </si>
  <si>
    <t>GD_1009900015966</t>
  </si>
  <si>
    <t>Epsilon Data Management, LLC.</t>
  </si>
  <si>
    <t>Overview
About Business Unit:
The Automotive Practice at Epsilon is a rapidly growing team, driving growth for major players in the automotive industry - from Original Equipment Manufacturers (OEMs) to dealerships across North America. Part of a 1,600-member multinational team, t...</t>
  </si>
  <si>
    <t>https://www.glassdoor.co.in/job-listing/senior-staff-software-engineer-epsilon-JV_KO0,30_KE31,38.htm?jl=1009900015966</t>
  </si>
  <si>
    <t>GD_1010123274519</t>
  </si>
  <si>
    <t>Senior Data Informatics Manager – AI/ML Engineering Development</t>
  </si>
  <si>
    <t>https://www.glassdoor.co.in/job-listing/senior-data-informatics-manager-ai-ml-engineering-development-kla-JV_KO0,61_KE62,65.htm?jl=1010123274519</t>
  </si>
  <si>
    <t>GD_1010153677077</t>
  </si>
  <si>
    <t>Software Developer Trainee</t>
  </si>
  <si>
    <t>Alleppey</t>
  </si>
  <si>
    <t>Azym Learning Hub, the education division of Azym International Private Limited, is looking for passionate and career-focused candidates for our Software Developer Trainee opportunity in Near EMS Stadium, Alappuzha, Kerala.
This is a full-time offline trainee opportunity designed...</t>
  </si>
  <si>
    <t>https://www.glassdoor.co.in/job-listing/software-developer-trainee-azym-international-JV_IC4469248_KO0,26_KE27,45.htm?jl=1010153677077</t>
  </si>
  <si>
    <t>GD_1010177979241</t>
  </si>
  <si>
    <t>FedEx Corporation</t>
  </si>
  <si>
    <t>Responsible for designing and implementing user-facing features, developing server-side logic and databases, integrating third-party APIs, maintaining version control, conducting testing and debugging, deploying applications, implementing security measures, optimizing performance...</t>
  </si>
  <si>
    <t>https://www.glassdoor.co.in/job-listing/software-developer-ii-fedex-JV_KO0,21_KE22,27.htm?jl=1010177979241</t>
  </si>
  <si>
    <t>GD_1010175015614</t>
  </si>
  <si>
    <t>Associate Technical Lead, Software Development</t>
  </si>
  <si>
    <t>https://www.glassdoor.co.in/job-listing/associate-technical-lead-software-development-kla-JV_IC2833209_KO0,45_KE46,49.htm?jl=1010175015614</t>
  </si>
  <si>
    <t>GD_1010099973359</t>
  </si>
  <si>
    <t>Associate Frontend Developer (Framer-Only)</t>
  </si>
  <si>
    <t>Jalan Jalan</t>
  </si>
  <si>
    <t>Remote
Full-time
0+ years
Competitive/year
About this Role
About the Role
We are looking for a passionate Associate Frontend Developer (Framer-Only) to join our growing team. This role is ideal for freshers who are eager to build modern, responsive marketing websites using Frame...</t>
  </si>
  <si>
    <t>https://www.glassdoor.co.in/job-listing/associate-frontend-developer-framer-only-jalan-jalan-JV_KO0,40_KE41,52.htm?jl=1010099973359</t>
  </si>
  <si>
    <t>GD_1010123712402</t>
  </si>
  <si>
    <t>Software Engineer - Products</t>
  </si>
  <si>
    <t>Improzo Inc.</t>
  </si>
  <si>
    <t>Job Title: Software Engineer - Products
Location: Pune
About Improzo
At Improzo (Improve + Zoe; meaning Life in Greek), we believe in improving life by empowering our customers. Founded by seasoned Industry leaders, we are laser focused for delivering quality-led commercial analy...</t>
  </si>
  <si>
    <t>https://www.glassdoor.co.in/job-listing/software-engineer-products-improzo-JV_KO0,26_KE27,34.htm?jl=1010123712402</t>
  </si>
  <si>
    <t>GD_1010174244420</t>
  </si>
  <si>
    <t>Senior Manager Software Engineering, Data (Employer of Record)</t>
  </si>
  <si>
    <t>https://www.glassdoor.co.in/job-listing/senior-manager-software-engineering-data-employer-of-record-credit-acceptance-JV_KO0,59_KE60,77.htm?jl=1010174244420</t>
  </si>
  <si>
    <t>GD_1010177129838</t>
  </si>
  <si>
    <t>Product Analyst, Tech Platform &amp; Data</t>
  </si>
  <si>
    <t>Ocrolus Inc</t>
  </si>
  <si>
    <t>Come build at the intersection of AI and fintech. At Ocrolus, we’re on a mission to help lenders automate workflows with confidence—streamlining how financial institutions evaluate borrowers and enabling faster, more accurate lending decisions.
Our AI workflow and analytics platf...</t>
  </si>
  <si>
    <t>https://www.glassdoor.co.in/job-listing/product-analyst-tech-platform-data-ocrolus-JV_KO0,34_KE35,42.htm?jl=1010177129838</t>
  </si>
  <si>
    <t>GD_1010044154979</t>
  </si>
  <si>
    <t>https://www.glassdoor.co.in/job-listing/custom-software-engineer-accenture-JV_KO0,24_KE25,34.htm?jl=1010044154979</t>
  </si>
  <si>
    <t>GD_1010191262459</t>
  </si>
  <si>
    <t xml:space="preserve">Deloitte </t>
  </si>
  <si>
    <t>https://www.glassdoor.co.in/job-listing/l35-specialist-analytics-and-insights-data-engineer-hyderabad-deloitte-JV_KO0,61_KE62,70.htm?jl=1010191262459</t>
  </si>
  <si>
    <t>GD_1010064814100</t>
  </si>
  <si>
    <t>BI Developer</t>
  </si>
  <si>
    <t>Ashirvad Pipes Private Limited</t>
  </si>
  <si>
    <t>Role Summary: 
Senior Developer will be responsible for designing, developing and optimizing high performance business intelligence solutions that drive strategic decision making across the product ecosystem. The Primary Focus will be Managing the Existing Reports and Creating ne...</t>
  </si>
  <si>
    <t>https://www.glassdoor.co.in/job-listing/bi-developer-ashirvad-pipes-JV_KO0,12_KE13,27.htm?jl=1010064814100</t>
  </si>
  <si>
    <t>GD_1010189461092</t>
  </si>
  <si>
    <t>https://www.glassdoor.co.in/job-listing/data-analyst-codescastle-software-pvt-ltd-JV_IC2856202_KO0,12_KE13,41.htm?jl=1010189461092</t>
  </si>
  <si>
    <t>GD_1010163130497</t>
  </si>
  <si>
    <t>https://www.glassdoor.co.in/job-listing/data-analyst-2-optum-JV_IC2833209_KO0,14_KE15,20.htm?jl=1010163130497</t>
  </si>
  <si>
    <t>GD_1010083672086</t>
  </si>
  <si>
    <t>Kāngayam</t>
  </si>
  <si>
    <t>A Power BI Developer is responsible for designing, developing, and maintaining business intelligence solutions using Microsoft Power BI.
Key Responsibilities
Connect and import data from various sources (Excel, databases, cloud platforms)
Clean and transform data using Power Quer...</t>
  </si>
  <si>
    <t>https://www.glassdoor.co.in/job-listing/power-bi-developer-united-carbon-solutions-private-limited-JV_IC2830532_KO0,18_KE19,58.htm?jl=1010083672086</t>
  </si>
  <si>
    <t>GD_1010157031405</t>
  </si>
  <si>
    <t>BI Engineering Analyst</t>
  </si>
  <si>
    <t>Skill required: Data Management - Microsoft Power Business Intelligence (BI)
Designation: BI Engineering Analyst
Qualifications:Any Graduation 
Years of Experience:3-5 Years 
About Accenture
Accenture is a global professional services company with leading capabilities in digital,...</t>
  </si>
  <si>
    <t>https://www.glassdoor.co.in/job-listing/bi-engineering-analyst-accenture-JV_KO0,22_KE23,32.htm?jl=1010157031405</t>
  </si>
  <si>
    <t>GD_1010171680953</t>
  </si>
  <si>
    <t>SAS Data analyst</t>
  </si>
  <si>
    <t>https://www.glassdoor.co.in/job-listing/sas-data-analyst-citi-JV_IC2940587_KO0,16_KE17,21.htm?jl=1010171680953</t>
  </si>
  <si>
    <t>GD_1010179435809</t>
  </si>
  <si>
    <t>Senior Analyst, Digital Analytics (L09)</t>
  </si>
  <si>
    <t>https://www.glassdoor.co.in/job-listing/senior-analyst-digital-analytics-l09-synchrony-JV_KO0,36_KE37,46.htm?jl=1010179435809</t>
  </si>
  <si>
    <t>GD_1010191433190</t>
  </si>
  <si>
    <t>Job Description Summary
Responsible for designing, building, delivering and maintaining software applications &amp; services. Working in the areas of machine, cloud, platform and/or application. Responsible for software lifecycle including activities such as requirement analysis, doc...</t>
  </si>
  <si>
    <t>https://www.glassdoor.co.in/job-listing/software-engineer-ge-healthcare-JV_KO0,17_KE18,31.htm?jl=1010191433190</t>
  </si>
  <si>
    <t>GD_1010191403808</t>
  </si>
  <si>
    <t>Software Engineer, Tech Solutions</t>
  </si>
  <si>
    <t>Bain &amp; Company, Inc.</t>
  </si>
  <si>
    <t>Company Profile
Bain &amp; Company is one of the top management consulting firms in the world that helps the world’s most ambitious changemakers define the future.
Across 65 cities in 40 countries, we work alongside our clients as one team with a shared ambition to achieve extraordin...</t>
  </si>
  <si>
    <t>https://www.glassdoor.co.in/job-listing/software-engineer-tech-solutions-bain-company-JV_KO0,32_KE33,45.htm?jl=1010191403808</t>
  </si>
  <si>
    <t>GD_1010185795302</t>
  </si>
  <si>
    <t>Power BI Senior developers(Contract Role)</t>
  </si>
  <si>
    <t>hirezy.ai</t>
  </si>
  <si>
    <t>We are seeking an experienced Power BI Developer with 6-10 years of experience to join our team. The ideal candidate will have a strong background in working with diverse data sources, including Azure, SAP Hana, and Snowflake, and must be proficient in Tabular Data Modeling conce...</t>
  </si>
  <si>
    <t>https://www.glassdoor.co.in/job-listing/power-bi-senior-developers-contract-role-hirezy-ai-JV_KO0,40_KE41,50.htm?jl=1010185795302</t>
  </si>
  <si>
    <t>GD_1010138651818</t>
  </si>
  <si>
    <t>RPO COE - Analyst 168271</t>
  </si>
  <si>
    <t>Automatic Data Processing, Inc.</t>
  </si>
  <si>
    <t>?Preparing the business cases. ?Requirements Elicitation, Planning, analysis, monitoring, organization, simplifying, translating, communication, validation. ?Define configuration specifications and business analysis requirements ?Perform quality assurance. ?Define reporting and a...</t>
  </si>
  <si>
    <t>https://www.glassdoor.co.in/job-listing/rpo-coe-analyst-168271-adp-JV_KO0,22_KE23,26.htm?jl=1010138651818</t>
  </si>
  <si>
    <t>GD_1010162546158</t>
  </si>
  <si>
    <t>Healthcare Research &amp; Data Analyst</t>
  </si>
  <si>
    <t>Clarivate Analytics</t>
  </si>
  <si>
    <t>We are looking for a Healthcare Research and Data Analyst to join our Medtech Insights team in Bangalore. This is an amazing opportunity to work on syndicated market research reports and custom projects for medical device space. The team consists of 48 - 50 people and is reportin...</t>
  </si>
  <si>
    <t>https://www.glassdoor.co.in/job-listing/healthcare-research-data-analyst-clarivate-JV_KO0,32_KE33,42.htm?jl=1010162546158</t>
  </si>
  <si>
    <t>GD_1010188253803</t>
  </si>
  <si>
    <t>Senior Data Analyst (Contract) - Bangalore</t>
  </si>
  <si>
    <t>Tally Solutions Pvt. Ltd.</t>
  </si>
  <si>
    <t>Function/Group:
Marketing :
Experience:
3-5 Years
Location:
India
About Tally 
The pioneers of software product industry in India, we are a technology and innovation led company simplifying the lives of small and medium businesses over the last three decades. With our cutting-edg...</t>
  </si>
  <si>
    <t>https://www.glassdoor.co.in/job-listing/senior-data-analyst-contract-bangalore-tally-solutions-JV_IC2940587_KO0,38_KE39,54.htm?jl=1010188253803</t>
  </si>
  <si>
    <t>GD_1010046182752</t>
  </si>
  <si>
    <t>Sulzer Ltd</t>
  </si>
  <si>
    <t>Sulzer is a leading engineering company with a proud heritage of innovation. Join our global team to grow your expertise and develop innovative solutions that enable a prosperous and more sustainable society. 
About the role 
Job Summary 
The Product Development Engineer is respo...</t>
  </si>
  <si>
    <t>https://www.glassdoor.co.in/job-listing/web-developer-sulzer-JV_KO0,13_KE14,20.htm?jl=1010046182752</t>
  </si>
  <si>
    <t>GD_1010191394095</t>
  </si>
  <si>
    <t>Cummins Inc.</t>
  </si>
  <si>
    <t>https://www.glassdoor.co.in/job-listing/business-intelligence-analyst-cummins-JV_KO0,29_KE30,37.htm?jl=1010191394095</t>
  </si>
  <si>
    <t>GD_1010177144301</t>
  </si>
  <si>
    <t>Engineer - Software</t>
  </si>
  <si>
    <t>Eaton Corporation</t>
  </si>
  <si>
    <t>What you’ll do: 
We are seeking a highly motivated and talented Senior Software Engineer with 5–7 years of experience in software design, development, and maintenance of enterprise-grade applications. The ideal candidate should possess strong logical and analytical thinking, exce...</t>
  </si>
  <si>
    <t>https://www.glassdoor.co.in/job-listing/engineer-software-eaton-JV_IC2833209_KO0,17_KE18,23.htm?jl=1010177144301</t>
  </si>
  <si>
    <t>GD_1010145455747</t>
  </si>
  <si>
    <t>Varthana</t>
  </si>
  <si>
    <t>Published on
dd-MMM-yyyy
Branch 
Head Office
Qualifications 
MBA finance - Post Graduation
Experience 
5 Years - 0 Months To 10 Years - 0 Months
Contact 
Diana - 9243856692
Key Requirement for the Position 
Preferred Profile
Minimum Education Qualification: MBA (Finance), CA, or...</t>
  </si>
  <si>
    <t>https://www.glassdoor.co.in/job-listing/senior-data-analyst-varthana-JV_KO0,19_KE20,28.htm?jl=1010145455747</t>
  </si>
  <si>
    <t>GD_1010103146909</t>
  </si>
  <si>
    <t>Data Analyst IN JEWELLRY</t>
  </si>
  <si>
    <t>Job Overview
We’re looking for a detail-oriented Data Analyst to support business decisions in the jewellery sector. The role involves analyzing sales trends, customer preferences, inventory movement, and pricing strategies to improve profitability and operational efficiency.
Key...</t>
  </si>
  <si>
    <t>https://www.glassdoor.co.in/job-listing/data-analyst-in-jewellry-manttra-JV_IC2942216_KO0,24_KE25,32.htm?jl=1010103146909</t>
  </si>
  <si>
    <t>GD_1010190851329</t>
  </si>
  <si>
    <t>We're Hiring: Full Stack Developer (AngularJS / ReactJS / REST API / SQL / MongoDB)
Are you a passionate and experienced Full Stack Developer looking to take your skills to the next level? We’re expanding our tech team and looking for highly skilled developers who can build robus...</t>
  </si>
  <si>
    <t>https://www.glassdoor.co.in/job-listing/full-stack-developer-allcode-technologies-private-limited-JV_KO0,20_KE21,57.htm?jl=1010190851329</t>
  </si>
  <si>
    <t>GD_1010189357041</t>
  </si>
  <si>
    <t>Software engineer</t>
  </si>
  <si>
    <t>https://www.glassdoor.co.in/job-listing/software-engineer-kla-JV_IC2833209_KO0,17_KE18,21.htm?jl=1010189357041</t>
  </si>
  <si>
    <t>GD_1009824167887</t>
  </si>
  <si>
    <t>Job Description: 
We have urgent requirements for an experienced data analytics based at our Chennai office, India.
Skills/Requirements
Good experience in developing AI models working in reputed organization
Strong knowledge in Machine Learning &amp; Deep Learning
Expert in SAS, ETL,...</t>
  </si>
  <si>
    <t>https://www.glassdoor.co.in/job-listing/data-analytics-riverstone-infotech-JV_IC2833209_KO0,14_KE15,34.htm?jl=1009824167887</t>
  </si>
  <si>
    <t>GD_1010191460149</t>
  </si>
  <si>
    <t>Takeda Pharmaceutical Company Limited</t>
  </si>
  <si>
    <t>https://www.glassdoor.co.in/job-listing/analyst-ii-takeda-pharmaceuticals-JV_KO0,10_KE11,33.htm?jl=1010191460149</t>
  </si>
  <si>
    <t>GD_1010170309080</t>
  </si>
  <si>
    <t>Meet the Team 
The Customer Listening&amp; Analytics team with Cisco’s Data and Analytics organization, owns the data infrastructure and analytical frameworks that power Cisco’s global customer experience measurement programs. Our data platform underpins NPS measurement, TAC perform...</t>
  </si>
  <si>
    <t>https://www.glassdoor.co.in/job-listing/data-analyst-cisco-systems-JV_IC2940587_KO0,12_KE13,26.htm?jl=1010170309080</t>
  </si>
  <si>
    <t>GD_1010163858695</t>
  </si>
  <si>
    <t>Business Analyst - Full Time</t>
  </si>
  <si>
    <t>Job openings for Business Analyst in Chennai
As a Business Analyst, your primary role involves analyzing and improving our business processes to enhance efficiency and support strategic decision-making. You will collaborate with various stakeholders to identify their needs and ...</t>
  </si>
  <si>
    <t>https://www.glassdoor.co.in/job-listing/business-analyst-full-time-bsri-solutions-JV_IC2833209_KO0,26_KE27,41.htm?jl=1010163858695</t>
  </si>
  <si>
    <t>GD_1010192168127</t>
  </si>
  <si>
    <t>Elfonze Technologies Private Limited</t>
  </si>
  <si>
    <t>https://www.glassdoor.co.in/job-listing/otbi-bi-publisher-developer-elfonze-technologies-JV_KO0,27_KE28,48.htm?jl=1010192168127</t>
  </si>
  <si>
    <t>GD_1010155245483</t>
  </si>
  <si>
    <t>SOFTWARE CONTAINER IMAGES ENGINEER</t>
  </si>
  <si>
    <t>Apply Now
PLATFORM ENGINEER ( IMAGE HARDENING ) 
Apply Now
COUNTRY
Europe
FORMAT
Remote
Svitla Systems Inc. is looking for a Software Platform Engineer with Docker and OCI for a full-time position (40 hours per week) in Europe. Our client is a cloud-native cybersecurity company t...</t>
  </si>
  <si>
    <t>https://www.glassdoor.co.in/job-listing/software-container-images-engineer-svitla-systems-JV_IC4476728_KO0,34_KE35,49.htm?jl=1010155245483</t>
  </si>
  <si>
    <t>GD_1010177387518</t>
  </si>
  <si>
    <t>Job Title: Data Analyst – Medical Billing &amp; Healthcare Analytics
Location: Remote / On-site (Byculla E - Mumbai)
Employment Type: Full-Time
About Us
We are a growing medical billing company serving healthcare providers across the United States. We are looking for a skilled and de...</t>
  </si>
  <si>
    <t>https://www.glassdoor.co.in/job-listing/data-analyst-accusolution-JV_IC2851180_KO0,12_KE13,25.htm?jl=1010177387518</t>
  </si>
  <si>
    <t>GD_1010165361813</t>
  </si>
  <si>
    <t>Staff Business Data Analyst</t>
  </si>
  <si>
    <t>Intuit Inc.</t>
  </si>
  <si>
    <t>Overview
Join the Intuit Customer Success team as a Staff Business Data Analyst focused on customer
journey operations. In this role, you will own the analytics and implementation charter for case
management and work item management — translating Intuit's customer journey transfo...</t>
  </si>
  <si>
    <t>https://www.glassdoor.co.in/job-listing/staff-business-data-analyst-intuit-JV_KO0,27_KE28,34.htm?jl=1010165361813</t>
  </si>
  <si>
    <t>GD_1010171626954</t>
  </si>
  <si>
    <t>Business Development Analyst II</t>
  </si>
  <si>
    <t>TE Connectivity Ltd.</t>
  </si>
  <si>
    <t>We are seeking a high-impact Data Analyst to support commercial and category management decision-making through advanced analytics. This role will partner closely with the Senior Analyst and cross-functional business stakeholders to drive insights across SKU expansion, inventory ...</t>
  </si>
  <si>
    <t>https://www.glassdoor.co.in/job-listing/business-development-analyst-ii-te-connectivity-JV_IC2940587_KO0,31_KE32,47.htm?jl=1010171626954</t>
  </si>
  <si>
    <t>GD_1010166824121</t>
  </si>
  <si>
    <t>Mission/Positions Headline:
Leverage advanced analytical data methods, models, and algorithms using visualization tools and data warehouses with a business-oriented mindset to enrich and analyze data. This role has a strategic focus on the uplift of scalable business process mode...</t>
  </si>
  <si>
    <t>https://www.glassdoor.co.in/job-listing/data-analyst-siemens-healthineers-JV_IC2940587_KO0,12_KE13,33.htm?jl=1010166824121</t>
  </si>
  <si>
    <t>GD_1010131406796</t>
  </si>
  <si>
    <t>Data Analyst - PowerBI</t>
  </si>
  <si>
    <t>CoffeeBeans Consulting LLP</t>
  </si>
  <si>
    <t>Job Description – Data Analyst 
Location: Bengaluru 
Experience: 7 - 10 Years 
Role Overview 
We are looking for a highly experienced Lead Data Analyst with strong expertise in analytics, data engineering collaboration, and BI reporting. The ideal candidate should have hands-on ...</t>
  </si>
  <si>
    <t>https://www.glassdoor.co.in/job-listing/data-analyst-powerbi-coffeebeans-consulting-JV_KO0,20_KE21,43.htm?jl=1010131406796</t>
  </si>
  <si>
    <t>GD_1010172769840</t>
  </si>
  <si>
    <t>Manager - Business Intelligence and Insights Group</t>
  </si>
  <si>
    <t>Axis Max Life Insurance Ltd</t>
  </si>
  <si>
    <t>We are seeking an experiencedPower BI Manager to lead the design, development, and governance of enterprise-wide business intelligence and analytics solutions. The ideal candidate will oversee a team of BI developers and analysts, drive data visualization best practices, and part...</t>
  </si>
  <si>
    <t>https://www.glassdoor.co.in/job-listing/manager-business-intelligence-and-insights-group-max-life-insurance-JV_KO0,48_KE49,67.htm?jl=1010172769840</t>
  </si>
  <si>
    <t>GD_1010098692961</t>
  </si>
  <si>
    <t>Data Analyst Fintech</t>
  </si>
  <si>
    <t>Job Description: Data Analyst – Strategic Finance
Looking to work on high-impact data problems that influence business and financial decisions? This role sits at the intersection of data analytics, financial insights, and operational strategy, helping teams make faster and better...</t>
  </si>
  <si>
    <t>https://www.glassdoor.co.in/job-listing/data-analyst-fintech-exl-service-JV_KO0,20_KE21,32.htm?jl=1010098692961</t>
  </si>
  <si>
    <t>GD_1010180968592</t>
  </si>
  <si>
    <t>Business Analyst II</t>
  </si>
  <si>
    <t>DESCRIPTION
Amazon's Verification &amp; Risk Management Operations (VRMO) mission is to make Amazon the safest and most trusted place worldwide to transact online, either by identifying and reporting bad actors or mitigating risk and adhering to compliance laws and regulations accord...</t>
  </si>
  <si>
    <t>https://www.glassdoor.co.in/job-listing/business-analyst-ii-amazon-JV_KO0,19_KE20,26.htm?jl=1010180968592</t>
  </si>
  <si>
    <t>GD_1010192170753</t>
  </si>
  <si>
    <t>https://www.glassdoor.co.in/job-listing/data-analyst-goyal-books-overseas-JV_KO0,12_KE13,33.htm?jl=1010192170753</t>
  </si>
  <si>
    <t>GD_1010177381248</t>
  </si>
  <si>
    <t>Senior Analyst, Big Data Analytics &amp; Engineering</t>
  </si>
  <si>
    <t>Mastercard Incorporated</t>
  </si>
  <si>
    <t>https://www.glassdoor.co.in/job-listing/senior-analyst-big-data-analytics-engineering-mastercard-JV_KO0,45_KE46,56.htm?jl=1010177381248</t>
  </si>
  <si>
    <t>GD_1010124847365</t>
  </si>
  <si>
    <t>We are seeking a Machine Learning - focused Senior Data Analyst to design, develop, and deploy advanced analytical and predictive models for retail/commerce use cases. The role requires strong ML expertise supported by solid Python and SQL capabilities to operationalise data-driv...</t>
  </si>
  <si>
    <t>https://www.glassdoor.co.in/job-listing/senior-data-analyst-robosoft-technologies-JV_KO0,19_KE20,41.htm?jl=1010124847365</t>
  </si>
  <si>
    <t>GD_1009081165420</t>
  </si>
  <si>
    <t>SalesPointinc</t>
  </si>
  <si>
    <t>Full-Time Remote Position 3
Responsibilities:
Responsible for developing analytics and data implementation roadmap and software solution using SQL, machine learning algorithms and cloud platform to support analytical solutions, in Product and eCommerce analytics, including retai...</t>
  </si>
  <si>
    <t>https://www.glassdoor.co.in/job-listing/data-analyst-salespoint-JV_KO0,12_KE13,23.htm?jl=1009081165420</t>
  </si>
  <si>
    <t>GD_1010191090210</t>
  </si>
  <si>
    <t>Expedia Group, Inc</t>
  </si>
  <si>
    <t>https://www.glassdoor.co.in/job-listing/data-scientist-ii-vr-performance-analytics-expedia-group-JV_KO0,42_KE43,56.htm?jl=1010191090210</t>
  </si>
  <si>
    <t>GD_1010176793854</t>
  </si>
  <si>
    <t>BIGSHIP</t>
  </si>
  <si>
    <t>Experience: 1–2 Years (Freshers with strong skills may also apply)
Role Overview
We are looking for a highly organized and detail-oriented Founder's Office Coordinator to support the Founder in day-to-day operations, reporting, coordination, and data management activities.
The id...</t>
  </si>
  <si>
    <t>https://www.glassdoor.co.in/job-listing/data-analyst-bigship-JV_KO0,12_KE13,20.htm?jl=1010176793854</t>
  </si>
  <si>
    <t>GD_1010177845047</t>
  </si>
  <si>
    <t>Business Operations Analyst</t>
  </si>
  <si>
    <t>https://www.glassdoor.co.in/job-listing/business-operations-analyst-ebay-JV_KO0,27_KE28,32.htm?jl=1010177845047</t>
  </si>
  <si>
    <t>GD_1010092514780</t>
  </si>
  <si>
    <t>Power BI Developer (Data Analytics)</t>
  </si>
  <si>
    <t>Vaisesika Consulting Private Limited</t>
  </si>
  <si>
    <t>Location: Bangalore – Whitefield (Hybrid)
Experience –4–10 years of relevant experience
Job Summary
We are looking for a skilled Power BI Developer with strong expertise in data modeling, SQL, and business analytics. The ideal candidate should have experience working with finance...</t>
  </si>
  <si>
    <t>https://www.glassdoor.co.in/job-listing/power-bi-developer-data-analytics-vaisesika-consulting-JV_KO0,33_KE34,54.htm?jl=1010092514780</t>
  </si>
  <si>
    <t>GD_1010183143102</t>
  </si>
  <si>
    <t>Business Analyst, Ring Data Engineering Services</t>
  </si>
  <si>
    <t>DESCRIPTION
The Business Analyst role family focuses on using data analysis and business knowledge to solve problems and drive decisions. 
Key job responsibilities
You use data and your understanding of business objectives to solve straightforward problems to drive decision(s) a...</t>
  </si>
  <si>
    <t>https://www.glassdoor.co.in/job-listing/business-analyst-ring-data-engineering-services-amazon-JV_IC2833209_KO0,47_KE48,54.htm?jl=1010183143102</t>
  </si>
  <si>
    <t>GD_1010162492504</t>
  </si>
  <si>
    <t>https://www.glassdoor.co.in/job-listing/senior-data-analyst-alchemist-consulting-JV_IC2833209_KO0,19_KE20,40.htm?jl=1010162492504</t>
  </si>
  <si>
    <t>GD_1010187332129</t>
  </si>
  <si>
    <t>Sr Analyst - Performance Reporting</t>
  </si>
  <si>
    <t>Pune, India Category Supply Chain Management Posted Date 07/01/2026 Job Id 364698
About Signify
Through bold discovery and cutting-edge innovation, we lead an industry that is vital for the future of our planet: lighting. Through our leadership in connected lighting and the In...</t>
  </si>
  <si>
    <t>https://www.glassdoor.co.in/job-listing/sr-analyst-performance-reporting-signify-JV_KO0,32_KE33,40.htm?jl=1010187332129</t>
  </si>
  <si>
    <t>GD_1010186678400</t>
  </si>
  <si>
    <t>Job Summary
We are looking for a skilled Power BI Developer with 4–5 years of experience in designing, developing, and maintaining interactive dashboards and business intelligence solutions. The ideal candidate should have strong expertise in Power BI, SQL, data modeling, and DAX...</t>
  </si>
  <si>
    <t>https://www.glassdoor.co.in/job-listing/power-bi-developer-fiddle-leaf-solutions-JV_KO0,18_KE19,40.htm?jl=1010186678400</t>
  </si>
  <si>
    <t>GD_1010175529542</t>
  </si>
  <si>
    <t>Role Overview
We are looking for a Data Analyst with strong analytical and automation skills to support data-driven decision-making and reporting processes. The ideal candidate should have hands-on experience in data analysis, dashboard creation, and workflow automation.
Key Skil...</t>
  </si>
  <si>
    <t>https://www.glassdoor.co.in/job-listing/data-analyst-iit-kanpur-development-foundation-JV_KO0,12_KE13,46.htm?jl=1010175529542</t>
  </si>
  <si>
    <t>GD_1008904426852</t>
  </si>
  <si>
    <t>Rishi FIBC Solutions Pvt. Ltd</t>
  </si>
  <si>
    <t>Baroda / Mysore
Data Analysis
Accompany the marketing team of the company in coordination with the management team, the CEO of the company in Rishi FIBC, Green Pro, Krishi Geopack.
Provide an effective brand strategy and marketing plans to ensure business volume growth in Rishi F...</t>
  </si>
  <si>
    <t>https://www.glassdoor.co.in/job-listing/data-analysis-rishi-fibc-solutions-JV_IC2930179_KO0,13_KE14,34.htm?jl=1008904426852</t>
  </si>
  <si>
    <t>GD_1009990231090</t>
  </si>
  <si>
    <t>Business Intelligence Datawarehouse Developer</t>
  </si>
  <si>
    <t>Your Role
Key responsibilities in your new role
Build and enhance the Business Intelligence solutions
Be responsible for the continuous enhancement of our Reporting Platforms using various technologies, such as Oracle
Partner with management, application owner, key business cust...</t>
  </si>
  <si>
    <t>https://www.glassdoor.co.in/job-listing/business-intelligence-datawarehouse-developer-infineon-technologies-JV_KO0,45_KE46,67.htm?jl=1009990231090</t>
  </si>
  <si>
    <t>GD_1009290074713</t>
  </si>
  <si>
    <t>Indian Internet Solutions Pvt. Ltd.</t>
  </si>
  <si>
    <t>Join Our Team: Unlock Your Potential with IISPL
At IISPL, we're not just offering jobs; we're inviting you to embark on a fulfilling journey that empowers you to reach your full potential. Our commitment to excellence, innovation, and growth makes us more than just an IT company ...</t>
  </si>
  <si>
    <t>https://www.glassdoor.co.in/job-listing/data-analyst-indian-internet-solutions-JV_IC2951495_KO0,12_KE13,38.htm?jl=1009290074713</t>
  </si>
  <si>
    <t>GD_1010173424874</t>
  </si>
  <si>
    <t>Global Banking &amp; Markets-FCO Analytics-Analyst- Bengaluru</t>
  </si>
  <si>
    <t>The Goldman Sachs Group, Inc.</t>
  </si>
  <si>
    <t>GLOBAL BANKING &amp; MARKETS
We make markets in and clear client transactions on major stock, options and futures exchanges worldwide. Through our global sales force, we maintain relationships with our clients, receiving orders and distributing investment research, trading ideas, mar...</t>
  </si>
  <si>
    <t>https://www.glassdoor.co.in/job-listing/global-banking-markets-fco-analytics-analyst-bengaluru-goldman-sachs-JV_IC2940587_KO0,54_KE55,68.htm?jl=1010173424874</t>
  </si>
  <si>
    <t>GD_1009991584703</t>
  </si>
  <si>
    <t>BestPeers Infosystem Pvt. Ltd.</t>
  </si>
  <si>
    <t>Job Description:
We are seeking a detail-oriented Data Analyst to join our team. The ideal candidate will be responsible for collecting, analyzing, and interpreting large datasets to help our company make informed business decisions. You’ll work closely with various departments t...</t>
  </si>
  <si>
    <t>https://www.glassdoor.co.in/job-listing/data-analyst-bestpeers-infosystem-JV_IC2876676_KO0,12_KE13,33.htm?jl=1009991584703</t>
  </si>
  <si>
    <t>GD_1010173548386</t>
  </si>
  <si>
    <t>Business Intelligence Data Analytics Engineer (Snowflake, Fivetran)</t>
  </si>
  <si>
    <t>Model N, Inc.</t>
  </si>
  <si>
    <t>We are seeking a Business Intelligence &amp; Analytics Engineer to join our Business Intelligence team. This role partners closely with Finance and cross-functional teams to build and maintain the data infrastructure, pipelines, and reporting layer that power financial planning, fore...</t>
  </si>
  <si>
    <t>https://www.glassdoor.co.in/job-listing/business-intelligence-data-analytics-engineer-snowflake-fivetran-model-n-JV_KO0,64_KE65,72.htm?jl=1010173548386</t>
  </si>
  <si>
    <t>GD_1010145510744</t>
  </si>
  <si>
    <t>Digital Finance Business Analyst</t>
  </si>
  <si>
    <t>Lonza Group Ltd</t>
  </si>
  <si>
    <t>Digital Finance Business Analyst
Location: Hyderabad
About the Role
The Digital Finance Business Analyst supports the development and delivery of data and analytics products within the Digital Finance team, part of FP&amp;A. The role exists to enable standardized, data‑driven finance...</t>
  </si>
  <si>
    <t>https://www.glassdoor.co.in/job-listing/digital-finance-business-analyst-lonza-JV_KO0,32_KE33,38.htm?jl=1010145510744</t>
  </si>
  <si>
    <t>GD_1010169754518</t>
  </si>
  <si>
    <t>JK Technosoft Limited</t>
  </si>
  <si>
    <t>ID: 2890 | 7-10 yrs | Noida/Bengaluru 
Roles and Responsibilities:
Role Overview
We are looking for an experienced Retail Analytics Power BI Developer with strong expertise in retail business processes, warehouse management operations, and enterprise analytics solutions. The cand...</t>
  </si>
  <si>
    <t>https://www.glassdoor.co.in/job-listing/sr-data-analyst-jk-tech-JV_IC2940587_KO0,15_KE16,23.htm?jl=1010169754518</t>
  </si>
  <si>
    <t>GD_1010088485715</t>
  </si>
  <si>
    <t>Basik Marketing Private Limited</t>
  </si>
  <si>
    <t>Full Time
Key Responsibilities
Analyze large datasets to extract valuable insights and trends.
Collaborate with cross-functional teams to define data requirements and reporting needs.
Design and develop data visualizations and dashboards to communicate findings effectively.
Imple...</t>
  </si>
  <si>
    <t>https://www.glassdoor.co.in/job-listing/data-analyst-basik-marketing-JV_KO0,12_KE13,28.htm?jl=1010088485715</t>
  </si>
  <si>
    <t>GD_1010168537225</t>
  </si>
  <si>
    <t>Precision Medicine Group, Inc</t>
  </si>
  <si>
    <t>Role Summary
We are seeking a motivated, experienced Senior Data Analyst who will lead analytics efforts around Oncology patient journey, line of therapy (LoT) and structured claims/patient data.
The successful candidate will transform large claims datasets into insights that sha...</t>
  </si>
  <si>
    <t>https://www.glassdoor.co.in/job-listing/senior-data-analyst-precision-medicine-group-JV_KO0,19_KE20,44.htm?jl=1010168537225</t>
  </si>
  <si>
    <t>GD_1010171259918</t>
  </si>
  <si>
    <t>Job Characteristics: Demonstrates use and application of data analysis principles to examine data systems and determine relationships and meaning of data, as it relates to business and system technical processes, and document accordingly. The employee should demonstrate mastering...</t>
  </si>
  <si>
    <t>https://www.glassdoor.co.in/job-listing/data-analyst-ecolab-JV_KO0,12_KE13,19.htm?jl=1010171259918</t>
  </si>
  <si>
    <t>GD_1010180516679</t>
  </si>
  <si>
    <t>Tableau Developer</t>
  </si>
  <si>
    <t>NTT DATA strives to hire exceptional, innovative and passionate individuals who want to grow with us. If you want to be part of an inclusive, adaptable, and forward-thinking organization, apply now. 
We are currently seeking a Data Analyst to join our team in Bengaluru, Karnatak...</t>
  </si>
  <si>
    <t>https://www.glassdoor.co.in/job-listing/tableau-developer-ntt-data-JV_KO0,17_KE18,26.htm?jl=1010180516679</t>
  </si>
  <si>
    <t>GD_1010165886307</t>
  </si>
  <si>
    <t>SMI Data Analyst 1</t>
  </si>
  <si>
    <t>RSM International Ltd.</t>
  </si>
  <si>
    <t>About us
We are the leading provider of professional services to the middle market globally, our purpose is to instill confidence in a world of change, empowering our clients and people to realize their full potential. Our exceptional people are the key to our unrivaled, inclusiv...</t>
  </si>
  <si>
    <t>https://www.glassdoor.co.in/job-listing/smi-data-analyst-1-rsm-JV_IC2940587_KO0,18_KE19,22.htm?jl=1010165886307</t>
  </si>
  <si>
    <t>GD_1010160913356</t>
  </si>
  <si>
    <t>Data Analyst/PowerBI Engineer</t>
  </si>
  <si>
    <t>ProArch</t>
  </si>
  <si>
    <t>ProArch is looking for a talented Data Analyst/PowerBI Engineer who will play a crucial role in analyzing data and generating actionable insights for our clients. In this position, you will leverage your expertise in Power BI and data analysis techniques to transform complex data...</t>
  </si>
  <si>
    <t>https://www.glassdoor.co.in/job-listing/data-analyst-powerbi-engineer-proarch-JV_KO0,29_KE30,37.htm?jl=1010160913356</t>
  </si>
  <si>
    <t>GD_1010189273529</t>
  </si>
  <si>
    <t>About the Role
We are seeking a Data Analyst to join our Analytics &amp; Digital Solutions (ADS) organization. In this role, you will lead initiatives that deliver scalable, action-oriented analytics solutions supporting Global Logistics function.
You will partner closely with Logist...</t>
  </si>
  <si>
    <t>https://www.glassdoor.co.in/job-listing/data-analyst-ecolab-JV_IC2856202_KO0,12_KE13,19.htm?jl=1010189273529</t>
  </si>
  <si>
    <t>GD_1009853609992</t>
  </si>
  <si>
    <t>Dantech Engenharia</t>
  </si>
  <si>
    <t>Requirements:
Qualification: Any Degree , Preferably Computer Applications
Skills: Power BI &amp; Excel
Experience: 2-4 Years
Employment Type: Full Time
Gender: M/F
Location: Chennai
Job Category: Operations</t>
  </si>
  <si>
    <t>https://www.glassdoor.co.in/job-listing/data-analyst-dantech-engenharia-JV_IC2833209_KO0,12_KE13,31.htm?jl=1009853609992</t>
  </si>
  <si>
    <t>GD_1010189054842</t>
  </si>
  <si>
    <t>Assoc Product Ops Analyst</t>
  </si>
  <si>
    <t>Assoc Product Ops Analyst 
Syneos Health® is a leading fully-integrated life sciences services organization built to accelerate customer success. We partner with innovators at every point across the drug development and commercialization continuum, helping them navigate complexit...</t>
  </si>
  <si>
    <t>https://www.glassdoor.co.in/job-listing/assoc-product-ops-analyst-syneos-health-JV_KO0,25_KE26,39.htm?jl=1010189054842</t>
  </si>
  <si>
    <t>GD_1009784661520</t>
  </si>
  <si>
    <t>Data Analyst / Biostatistician</t>
  </si>
  <si>
    <t>Rehoboth Academic Services</t>
  </si>
  <si>
    <t>Rehoboth Academic Services specializes in academic writing, copyediting and proofreading. We help PhD scholars across the globe by enriching their efforts in thesis writing, research papers, statistical analysis, etc. 
Data Analyst / Biostatistician
Required expertise:
Experience...</t>
  </si>
  <si>
    <t>https://www.glassdoor.co.in/job-listing/data-analyst-biostatistician-rehoboth-academic-services-JV_KO0,28_KE29,55.htm?jl=1009784661520</t>
  </si>
  <si>
    <t>GD_1009929896784</t>
  </si>
  <si>
    <t>Specialist - Data Analyst (Main Converter)</t>
  </si>
  <si>
    <t>Nordex SE</t>
  </si>
  <si>
    <t>REQUISITION ID: 10932 
LOCATION:
Chennai, TN, IN, 600119 
#job-location.job-location-inline { display: inline; } 
DEPARTMENT: Service 
.buttontextb2c7b5068035d319 a{ border: 1px solid transparent; } .buttontextb2c7b5068035d319 a: focus{ border: 1px dashed #e2001a !important; ou...</t>
  </si>
  <si>
    <t>https://www.glassdoor.co.in/job-listing/specialist-data-analyst-main-converter-nordex-group-JV_IC2833209_KO0,38_KE39,51.htm?jl=1009929896784</t>
  </si>
  <si>
    <t>GD_1010177364523</t>
  </si>
  <si>
    <t>Jones Lang LaSalle Incorporated</t>
  </si>
  <si>
    <t>JLL supports the Whole You, personally and professionally. 
Our people at JLL are shaping the future of real estate for a better world by combining world class services, advisory and technology to our clients. We are committed to hiring the best, most talented people in our indu...</t>
  </si>
  <si>
    <t>https://www.glassdoor.co.in/job-listing/senior-data-analyst-jones-lang-lasalle-JV_KO0,19_KE20,38.htm?jl=1010177364523</t>
  </si>
  <si>
    <t>GD_1010159092106</t>
  </si>
  <si>
    <t>Business Analyst (Power BI)</t>
  </si>
  <si>
    <t>NetApp, Inc.</t>
  </si>
  <si>
    <t>Own Every Moment at NetApp
At NetApp, your ideas power innovation. We lead in intelligent data infrastructure—delivering unified storage, integrated data services, and solutions that help organizations unlock the full potential of their data, from AI to multicloud.
Ready to innov...</t>
  </si>
  <si>
    <t>https://www.glassdoor.co.in/job-listing/business-analyst-power-bi-netapp-JV_KO0,25_KE26,32.htm?jl=1010159092106</t>
  </si>
  <si>
    <t>GD_1010189902526</t>
  </si>
  <si>
    <t>https://www.glassdoor.co.in/job-listing/data-analyst-travel-dabble-privet-limited-JV_KO0,12_KE13,41.htm?jl=1010189902526</t>
  </si>
  <si>
    <t>GD_1010016354187</t>
  </si>
  <si>
    <t>Power BI Analyst</t>
  </si>
  <si>
    <t>Keyloop (UK) Limited</t>
  </si>
  <si>
    <t>Keyloop bridges the gap between dealers, manufacturers, technology suppliers and car buyers.
We empower car dealers and manufacturers to fully embrace digital transformation. How? By creating innovative technology that makes selling cars better for our customers, and buying and o...</t>
  </si>
  <si>
    <t>https://www.glassdoor.co.in/job-listing/power-bi-analyst-keyloop-uk-JV_KO0,16_KE17,27.htm?jl=1010016354187</t>
  </si>
  <si>
    <t>GD_1010134829461</t>
  </si>
  <si>
    <t>SENIOR DATA ANALYST</t>
  </si>
  <si>
    <t>Apply Now
SENIOR DATA ANALYST 
Apply Now
COUNTRY
Europe
FORMAT
Remote
Svitla Systems Inc. is looking for a Senior Data Analyst for a full-time position (40 hours per week) in Europe. Our client runs an television network everages various data and tech to enable targeting messagin...</t>
  </si>
  <si>
    <t>https://www.glassdoor.co.in/job-listing/senior-data-analyst-svitla-systems-JV_IC4476728_KO0,19_KE20,34.htm?jl=1010134829461</t>
  </si>
  <si>
    <t>GD_1010181601863</t>
  </si>
  <si>
    <t>Minimum 5 years of experience as Data Analyst working with State / Central / PSU institutions/ IT Companies, preferable experience in Data a modelling, BI tool usage, knowledge of Python /R Script etc. Good hands-on experience in working Microsoft Word, Excel, PPT.
Preferred Qual...</t>
  </si>
  <si>
    <t>https://www.glassdoor.co.in/job-listing/data-analyst-lackacr-solution-pvt-ltd-JV_IC2837784_KO0,12_KE13,37.htm?jl=1010181601863</t>
  </si>
  <si>
    <t>GD_1010182468397</t>
  </si>
  <si>
    <t>Tririga Business Analyst</t>
  </si>
  <si>
    <t>ISS A/S</t>
  </si>
  <si>
    <t>Corporate functions
As a global leader in facilities services we connect people and places to make the world work better. Whether directly or indirectly, you’ll play a vital role in supporting our placemakers in delivering exceptional workplace experiences for our customers. Toge...</t>
  </si>
  <si>
    <t>https://www.glassdoor.co.in/job-listing/tririga-business-analyst-iss-facility-services-JV_IC2833209_KO0,24_KE25,46.htm?jl=1010182468397</t>
  </si>
  <si>
    <t>GD_1010182505963</t>
  </si>
  <si>
    <t>Deltek, Inc.</t>
  </si>
  <si>
    <t>As the recognized global standard for project-based businesses, Deltek delivers software and information solutions to help organizations achieve their purpose. Our market leadership stems from the work of our diverse employees who are united by a passion for learning, growing and...</t>
  </si>
  <si>
    <t>https://www.glassdoor.co.in/job-listing/senior-data-analyst-deltek-JV_KO0,19_KE20,26.htm?jl=1010182505963</t>
  </si>
  <si>
    <t>GD_1010114556859</t>
  </si>
  <si>
    <t>Business Intelligence/Data Analytics Specialist</t>
  </si>
  <si>
    <t>BUSINESS INTELLIGENCE/DATA ANALYTICS SPECIALIST
LOCATION: Hyderabad
INTRO SUMMARY OF THE ROLE 
At Lonza, we are looking for a Business Intelligence Analyst to join our Group Intelligence team. This role supports the technical delivery and day-to-day operation of Lonza’s Business ...</t>
  </si>
  <si>
    <t>https://www.glassdoor.co.in/job-listing/business-intelligence-data-analytics-specialist-lonza-JV_KO0,47_KE48,53.htm?jl=1010114556859</t>
  </si>
  <si>
    <t>GD_1010164964291</t>
  </si>
  <si>
    <t>Data Analyst trainer</t>
  </si>
  <si>
    <t>About the Role
We are looking for a passionate and knowledgeable Data Analyst Trainer to train students and professionals in data analytics technologies. The candidate should have strong analytical skills and hands-on experience with data analysis tools, databases, and visualizat...</t>
  </si>
  <si>
    <t>https://www.glassdoor.co.in/job-listing/data-analyst-trainer-rahitech-it-solution-pune-JV_KO0,20_KE21,46.htm?jl=1010164964291</t>
  </si>
  <si>
    <t>GD_1010188136887</t>
  </si>
  <si>
    <t>https://www.glassdoor.co.in/job-listing/mis-analyst-citi-JV_IC2833209_KO0,11_KE12,16.htm?jl=1010188136887</t>
  </si>
  <si>
    <t>GD_1010175178835</t>
  </si>
  <si>
    <t>Junior Analyst</t>
  </si>
  <si>
    <t>A junior analyst is an entry-level professional who supports an organization by collecting, cleaning, and analyzing data to provide actionable business insights. They assist senior analysts and managers by generating reports, maintaining databases, and preparing financial or oper...</t>
  </si>
  <si>
    <t>https://www.glassdoor.co.in/job-listing/junior-analyst-crest-climber-software-solution-pvt-ltd-JV_IC2833209_KO0,14_KE15,54.htm?jl=1010175178835</t>
  </si>
  <si>
    <t>GD_1010182525386</t>
  </si>
  <si>
    <t>Technical Business Analyst - Intellimatch / Smartstream</t>
  </si>
  <si>
    <t>Project description 
Luxoft Financial Markets (FM) team is looking for hands-on candidate to fill the role of Technical Business Analyst. The role involves configuration, reporting, automation, and operational support of the TLM (Transaction Lifecycle Management) platform. 
Respo...</t>
  </si>
  <si>
    <t>https://www.glassdoor.co.in/job-listing/technical-business-analyst-intellimatch-smartstream-luxoft-JV_IC2833209_KO0,51_KE52,58.htm?jl=1010182525386</t>
  </si>
  <si>
    <t>GD_1010178998210</t>
  </si>
  <si>
    <t>Senior Data Analyst IN</t>
  </si>
  <si>
    <t xml:space="preserve">DAZN </t>
  </si>
  <si>
    <t>Why Join DAZN? 
Joining DAZN in Hyderabad means being part of a cutting-edge sports streaming company in a vibrant tech hub. You’ll work alongside passionate, talented professionals on innovative projects that reach millions of fans worldwide. Hyderabad offers a dynamic work envi...</t>
  </si>
  <si>
    <t>https://www.glassdoor.co.in/job-listing/senior-data-analyst-in-dazn-JV_KO0,22_KE23,27.htm?jl=1010178998210</t>
  </si>
  <si>
    <t>GD_1010131002527</t>
  </si>
  <si>
    <t>Associate Manager Data Analyst - Data Bricks</t>
  </si>
  <si>
    <t>https://www.glassdoor.co.in/job-listing/associate-manager-data-analyst-data-bricks-optum-JV_KO0,42_KE43,48.htm?jl=1010131002527</t>
  </si>
  <si>
    <t>GD_1010179171211</t>
  </si>
  <si>
    <t>Systems Data Support Analyst</t>
  </si>
  <si>
    <t>Caterpillar Inc.</t>
  </si>
  <si>
    <t>Career Area:
Technology, Digital and Data
Job Description:
Your Work Shapes the World at Caterpillar Inc. 
When you join Caterpillar, you're joining a global team who cares not just about the work we do – but also about each other. We are the makers, problem solvers, and future w...</t>
  </si>
  <si>
    <t>https://www.glassdoor.co.in/job-listing/systems-data-support-analyst-caterpillar-JV_IC2940587_KO0,28_KE29,40.htm?jl=1010179171211</t>
  </si>
  <si>
    <t>GD_1010146971933</t>
  </si>
  <si>
    <t>https://www.glassdoor.co.in/job-listing/data-analyst-micron-technology-JV_KO0,12_KE13,30.htm?jl=1010146971933</t>
  </si>
  <si>
    <t>GD_1010191296150</t>
  </si>
  <si>
    <t>https://www.glassdoor.co.in/job-listing/senior-bi-analyst-power-bi-commercial-analytics-te-connectivity-JV_KO0,47_KE48,63.htm?jl=1010191296150</t>
  </si>
  <si>
    <t>GD_1010189099027</t>
  </si>
  <si>
    <t>Quality Business Analyst (QBA)</t>
  </si>
  <si>
    <t>Overseas Cyber Technical Services</t>
  </si>
  <si>
    <t>Kāraikkudi</t>
  </si>
  <si>
    <t>in personto think criticallyare aJOB SUMMARY
Working with Project Management Team to fully understand requirements and user experience/interface changes.
Working with Project Management Team to fully understand requirements and user experience/interface changes.
Cleansing, prepar...</t>
  </si>
  <si>
    <t>https://www.glassdoor.co.in/job-listing/quality-business-analyst-qba-overseas-cyber-technical-services-JV_IC2833659_KO0,28_KE29,62.htm?jl=1010189099027</t>
  </si>
  <si>
    <t>GD_1010173316540</t>
  </si>
  <si>
    <t>doodleblue Innovations Pvt. Ltd.</t>
  </si>
  <si>
    <t>Greetings from Doodleblue Innovations!!
We’re Hiring for a Data Analyst | Freelance
Location: Remote
Experience: 4-6 years
We are looking for an experienced Data Analyst for a remote freelance engagement.
Key Skills:
Strong expertise in SQL scripting
Well-versed with Arch Data St...</t>
  </si>
  <si>
    <t>https://www.glassdoor.co.in/job-listing/data-analyst-doodleblue-innovations-JV_KO0,12_KE13,35.htm?jl=1010173316540</t>
  </si>
  <si>
    <t>GD_1010189171534</t>
  </si>
  <si>
    <t>About Medical Economics 
The Cigna International Health Medical Economics team’s responsibility is to transform data into strategic insights that drive affordability and impact. By linking interventions to financial outcomes, it enables informed decision-making, supports return o...</t>
  </si>
  <si>
    <t>https://www.glassdoor.co.in/job-listing/business-analytics-analyst-the-cigna-group-JV_IC2940587_KO0,26_KE27,42.htm?jl=1010189171534</t>
  </si>
  <si>
    <t>GD_1010191186781</t>
  </si>
  <si>
    <t xml:space="preserve">Jolly Clamps Pvt. Ltd. </t>
  </si>
  <si>
    <t>https://www.glassdoor.co.in/job-listing/automation-data-analyst-jolly-clamps-JV_KO0,23_KE24,36.htm?jl=1010191186781</t>
  </si>
  <si>
    <t>GD_1010173957435</t>
  </si>
  <si>
    <t>Assistant Manager - Business Intelligence and Insights Group</t>
  </si>
  <si>
    <t>Primary skills:
Python, SQL/PLSQL 
Proficiency in Python, with expertise in Pandas and NumPy. 
Advanced SQL/PLSQL query writing and optimization. 
Solid understanding of data structures, data modeling, and problem-solving methodologies. 
Hands-on experience with AWS services and ...</t>
  </si>
  <si>
    <t>https://www.glassdoor.co.in/job-listing/assistant-manager-business-intelligence-and-insights-group-max-life-insurance-JV_KO0,58_KE59,77.htm?jl=1010173957435</t>
  </si>
  <si>
    <t>GD_1010188116999</t>
  </si>
  <si>
    <t>691517_Google_Data Scientist_Analyst Sr Level 1</t>
  </si>
  <si>
    <t>Globant LLC</t>
  </si>
  <si>
    <t>Data Scientist, Data Scientist, Mid-Level 
At Globant, we are working to make the world a better place, one step at a time. We enhance business development and enterprise solutions to prepare them for a digital future. With a diverse and talented team present in more than 30 cou...</t>
  </si>
  <si>
    <t>https://www.glassdoor.co.in/job-listing/691517-google-data-scientist-analyst-sr-level-1-globant-JV_KO0,47_KE48,55.htm?jl=1010188116999</t>
  </si>
  <si>
    <t>GD_1010189350290</t>
  </si>
  <si>
    <t>https://www.glassdoor.co.in/job-listing/commerce-media-analytics-analyst-citi-JV_KO0,32_KE33,37.htm?jl=1010189350290</t>
  </si>
  <si>
    <t>GD_1010182639034</t>
  </si>
  <si>
    <t>BI Engineer, Prime Data Engineering and Anaytics</t>
  </si>
  <si>
    <t>DESCRIPTION
Join Amazon's Prime Data Engineering &amp; Analytics (PDEA) team as a Business Intelligence Engineer (BIE) to revolutionize how we understand, measure and serve our global Prime customer base. You'll architect and build enterprise-level data analytics solutions, including...</t>
  </si>
  <si>
    <t>https://www.glassdoor.co.in/job-listing/bi-engineer-prime-data-engineering-and-anaytics-amazon-JV_IC2940587_KO0,47_KE48,54.htm?jl=1010182639034</t>
  </si>
  <si>
    <t>GD_1010191769086</t>
  </si>
  <si>
    <t>Calpion Inc</t>
  </si>
  <si>
    <t>https://www.glassdoor.co.in/job-listing/business-analyst-bi-calpion-JV_KO0,19_KE20,27.htm?jl=1010191769086</t>
  </si>
  <si>
    <t>GD_1010162680850</t>
  </si>
  <si>
    <t>Job Title: Business Intelligence Analyst 
Department: Finance / Analytics 
Reports To: Manager / BI Lead 
Location-TCS Chennai 
Role Overview: 
The Business Intelligence Analyst transforms raw data into actionable insights to support strategic and operational decision-making. Th...</t>
  </si>
  <si>
    <t>https://www.glassdoor.co.in/job-listing/business-intelligence-analyst-tata-consultancy-services-JV_IC2833209_KO0,29_KE30,55.htm?jl=1010162680850</t>
  </si>
  <si>
    <t>GD_1010168644136</t>
  </si>
  <si>
    <t>Sr.Data Analyst</t>
  </si>
  <si>
    <t>Marketing Associates, LLC</t>
  </si>
  <si>
    <t>Job Role :Business Intelligence &amp; Data Analyst
Experience: 3–6 Years
About the Role
We are looking for a skilled BI &amp; Data Analyst who can turn complex data into clear, actionable insights. Shall be closely working with technical teams to build dashboards, manage data pipelines o...</t>
  </si>
  <si>
    <t>https://www.glassdoor.co.in/job-listing/sr-data-analyst-onemagnify-JV_IC2833209_KO0,15_KE16,26.htm?jl=1010168644136</t>
  </si>
  <si>
    <t>GD_1010178353364</t>
  </si>
  <si>
    <t>Master Data Expert &amp; Business Analyst, Procurement</t>
  </si>
  <si>
    <t>Danfoss A/S</t>
  </si>
  <si>
    <t>Job Description 
`); let grid = columnOne.querySelector('.job-grid'); let allTokens = Array.from(columnOne.querySelectorAll('.joblayouttoken')); // - 1. CAPTURE VARIABLES FOR BUSINESS RULES - let jobLocationValue = ""; let countryRegionValue = ""; let regionValue = ""; let ipeLev...</t>
  </si>
  <si>
    <t>https://www.glassdoor.co.in/job-listing/master-data-expert-business-analyst-procurement-danfoss-JV_KO0,47_KE48,55.htm?jl=1010178353364</t>
  </si>
  <si>
    <t>GD_1010174630216</t>
  </si>
  <si>
    <t>A data analyst collects, analyzes, and stores data and uses it to help clients or companies make better decisions. Feel free to add your company’s data analyst job responsibilities and requirements to customizable. Before you post a data analyst job, feel free to add any details,...</t>
  </si>
  <si>
    <t>https://www.glassdoor.co.in/job-listing/data-analyst-shree-plastics-JV_KO0,12_KE13,27.htm?jl=1010174630216</t>
  </si>
  <si>
    <t>GD_1010079778300</t>
  </si>
  <si>
    <t>Data Engineer / Data Analyst</t>
  </si>
  <si>
    <t>We are looking for a passionate and dedicated Data Engineer / Data Analyst who is eager to learn, work in a dynamic environment, and build scalable data solutions. This role is ideal for candidates who want hands-on experience in real-world data projects.
Key Skills Required
● Go...</t>
  </si>
  <si>
    <t>https://www.glassdoor.co.in/job-listing/data-engineer-data-analyst-aptocoiner-technologies-JV_KO0,26_KE27,50.htm?jl=1010079778300</t>
  </si>
  <si>
    <t>GD_1010124523959</t>
  </si>
  <si>
    <t>Saaki, Argus &amp; Averil Consulting</t>
  </si>
  <si>
    <t>Job Title : Data Analyst
Notice Period : Immediate to 30 days
Location : Bangalore
Develop and optimize complex SQL queries using advanced techniques such as window functions, CTEs, and subqueries for efficient data analysis.
Design, build, and maintain scalable data pipelines us...</t>
  </si>
  <si>
    <t>https://www.glassdoor.co.in/job-listing/data-analyst-saaki-argus-averil-JV_KO0,12_KE13,31.htm?jl=1010124523959</t>
  </si>
  <si>
    <t>GD_1009899665701</t>
  </si>
  <si>
    <t>Business Analyst - Chennai</t>
  </si>
  <si>
    <t>Responsibilities 
Analyze data requirements and identify disparate data sources required for consolidation and distribution. 
Document functional specifications and coordinate delivery of the same with technology team. 
Review logical and conceptual data models in alignment with ...</t>
  </si>
  <si>
    <t>https://www.glassdoor.co.in/job-listing/business-analyst-chennai-photon-JV_IC2833209_KO0,24_KE25,31.htm?jl=1009899665701</t>
  </si>
  <si>
    <t>GD_1010109115360</t>
  </si>
  <si>
    <t>Solutions Analyst (Power BI)</t>
  </si>
  <si>
    <t>About You – experience, education, skills, and accomplishments
Bachelor’s degree or equivalent, with 2 years of experience in business analysis, data analysis, or analytics delivery roles.
Strong SQL skills with hands-on experience querying, validating, and analyzing large datase...</t>
  </si>
  <si>
    <t>https://www.glassdoor.co.in/job-listing/solutions-analyst-power-bi-clarivate-JV_KO0,26_KE27,36.htm?jl=1010109115360</t>
  </si>
  <si>
    <t>GD_1010106369846</t>
  </si>
  <si>
    <t>*Job Title:* Data Analyst Trainer
*Skills Required*
* Advanced Microsoft Excel (Formulas, Pivot Tables, Dashboards),
SQL (Joins, Subqueries, Performance Optimization)
* Power BI (DAX, Data Modeling, Interactive Dashboards)
* Python for Data Analysis (NumPy, Pandas, Matplotlib, Se...</t>
  </si>
  <si>
    <t>https://www.glassdoor.co.in/job-listing/data-analyst-trainer-arc-technologies-and-institution-JV_KO0,20_KE21,53.htm?jl=1010106369846</t>
  </si>
  <si>
    <t>GD_1010111853355</t>
  </si>
  <si>
    <t>product analyst</t>
  </si>
  <si>
    <t>Dreamplug Technologies Private Limited</t>
  </si>
  <si>
    <t>what you will do
measure feature and product impact across L0 (business outcomes), L1 (product flow), and L2 (feature-level micro-events) metrics post-launch, and feed structured inputs to the BI team for reporting
investigate questions about current users by slicing cohorts and ...</t>
  </si>
  <si>
    <t>https://www.glassdoor.co.in/job-listing/product-analyst-cred-JV_KO0,15_KE16,20.htm?jl=1010111853355</t>
  </si>
  <si>
    <t>GD_1009424315122</t>
  </si>
  <si>
    <t>Equiniti</t>
  </si>
  <si>
    <t>Management Level 
F 
Company Overview: 
Equiniti provides comprehensive solutions to support organizations throughout their corporate lifecycle, including managing shareholder engagement, maintaining stock registers, facilitating ownership transfers, enabling shareholder meetings...</t>
  </si>
  <si>
    <t>https://www.glassdoor.co.in/job-listing/business-intelligence-analyst-equiniti-JV_IC2833209_KO0,29_KE30,38.htm?jl=1009424315122</t>
  </si>
  <si>
    <t>GD_1010182451434</t>
  </si>
  <si>
    <t>We are looking to hire a data analyst to join our data team.
You will take responsibility for managing our master data set, developing reports, and troubleshooting data issues. To do well in this role you need a very fine eye for detail, experience as a data analyst, and a deep u...</t>
  </si>
  <si>
    <t>https://www.glassdoor.co.in/job-listing/data-analyst-shiv-shakti-steel-private-limited-JV_IC2901633_KO0,12_KE13,46.htm?jl=1010182451434</t>
  </si>
  <si>
    <t>GD_1010183281060</t>
  </si>
  <si>
    <t>IntouchCX</t>
  </si>
  <si>
    <t>About IntouchCX 
IntouchCX is a global leader in digital customer experience management, back office processing, trust &amp; safety solutions, and AI services. For over 25 years, we’ve scaled with soul, building trusted long-term partnerships and empowering our people to drive posit...</t>
  </si>
  <si>
    <t>https://www.glassdoor.co.in/job-listing/mis-analyst-intouchcx-JV_KO0,11_KE12,21.htm?jl=1010183281060</t>
  </si>
  <si>
    <t>GD_1009902705379</t>
  </si>
  <si>
    <t>BI Data Analyst - CHN</t>
  </si>
  <si>
    <t>Location: Chennai 
Experience: 6 - 9 Years 
The Purpose of This Role 
You will be responsible for conducting consultative analytics and creating executive level recommendations for business partners and line finance. You will also provide a broad range of ad hoc analytical suppor...</t>
  </si>
  <si>
    <t>https://www.glassdoor.co.in/job-listing/bi-data-analyst-chn-photon-JV_KO0,19_KE20,26.htm?jl=1009902705379</t>
  </si>
  <si>
    <t>GD_1010067533464</t>
  </si>
  <si>
    <t>Senior Engineer - Data Analyst</t>
  </si>
  <si>
    <t>What you’ll do: 
EIIC functional excellence organization is aligned with CTO’s strategy to drive “One Eaton Engineering Functional Excellence”. The Charter of this organization is to simplify &amp; create better work experiences for our Engineers by transforming existing engineering ...</t>
  </si>
  <si>
    <t>https://www.glassdoor.co.in/job-listing/senior-engineer-data-analyst-eaton-JV_KO0,28_KE29,34.htm?jl=1010067533464</t>
  </si>
  <si>
    <t>GD_1010133055445</t>
  </si>
  <si>
    <t>Business Insights &amp; Development Analyst</t>
  </si>
  <si>
    <t xml:space="preserve">Hong Kong Aircraft Engineering Company Limited </t>
  </si>
  <si>
    <t>The HAECO Group is an independent global provider of high-quality MRO services. We offer a broad range of aviation products and services that enable our customers to operate their aircraft, engines and components safely and efficiently. Headquartered in Hong Kong since 1950, our ...</t>
  </si>
  <si>
    <t>https://www.glassdoor.co.in/job-listing/business-insights-development-analyst-haeco-JV_IC4469444_KO0,37_KE38,43.htm?jl=1010133055445</t>
  </si>
  <si>
    <t>GD_1010096943779</t>
  </si>
  <si>
    <t>Master Data Analyst, Commercial</t>
  </si>
  <si>
    <t>NKT A/S</t>
  </si>
  <si>
    <t>Commercial Data Analyst
The Position
Are you driven by turning complex data into insights that shape commercial strategies and decision-making? Do you enjoy solving business challenges with data in a dynamic, collaborative environment?
We are looking for a Commercial Data Analyst...</t>
  </si>
  <si>
    <t>https://www.glassdoor.co.in/job-listing/master-data-analyst-commercial-nkt-JV_KO0,30_KE31,34.htm?jl=1010096943779</t>
  </si>
  <si>
    <t>GD_1010179585603</t>
  </si>
  <si>
    <t>Cyber Security Data &amp; Reporting Analyst</t>
  </si>
  <si>
    <t>https://www.glassdoor.co.in/job-listing/cyber-security-data-reporting-analyst-vodafone-JV_IC2856202_KO0,37_KE38,46.htm?jl=1010179585603</t>
  </si>
  <si>
    <t>GD_1010168742829</t>
  </si>
  <si>
    <t>Reference Data Management Intermediate Analyst</t>
  </si>
  <si>
    <t>https://www.glassdoor.co.in/job-listing/reference-data-management-intermediate-analyst-citi-JV_KO0,46_KE47,51.htm?jl=1010168742829</t>
  </si>
  <si>
    <t>GD_1010182639035</t>
  </si>
  <si>
    <t>Business Analyst-Data Insights, Translation Services Operations</t>
  </si>
  <si>
    <t>DESCRIPTION
Are you passionate about transforming operational processes through data-driven insights? Are you motivated to have a direct impact on customers around the world? Do you have a business analytics background and love for continuous improvement and finding creative solu...</t>
  </si>
  <si>
    <t>https://www.glassdoor.co.in/job-listing/business-analyst-data-insights-translation-services-operations-amazon-JV_KO0,62_KE63,69.htm?jl=1010182639035</t>
  </si>
  <si>
    <t>GD_1010162751564</t>
  </si>
  <si>
    <t>Data Analytics &amp; BI Engineer - IDL Technology</t>
  </si>
  <si>
    <t>Date live: 06/09/2026
Business Area: Markets Post Trade
Area of Expertise: Data &amp; Analytics
Contract: Permanent
Reference Code: JR-0000107429
Join us as a “Data Analytics &amp; BI Engineer - IDL Technology " at Barclays, where you'll spearhead the evolution of our digital landscape,...</t>
  </si>
  <si>
    <t>https://www.glassdoor.co.in/job-listing/data-analytics-bi-engineer-idl-technology-barclays-JV_KO0,41_KE42,50.htm?jl=1010162751564</t>
  </si>
  <si>
    <t>GD_1009744142076</t>
  </si>
  <si>
    <t>Garuda Aerospace Private Limited</t>
  </si>
  <si>
    <t>Bangalore, Chennai
Sales &amp; Business Development
About This Role
Analyze data from various sources to provide insights for decision-making.
Key Responsibilities
Collect, clean, and analyze data sets.
Create visual dashboards and reports.
Collaborate with teams to derive actionable...</t>
  </si>
  <si>
    <t>https://www.glassdoor.co.in/job-listing/data-analyst-garuda-aerospace-JV_KO0,12_KE13,29.htm?jl=1009744142076</t>
  </si>
  <si>
    <t>GD_1010172115636</t>
  </si>
  <si>
    <t>Ready to turn complex data into clear, actionable insights? Join Synmatch AI's client as a Power BI Developer with a company where you'll work on projects that tangibly transform businesses while fostering your professional and personal growth. They combine performance, initiativ...</t>
  </si>
  <si>
    <t>https://www.glassdoor.co.in/job-listing/power-bi-developer-synmatch-ai-JV_KO0,18_KE19,30.htm?jl=1010172115636</t>
  </si>
  <si>
    <t>GD_1010173423734</t>
  </si>
  <si>
    <t>Master Data Analyst - Cellasto</t>
  </si>
  <si>
    <t>O bjectives 
The Master Data Analyst – Cellasto is responsible for maintaining accurate and consistent master data in SAP to support supply chain and logistics processes. The role ensures efficient execution of workflows, material phase in and out and packaging administration, wh...</t>
  </si>
  <si>
    <t>https://www.glassdoor.co.in/job-listing/master-data-analyst-cellasto-basf-JV_IC2851180_KO0,28_KE29,33.htm?jl=1010173423734</t>
  </si>
  <si>
    <t>GD_1010171428739</t>
  </si>
  <si>
    <t>Analyst – Demand Forecasting</t>
  </si>
  <si>
    <t>General Mills, Inc.</t>
  </si>
  <si>
    <t>https://www.glassdoor.co.in/job-listing/analyst-demand-forecasting-general-mills-JV_KO0,26_KE27,40.htm?jl=1010171428739</t>
  </si>
  <si>
    <t>GD_1009984897496</t>
  </si>
  <si>
    <t>Location: Pune 
Desired Competencies 
1. Power BI Expertise Application design data modeling scripting load scripts Set Analysis visualization best practices extensions 
2. Visualization or UX Designing intuitive dashboards choosing appropriate charts such as KPI Line Combo layo...</t>
  </si>
  <si>
    <t>https://www.glassdoor.co.in/job-listing/data-analyst-tata-consultancy-services-JV_KO0,12_KE13,38.htm?jl=1009984897496</t>
  </si>
  <si>
    <t>GD_1010176853809</t>
  </si>
  <si>
    <t>AMETEK, Inc.</t>
  </si>
  <si>
    <t>Location: 
Bangalore, KA, IN, 560048 
Business Unit: Nul 
Posting Date: Jun 23, 2026 
Job Description:
Role Summary:
This role will act as the business owner for data migration from Microsoft Dynamics Navision to SAP S/4HANA across multiple European entities. The Business Analyst...</t>
  </si>
  <si>
    <t>https://www.glassdoor.co.in/job-listing/business-analyst-ametek-JV_KO0,16_KE17,23.htm?jl=1010176853809</t>
  </si>
  <si>
    <t>GD_1010144164092</t>
  </si>
  <si>
    <t>Data Analyst – Risk &amp; Compliance</t>
  </si>
  <si>
    <t>NIUM Pte. Ltd.</t>
  </si>
  <si>
    <t>Nium, the Leader in Real-Time Global Payments
Nium, the leading global infrastructure for real-time cross-border payments, was founded on the mission to deliver the global payments infrastructure of tomorrow, today. With the onset of the global economy, its payments infrastructur...</t>
  </si>
  <si>
    <t>https://www.glassdoor.co.in/job-listing/data-analyst-risk-compliance-nium-JV_KO0,28_KE29,33.htm?jl=1010144164092</t>
  </si>
  <si>
    <t>GD_1010187857318</t>
  </si>
  <si>
    <t>Global Partner Data, Lead Analyst</t>
  </si>
  <si>
    <t>Okta, Inc.</t>
  </si>
  <si>
    <t>https://www.glassdoor.co.in/job-listing/global-partner-data-lead-analyst-okta-JV_IC2940587_KO0,32_KE33,37.htm?jl=1010187857318</t>
  </si>
  <si>
    <t>GD_1010016373072</t>
  </si>
  <si>
    <t>Senior Analyst - Business Intelligence (Data Analyst)</t>
  </si>
  <si>
    <t>Arthur J. Gallagher &amp; Co.</t>
  </si>
  <si>
    <t>Introduction
Welcome to Gallagher - a global community of people who bring bold ideas, deep expertise, and a shared commitment to doing what’s right.
We help clients navigate complexity with confidence by empowering businesses, communities, and individuals to thrive.
At Gallagher...</t>
  </si>
  <si>
    <t>https://www.glassdoor.co.in/job-listing/senior-analyst-business-intelligence-data-analyst-gallagher-JV_IC2856202_KO0,49_KE50,59.htm?jl=1010016373072</t>
  </si>
  <si>
    <t>GD_1010188477466</t>
  </si>
  <si>
    <t>Data Information Management Analyst</t>
  </si>
  <si>
    <t>https://www.glassdoor.co.in/job-listing/data-information-management-analyst-citi-JV_IC2940587_KO0,35_KE36,40.htm?jl=1010188477466</t>
  </si>
  <si>
    <t>GD_1010173753625</t>
  </si>
  <si>
    <t>Platform Engineering- Controls &amp; Enablement- Data Analytics &amp; Reporting Analyst</t>
  </si>
  <si>
    <t>LPL GLOBAL BUSINESS SERVICES LLP</t>
  </si>
  <si>
    <t>At LPL’s Global Capability Center, you'll find a collaborative culture where your voice matters, integrity guides every decision, and technology fuels progress. Your skills, talents, and ideas will redefine what's possible. LPL's success reflects its exceptional employees, who to...</t>
  </si>
  <si>
    <t>https://www.glassdoor.co.in/job-listing/platform-engineering-controls-enablement-data-analytics-reporting-analyst-gcc-india-JV_KO0,73_KE74,83.htm?jl=1010173753625</t>
  </si>
  <si>
    <t>GD_1007236225631</t>
  </si>
  <si>
    <t>SENIOR CONSULTANT - BI</t>
  </si>
  <si>
    <t>The Hackett Group, Inc.</t>
  </si>
  <si>
    <t>The Senior Consultant designs, models, maintains and develops ETL/Integration processes leveraging different technologies and techniques, analysis and dashboards. The Senior Consultant interacts with technical administration as expert-level problem solver and develop job skills a...</t>
  </si>
  <si>
    <t>https://www.glassdoor.co.in/job-listing/senior-consultant-bi-the-hackett-group-JV_KO0,20_KE21,38.htm?jl=1007236225631</t>
  </si>
  <si>
    <t>GD_1010107636489</t>
  </si>
  <si>
    <t>Business Analyst, Amazon MX Player</t>
  </si>
  <si>
    <t>DESCRIPTION
Amazon is shaping the future of digital video entertainment in India. We seek a BA II for our team who can help us scale Amazon MX Player, Amazon India's free ad-supported (AVOD) streaming service. Over the next few months, we plan to launch a large number of exclusiv...</t>
  </si>
  <si>
    <t>https://www.glassdoor.co.in/job-listing/business-analyst-amazon-mx-player-amazon-JV_KO0,33_KE34,40.htm?jl=1010107636489</t>
  </si>
  <si>
    <t>GD_1010137832135</t>
  </si>
  <si>
    <t>Data Analytics Developer</t>
  </si>
  <si>
    <t>Key Responsibilities 
BI Reporting Development 
Develop and maintain Power BI dashboards and reports. 
Create and manage Power BI semantic datasets and data models. 
Build Power BI Paginated Reports for operational reporting . 
Data Engineering &amp; Transformation 
Develop and maint...</t>
  </si>
  <si>
    <t>https://www.glassdoor.co.in/job-listing/data-analytics-developer-jade-global-JV_KO0,24_KE25,36.htm?jl=1010137832135</t>
  </si>
  <si>
    <t>GD_1010157650039</t>
  </si>
  <si>
    <t>Havas Group</t>
  </si>
  <si>
    <t>Agency :
Havas Creative
Job Description :
This role is responsible for collecting and developing requirements for workflow in and out of the platform. Also, documentation and quality assurance for delivery on those requirements. This will be a client facing role to act as a liais...</t>
  </si>
  <si>
    <t>https://www.glassdoor.co.in/job-listing/business-analyst-havas-group-JV_KO0,16_KE17,28.htm?jl=1010157650039</t>
  </si>
  <si>
    <t>GD_1010095632485</t>
  </si>
  <si>
    <t>Data and AI Governance Compliance Analyst</t>
  </si>
  <si>
    <t>Booking Holdings, Inc.</t>
  </si>
  <si>
    <t>Role Description: 
About us: At Booking.com, data drives our decisions. Technology is at our core. And innovation is everywhere. But our company is more than datasets, lines of code or A/B tests. We’re the thrill of the first night in a new place. The excitement of the next morni...</t>
  </si>
  <si>
    <t>https://www.glassdoor.co.in/job-listing/data-and-ai-governance-compliance-analyst-booking-holdings-JV_KO0,41_KE42,58.htm?jl=1010095632485</t>
  </si>
  <si>
    <t>GD_1010179540137</t>
  </si>
  <si>
    <t>Data Quality / Metadata &amp; Data Lineage Analyst</t>
  </si>
  <si>
    <t>https://www.glassdoor.co.in/job-listing/data-quality-metadata-data-lineage-analyst-citi-JV_IC2940587_KO0,42_KE43,47.htm?jl=1010179540137</t>
  </si>
  <si>
    <t>GD_1009625774601</t>
  </si>
  <si>
    <t>Junior Consultant – Data Analyst(Contract)</t>
  </si>
  <si>
    <t xml:space="preserve">Recruber </t>
  </si>
  <si>
    <t>Shillong</t>
  </si>
  <si>
    <t>Meghalaya</t>
  </si>
  <si>
    <t>Educational Qualification:
Master's/ Bachelor' degree in management (MBA/PGDBM)/ Economics/ Data Science/ Statistics/ Mathematics/ Computer Science/ Finance / Commerce/ or related field with at least 02 yrs of experience
Job Description:
Relevant experience in government and publ...</t>
  </si>
  <si>
    <t>https://www.glassdoor.co.in/job-listing/junior-consultant-data-analyst-contract-recruber-JV_IC2938041_KO0,39_KE40,48.htm?jl=1009625774601</t>
  </si>
  <si>
    <t>GD_1010169438104</t>
  </si>
  <si>
    <t>Statistical Analyst</t>
  </si>
  <si>
    <t>Kumaran Systems, Inc.</t>
  </si>
  <si>
    <t>Strong knowledge of statistical methods and data analysis techniques.
Proficiency in Excel, SQL, R, Python, SPSS, SAS, or similar analytical tools.
Experience with data visualization tools such as Power BI or Tableau.
Strong analytical, problem-solving, and critical-thinking skil...</t>
  </si>
  <si>
    <t>https://www.glassdoor.co.in/job-listing/statistical-analyst-kumaran-systems-JV_IC2833209_KO0,19_KE20,35.htm?jl=1010169438104</t>
  </si>
  <si>
    <t>GD_1010192035363</t>
  </si>
  <si>
    <t>https://www.glassdoor.co.in/job-listing/senior-business-analyst-hsbc-JV_KO0,23_KE24,28.htm?jl=1010192035363</t>
  </si>
  <si>
    <t>GD_1010133230663</t>
  </si>
  <si>
    <t>Specialist- Data &amp; Planning Analyst</t>
  </si>
  <si>
    <t>REQUISITION ID: 12203 
LOCATION:
Chennai, TN, IN, 600119 
#job-location.job-location-inline { display: inline; } 
DEPARTMENT: Logistics / Material Management 
.buttontextb2c7b5068035d319 a{ border: 1px solid transparent; } .buttontextb2c7b5068035d319 a: focus{ border: 1px dashe...</t>
  </si>
  <si>
    <t>https://www.glassdoor.co.in/job-listing/specialist-data-planning-analyst-nordex-group-JV_KO0,32_KE33,45.htm?jl=1010133230663</t>
  </si>
  <si>
    <t>GD_1010094668485</t>
  </si>
  <si>
    <t>Designation: 
Location: India Maharashtra R-Tech Park Goregaon
Organization: Financial Services
Job Description:
Job Description:-
Understanding the challenges faced by the business and translate that into a data problem
Asking right questions
Find the answers through data
Abi...</t>
  </si>
  <si>
    <t>https://www.glassdoor.co.in/job-listing/business-analyst-aditya-birla-group-JV_KO0,16_KE17,35.htm?jl=1010094668485</t>
  </si>
  <si>
    <t>GD_1010166514208</t>
  </si>
  <si>
    <t>Business Data Analyst</t>
  </si>
  <si>
    <t>ID: 2875 | 7-8 yrs | Bengaluru 
Job Description –Techno-Functional Business Analyst
Position
Techno-Functional Business Analyst
Experience
8–10 Years
Location
Bangalore
Employment Type
Full-TimePosition Overview
We are seeking a highly experienced Techno-Functional Business ...</t>
  </si>
  <si>
    <t>https://www.glassdoor.co.in/job-listing/business-data-analyst-jk-tech-JV_IC2940587_KO0,21_KE22,29.htm?jl=1010166514208</t>
  </si>
  <si>
    <t>GD_1010186636209</t>
  </si>
  <si>
    <t>Orchestration Analyst</t>
  </si>
  <si>
    <t>As the Orchestration Analyst, you will play a crucial role in driving data-driven decision-making processes and optimizing business performance in the Global Business Services (GBS) space. Your responsibilities will include developing and maintaining global reports, performing da...</t>
  </si>
  <si>
    <t>https://www.glassdoor.co.in/job-listing/orchestration-analyst-ecolab-JV_IC2856202_KO0,21_KE22,28.htm?jl=1010186636209</t>
  </si>
  <si>
    <t>GD_1010103235569</t>
  </si>
  <si>
    <t>Data Engineer - Analysis &amp; Insights</t>
  </si>
  <si>
    <t>Mattel, Inc.</t>
  </si>
  <si>
    <t>CREATIVITY IS OUR SUPERPOWER. It’s our heritage and it’s also our future. Because we don’t just make toys. We create innovative products and experiences that inspire fans, entertain audiences and develop children through play. Mattel is at its best when every member of our team f...</t>
  </si>
  <si>
    <t>https://www.glassdoor.co.in/job-listing/data-engineer-analysis-insights-mattel-JV_KO0,31_KE32,38.htm?jl=1010103235569</t>
  </si>
  <si>
    <t>GD_1010191086795</t>
  </si>
  <si>
    <t>https://www.glassdoor.co.in/job-listing/data-analyst-trainer-from-kerala-neyyar-technologies-private-limited-JV_KO0,32_KE33,68.htm?jl=1010191086795</t>
  </si>
  <si>
    <t>GD_1010013748241</t>
  </si>
  <si>
    <t>Power BI (Data Analyst) Consultant</t>
  </si>
  <si>
    <t>7N A/S</t>
  </si>
  <si>
    <t>Mandatory Skills: 
Technical skills, Independent and can go figure out the blank technical aspect with the stakeholder in GBS to bridge knowledge gap 
Roles &amp; Responsibilities 
The organization has many data system: Haystack, Databrick, Snowflake 
A legacy solution was built for ...</t>
  </si>
  <si>
    <t>https://www.glassdoor.co.in/job-listing/power-bi-data-analyst-consultant-7n-JV_KO0,32_KE33,35.htm?jl=1010013748241</t>
  </si>
  <si>
    <t>GD_1010162823114</t>
  </si>
  <si>
    <t>Senior Analyst - BI and AI analitics</t>
  </si>
  <si>
    <t>Greif, Inc.</t>
  </si>
  <si>
    <t>Greif is a global leader in performance packaging located in 40 countries. The company delivers trusted, innovative, and tailored solutions that support some of the world's most in demand and fastest-growing industries.
With a commitment to legendary customer service, operational...</t>
  </si>
  <si>
    <t>https://www.glassdoor.co.in/job-listing/senior-analyst-bi-and-ai-analitics-greif-JV_KO0,34_KE35,40.htm?jl=1010162823114</t>
  </si>
  <si>
    <t>GD_1010176919070</t>
  </si>
  <si>
    <t>Senior Associate | Engineering, AI &amp; Data - Engineering | Data Analyst</t>
  </si>
  <si>
    <t>Job requisition ID :: 106358 
Date: Jun 23, 2026 
Location: Bengaluru 
Designation: Analyst 
Entity: Deloitte Touche Tohmatsu India LLP 
Senior Associate | Engineering, AI &amp; Data - Engineering | Data Analyst 
Job requisition ID : 106358
Location: Bengaluru 
Entity: Deloitte Touch...</t>
  </si>
  <si>
    <t>https://www.glassdoor.co.in/job-listing/senior-associate-engineering-ai-data-engineering-data-analyst-deloitte-JV_IC2940587_KO0,61_KE62,70.htm?jl=1010176919070</t>
  </si>
  <si>
    <t>GD_1010108338597</t>
  </si>
  <si>
    <t xml:space="preserve">Kyndryl Inc. </t>
  </si>
  <si>
    <t>Who We Are 
At Kyndryl, we run and reimagine the mission-critical technology systems that drive advantage for the world’s leading businesses. We are at the heart of progress; with proven expertise and a continuous flow of AI-powered insight, enabling smarter decisions, faster inn...</t>
  </si>
  <si>
    <t>https://www.glassdoor.co.in/job-listing/data-analysis-kyndryl-JV_KO0,13_KE14,21.htm?jl=1010108338597</t>
  </si>
  <si>
    <t>GD_1010165430457</t>
  </si>
  <si>
    <t>Data Analytics Solutions Specialist</t>
  </si>
  <si>
    <t>Minimum qualifications:
Bachelor's degree in Engineering, Math, Quantitative Science, or a related technical field, or equivalent practical experience.
3 years of experience working in data analytics, consulting, data science, engineering, or a technical operations role.
3 years ...</t>
  </si>
  <si>
    <t>https://www.glassdoor.co.in/job-listing/data-analytics-solutions-specialist-google-JV_IC2940587_KO0,35_KE36,42.htm?jl=1010165430457</t>
  </si>
  <si>
    <t>GD_1009976476644</t>
  </si>
  <si>
    <t>Business Intelligence Analyst / Data Engineer</t>
  </si>
  <si>
    <t>Valtech Group</t>
  </si>
  <si>
    <t>Why Valtech? We’re advisors, visionaries, creative and techies. We embrace all things digital. We talk to each other. We have fun. We love our clients. We’re looking ahead • We are global
At Valtech, we’ve got opportunities to offer you — for growth, for leadership, for big, wor...</t>
  </si>
  <si>
    <t>https://www.glassdoor.co.in/job-listing/business-intelligence-analyst-data-engineer-valtech-group-JV_KO0,43_KE44,57.htm?jl=1009976476644</t>
  </si>
  <si>
    <t>GD_1010157662677</t>
  </si>
  <si>
    <t>Supply Chain Data Analyst</t>
  </si>
  <si>
    <t>3M Company</t>
  </si>
  <si>
    <t>3M has a long-standing reputation as a company committed to innovation. We provide the freedom to explore and encourage curiosity and creativity. We gain new insight from diverse thinking, and take risks on new ideas. Here, you can apply your talent in bold ways that matter.
Job ...</t>
  </si>
  <si>
    <t>https://www.glassdoor.co.in/job-listing/supply-chain-data-analyst-3m-JV_KO0,25_KE26,28.htm?jl=1010157662677</t>
  </si>
  <si>
    <t>GD_1010180872521</t>
  </si>
  <si>
    <t>Analyst Operations</t>
  </si>
  <si>
    <t>Medline Industries, Inc.</t>
  </si>
  <si>
    <t>Job Summary 
Responsible for three key functions within the Division; Service Level Management – managing inventory &amp; surplus: ensure proper stocking of inventory in all branches for the Division. Review reports daily and use the information to formulate and implement plans of ac...</t>
  </si>
  <si>
    <t>https://www.glassdoor.co.in/job-listing/analyst-operations-medline-industries-JV_IC2856202_KO0,18_KE19,37.htm?jl=1010180872521</t>
  </si>
  <si>
    <t>GD_1010191011480</t>
  </si>
  <si>
    <t>https://www.glassdoor.co.in/job-listing/data-engineer-flex-analytics-amazon-JV_KO0,28_KE29,35.htm?jl=1010191011480</t>
  </si>
  <si>
    <t>GD_1009997310245</t>
  </si>
  <si>
    <t>Eduport Pvt Ltd</t>
  </si>
  <si>
    <t>Job description:
Role Overview:
We are seeking a Data Analyst with expertise in SQL, Python, and Microsoft Excel/Google Sheets to manage data analysis, reporting, and lead allocation for the sales team. The ideal candidate should be detail-oriented, analytical, and proactive in i...</t>
  </si>
  <si>
    <t>https://www.glassdoor.co.in/job-listing/data-analyst-eduport-JV_KO0,12_KE13,20.htm?jl=1009997310245</t>
  </si>
  <si>
    <t>GD_1007838294703</t>
  </si>
  <si>
    <t>Data Analyst (ETL Tools)</t>
  </si>
  <si>
    <t>Alpha Analytics Services Private Limited</t>
  </si>
  <si>
    <t>Job Summary
The ETL developer is responsible for the development, unit testing and implementation of data integration solutions for Consulting/clients.
Responsibilities and Duties
Responsible for importing, cleansing, transforming, validating and analyzing data with the purpose o...</t>
  </si>
  <si>
    <t>https://www.glassdoor.co.in/job-listing/data-analyst-etl-tools-alpha-analytics-services-JV_IC2856202_KO0,22_KE23,47.htm?jl=1007838294703</t>
  </si>
  <si>
    <t>GD_1010156473509</t>
  </si>
  <si>
    <t>Data Analyst Support, RoW SHARP</t>
  </si>
  <si>
    <t>DESCRIPTION
ROW SHARP team is looking for technically strong Analyst for developing solutions to better manage/optimize/innovate in the field of Data Analytics while providing the best experience to our customers at the lowest possible price.
ROW SHARP’s BI and analytics team s...</t>
  </si>
  <si>
    <t>https://www.glassdoor.co.in/job-listing/data-analyst-support-row-sharp-amazon-JV_KO0,30_KE31,37.htm?jl=1010156473509</t>
  </si>
  <si>
    <t>GD_1010180045139</t>
  </si>
  <si>
    <t>https://www.glassdoor.co.in/job-listing/senior-data-analyst-optum-JV_KO0,19_KE20,25.htm?jl=1010180045139</t>
  </si>
  <si>
    <t>GD_1007989727669</t>
  </si>
  <si>
    <t>Hyperthink Systems</t>
  </si>
  <si>
    <t>Experience – 2 to 5 Year
Location - Bangalore, IND &amp; Doha, Qatar(Onsite)
Bachelor’s or master’s in computer science, Statistics, Mathematics, or a related field.
At least 2 to 5 years of experience in a data science or analytics role, preferably in Automation Industries and oil &amp;...</t>
  </si>
  <si>
    <t>https://www.glassdoor.co.in/job-listing/data-analyst-hyperthink-systems-JV_IC2940587_KO0,12_KE13,31.htm?jl=1007989727669</t>
  </si>
  <si>
    <t>GD_1010076340201</t>
  </si>
  <si>
    <t>Sr Tableau Developer, Business Intelligence</t>
  </si>
  <si>
    <t>Intercontinental Exchange, Inc.</t>
  </si>
  <si>
    <t>Job Description: 
Job Purpose
We are on a mission as a team. We are problem solvers and partners, always starting with our customers to solve their challenges and create opportunities. Our start-up roots keep us nimble, flexible and fast moving. We take ownership and make decisio...</t>
  </si>
  <si>
    <t>https://www.glassdoor.co.in/job-listing/sr-tableau-developer-business-intelligence-intercontinental-exchange-JV_KO0,42_KE43,68.htm?jl=1010076340201</t>
  </si>
  <si>
    <t>GD_1010158006345</t>
  </si>
  <si>
    <t>Data Operations Analyst</t>
  </si>
  <si>
    <t>Veeva Systems</t>
  </si>
  <si>
    <t>Veeva Systems is a mission-driven organization and pioneer in industry cloud, helping life sciences companies bring therapies to patients faster. As one of the fastest-growing SaaS companies in history, we surpassed $3B in revenue in our last fiscal year with extensive growth pot...</t>
  </si>
  <si>
    <t>https://www.glassdoor.co.in/job-listing/data-operations-analyst-veeva-systems-JV_IC2851180_KO0,23_KE24,37.htm?jl=1010158006345</t>
  </si>
  <si>
    <t>GD_1010157996977</t>
  </si>
  <si>
    <t>Consultant, Data Analytics &amp; Reporting-Food</t>
  </si>
  <si>
    <t>Cargill, Incorporated</t>
  </si>
  <si>
    <t>Job Purpose and Impact
BAND DESCRIPTION
Established professional individual contributor. Works independently with general supervision. Problems faced are difficult (i.e. requires significant effort) but typically not complex (i.e. does not involve multiple layers and components t...</t>
  </si>
  <si>
    <t>https://www.glassdoor.co.in/job-listing/consultant-data-analytics-reporting-food-cargill-JV_KO0,40_KE41,48.htm?jl=1010157996977</t>
  </si>
  <si>
    <t>GD_1010165430450</t>
  </si>
  <si>
    <t>Note: By applying to this position you will have an opportunity to share your preferred working location from the following: Hyderabad, Telangana, India; Bengaluru, Karnataka, India.
Minimum qualifications:
Bachelor's degree in Engineering, Math, Quantitative Science, or a relate...</t>
  </si>
  <si>
    <t>https://www.glassdoor.co.in/job-listing/business-data-analyst-google-JV_KO0,21_KE22,28.htm?jl=1010165430450</t>
  </si>
  <si>
    <t>GD_1010187883307</t>
  </si>
  <si>
    <t>Job Description: In this position, the candidate will be responsible for building and maintaining BI and analytics solutions that transform data into actionable insights through interactive and easy-to-understand dashboards and reports. The role requires a strong background in da...</t>
  </si>
  <si>
    <t>https://www.glassdoor.co.in/job-listing/data-analyst-exl-service-JV_IC2921225_KO0,12_KE13,24.htm?jl=1010187883307</t>
  </si>
  <si>
    <t>GD_1010123451910</t>
  </si>
  <si>
    <t>Redwood Software, Inc.</t>
  </si>
  <si>
    <t>OUR MISSION
At Redwood, we empower our customers with lights-out automation for their mission-critical business processes.
ABOUT US
Redwood Software is the leading orchestration platform for the autonomous enterprise, driving business transformation at the lowest total cost of ow...</t>
  </si>
  <si>
    <t>https://www.glassdoor.co.in/job-listing/data-analyst-redwood-software-JV_KO0,12_KE13,29.htm?jl=1010123451910</t>
  </si>
  <si>
    <t>GD_1010189897132</t>
  </si>
  <si>
    <t>https://www.glassdoor.co.in/job-listing/data-analyst-nkp-pharma-pvt-ltd-changodar-JV_IC2935226_KO0,12_KE13,41.htm?jl=1010189897132</t>
  </si>
  <si>
    <t>GD_1009841577651</t>
  </si>
  <si>
    <t>Magic Infomedia</t>
  </si>
  <si>
    <t>Location: Delhi
Job Types: Full Time , Permanent
We are hiring a talented Data Analyst professional to join our team. If you’re excited to be part of a winning team, Magic Infomedia is a great place to grow your career. You will be glad you make the right choice to join us.</t>
  </si>
  <si>
    <t>https://www.glassdoor.co.in/job-listing/data-analyst-magic-infomedia-JV_KO0,12_KE13,28.htm?jl=1009841577651</t>
  </si>
  <si>
    <t>GD_1010160908910</t>
  </si>
  <si>
    <t>Data Scientist, Financial Analytics</t>
  </si>
  <si>
    <t>People Center, Inc.</t>
  </si>
  <si>
    <t>About Rippling
Rippling gives businesses one place to run HR, IT, and Finance. It brings together all of the workforce systems that are normally scattered across a company, like payroll, expenses, benefits, and computers. For the first time ever, you can manage and automate every...</t>
  </si>
  <si>
    <t>https://www.glassdoor.co.in/job-listing/data-scientist-financial-analytics-rippling-JV_IC2940587_KO0,34_KE35,43.htm?jl=1010160908910</t>
  </si>
  <si>
    <t>GD_1010190228587</t>
  </si>
  <si>
    <t>https://www.glassdoor.co.in/job-listing/lead-business-analyst-hcltech-JV_IC2940587_KO0,21_KE22,29.htm?jl=1010190228587</t>
  </si>
  <si>
    <t>GD_1010156995397</t>
  </si>
  <si>
    <t>Analyst, Quantitative Research</t>
  </si>
  <si>
    <t>Job Description: 
Job Purpose
The Quantitative Analyst will join the Quant Group which designs, implements, and supports enterprise quantitative models and systems. The primary role for this position will be to provide model research, development, and strategic recommendations to...</t>
  </si>
  <si>
    <t>https://www.glassdoor.co.in/job-listing/analyst-quantitative-research-intercontinental-exchange-JV_KO0,29_KE30,55.htm?jl=1010156995397</t>
  </si>
  <si>
    <t>GD_1010170926875</t>
  </si>
  <si>
    <t>The data analyst serves as a gatekeeper for an organization’s data so stakeholders can understand data and use it to make strategic business decisions. It is a technical role that requires an undergraduate degree or master’s degree in analytics, computer modeling, science, or mat...</t>
  </si>
  <si>
    <t>https://www.glassdoor.co.in/job-listing/junior-data-analyst-heat-and-control-south-asia-pvt-ltd-JV_IC2833209_KO0,19_KE20,55.htm?jl=1010170926875</t>
  </si>
  <si>
    <t>GD_1010190937522</t>
  </si>
  <si>
    <t>https://www.glassdoor.co.in/job-listing/data-analyst-need82-forex-and-travels-private-limited-JV_IC2902296_KO0,12_KE13,53.htm?jl=1010190937522</t>
  </si>
  <si>
    <t>GD_1010031966085</t>
  </si>
  <si>
    <t>Axis My India</t>
  </si>
  <si>
    <t>Job Information
Date Opened
06/04/2026 
Industry
Data Analytics &amp; Research 
Job Type
Full time 
City
Mumbai 
State/Province
Maharashtra 
Country
India 
Zip/Postal Code
400069 
Experience Required
2+ years
Job Description
Role Overview
We are looking for a detail-oriented and ana...</t>
  </si>
  <si>
    <t>https://www.glassdoor.co.in/job-listing/data-analyst-axis-my-india-JV_IC2851180_KO0,12_KE13,26.htm?jl=1010031966085</t>
  </si>
  <si>
    <t>GD_1010177137908</t>
  </si>
  <si>
    <t>Data Visualization Sr. Analyst</t>
  </si>
  <si>
    <t>Job Title - Data Visualization Sr. Analyst - Sr.Analyst - ACS Song
Management Level: 10 - Sr. Analyst
Location: Kochi
Must have skills: Tableau/Power BI, SQL, Relational Database
Good to have skills: Python or R
Experience: 3.5 -5 years of experience is required
Educational Quali...</t>
  </si>
  <si>
    <t>https://www.glassdoor.co.in/job-listing/data-visualization-sr-analyst-accenture-JV_IC2887994_KO0,29_KE30,39.htm?jl=1010177137908</t>
  </si>
  <si>
    <t>GD_1009422806620</t>
  </si>
  <si>
    <t>Sr. Power Bi Developer</t>
  </si>
  <si>
    <t>TechTree IT Systems Pvt Ltd.</t>
  </si>
  <si>
    <t>Belgaum</t>
  </si>
  <si>
    <t>4+ Years Experience
Key Responsibilities:
Design and develop complex Power BI reports and dashboards that effectively present data insights and business intelligence to stakeholders.
Develop efficient and scalable data models within Power BI that ensure data integrity and optimal...</t>
  </si>
  <si>
    <t>https://www.glassdoor.co.in/job-listing/sr-power-bi-developer-techtree-it-systems-JV_IC2940594_KO0,21_KE22,41.htm?jl=1009422806620</t>
  </si>
  <si>
    <t>GD_1010177016034</t>
  </si>
  <si>
    <t>Workforce Analyst - Data Analytics</t>
  </si>
  <si>
    <t xml:space="preserve">JPMorganChase </t>
  </si>
  <si>
    <t>JOB DESCRIPTION
Are you passionate about project management and process improvement? Our Workforce Planning team is a highly-collaborative inclusive environment where we value relationship-building, strategic thinking, and solution-oriented members.
As a Workforce Analyst on th...</t>
  </si>
  <si>
    <t>https://www.glassdoor.co.in/job-listing/workforce-analyst-data-analytics-jpmorgan-chase-co-JV_IC2851180_KO0,32_KE33,50.htm?jl=1010177016034</t>
  </si>
  <si>
    <t>GD_1010191342144</t>
  </si>
  <si>
    <t>https://www.glassdoor.co.in/job-listing/business-analyst-ii-cmt-amazon-JV_KO0,23_KE24,30.htm?jl=1010191342144</t>
  </si>
  <si>
    <t>GD_1009608093747</t>
  </si>
  <si>
    <t>Data Scientist/Analyst</t>
  </si>
  <si>
    <t>Sumeru Software Solutions Pvt. Ltd.</t>
  </si>
  <si>
    <t>Job Title:- Data Scientist/Data Analyst
Job Location:- Remote
Job Type: Full-Time Position
Position Summary
We are looking for a Data Scientist or Analyst who will be working closely with other Data Scientists and Data analysts on performing detailed requirements analysis given ...</t>
  </si>
  <si>
    <t>https://www.glassdoor.co.in/job-listing/data-scientist-analyst-sumeru-JV_KO0,22_KE23,29.htm?jl=1009608093747</t>
  </si>
  <si>
    <t>GD_1010175495103</t>
  </si>
  <si>
    <t>Product Data Analyst</t>
  </si>
  <si>
    <t>Product Management Specialist II is responsible for the development and commercialization of an offering portfolio by improving execution and governance of strategy and process. The Product Operations team works closely with Offering Managers and cross-functional departments, suc...</t>
  </si>
  <si>
    <t>https://www.glassdoor.co.in/job-listing/product-data-analyst-honeywell-JV_IC2940587_KO0,20_KE21,30.htm?jl=1010175495103</t>
  </si>
  <si>
    <t>GD_1010187492927</t>
  </si>
  <si>
    <t>Power BI Data Analyst</t>
  </si>
  <si>
    <t>Job Profile:
Gather requirements from multiple teams, management leaders and domain experts and formulate business metrics.
Extract, Manipulate and analyze data from large databases.
Simplify and automate existing complex reports, build dashboards and other metrics monitoring too...</t>
  </si>
  <si>
    <t>https://www.glassdoor.co.in/job-listing/power-bi-data-analyst-cognitive-stars-india-pvt-ltd-JV_IC2942216_KO0,21_KE22,51.htm?jl=1010187492927</t>
  </si>
  <si>
    <t>GD_1009780088072</t>
  </si>
  <si>
    <t>Fireblaze Technologies Pvt. Ltd</t>
  </si>
  <si>
    <t>Job Information
Date Opened
06/16/2025 
Job Type
Full time 
Industry
Education 
Work Experience
Fresher 
Salary
₹20,000 - ₹30,000 
City
Ahmedabad 
State/Province
Gujarat 
Country
India 
Zip/Postal Code
380060 
About Us
Fireblaze AI School is a part of Fireblaze Technologies which...</t>
  </si>
  <si>
    <t>https://www.glassdoor.co.in/job-listing/data-analyst-fireblaze-technologies-JV_IC2935226_KO0,12_KE13,35.htm?jl=1009780088072</t>
  </si>
  <si>
    <t>GD_1010089894937</t>
  </si>
  <si>
    <t>Analyst, Procurement Intelligence</t>
  </si>
  <si>
    <t>Molex Incorporated</t>
  </si>
  <si>
    <t>Your Job
The role supports strategic sourcing, improves process efficiency, and delivers insights through reports and dashboards using tools like Power BI, SQL, Excel and data visualization platforms. Ultimately, it helps optimize procurement strategies and enhance overall supply...</t>
  </si>
  <si>
    <t>https://www.glassdoor.co.in/job-listing/analyst-procurement-intelligence-molex-JV_KO0,32_KE33,38.htm?jl=1010089894937</t>
  </si>
  <si>
    <t>GD_1009419758397</t>
  </si>
  <si>
    <t>Saven Technologies, Ltd.</t>
  </si>
  <si>
    <t>We are looking for a Data Analyst with a minimum of 2 years of experience in data analytics. The ideal candidate will have expertise in SQL, Excel/Gsheets, Python, and a solid understanding of root cause analysis (RCA), KPIs/metrics, and statistical modeling. The role requires a ...</t>
  </si>
  <si>
    <t>https://www.glassdoor.co.in/job-listing/data-analyst-saven-technologies-JV_KO0,12_KE13,31.htm?jl=1009419758397</t>
  </si>
  <si>
    <t>GD_1009850603142</t>
  </si>
  <si>
    <t>Data Analyst - CHN</t>
  </si>
  <si>
    <t>https://www.glassdoor.co.in/job-listing/data-analyst-chn-photon-JV_KO0,16_KE17,23.htm?jl=1009850603142</t>
  </si>
  <si>
    <t>GD_1010182591819</t>
  </si>
  <si>
    <t>Lead Data Analyst, ITC</t>
  </si>
  <si>
    <t>Position Type 
Full Time 
Career area 
Data 
Location 
4/F, WeWork, Embassy GolfLinks, Karnataka, Karnātaka 560093, India 
Job ID 
R-86812 
Become a Part of the NIKE, Inc. Team 
NIKE, Inc. does more than outfit the world’s best athletes. It’s a place where passionate individual...</t>
  </si>
  <si>
    <t>https://www.glassdoor.co.in/job-listing/lead-data-analyst-itc-nike-JV_KO0,21_KE22,26.htm?jl=1010182591819</t>
  </si>
  <si>
    <t>GD_1010179140528</t>
  </si>
  <si>
    <t>We are seeking a detail-oriented and analytical Data Analyst to collect, process, and analyze data to help drive business decisions. The ideal candidate should have strong problem-solving skills, a passion for data, and the ability to transform complex information into actionable...</t>
  </si>
  <si>
    <t>https://www.glassdoor.co.in/job-listing/data-analyst-energine-JV_IC2940587_KO0,12_KE13,21.htm?jl=1010179140528</t>
  </si>
  <si>
    <t>GD_1010173324197</t>
  </si>
  <si>
    <t>Workday Reporting Analyst</t>
  </si>
  <si>
    <t>Workday Reporting Analyst
Employment Type: C2C
Experience: 4+ Years
Location: Remote
Working Hours: 2:00 PM – 11:00 PM IST
Job Overview
We are seeking a highly skilled Workday Reporting Analyst with strong expertise in Workday Reporting, Dashboard Development, Workday Prism Analy...</t>
  </si>
  <si>
    <t>https://www.glassdoor.co.in/job-listing/workday-reporting-analyst-technology-next-JV_KO0,25_KE26,41.htm?jl=1010173324197</t>
  </si>
  <si>
    <t>GD_1010168592993</t>
  </si>
  <si>
    <t>BI Data Analytics Professional</t>
  </si>
  <si>
    <t>Reporting to Tax BI Product Owner – CoE - Data Products &amp; Reporting - Corporate &amp; GSC and interacting with multiple stakeholders within Maersk Group. 
You will provide analytical insights and improvement scenarios to Business Stakeholders on Tax exposure and compliances within Ma...</t>
  </si>
  <si>
    <t>https://www.glassdoor.co.in/job-listing/bi-data-analytics-professional-maersk-JV_KO0,30_KE31,37.htm?jl=1010168592993</t>
  </si>
  <si>
    <t>GD_1010180469825</t>
  </si>
  <si>
    <t>Data Analyst (D365 Transformation Program)</t>
  </si>
  <si>
    <t>Country/Region: IN 
Requisition ID: 36907 
Work Model: 
Position Type: 
Salary Range: 
Location: INDIA - BENGALURU - WHITEFIELD SITE 
Title: Data Analyst (D365 Transformation Program) 
Description: 
Area(s) of responsibility
Professional Knowledge, Skills &amp; Experience
3–6 years o...</t>
  </si>
  <si>
    <t>https://www.glassdoor.co.in/job-listing/data-analyst-d365-transformation-program-birlasoft-JV_KO0,40_KE41,50.htm?jl=1010180469825</t>
  </si>
  <si>
    <t>GD_1010037851557</t>
  </si>
  <si>
    <t>Regulatory Data Impact Analyst: Mumbai</t>
  </si>
  <si>
    <t>https://www.glassdoor.co.in/job-listing/regulatory-data-impact-analyst-mumbai-citi-JV_KO0,37_KE38,42.htm?jl=1010037851557</t>
  </si>
  <si>
    <t>GD_1010145455389</t>
  </si>
  <si>
    <t>Investment Risk Analyst (CFA/FRM, SQL, Power BI, Python)</t>
  </si>
  <si>
    <t>Franklin Templeton Investments</t>
  </si>
  <si>
    <t>At Franklin Templeton, we’re driving our industry forward by developing new and innovative ways to help our clients achieve their investment goals. Our dynamic and diversified firm spans asset management, wealth management, and fintech, offering many ways to help investors make p...</t>
  </si>
  <si>
    <t>https://www.glassdoor.co.in/job-listing/investment-risk-analyst-cfa-frm-sql-power-bi-python-franklin-templeton-investments-JV_KO0,51_KE52,82.htm?jl=1010145455389</t>
  </si>
  <si>
    <t>GD_1010189075112</t>
  </si>
  <si>
    <t>Updated: Today
Location: Madhapur, TS, India
Job ID: 25109819 
Not ready to apply?
Join our Talent Network 
Description 
Assoc Product Ops Analyst
Syneos Health® is a leading fully-integrated life sciences services organization built to accelerate customer success. We partner wit...</t>
  </si>
  <si>
    <t>https://www.glassdoor.co.in/job-listing/assoc-product-ops-analyst-syneos-health-JV_KO0,25_KE26,39.htm?jl=1010189075112</t>
  </si>
  <si>
    <t>GD_1009650393787</t>
  </si>
  <si>
    <t>INTIGNIZ Solutions Private Limited</t>
  </si>
  <si>
    <t>Job Title: Business Analytics Analyst 
Location: Chennai (Work from Office) 
Experience: 2 to 5 Years 
Function: AI &amp; Data Science Enterprise Delivery 
Role: Team Manager 
Job Description:
As a Business Analytics Analyst, we are seeking an experienced analytics professional who...</t>
  </si>
  <si>
    <t>https://www.glassdoor.co.in/job-listing/business-analytics-analyst-intigniz-solutions-JV_IC2833209_KO0,26_KE27,45.htm?jl=1009650393787</t>
  </si>
  <si>
    <t>GD_1010165592502</t>
  </si>
  <si>
    <t>https://www.glassdoor.co.in/job-listing/senior-analyst-big-data-analytics-engineering-mastercard-JV_KO0,45_KE46,56.htm?jl=1010165592502</t>
  </si>
  <si>
    <t>GD_1010182670988</t>
  </si>
  <si>
    <t>Hello Eager Tech Expert ,
We empower our people to stay resilient and relevant in a constantly changing world. We’re looking for people who are always searching for creative ways to grow and learn. People who want to make a real impact, now and in the future. Does that sound like...</t>
  </si>
  <si>
    <t>https://www.glassdoor.co.in/job-listing/senior-data-analyst-siemens-JV_IC2856202_KO0,19_KE20,27.htm?jl=1010182670988</t>
  </si>
  <si>
    <t>GD_1009937947571</t>
  </si>
  <si>
    <t>Mettler-Toledo International Inc.</t>
  </si>
  <si>
    <t>Data Analyst
Location Mumbai, Maharashtra, India Date posted November 13, 2025 Job ID 20587
Our Opening and Your Responsibilities 
Work on Group finance related operational activities.
Also work on assignments related to Power BI, Python to create, maintain different dashboard, p...</t>
  </si>
  <si>
    <t>https://www.glassdoor.co.in/job-listing/data-analyst-mettler-toledo-JV_IC2851180_KO0,12_KE13,27.htm?jl=1009937947571</t>
  </si>
  <si>
    <t>GD_1010170594324</t>
  </si>
  <si>
    <t>Business Analyst I</t>
  </si>
  <si>
    <t>Colruyt N.V.</t>
  </si>
  <si>
    <t>Job Information
Job Type
IJP or IJR 
Work Experience
1-3 years 
City
Hyderabad 
Country
India 
Job Description
Skills: ServiceNow, ITIL, ITSM, Solution Analysis
Business Analyst with expertise in Requirement gathering, solution analysis and realize the changes in effective &amp; eff...</t>
  </si>
  <si>
    <t>https://www.glassdoor.co.in/job-listing/business-analyst-i-colruyt-group-JV_KO0,18_KE19,32.htm?jl=1010170594324</t>
  </si>
  <si>
    <t>GD_1010134770420</t>
  </si>
  <si>
    <t>Job Description: Looking B-tech Candidates from CS , Data Science domain
Responsibilities: Skills Required : 
Freshers should have a strong foundation in Python, machine learning, and natural language processing (NLP) . Experience gained through projects and internships is benef...</t>
  </si>
  <si>
    <t>https://www.glassdoor.co.in/job-listing/reporting-analyst-exl-service-JV_KO0,17_KE18,29.htm?jl=1010134770420</t>
  </si>
  <si>
    <t>GD_1010145573372</t>
  </si>
  <si>
    <t>Sr Analyst, DACI Analytics</t>
  </si>
  <si>
    <t>Lowe's Companies, Inc.</t>
  </si>
  <si>
    <t>https://www.glassdoor.co.in/job-listing/sr-analyst-daci-analytics-lowe-s-home-improvement-JV_IC2940587_KO0,25_KE26,49.htm?jl=1010145573372</t>
  </si>
  <si>
    <t>GD_1010187915116</t>
  </si>
  <si>
    <t>Hiring for Power BI Analyst</t>
  </si>
  <si>
    <t>Job Title: Power BI Analyst
Job Summary
We are seeking a detail-oriented and analytical Power BI Analyst to design, develop, and maintain interactive dashboards and reports that support business decision-making. The ideal candidate will have strong expertise in Power BI, SQL, and...</t>
  </si>
  <si>
    <t>https://www.glassdoor.co.in/job-listing/hiring-for-power-bi-analyst-iteos-JV_KO0,27_KE28,33.htm?jl=1010187915116</t>
  </si>
  <si>
    <t>GD_1010169158690</t>
  </si>
  <si>
    <t>Lead Business Analyst - Data Analysis, Agile methodology</t>
  </si>
  <si>
    <t>Pune, Maharashtra 
Job Summary 
The Lead Business Analyst at HCL will be responsible for overseeing data analysis, business analysis, and Agile methodology to drive business objectives and improvements. They will play a key role in understanding business needs, analyzing data, a...</t>
  </si>
  <si>
    <t>https://www.glassdoor.co.in/job-listing/lead-business-analyst-data-analysis-agile-methodology-hcltech-JV_KO0,53_KE54,61.htm?jl=1010169158690</t>
  </si>
  <si>
    <t>GD_1010060611821</t>
  </si>
  <si>
    <t>BI Developer (Power BI + Sigma Computing)</t>
  </si>
  <si>
    <t>Job Description: Designation: BI Developer (Power BI + Sigma Computing) 
Experience: 3-6 years 
Role &amp; Responsibilities: 
Working experience in insurance reporting, including analyzing and visualizing data. 
Connect various data sources, import and transform data for Business Int...</t>
  </si>
  <si>
    <t>https://www.glassdoor.co.in/job-listing/bi-developer-power-bi-sigma-computing-exl-service-JV_KO0,37_KE38,49.htm?jl=1010060611821</t>
  </si>
  <si>
    <t>GD_1010116911767</t>
  </si>
  <si>
    <t>Assistant Manager - Data Analytics and Automation</t>
  </si>
  <si>
    <t>DHL International GmbH</t>
  </si>
  <si>
    <t>About us
DHL Supply Chain is a division of Deutsche Post DHL and is affiliated with DHL. Headquartered in Bonn, Deutsche Post has 510,000 employees.[3]
In 2016, DHL Supply Chain was primarily competing in strategic life sciences and healthcare, automotive and technology sectors o...</t>
  </si>
  <si>
    <t>https://www.glassdoor.co.in/job-listing/assistant-manager-data-analytics-and-automation-dhl-JV_KO0,47_KE48,51.htm?jl=1010116911767</t>
  </si>
  <si>
    <t>GD_1010173550790</t>
  </si>
  <si>
    <t>Data analysis</t>
  </si>
  <si>
    <t>Running business Data analysis and software integrate AI Market data analysis with use AI platform Business Instagram ID observe
Job Type: Full-time
Pay: ₹10,000.00 - ₹47,776.72 per month
Work Location: In person</t>
  </si>
  <si>
    <t>https://www.glassdoor.co.in/job-listing/data-analysis-happy-group-ltd-JV_IC2933827_KO0,13_KE14,29.htm?jl=1010173550790</t>
  </si>
  <si>
    <t>GD_1010172132172</t>
  </si>
  <si>
    <t>Data Analyst
Experience: 2–4 Years | Type: Full-Time | Location: Pune, India (Remote / Hybrid / On-site)
Job Summary
We are hiring a Data Analyst to transform raw data into actionable insights that drive business decisions. You will work closely with stakeholders across teams to ...</t>
  </si>
  <si>
    <t>https://www.glassdoor.co.in/job-listing/data-analytics-techlantern-solutions-pvt-ltd-JV_KO0,14_KE15,44.htm?jl=1010172132172</t>
  </si>
  <si>
    <t>GD_1010106334420</t>
  </si>
  <si>
    <t>Lead Business Analyst+Data Analysis</t>
  </si>
  <si>
    <t>The Chubb Group of Companies</t>
  </si>
  <si>
    <t>About Chubb 
Chubb is a world leader in insurance. With operations in 54 countries and territories, Chubb provides commercial and personal property and casualty insurance, personal accident and supplemental health insurance, reinsurance and life insurance to a diverse group of cl...</t>
  </si>
  <si>
    <t>https://www.glassdoor.co.in/job-listing/lead-business-analyst-data-analysis-chubb-JV_KO0,35_KE36,41.htm?jl=1010106334420</t>
  </si>
  <si>
    <t>GD_1010098929209</t>
  </si>
  <si>
    <t>Chennai 2+ years Full-time Informatica Cloud Data Quality &amp; Governance, Cloud Data Engineering &amp; Analytics, Enterprise Data Governance &amp; Leadership ODC0262
Job Description
Lead the development and implementation of enterprise-wide data quality standards, policies, and procedures...</t>
  </si>
  <si>
    <t>https://www.glassdoor.co.in/job-listing/data-quality-analyst-optimum-solutions-JV_IC2833209_KO0,20_KE21,38.htm?jl=1010098929209</t>
  </si>
  <si>
    <t>GD_1010165142277</t>
  </si>
  <si>
    <t>Data Science and AI Analyst</t>
  </si>
  <si>
    <t>Hewlett Packard Enterprise</t>
  </si>
  <si>
    <t>Data Science and AI Analyst
This role has been designed as ‘’Onsite’ with an expectation that you will primarily work from an HPE office.
Who We Are:
Hewlett Packard Enterprise is the global edge-to-cloud company advancing the way people live and work. We help companies connect,...</t>
  </si>
  <si>
    <t>https://www.glassdoor.co.in/job-listing/data-science-and-ai-analyst-hewlett-packard-enterprise-hpe-JV_IC2940587_KO0,27_KE28,58.htm?jl=1010165142277</t>
  </si>
  <si>
    <t>GD_1010150029570</t>
  </si>
  <si>
    <t>Business Management Analyst, NCT</t>
  </si>
  <si>
    <t>Deutsche Bank AG</t>
  </si>
  <si>
    <t>Job Description: 
Job Title: Business Management Analyst, NCT 
Corporate Title: NCT 
Location: Pune, India 
Role Description 
The PODL is a role responsible for leading all squads of platform services. Each squad will implement all enhancements and production fixes for Finacle, D...</t>
  </si>
  <si>
    <t>https://www.glassdoor.co.in/job-listing/business-management-analyst-nct-deutsche-bank-JV_KO0,31_KE32,45.htm?jl=1010150029570</t>
  </si>
  <si>
    <t>GD_1010177945481</t>
  </si>
  <si>
    <t>ROYAL SPORTS &amp; FITNESS</t>
  </si>
  <si>
    <t>Key Responsibilities:
Manage end-to-end project planning, execution, and delivery.
Coordinate with cross-functional teams and stakeholders to ensure timely project completion.
Prepare and maintain MIS reports, dashboards, and performance metrics.
Analyze project data and provide ...</t>
  </si>
  <si>
    <t>https://www.glassdoor.co.in/job-listing/data-analyst-royal-sports-fitness-pvt-ltd-JV_IC2935226_KO0,12_KE13,41.htm?jl=1010177945481</t>
  </si>
  <si>
    <t>GD_1010177897007</t>
  </si>
  <si>
    <t>Pricing Analyst II</t>
  </si>
  <si>
    <t>Thermo Fisher Scientific Inc.</t>
  </si>
  <si>
    <t>Work Schedule
Standard (Mon-Fri)
Environmental Conditions
Office
Job Description
About Thermo Fisher: 
Thermo Fisher Scientific Inc. is the world leader in serving science, with annual revenue of approximately $40 billion. Our Mission is to enable our customers to make the world ...</t>
  </si>
  <si>
    <t>https://www.glassdoor.co.in/job-listing/pricing-analyst-ii-thermo-fisher-scientific-JV_KO0,18_KE19,43.htm?jl=1010177897007</t>
  </si>
  <si>
    <t>GD_1009780147845</t>
  </si>
  <si>
    <t>Data Analyst (SQL)</t>
  </si>
  <si>
    <t>Games2win India Pvt. Ltd.</t>
  </si>
  <si>
    <t>Games2win World :
Games2win is a leading global mobile games publisher. Our games have over 500 million downloads and are played by over 5 million monthly active players. We take pride in building our own Intellectual Property (IP) and using the strength of our consumer love to m...</t>
  </si>
  <si>
    <t>https://www.glassdoor.co.in/job-listing/data-analyst-sql-games2win-JV_IC2851180_KO0,16_KE17,26.htm?jl=1009780147845</t>
  </si>
  <si>
    <t>GD_1010147194406</t>
  </si>
  <si>
    <t>Engineer - Methods &amp; Tools (Data Analyst)</t>
  </si>
  <si>
    <t>Job Description: 
Job Description 
Engineer - Methods &amp; Tools (Data Analyst) 
About the team: 
It is a transverse team working with different core engineering verticals in Airbus. The USP of this team is working in a multi-functional environment providing digital solutions to eng...</t>
  </si>
  <si>
    <t>https://www.glassdoor.co.in/job-listing/engineer-methods-tools-data-analyst-airbus-JV_IC2940587_KO0,35_KE36,42.htm?jl=1010147194406</t>
  </si>
  <si>
    <t>GD_1010177201472</t>
  </si>
  <si>
    <t>Senior Consultant, Data Analytics &amp; Reporting - Ag &amp; Trading</t>
  </si>
  <si>
    <t>Job Purpose and Impact
The Senior Professional, Data &amp; Analytics Reporting job is responsible for collecting, processing, and analyzing complex datasets to generate actionable insights and builds detailed reports and dashboards using specifics tools. With minimal supervision, thi...</t>
  </si>
  <si>
    <t>https://www.glassdoor.co.in/job-listing/senior-consultant-data-analytics-reporting-ag-trading-cargill-JV_KO0,53_KE54,61.htm?jl=1010177201472</t>
  </si>
  <si>
    <t>GD_1010122964511</t>
  </si>
  <si>
    <t>Business Analyst, Cyber and Data Resilience</t>
  </si>
  <si>
    <t xml:space="preserve">Kroll, LLC </t>
  </si>
  <si>
    <t>We are seeking a detail-oriented Business Analyst to support our Operations and Sales leadership teams within Cyber &amp; Data Resilience (CDR) in India. This role will play a critical part in ensuring high-quality sales data, producing reliable reports, and translating sales activit...</t>
  </si>
  <si>
    <t>https://www.glassdoor.co.in/job-listing/business-analyst-cyber-and-data-resilience-kroll-JV_KO0,42_KE43,48.htm?jl=1010122964511</t>
  </si>
  <si>
    <t>GD_1010159244663</t>
  </si>
  <si>
    <t>Job Description: Lead complex data analysis projects, interpreting large datasets to extract actionable insights for business stakeholders.
Responsibilities: Collect, clean, analyze large datasets, create dashboards, develop predictive models, assist in decisionmaking
Qualifica...</t>
  </si>
  <si>
    <t>https://www.glassdoor.co.in/job-listing/senior-data-analyst-exl-service-JV_IC2921225_KO0,19_KE20,31.htm?jl=1010159244663</t>
  </si>
  <si>
    <t>GD_1010191011463</t>
  </si>
  <si>
    <t>https://www.glassdoor.co.in/job-listing/business-intelligence-manager-cross-border-science-and-analytics-amazon-JV_IC2833209_KO0,64_KE65,71.htm?jl=1010191011463</t>
  </si>
  <si>
    <t>GD_1010174581093</t>
  </si>
  <si>
    <t>Savvi Sales &amp; Services</t>
  </si>
  <si>
    <t>Pānīpat</t>
  </si>
  <si>
    <t>JOB TITLE : Senior Data Analyst
LOCATION : Panipat
EXPERIENCE : 3–4 Years
EMPLOYMENT TYPE : Full-time | On-site
PACKAGE : 2.64 LPA
TOOL REQUIREMENT : MS Excel (Pivot Tables, Dashboards, Macros, Advanced Formulas), Google Sheets, ERP tools, data visualization tools, advanced analy...</t>
  </si>
  <si>
    <t>https://www.glassdoor.co.in/job-listing/senior-data-analyst-savvi-sales-and-service-pvt-ltd-JV_IC2921782_KO0,19_KE20,51.htm?jl=1010174581093</t>
  </si>
  <si>
    <t>GD_1010160942923</t>
  </si>
  <si>
    <t>Quality Data Analytics Engineer</t>
  </si>
  <si>
    <t>The Quality Data Analytics Engineer will be part of the GE Vernova Hydro Power Central Quality team and will play a key role in executing and advancing the Hydro Quality Digital Strategy. The role serves as the primary business-side focal point and key user for the Quality Suite ...</t>
  </si>
  <si>
    <t>https://www.glassdoor.co.in/job-listing/quality-data-analytics-engineer-ge-vernova-JV_IC2930179_KO0,31_KE32,42.htm?jl=1010160942923</t>
  </si>
  <si>
    <t>GD_1010097746371</t>
  </si>
  <si>
    <t>Data Analyst Trainer(faculty)</t>
  </si>
  <si>
    <t>Kalkaji</t>
  </si>
  <si>
    <t>Job Summary:
We are seeking an experienced Data Analyst Trainer to deliver industry-oriented training in Data Analytics, Business Intelligence, and AI-driven analytics tools. The trainer will be responsible for teaching practical skills in Excel, SQL, Python, Power BI, and AI too...</t>
  </si>
  <si>
    <t>https://www.glassdoor.co.in/job-listing/data-analyst-trainer-faculty-ifda-institute-JV_IC5003156_KO0,28_KE29,43.htm?jl=1010097746371</t>
  </si>
  <si>
    <t>GD_1010109905399</t>
  </si>
  <si>
    <t>Data Integration Analyst</t>
  </si>
  <si>
    <t>SAS Institute Inc.</t>
  </si>
  <si>
    <t>: 
Data Integration Analyst 
Job Roles Summary
As a Systems Developer for the Delivery Services team in SAS’s Cloud and Information Services (CIS) division, a person should be responsible for Delivery Integration Services in our hosted environments.
Should work collaboratively wi...</t>
  </si>
  <si>
    <t>https://www.glassdoor.co.in/job-listing/data-integration-analyst-sas-JV_IC2856202_KO0,24_KE25,28.htm?jl=1010109905399</t>
  </si>
  <si>
    <t>GD_1010088776550</t>
  </si>
  <si>
    <t>IFC Data - Business Analyst</t>
  </si>
  <si>
    <t>Date live: 06/23/2026
Business Area: Group Economic Crime COO
Area of Expertise: Change
Contract: Permanent
Reference Code: JR-0000105532
Embark on a transformative journey as a IFC Data- Business Analyst is responsible for defining, analyzing and translating business requiremen...</t>
  </si>
  <si>
    <t>https://www.glassdoor.co.in/job-listing/ifc-data-business-analyst-barclays-JV_IC2856202_KO0,25_KE26,34.htm?jl=1010088776550</t>
  </si>
  <si>
    <t>GD_1010124356050</t>
  </si>
  <si>
    <t>Data &amp; Analytics, Senior Associate</t>
  </si>
  <si>
    <t>https://www.glassdoor.co.in/job-listing/data-analytics-senior-associate-rsm-JV_KO0,31_KE32,35.htm?jl=1010124356050</t>
  </si>
  <si>
    <t>GD_1010162576048</t>
  </si>
  <si>
    <t>T&amp;T | EAD | AI &amp; Data | Consultant | Data Analyst | Mumbai</t>
  </si>
  <si>
    <t>Job requisition ID :: 102227 
Date: Jun 9, 2026 
Location: Mumbai 
Designation: Consultant 
Entity: Deloitte Touche Tohmatsu India LLP 
T&amp;T | EAD | AI &amp; Data | Consultant | Data Analyst | Mumbai 
Job requisition ID : 102227
Location: Mumbai 
Entity: Deloitte Touche Tohmatsu India...</t>
  </si>
  <si>
    <t>https://www.glassdoor.co.in/job-listing/tt-ead-ai-data-consultant-data-analyst-mumbai-deloitte-JV_KO0,45_KE46,54.htm?jl=1010162576048</t>
  </si>
  <si>
    <t>GD_1010166833932</t>
  </si>
  <si>
    <t>Lead Service Analyst - Data Services</t>
  </si>
  <si>
    <t>https://www.glassdoor.co.in/job-listing/lead-service-analyst-data-services-société-générale-JV_IC2940587_KO0,34_KE35,51.htm?jl=1010166833932</t>
  </si>
  <si>
    <t>GD_1010179410869</t>
  </si>
  <si>
    <t>Analyst</t>
  </si>
  <si>
    <t>Roles &amp; Responsibilities : 
Experience in Data Analytics &amp; Seismic Tool ( Configuration, create layers) 
Good to have - Develop interactive dashboards and reports using Tableau , Power BI , or Alteryx to support business decisions and monitor KPIs. 
Monitor and analyze content us...</t>
  </si>
  <si>
    <t>https://www.glassdoor.co.in/job-listing/analyst-eclerx-JV_IC2851180_KO0,7_KE8,14.htm?jl=1010179410869</t>
  </si>
  <si>
    <t>GD_1010164013179</t>
  </si>
  <si>
    <t>Business Intelligence Developer</t>
  </si>
  <si>
    <t>Business Intelligence (BI) Developer
TriNet is a leading provider of comprehensive human resources solutions for small to midsize businesses (SMBs). We enhance business productivity by enabling our clients to outsource their HR function to one strategic partner and allowing them ...</t>
  </si>
  <si>
    <t>https://www.glassdoor.co.in/job-listing/business-intelligence-developer-trinet-JV_KO0,31_KE32,38.htm?jl=1010164013179</t>
  </si>
  <si>
    <t>GD_1010187925283</t>
  </si>
  <si>
    <t>Lead Technical Business Analyst - Master Data Management</t>
  </si>
  <si>
    <t>About the Opportunity
Job Type: Permanent
Application Deadline: 31 July 2026
Job Description
Title: Lead Technical Business Analyst - Master Data Management
Department: Enterprise Data &amp; Analytics
Location: Bangalore
Reports To: Project Manager
Grade/Level : 4
Working Shift : UK...</t>
  </si>
  <si>
    <t>https://www.glassdoor.co.in/job-listing/lead-technical-business-analyst-master-data-management-fidelity-international-JV_IC2940587_KO0,54_KE55,77.htm?jl=1010187925283</t>
  </si>
  <si>
    <t>GD_1010143091478</t>
  </si>
  <si>
    <t>Reporting Analyst
It’s an exciting time to join the Global Hilti Reporting Team as we shape the future of reporting and analytics across Hilti and drive our digital transformation journey.
As a BI Product Developer, you will work in a global, multicultural, and agile environment,...</t>
  </si>
  <si>
    <t>https://www.glassdoor.co.in/job-listing/reporting-analyst-hilti-group-JV_IC2856202_KO0,17_KE18,29.htm?jl=1010143091478</t>
  </si>
  <si>
    <t>GD_1010063503283</t>
  </si>
  <si>
    <t>System Analyst</t>
  </si>
  <si>
    <t>Avizva Solutions Pvt. Ltd.</t>
  </si>
  <si>
    <t>Backdrop
AVIZVA is a Healthcare Technology Organization that harnesses technology to simplify, accelerate, &amp; optimize the way healthcare enterprises deliver care. Established in 2011, we have served as strategic enablers for healthcare enterprises, helping them enhance their over...</t>
  </si>
  <si>
    <t>https://www.glassdoor.co.in/job-listing/system-analyst-avizva-solutions-JV_KO0,14_KE15,31.htm?jl=1010063503283</t>
  </si>
  <si>
    <t>GD_1009829066350</t>
  </si>
  <si>
    <t>Opening For Data Analyst</t>
  </si>
  <si>
    <t>Sunshine Manpower Solution &amp; Services</t>
  </si>
  <si>
    <t>Jalandhar, Reru
Link Copied
RSS Feed
Job Title - Data Analyst
Location : Pathankot Bypass, Near Reru Pind Gate, Jalandhar, Punjab
Salary : ‚¹15,500 - ‚¹17,000 (Based on experience, skills, and interview performance)
Qualification : B. Tech/Diploma in Computer Science or IT (MBA ...</t>
  </si>
  <si>
    <t>https://www.glassdoor.co.in/job-listing/opening-for-data-analyst-sunshine-manpower-solution-services-JV_IC2941562_KO0,24_KE25,60.htm?jl=1009829066350</t>
  </si>
  <si>
    <t>GD_1010047580920</t>
  </si>
  <si>
    <t>Gitakshmi Technologies Private Ltd.</t>
  </si>
  <si>
    <t>Ahmedabad, India 
Position: Power BI Developer
Experience: 4–5 Years
Client Interview: Yes
Work Mode: Ahmadabad
Key Responsibilities:
Design, develop, and maintain Power BI reports and dashboards using data from various sources (SQL Server, Oracle, Excel, etc.).
• Build and manag...</t>
  </si>
  <si>
    <t>https://www.glassdoor.co.in/job-listing/power-bi-developer-gitakshmi-technologies-JV_KO0,18_KE19,41.htm?jl=1010047580920</t>
  </si>
  <si>
    <t>GD_1010161782229</t>
  </si>
  <si>
    <t>bizRak Web Solutions</t>
  </si>
  <si>
    <t>Elūru</t>
  </si>
  <si>
    <t>Careers
bizRak believes one don't need a lot of degrees to have a good career. Our staff have been recruited the same way. We are looking to recruit such people in different avatars and names. Opt for a career option where you learn fro help with others who have been there and do...</t>
  </si>
  <si>
    <t>https://www.glassdoor.co.in/job-listing/research-analyst-bizrak-web-solutions-JV_IC2884358_KO0,16_KE17,37.htm?jl=1010161782229</t>
  </si>
  <si>
    <t>GD_1010189061350</t>
  </si>
  <si>
    <t>Business Analyst, IES CFX &amp; Prime</t>
  </si>
  <si>
    <t>DESCRIPTION
Our vision for Prime is to build India’s largest subscription program that is loved by its members, delivers disproportionate value and drives growth of India business. In order to achieve this mission, we are on a multi-year journey to re-imagine Prime program and bu...</t>
  </si>
  <si>
    <t>https://www.glassdoor.co.in/job-listing/business-analyst-ies-cfx-prime-amazon-JV_IC2940587_KO0,30_KE31,37.htm?jl=1010189061350</t>
  </si>
  <si>
    <t>GD_1010189304990</t>
  </si>
  <si>
    <t>UAL Corporation</t>
  </si>
  <si>
    <t>https://www.glassdoor.co.in/job-listing/analyst-tech-ops-business-intelligence-united-airlines-JV_IC2921225_KO0,38_KE39,54.htm?jl=1010189304990</t>
  </si>
  <si>
    <t>GD_1010191235180</t>
  </si>
  <si>
    <t>Customized Energy Solutions Ltd.</t>
  </si>
  <si>
    <t>https://www.glassdoor.co.in/job-listing/billing-analyst-1-customized-energy-solutions-JV_KO0,17_KE18,45.htm?jl=1010191235180</t>
  </si>
  <si>
    <t>Postings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</si>
</sst>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5">
    <numFmt numFmtId="164" formatCode="0.0\%"/>
    <numFmt numFmtId="165" formatCode="0.0"/>
    <numFmt numFmtId="166" formatCode="\₹#,##0"/>
    <numFmt numFmtId="167" formatCode="dd\-mmm\-yyyy"/>
    <numFmt numFmtId="168" formatCode="yyyy\-mm\-dd"/>
  </numFmts>
  <fonts count="18" x14ac:knownFonts="1">
    <font>
      <sz val="11"/>
      <color theme="1"/>
      <name val="Calibri"/>
      <family val="2"/>
      <charset val="1"/>
    </font>
    <font>
      <b/>
      <sz val="16"/>
      <color rgb="FF134B48"/>
      <name val="Arial"/>
      <charset val="1"/>
    </font>
    <font>
      <i/>
      <sz val="10"/>
      <color rgb="FFC97A26"/>
      <name val="Arial"/>
      <charset val="1"/>
    </font>
    <font>
      <sz val="9.5"/>
      <color rgb="FF2B2B2B"/>
      <name val="Arial"/>
      <charset val="1"/>
    </font>
    <font>
      <b/>
      <sz val="11"/>
      <color rgb="FF134B48"/>
      <name val="Arial"/>
      <charset val="1"/>
    </font>
    <font>
      <b/>
      <sz val="9.5"/>
      <color rgb="FF2B2B2B"/>
      <name val="Arial"/>
      <charset val="1"/>
    </font>
    <font>
      <b/>
      <sz val="12"/>
      <color rgb="FF134B48"/>
      <name val="Arial"/>
      <charset val="1"/>
    </font>
    <font>
      <sz val="10"/>
      <color rgb="FF2B2B2B"/>
      <name val="Arial"/>
      <charset val="1"/>
    </font>
    <font>
      <b/>
      <sz val="9.5"/>
      <color rgb="FFFFFFFF"/>
      <name val="Arial"/>
      <charset val="1"/>
    </font>
    <font>
      <b/>
      <sz val="20"/>
      <color rgb="FF134B48"/>
      <name val="Arial"/>
      <charset val="1"/>
    </font>
    <font>
      <b/>
      <sz val="10"/>
      <color rgb="FFFFFFFF"/>
      <name val="Arial"/>
      <charset val="1"/>
    </font>
    <font>
      <i/>
      <sz val="10"/>
      <color rgb="FF2B2B2B"/>
      <name val="Arial"/>
      <charset val="1"/>
    </font>
    <font>
      <b/>
      <sz val="10"/>
      <color rgb="FF134B48"/>
      <name val="Arial"/>
      <charset val="1"/>
    </font>
    <font>
      <i/>
      <sz val="8.5"/>
      <color rgb="FF2B2B2B"/>
      <name val="Arial"/>
      <charset val="1"/>
    </font>
    <font>
      <b/>
      <sz val="9"/>
      <color rgb="FFFFFFFF"/>
      <name val="Arial"/>
      <charset val="1"/>
    </font>
    <font>
      <b/>
      <sz val="17"/>
      <color rgb="FF134B48"/>
      <name val="Arial"/>
      <charset val="1"/>
    </font>
    <font>
      <sz val="9"/>
      <color rgb="FF2B2B2B"/>
      <name val="Arial"/>
      <charset val="1"/>
    </font>
    <font>
      <b/>
      <sz val="10"/>
      <color rgb="FF2B2B2B"/>
      <name val="Arial"/>
      <charset val="1"/>
    </font>
  </fonts>
  <fills count="11">
    <fill>
      <patternFill patternType="none"/>
    </fill>
    <fill>
      <patternFill patternType="gray125"/>
    </fill>
    <fill>
      <patternFill patternType="solid">
        <fgColor rgb="FFFDF8F0"/>
        <bgColor rgb="FFF9F9F9"/>
      </patternFill>
    </fill>
    <fill>
      <patternFill patternType="solid">
        <fgColor rgb="FF1F6F6B"/>
        <bgColor rgb="FF008080"/>
      </patternFill>
    </fill>
    <fill>
      <patternFill patternType="solid">
        <fgColor rgb="FFC0524B"/>
        <bgColor rgb="FFC0504D"/>
      </patternFill>
    </fill>
    <fill>
      <patternFill patternType="solid">
        <fgColor rgb="FFE8A33D"/>
        <bgColor rgb="FFC97A26"/>
      </patternFill>
    </fill>
    <fill>
      <patternFill patternType="solid">
        <fgColor rgb="FF3F8F63"/>
        <bgColor rgb="FF1F6F6B"/>
      </patternFill>
    </fill>
    <fill>
      <patternFill patternType="solid">
        <fgColor rgb="FFF3E9D8"/>
        <bgColor rgb="FFFFF5E0"/>
      </patternFill>
    </fill>
    <fill>
      <patternFill patternType="solid">
        <fgColor rgb="FF134B48"/>
        <bgColor rgb="FF2B2B2B"/>
      </patternFill>
    </fill>
    <fill>
      <patternFill patternType="solid">
        <fgColor rgb="FFFFF5E0"/>
        <bgColor rgb="FFFDF8F0"/>
      </patternFill>
    </fill>
    <fill>
      <patternFill patternType="solid">
        <fgColor rgb="FFC97A26"/>
        <bgColor rgb="FFC0524B"/>
      </patternFill>
    </fill>
  </fills>
  <borders count="2">
    <border>
      <left/>
      <right/>
      <top/>
      <bottom/>
      <diagonal/>
    </border>
    <border>
      <left style="thin">
        <color rgb="FFD8CBB0"/>
      </left>
      <right style="thin">
        <color rgb="FFD8CBB0"/>
      </right>
      <top style="thin">
        <color rgb="FFD8CBB0"/>
      </top>
      <bottom style="thin">
        <color rgb="FFD8CBB0"/>
      </bottom>
      <diagonal/>
    </border>
  </borders>
  <cellStyleXfs count="1">
    <xf numFmtId="0" fontId="0" fillId="0" borderId="0"/>
  </cellStyleXfs>
  <cellXfs count="84">
    <xf numFmtId="0" fontId="0" fillId="0" borderId="0" xfId="0"/>
    <xf numFmtId="0" fontId="11" fillId="0" borderId="0" xfId="0" applyFont="1"/>
    <xf numFmtId="0" fontId="5" fillId="2" borderId="0" xfId="0" applyFont="1" applyFill="1"/>
    <xf numFmtId="0" fontId="4" fillId="2" borderId="0" xfId="0" applyFont="1" applyFill="1"/>
    <xf numFmtId="0" fontId="3" fillId="2" borderId="0" xfId="0" applyFont="1" applyFill="1"/>
    <xf numFmtId="0" fontId="2" fillId="2" borderId="0" xfId="0" applyFont="1" applyFill="1"/>
    <xf numFmtId="0" fontId="1" fillId="2" borderId="0" xfId="0" applyFont="1" applyFill="1" applyAlignment="1">
      <alignment horizontal="left" vertical="center"/>
    </xf>
    <xf numFmtId="164" fontId="9" fillId="7" borderId="0" xfId="0" applyNumberFormat="1" applyFont="1" applyFill="1" applyAlignment="1">
      <alignment horizontal="center" vertical="center"/>
    </xf>
    <xf numFmtId="3" fontId="9" fillId="7" borderId="0" xfId="0" applyNumberFormat="1" applyFont="1" applyFill="1" applyAlignment="1">
      <alignment horizontal="center" vertical="center"/>
    </xf>
    <xf numFmtId="0" fontId="8" fillId="6" borderId="0" xfId="0" applyFont="1" applyFill="1" applyAlignment="1">
      <alignment horizontal="center"/>
    </xf>
    <xf numFmtId="0" fontId="8" fillId="5" borderId="0" xfId="0" applyFont="1" applyFill="1" applyAlignment="1">
      <alignment horizontal="center"/>
    </xf>
    <xf numFmtId="0" fontId="8" fillId="4" borderId="0" xfId="0" applyFont="1" applyFill="1" applyAlignment="1">
      <alignment horizontal="center"/>
    </xf>
    <xf numFmtId="0" fontId="8" fillId="3" borderId="0" xfId="0" applyFont="1" applyFill="1" applyAlignment="1">
      <alignment horizontal="center"/>
    </xf>
    <xf numFmtId="0" fontId="2" fillId="0" borderId="0" xfId="0" applyFont="1"/>
    <xf numFmtId="0" fontId="1" fillId="0" borderId="0" xfId="0" applyFont="1" applyAlignment="1">
      <alignment horizontal="left" vertical="center"/>
    </xf>
    <xf numFmtId="0" fontId="0" fillId="2" borderId="0" xfId="0" applyFill="1"/>
    <xf numFmtId="0" fontId="6" fillId="2" borderId="0" xfId="0" applyFont="1" applyFill="1"/>
    <xf numFmtId="0" fontId="7" fillId="0" borderId="0" xfId="0" applyFont="1"/>
    <xf numFmtId="0" fontId="6" fillId="0" borderId="0" xfId="0" applyFont="1"/>
    <xf numFmtId="0" fontId="10" fillId="3" borderId="1" xfId="0" applyFont="1" applyFill="1" applyBorder="1" applyAlignment="1">
      <alignment horizontal="center" vertical="center" wrapText="1"/>
    </xf>
    <xf numFmtId="0" fontId="7" fillId="7" borderId="1" xfId="0" applyFont="1" applyFill="1" applyBorder="1"/>
    <xf numFmtId="3" fontId="7" fillId="7" borderId="1" xfId="0" applyNumberFormat="1" applyFont="1" applyFill="1" applyBorder="1"/>
    <xf numFmtId="164" fontId="7" fillId="7" borderId="1" xfId="0" applyNumberFormat="1" applyFont="1" applyFill="1" applyBorder="1"/>
    <xf numFmtId="165" fontId="7" fillId="7" borderId="1" xfId="0" applyNumberFormat="1" applyFont="1" applyFill="1" applyBorder="1"/>
    <xf numFmtId="0" fontId="7" fillId="2" borderId="1" xfId="0" applyFont="1" applyFill="1" applyBorder="1"/>
    <xf numFmtId="3" fontId="7" fillId="2" borderId="1" xfId="0" applyNumberFormat="1" applyFont="1" applyFill="1" applyBorder="1"/>
    <xf numFmtId="164" fontId="7" fillId="2" borderId="1" xfId="0" applyNumberFormat="1" applyFont="1" applyFill="1" applyBorder="1"/>
    <xf numFmtId="165" fontId="7" fillId="2" borderId="1" xfId="0" applyNumberFormat="1" applyFont="1" applyFill="1" applyBorder="1"/>
    <xf numFmtId="0" fontId="10" fillId="8" borderId="0" xfId="0" applyFont="1" applyFill="1"/>
    <xf numFmtId="3" fontId="10" fillId="8" borderId="0" xfId="0" applyNumberFormat="1" applyFont="1" applyFill="1"/>
    <xf numFmtId="164" fontId="10" fillId="8" borderId="0" xfId="0" applyNumberFormat="1" applyFont="1" applyFill="1"/>
    <xf numFmtId="165" fontId="10" fillId="8" borderId="0" xfId="0" applyNumberFormat="1" applyFont="1" applyFill="1"/>
    <xf numFmtId="0" fontId="4" fillId="0" borderId="0" xfId="0" applyFont="1"/>
    <xf numFmtId="3" fontId="0" fillId="0" borderId="0" xfId="0" applyNumberFormat="1"/>
    <xf numFmtId="0" fontId="1" fillId="0" borderId="0" xfId="0" applyFont="1"/>
    <xf numFmtId="0" fontId="11" fillId="0" borderId="0" xfId="0" applyFont="1"/>
    <xf numFmtId="0" fontId="10" fillId="3" borderId="0" xfId="0" applyFont="1" applyFill="1"/>
    <xf numFmtId="0" fontId="0" fillId="3" borderId="0" xfId="0" applyFill="1"/>
    <xf numFmtId="0" fontId="12" fillId="0" borderId="0" xfId="0" applyFont="1"/>
    <xf numFmtId="0" fontId="3" fillId="7" borderId="1" xfId="0" applyFont="1" applyFill="1" applyBorder="1"/>
    <xf numFmtId="0" fontId="10" fillId="3" borderId="0" xfId="0" applyFont="1" applyFill="1" applyAlignment="1">
      <alignment horizontal="center" vertical="center"/>
    </xf>
    <xf numFmtId="0" fontId="16" fillId="0" borderId="1" xfId="0" applyFont="1" applyBorder="1"/>
    <xf numFmtId="167" fontId="16" fillId="0" borderId="1" xfId="0" applyNumberFormat="1" applyFont="1" applyBorder="1"/>
    <xf numFmtId="3" fontId="16" fillId="0" borderId="1" xfId="0" applyNumberFormat="1" applyFont="1" applyBorder="1"/>
    <xf numFmtId="165" fontId="16" fillId="0" borderId="1" xfId="0" applyNumberFormat="1" applyFont="1" applyBorder="1"/>
    <xf numFmtId="0" fontId="10" fillId="10" borderId="1" xfId="0" applyFont="1" applyFill="1" applyBorder="1" applyAlignment="1">
      <alignment horizontal="center" vertical="center" wrapText="1"/>
    </xf>
    <xf numFmtId="0" fontId="5" fillId="7" borderId="1" xfId="0" applyFont="1" applyFill="1" applyBorder="1"/>
    <xf numFmtId="3" fontId="3" fillId="7" borderId="1" xfId="0" applyNumberFormat="1" applyFont="1" applyFill="1" applyBorder="1"/>
    <xf numFmtId="0" fontId="17" fillId="7" borderId="1" xfId="0" applyFont="1" applyFill="1" applyBorder="1"/>
    <xf numFmtId="164" fontId="3" fillId="7" borderId="1" xfId="0" applyNumberFormat="1" applyFont="1" applyFill="1" applyBorder="1"/>
    <xf numFmtId="0" fontId="5" fillId="2" borderId="1" xfId="0" applyFont="1" applyFill="1" applyBorder="1"/>
    <xf numFmtId="3" fontId="3" fillId="2" borderId="1" xfId="0" applyNumberFormat="1" applyFont="1" applyFill="1" applyBorder="1"/>
    <xf numFmtId="0" fontId="17" fillId="2" borderId="1" xfId="0" applyFont="1" applyFill="1" applyBorder="1"/>
    <xf numFmtId="164" fontId="3" fillId="2" borderId="1" xfId="0" applyNumberFormat="1" applyFont="1" applyFill="1" applyBorder="1"/>
    <xf numFmtId="165" fontId="3" fillId="7" borderId="1" xfId="0" applyNumberFormat="1" applyFont="1" applyFill="1" applyBorder="1"/>
    <xf numFmtId="0" fontId="3" fillId="2" borderId="1" xfId="0" applyFont="1" applyFill="1" applyBorder="1"/>
    <xf numFmtId="165" fontId="3" fillId="2" borderId="1" xfId="0" applyNumberFormat="1" applyFont="1" applyFill="1" applyBorder="1"/>
    <xf numFmtId="0" fontId="10" fillId="3" borderId="0" xfId="0" applyFont="1" applyFill="1" applyAlignment="1">
      <alignment horizontal="center" vertical="center" wrapText="1"/>
    </xf>
    <xf numFmtId="166" fontId="3" fillId="7" borderId="1" xfId="0" applyNumberFormat="1" applyFont="1" applyFill="1" applyBorder="1"/>
    <xf numFmtId="0" fontId="10" fillId="8" borderId="1" xfId="0" applyFont="1" applyFill="1" applyBorder="1" applyAlignment="1">
      <alignment horizontal="center" vertical="center" wrapText="1"/>
    </xf>
    <xf numFmtId="0" fontId="16" fillId="7" borderId="0" xfId="0" applyFont="1" applyFill="1"/>
    <xf numFmtId="168" fontId="16" fillId="7" borderId="0" xfId="0" applyNumberFormat="1" applyFont="1" applyFill="1"/>
    <xf numFmtId="0" fontId="16" fillId="7" borderId="0" xfId="0" applyFont="1" applyFill="1" applyAlignment="1">
      <alignment wrapText="1"/>
    </xf>
    <xf numFmtId="2" fontId="16" fillId="7" borderId="0" xfId="0" applyNumberFormat="1" applyFont="1" applyFill="1"/>
    <xf numFmtId="164" fontId="16" fillId="7" borderId="0" xfId="0" applyNumberFormat="1" applyFont="1" applyFill="1"/>
    <xf numFmtId="0" fontId="16" fillId="2" borderId="0" xfId="0" applyFont="1" applyFill="1"/>
    <xf numFmtId="168" fontId="16" fillId="2" borderId="0" xfId="0" applyNumberFormat="1" applyFont="1" applyFill="1"/>
    <xf numFmtId="0" fontId="16" fillId="2" borderId="0" xfId="0" applyFont="1" applyFill="1" applyAlignment="1">
      <alignment wrapText="1"/>
    </xf>
    <xf numFmtId="2" fontId="16" fillId="2" borderId="0" xfId="0" applyNumberFormat="1" applyFont="1" applyFill="1"/>
    <xf numFmtId="164" fontId="16" fillId="2" borderId="0" xfId="0" applyNumberFormat="1" applyFont="1" applyFill="1"/>
    <xf numFmtId="3" fontId="16" fillId="7" borderId="0" xfId="0" applyNumberFormat="1" applyFont="1" applyFill="1"/>
    <xf numFmtId="3" fontId="16" fillId="2" borderId="0" xfId="0" applyNumberFormat="1" applyFont="1" applyFill="1"/>
    <xf numFmtId="0" fontId="10" fillId="3" borderId="0" xfId="0" applyFont="1" applyFill="1"/>
    <xf numFmtId="0" fontId="12" fillId="9" borderId="1" xfId="0" applyFont="1" applyFill="1" applyBorder="1" applyAlignment="1">
      <alignment horizontal="left" vertical="center" indent="1"/>
    </xf>
    <xf numFmtId="0" fontId="13" fillId="0" borderId="0" xfId="0" applyFont="1" applyAlignment="1">
      <alignment vertical="top" wrapText="1"/>
    </xf>
    <xf numFmtId="0" fontId="14" fillId="3" borderId="0" xfId="0" applyFont="1" applyFill="1" applyAlignment="1">
      <alignment horizontal="center" vertical="center" wrapText="1"/>
    </xf>
    <xf numFmtId="0" fontId="14" fillId="4" borderId="0" xfId="0" applyFont="1" applyFill="1" applyAlignment="1">
      <alignment horizontal="center" vertical="center" wrapText="1"/>
    </xf>
    <xf numFmtId="0" fontId="14" fillId="5" borderId="0" xfId="0" applyFont="1" applyFill="1" applyAlignment="1">
      <alignment horizontal="center" vertical="center" wrapText="1"/>
    </xf>
    <xf numFmtId="0" fontId="14" fillId="6" borderId="0" xfId="0" applyFont="1" applyFill="1" applyAlignment="1">
      <alignment horizontal="center" vertical="center" wrapText="1"/>
    </xf>
    <xf numFmtId="3" fontId="15" fillId="7" borderId="1" xfId="0" applyNumberFormat="1" applyFont="1" applyFill="1" applyBorder="1" applyAlignment="1">
      <alignment horizontal="center" vertical="center"/>
    </xf>
    <xf numFmtId="164" fontId="15" fillId="7" borderId="1" xfId="0" applyNumberFormat="1" applyFont="1" applyFill="1" applyBorder="1" applyAlignment="1">
      <alignment horizontal="center" vertical="center"/>
    </xf>
    <xf numFmtId="165" fontId="15" fillId="7" borderId="1" xfId="0" applyNumberFormat="1" applyFont="1" applyFill="1" applyBorder="1" applyAlignment="1">
      <alignment horizontal="center" vertical="center"/>
    </xf>
    <xf numFmtId="166" fontId="15" fillId="7" borderId="1" xfId="0" applyNumberFormat="1" applyFont="1" applyFill="1" applyBorder="1" applyAlignment="1">
      <alignment horizontal="center" vertical="center"/>
    </xf>
    <xf numFmtId="0" fontId="13" fillId="0" borderId="0" xfId="0" applyFont="1"/>
  </cellXfs>
  <cellStyles count="1">
    <cellStyle name="Normal" xfId="0" builtinId="0"/>
  </cellStyles>
  <dxfs count="6">
    <dxf>
      <font>
        <sz val="9"/>
        <color rgb="FFFFFFFF"/>
        <name val="Arial"/>
        <charset val="1"/>
      </font>
      <fill>
        <patternFill>
          <bgColor rgb="FF3F8F63"/>
        </patternFill>
      </fill>
    </dxf>
    <dxf>
      <fill>
        <patternFill>
          <bgColor rgb="FFE8A33D"/>
        </patternFill>
      </fill>
    </dxf>
    <dxf>
      <font>
        <b/>
        <sz val="9"/>
        <color rgb="FFFFFFFF"/>
        <name val="Arial"/>
        <charset val="1"/>
      </font>
      <fill>
        <patternFill>
          <bgColor rgb="FFC0524B"/>
        </patternFill>
      </fill>
    </dxf>
    <dxf>
      <font>
        <b/>
        <color rgb="FFFFFFFF"/>
      </font>
      <fill>
        <patternFill>
          <bgColor rgb="FF3F8F63"/>
        </patternFill>
      </fill>
    </dxf>
    <dxf>
      <font>
        <b/>
        <color rgb="FFFFFFFF"/>
      </font>
      <fill>
        <patternFill>
          <bgColor rgb="FFE8A33D"/>
        </patternFill>
      </fill>
    </dxf>
    <dxf>
      <font>
        <b/>
        <color rgb="FFFFFFFF"/>
      </font>
      <fill>
        <patternFill>
          <bgColor rgb="FFC0524B"/>
        </patternFill>
      </fill>
    </dxf>
  </dxfs>
  <tableStyles count="0" defaultTableStyle="TableStyleMedium2" defaultPivotStyle="PivotStyleLight16"/>
  <colors>
    <indexedColors>
      <rgbColor rgb="FF000000"/>
      <rgbColor rgb="FFFFFFFF"/>
      <rgbColor rgb="FFFF0000"/>
      <rgbColor rgb="FF00FF00"/>
      <rgbColor rgb="FF0000FF"/>
      <rgbColor rgb="FFFFFF00"/>
      <rgbColor rgb="FFFF00FF"/>
      <rgbColor rgb="FF00FFFF"/>
      <rgbColor rgb="FF800000"/>
      <rgbColor rgb="FF008000"/>
      <rgbColor rgb="FF000080"/>
      <rgbColor rgb="FF808000"/>
      <rgbColor rgb="FF800080"/>
      <rgbColor rgb="FF1F6F6B"/>
      <rgbColor rgb="FFB3B3B3"/>
      <rgbColor rgb="FF878787"/>
      <rgbColor rgb="FF9999FF"/>
      <rgbColor rgb="FFC0504D"/>
      <rgbColor rgb="FFFFF5E0"/>
      <rgbColor rgb="FFF9F9F9"/>
      <rgbColor rgb="FF660066"/>
      <rgbColor rgb="FFFF8080"/>
      <rgbColor rgb="FF0066CC"/>
      <rgbColor rgb="FFD9D9D9"/>
      <rgbColor rgb="FF000080"/>
      <rgbColor rgb="FFFF00FF"/>
      <rgbColor rgb="FFFFFF00"/>
      <rgbColor rgb="FF00FFFF"/>
      <rgbColor rgb="FF800080"/>
      <rgbColor rgb="FF800000"/>
      <rgbColor rgb="FF008080"/>
      <rgbColor rgb="FF0000FF"/>
      <rgbColor rgb="FF00CCFF"/>
      <rgbColor rgb="FFFDF8F0"/>
      <rgbColor rgb="FFF3E9D8"/>
      <rgbColor rgb="FFFFFF99"/>
      <rgbColor rgb="FF99CCFF"/>
      <rgbColor rgb="FFFF99CC"/>
      <rgbColor rgb="FFCC99FF"/>
      <rgbColor rgb="FFD8CBB0"/>
      <rgbColor rgb="FF3366FF"/>
      <rgbColor rgb="FF33CCCC"/>
      <rgbColor rgb="FF9BBB59"/>
      <rgbColor rgb="FFFFCC00"/>
      <rgbColor rgb="FFE8A33D"/>
      <rgbColor rgb="FFC97A26"/>
      <rgbColor rgb="FF4F81BD"/>
      <rgbColor rgb="FF969696"/>
      <rgbColor rgb="FF134B48"/>
      <rgbColor rgb="FF3F8F63"/>
      <rgbColor rgb="FF003300"/>
      <rgbColor rgb="FF333300"/>
      <rgbColor rgb="FF993300"/>
      <rgbColor rgb="FFC0524B"/>
      <rgbColor rgb="FF333399"/>
      <rgbColor rgb="FF2B2B2B"/>
      <rgbColor rgb="00003366"/>
      <rgbColor rgb="00339966"/>
      <rgbColor rgb="00003300"/>
      <rgbColor rgb="00333300"/>
      <rgbColor rgb="00993300"/>
      <rgbColor rgb="00993366"/>
      <rgbColor rgb="00333399"/>
      <rgbColor rgb="00333333"/>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openxmlformats.org/officeDocument/2006/relationships/calcChain" Target="calcChain.xml"/><Relationship Id="rId10" Type="http://schemas.openxmlformats.org/officeDocument/2006/relationships/worksheet" Target="worksheets/sheet10.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sharedStrings" Target="sharedStrings.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c:style val="2"/>
  <c:chart>
    <c:title>
      <c:tx>
        <c:rich>
          <a:bodyPr rot="0"/>
          <a:lstStyle/>
          <a:p>
            <a:pPr>
              <a:defRPr sz="1800" b="1" strike="noStrike" spc="-1">
                <a:solidFill>
                  <a:srgbClr val="000000"/>
                </a:solidFill>
                <a:latin typeface="Calibri"/>
              </a:defRPr>
            </a:pPr>
            <a:r>
              <a:rPr lang="en-US" sz="1800" b="1" strike="noStrike" spc="-1">
                <a:solidFill>
                  <a:srgbClr val="000000"/>
                </a:solidFill>
                <a:latin typeface="Calibri"/>
              </a:rPr>
              <a:t>Total Listings by Platform</a:t>
            </a:r>
          </a:p>
        </c:rich>
      </c:tx>
      <c:overlay val="0"/>
      <c:spPr>
        <a:noFill/>
        <a:ln w="0">
          <a:noFill/>
        </a:ln>
      </c:spPr>
    </c:title>
    <c:autoTitleDeleted val="0"/>
    <c:plotArea>
      <c:layout/>
      <c:barChart>
        <c:barDir val="col"/>
        <c:grouping val="clustered"/>
        <c:varyColors val="0"/>
        <c:ser>
          <c:idx val="0"/>
          <c:order val="0"/>
          <c:tx>
            <c:strRef>
              <c:f>Executive_Dashboard!$B$10</c:f>
              <c:strCache>
                <c:ptCount val="1"/>
                <c:pt idx="0">
                  <c:v>Total Listings</c:v>
                </c:pt>
              </c:strCache>
            </c:strRef>
          </c:tx>
          <c:spPr>
            <a:solidFill>
              <a:srgbClr val="1F6F6B"/>
            </a:solidFill>
            <a:ln w="9360">
              <a:solidFill>
                <a:srgbClr val="F9F9F9"/>
              </a:solidFill>
              <a:round/>
            </a:ln>
          </c:spPr>
          <c:invertIfNegative val="0"/>
          <c:dLbls>
            <c:spPr>
              <a:noFill/>
              <a:ln>
                <a:noFill/>
              </a:ln>
              <a:effectLst/>
            </c:spPr>
            <c:txPr>
              <a:bodyPr wrap="square"/>
              <a:lstStyle/>
              <a:p>
                <a:pPr>
                  <a:defRPr sz="1000" b="0" strike="noStrike" spc="-1">
                    <a:solidFill>
                      <a:srgbClr val="000000"/>
                    </a:solidFill>
                    <a:latin typeface="Arial"/>
                  </a:defRPr>
                </a:pPr>
                <a:endParaRPr lang="en-US"/>
              </a:p>
            </c:txPr>
            <c:dLblPos val="outEnd"/>
            <c:showLegendKey val="0"/>
            <c:showVal val="0"/>
            <c:showCatName val="0"/>
            <c:showSerName val="0"/>
            <c:showPercent val="0"/>
            <c:showBubbleSize val="1"/>
            <c:separator>; </c:separator>
            <c:showLeaderLines val="0"/>
            <c:extLst>
              <c:ext xmlns:c15="http://schemas.microsoft.com/office/drawing/2012/chart" uri="{CE6537A1-D6FC-4f65-9D91-7224C49458BB}">
                <c15:showLeaderLines val="1"/>
              </c:ext>
            </c:extLst>
          </c:dLbls>
          <c:cat>
            <c:strRef>
              <c:f>Executive_Dashboard!$A$11:$A$13</c:f>
              <c:strCache>
                <c:ptCount val="3"/>
                <c:pt idx="0">
                  <c:v>LinkedIn</c:v>
                </c:pt>
                <c:pt idx="1">
                  <c:v>Indeed</c:v>
                </c:pt>
                <c:pt idx="2">
                  <c:v>Glassdoor</c:v>
                </c:pt>
              </c:strCache>
            </c:strRef>
          </c:cat>
          <c:val>
            <c:numRef>
              <c:f>Executive_Dashboard!$B$11:$B$13</c:f>
              <c:numCache>
                <c:formatCode>#,##0</c:formatCode>
                <c:ptCount val="3"/>
                <c:pt idx="0">
                  <c:v>1000</c:v>
                </c:pt>
                <c:pt idx="1">
                  <c:v>1000</c:v>
                </c:pt>
                <c:pt idx="2">
                  <c:v>1000</c:v>
                </c:pt>
              </c:numCache>
            </c:numRef>
          </c:val>
          <c:extLst>
            <c:ext xmlns:c16="http://schemas.microsoft.com/office/drawing/2014/chart" uri="{C3380CC4-5D6E-409C-BE32-E72D297353CC}">
              <c16:uniqueId val="{00000000-A1B7-4009-992A-7CF6F3E721B6}"/>
            </c:ext>
          </c:extLst>
        </c:ser>
        <c:dLbls>
          <c:showLegendKey val="0"/>
          <c:showVal val="0"/>
          <c:showCatName val="0"/>
          <c:showSerName val="0"/>
          <c:showPercent val="0"/>
          <c:showBubbleSize val="0"/>
        </c:dLbls>
        <c:gapWidth val="150"/>
        <c:axId val="79519162"/>
        <c:axId val="62652003"/>
      </c:barChart>
      <c:catAx>
        <c:axId val="79519162"/>
        <c:scaling>
          <c:orientation val="minMax"/>
        </c:scaling>
        <c:delete val="0"/>
        <c:axPos val="b"/>
        <c:numFmt formatCode="General" sourceLinked="0"/>
        <c:majorTickMark val="none"/>
        <c:minorTickMark val="none"/>
        <c:tickLblPos val="nextTo"/>
        <c:spPr>
          <a:ln w="9360">
            <a:solidFill>
              <a:srgbClr val="878787"/>
            </a:solidFill>
            <a:round/>
          </a:ln>
        </c:spPr>
        <c:txPr>
          <a:bodyPr/>
          <a:lstStyle/>
          <a:p>
            <a:pPr>
              <a:defRPr sz="1000" b="0" strike="noStrike" spc="-1">
                <a:solidFill>
                  <a:srgbClr val="000000"/>
                </a:solidFill>
                <a:latin typeface="Calibri"/>
              </a:defRPr>
            </a:pPr>
            <a:endParaRPr lang="en-US"/>
          </a:p>
        </c:txPr>
        <c:crossAx val="62652003"/>
        <c:crosses val="autoZero"/>
        <c:auto val="1"/>
        <c:lblAlgn val="ctr"/>
        <c:lblOffset val="100"/>
        <c:noMultiLvlLbl val="0"/>
      </c:catAx>
      <c:valAx>
        <c:axId val="62652003"/>
        <c:scaling>
          <c:orientation val="minMax"/>
        </c:scaling>
        <c:delete val="0"/>
        <c:axPos val="l"/>
        <c:majorGridlines>
          <c:spPr>
            <a:ln w="9360">
              <a:solidFill>
                <a:srgbClr val="878787"/>
              </a:solidFill>
              <a:round/>
            </a:ln>
          </c:spPr>
        </c:majorGridlines>
        <c:title>
          <c:tx>
            <c:rich>
              <a:bodyPr rot="-5400000"/>
              <a:lstStyle/>
              <a:p>
                <a:pPr>
                  <a:defRPr sz="1000" b="1" strike="noStrike" spc="-1">
                    <a:solidFill>
                      <a:srgbClr val="000000"/>
                    </a:solidFill>
                    <a:latin typeface="Calibri"/>
                  </a:defRPr>
                </a:pPr>
                <a:r>
                  <a:rPr lang="en-US" sz="1000" b="1" strike="noStrike" spc="-1">
                    <a:solidFill>
                      <a:srgbClr val="000000"/>
                    </a:solidFill>
                    <a:latin typeface="Calibri"/>
                  </a:rPr>
                  <a:t>Listings</a:t>
                </a:r>
              </a:p>
            </c:rich>
          </c:tx>
          <c:overlay val="0"/>
          <c:spPr>
            <a:noFill/>
            <a:ln w="0">
              <a:noFill/>
            </a:ln>
          </c:spPr>
        </c:title>
        <c:numFmt formatCode="#,##0" sourceLinked="0"/>
        <c:majorTickMark val="none"/>
        <c:minorTickMark val="none"/>
        <c:tickLblPos val="nextTo"/>
        <c:spPr>
          <a:ln w="9360">
            <a:solidFill>
              <a:srgbClr val="878787"/>
            </a:solidFill>
            <a:round/>
          </a:ln>
        </c:spPr>
        <c:txPr>
          <a:bodyPr/>
          <a:lstStyle/>
          <a:p>
            <a:pPr>
              <a:defRPr sz="1000" b="0" strike="noStrike" spc="-1">
                <a:solidFill>
                  <a:srgbClr val="000000"/>
                </a:solidFill>
                <a:latin typeface="Calibri"/>
              </a:defRPr>
            </a:pPr>
            <a:endParaRPr lang="en-US"/>
          </a:p>
        </c:txPr>
        <c:crossAx val="79519162"/>
        <c:crosses val="autoZero"/>
        <c:crossBetween val="between"/>
      </c:valAx>
      <c:spPr>
        <a:noFill/>
        <a:ln w="0">
          <a:noFill/>
        </a:ln>
      </c:spPr>
    </c:plotArea>
    <c:legend>
      <c:legendPos val="r"/>
      <c:overlay val="0"/>
      <c:spPr>
        <a:noFill/>
        <a:ln w="0">
          <a:noFill/>
        </a:ln>
      </c:spPr>
      <c:txPr>
        <a:bodyPr/>
        <a:lstStyle/>
        <a:p>
          <a:pPr>
            <a:defRPr sz="1000" b="0" strike="noStrike" spc="-1">
              <a:solidFill>
                <a:srgbClr val="000000"/>
              </a:solidFill>
              <a:latin typeface="Calibri"/>
            </a:defRPr>
          </a:pPr>
          <a:endParaRPr lang="en-US"/>
        </a:p>
      </c:txPr>
    </c:legend>
    <c:plotVisOnly val="1"/>
    <c:dispBlanksAs val="gap"/>
    <c:showDLblsOverMax val="1"/>
  </c:chart>
  <c:spPr>
    <a:solidFill>
      <a:srgbClr val="FFFFFF"/>
    </a:solidFill>
    <a:ln w="9360">
      <a:solidFill>
        <a:srgbClr val="D9D9D9"/>
      </a:solidFill>
      <a:round/>
    </a:ln>
  </c:spPr>
  <c:printSettings>
    <c:headerFooter/>
    <c:pageMargins b="0.75" l="0.7" r="0.7" t="0.75" header="0.3" footer="0.3"/>
    <c:pageSetup/>
  </c:printSettings>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c:style val="2"/>
  <c:chart>
    <c:title>
      <c:tx>
        <c:rich>
          <a:bodyPr rot="0"/>
          <a:lstStyle/>
          <a:p>
            <a:pPr>
              <a:defRPr sz="1800" b="1" strike="noStrike" spc="-1">
                <a:solidFill>
                  <a:srgbClr val="000000"/>
                </a:solidFill>
                <a:latin typeface="Calibri"/>
              </a:defRPr>
            </a:pPr>
            <a:r>
              <a:rPr lang="en-US" sz="1800" b="1" strike="noStrike" spc="-1">
                <a:solidFill>
                  <a:srgbClr val="000000"/>
                </a:solidFill>
                <a:latin typeface="Calibri"/>
              </a:rPr>
              <a:t>Ghost Label Composition by Platform</a:t>
            </a:r>
          </a:p>
        </c:rich>
      </c:tx>
      <c:overlay val="0"/>
      <c:spPr>
        <a:noFill/>
        <a:ln w="0">
          <a:noFill/>
        </a:ln>
      </c:spPr>
    </c:title>
    <c:autoTitleDeleted val="0"/>
    <c:plotArea>
      <c:layout/>
      <c:barChart>
        <c:barDir val="col"/>
        <c:grouping val="stacked"/>
        <c:varyColors val="0"/>
        <c:ser>
          <c:idx val="0"/>
          <c:order val="0"/>
          <c:tx>
            <c:strRef>
              <c:f>Executive_Dashboard!$C$10</c:f>
              <c:strCache>
                <c:ptCount val="1"/>
                <c:pt idx="0">
                  <c:v>Likely Ghost</c:v>
                </c:pt>
              </c:strCache>
            </c:strRef>
          </c:tx>
          <c:spPr>
            <a:solidFill>
              <a:srgbClr val="C0524B"/>
            </a:solidFill>
            <a:ln w="0">
              <a:noFill/>
            </a:ln>
          </c:spPr>
          <c:invertIfNegative val="0"/>
          <c:dLbls>
            <c:spPr>
              <a:noFill/>
              <a:ln>
                <a:noFill/>
              </a:ln>
              <a:effectLst/>
            </c:spPr>
            <c:txPr>
              <a:bodyPr wrap="square"/>
              <a:lstStyle/>
              <a:p>
                <a:pPr>
                  <a:defRPr sz="1000" b="0" strike="noStrike" spc="-1">
                    <a:solidFill>
                      <a:srgbClr val="000000"/>
                    </a:solidFill>
                    <a:latin typeface="Arial"/>
                  </a:defRPr>
                </a:pPr>
                <a:endParaRPr lang="en-US"/>
              </a:p>
            </c:txPr>
            <c:dLblPos val="ctr"/>
            <c:showLegendKey val="0"/>
            <c:showVal val="0"/>
            <c:showCatName val="0"/>
            <c:showSerName val="0"/>
            <c:showPercent val="0"/>
            <c:showBubbleSize val="1"/>
            <c:separator>; </c:separator>
            <c:showLeaderLines val="0"/>
            <c:extLst>
              <c:ext xmlns:c15="http://schemas.microsoft.com/office/drawing/2012/chart" uri="{CE6537A1-D6FC-4f65-9D91-7224C49458BB}">
                <c15:showLeaderLines val="1"/>
              </c:ext>
            </c:extLst>
          </c:dLbls>
          <c:cat>
            <c:strRef>
              <c:f>Executive_Dashboard!$A$11:$A$13</c:f>
              <c:strCache>
                <c:ptCount val="3"/>
                <c:pt idx="0">
                  <c:v>LinkedIn</c:v>
                </c:pt>
                <c:pt idx="1">
                  <c:v>Indeed</c:v>
                </c:pt>
                <c:pt idx="2">
                  <c:v>Glassdoor</c:v>
                </c:pt>
              </c:strCache>
            </c:strRef>
          </c:cat>
          <c:val>
            <c:numRef>
              <c:f>Executive_Dashboard!$C$11:$C$13</c:f>
              <c:numCache>
                <c:formatCode>#,##0</c:formatCode>
                <c:ptCount val="3"/>
                <c:pt idx="0">
                  <c:v>77</c:v>
                </c:pt>
                <c:pt idx="1">
                  <c:v>44</c:v>
                </c:pt>
                <c:pt idx="2">
                  <c:v>25</c:v>
                </c:pt>
              </c:numCache>
            </c:numRef>
          </c:val>
          <c:extLst>
            <c:ext xmlns:c16="http://schemas.microsoft.com/office/drawing/2014/chart" uri="{C3380CC4-5D6E-409C-BE32-E72D297353CC}">
              <c16:uniqueId val="{00000000-3ED9-477B-A0EB-A7C11E671F9C}"/>
            </c:ext>
          </c:extLst>
        </c:ser>
        <c:ser>
          <c:idx val="1"/>
          <c:order val="1"/>
          <c:tx>
            <c:strRef>
              <c:f>Executive_Dashboard!$D$10</c:f>
              <c:strCache>
                <c:ptCount val="1"/>
                <c:pt idx="0">
                  <c:v>Uncertain</c:v>
                </c:pt>
              </c:strCache>
            </c:strRef>
          </c:tx>
          <c:spPr>
            <a:solidFill>
              <a:srgbClr val="E8A33D"/>
            </a:solidFill>
            <a:ln w="0">
              <a:noFill/>
            </a:ln>
          </c:spPr>
          <c:invertIfNegative val="0"/>
          <c:dLbls>
            <c:spPr>
              <a:noFill/>
              <a:ln>
                <a:noFill/>
              </a:ln>
              <a:effectLst/>
            </c:spPr>
            <c:txPr>
              <a:bodyPr wrap="square"/>
              <a:lstStyle/>
              <a:p>
                <a:pPr>
                  <a:defRPr sz="1000" b="0" strike="noStrike" spc="-1">
                    <a:solidFill>
                      <a:srgbClr val="000000"/>
                    </a:solidFill>
                    <a:latin typeface="Arial"/>
                  </a:defRPr>
                </a:pPr>
                <a:endParaRPr lang="en-US"/>
              </a:p>
            </c:txPr>
            <c:dLblPos val="ctr"/>
            <c:showLegendKey val="0"/>
            <c:showVal val="0"/>
            <c:showCatName val="0"/>
            <c:showSerName val="0"/>
            <c:showPercent val="0"/>
            <c:showBubbleSize val="1"/>
            <c:separator>; </c:separator>
            <c:showLeaderLines val="0"/>
            <c:extLst>
              <c:ext xmlns:c15="http://schemas.microsoft.com/office/drawing/2012/chart" uri="{CE6537A1-D6FC-4f65-9D91-7224C49458BB}">
                <c15:showLeaderLines val="1"/>
              </c:ext>
            </c:extLst>
          </c:dLbls>
          <c:cat>
            <c:strRef>
              <c:f>Executive_Dashboard!$A$11:$A$13</c:f>
              <c:strCache>
                <c:ptCount val="3"/>
                <c:pt idx="0">
                  <c:v>LinkedIn</c:v>
                </c:pt>
                <c:pt idx="1">
                  <c:v>Indeed</c:v>
                </c:pt>
                <c:pt idx="2">
                  <c:v>Glassdoor</c:v>
                </c:pt>
              </c:strCache>
            </c:strRef>
          </c:cat>
          <c:val>
            <c:numRef>
              <c:f>Executive_Dashboard!$D$11:$D$13</c:f>
              <c:numCache>
                <c:formatCode>#,##0</c:formatCode>
                <c:ptCount val="3"/>
                <c:pt idx="0">
                  <c:v>669</c:v>
                </c:pt>
                <c:pt idx="1">
                  <c:v>435</c:v>
                </c:pt>
                <c:pt idx="2">
                  <c:v>439</c:v>
                </c:pt>
              </c:numCache>
            </c:numRef>
          </c:val>
          <c:extLst>
            <c:ext xmlns:c16="http://schemas.microsoft.com/office/drawing/2014/chart" uri="{C3380CC4-5D6E-409C-BE32-E72D297353CC}">
              <c16:uniqueId val="{00000001-3ED9-477B-A0EB-A7C11E671F9C}"/>
            </c:ext>
          </c:extLst>
        </c:ser>
        <c:ser>
          <c:idx val="2"/>
          <c:order val="2"/>
          <c:tx>
            <c:strRef>
              <c:f>Executive_Dashboard!$E$10</c:f>
              <c:strCache>
                <c:ptCount val="1"/>
                <c:pt idx="0">
                  <c:v>Likely Genuine</c:v>
                </c:pt>
              </c:strCache>
            </c:strRef>
          </c:tx>
          <c:spPr>
            <a:solidFill>
              <a:srgbClr val="3F8F63"/>
            </a:solidFill>
            <a:ln w="0">
              <a:noFill/>
            </a:ln>
          </c:spPr>
          <c:invertIfNegative val="0"/>
          <c:dLbls>
            <c:spPr>
              <a:noFill/>
              <a:ln>
                <a:noFill/>
              </a:ln>
              <a:effectLst/>
            </c:spPr>
            <c:txPr>
              <a:bodyPr wrap="square"/>
              <a:lstStyle/>
              <a:p>
                <a:pPr>
                  <a:defRPr sz="1000" b="0" strike="noStrike" spc="-1">
                    <a:solidFill>
                      <a:srgbClr val="000000"/>
                    </a:solidFill>
                    <a:latin typeface="Arial"/>
                  </a:defRPr>
                </a:pPr>
                <a:endParaRPr lang="en-US"/>
              </a:p>
            </c:txPr>
            <c:dLblPos val="ctr"/>
            <c:showLegendKey val="0"/>
            <c:showVal val="0"/>
            <c:showCatName val="0"/>
            <c:showSerName val="0"/>
            <c:showPercent val="0"/>
            <c:showBubbleSize val="1"/>
            <c:separator>; </c:separator>
            <c:showLeaderLines val="0"/>
            <c:extLst>
              <c:ext xmlns:c15="http://schemas.microsoft.com/office/drawing/2012/chart" uri="{CE6537A1-D6FC-4f65-9D91-7224C49458BB}">
                <c15:showLeaderLines val="1"/>
              </c:ext>
            </c:extLst>
          </c:dLbls>
          <c:cat>
            <c:strRef>
              <c:f>Executive_Dashboard!$A$11:$A$13</c:f>
              <c:strCache>
                <c:ptCount val="3"/>
                <c:pt idx="0">
                  <c:v>LinkedIn</c:v>
                </c:pt>
                <c:pt idx="1">
                  <c:v>Indeed</c:v>
                </c:pt>
                <c:pt idx="2">
                  <c:v>Glassdoor</c:v>
                </c:pt>
              </c:strCache>
            </c:strRef>
          </c:cat>
          <c:val>
            <c:numRef>
              <c:f>Executive_Dashboard!$E$11:$E$13</c:f>
              <c:numCache>
                <c:formatCode>#,##0</c:formatCode>
                <c:ptCount val="3"/>
                <c:pt idx="0">
                  <c:v>254</c:v>
                </c:pt>
                <c:pt idx="1">
                  <c:v>521</c:v>
                </c:pt>
                <c:pt idx="2">
                  <c:v>536</c:v>
                </c:pt>
              </c:numCache>
            </c:numRef>
          </c:val>
          <c:extLst>
            <c:ext xmlns:c16="http://schemas.microsoft.com/office/drawing/2014/chart" uri="{C3380CC4-5D6E-409C-BE32-E72D297353CC}">
              <c16:uniqueId val="{00000002-3ED9-477B-A0EB-A7C11E671F9C}"/>
            </c:ext>
          </c:extLst>
        </c:ser>
        <c:dLbls>
          <c:showLegendKey val="0"/>
          <c:showVal val="0"/>
          <c:showCatName val="0"/>
          <c:showSerName val="0"/>
          <c:showPercent val="0"/>
          <c:showBubbleSize val="0"/>
        </c:dLbls>
        <c:gapWidth val="150"/>
        <c:overlap val="100"/>
        <c:axId val="99559695"/>
        <c:axId val="27146992"/>
      </c:barChart>
      <c:catAx>
        <c:axId val="99559695"/>
        <c:scaling>
          <c:orientation val="minMax"/>
        </c:scaling>
        <c:delete val="0"/>
        <c:axPos val="b"/>
        <c:numFmt formatCode="General" sourceLinked="0"/>
        <c:majorTickMark val="none"/>
        <c:minorTickMark val="none"/>
        <c:tickLblPos val="nextTo"/>
        <c:spPr>
          <a:ln w="9360">
            <a:solidFill>
              <a:srgbClr val="878787"/>
            </a:solidFill>
            <a:round/>
          </a:ln>
        </c:spPr>
        <c:txPr>
          <a:bodyPr/>
          <a:lstStyle/>
          <a:p>
            <a:pPr>
              <a:defRPr sz="1000" b="0" strike="noStrike" spc="-1">
                <a:solidFill>
                  <a:srgbClr val="000000"/>
                </a:solidFill>
                <a:latin typeface="Calibri"/>
              </a:defRPr>
            </a:pPr>
            <a:endParaRPr lang="en-US"/>
          </a:p>
        </c:txPr>
        <c:crossAx val="27146992"/>
        <c:crosses val="autoZero"/>
        <c:auto val="1"/>
        <c:lblAlgn val="ctr"/>
        <c:lblOffset val="100"/>
        <c:noMultiLvlLbl val="0"/>
      </c:catAx>
      <c:valAx>
        <c:axId val="27146992"/>
        <c:scaling>
          <c:orientation val="minMax"/>
        </c:scaling>
        <c:delete val="0"/>
        <c:axPos val="l"/>
        <c:majorGridlines>
          <c:spPr>
            <a:ln w="9360">
              <a:solidFill>
                <a:srgbClr val="878787"/>
              </a:solidFill>
              <a:round/>
            </a:ln>
          </c:spPr>
        </c:majorGridlines>
        <c:title>
          <c:tx>
            <c:rich>
              <a:bodyPr rot="-5400000"/>
              <a:lstStyle/>
              <a:p>
                <a:pPr>
                  <a:defRPr sz="1000" b="1" strike="noStrike" spc="-1">
                    <a:solidFill>
                      <a:srgbClr val="000000"/>
                    </a:solidFill>
                    <a:latin typeface="Calibri"/>
                  </a:defRPr>
                </a:pPr>
                <a:r>
                  <a:rPr lang="en-US" sz="1000" b="1" strike="noStrike" spc="-1">
                    <a:solidFill>
                      <a:srgbClr val="000000"/>
                    </a:solidFill>
                    <a:latin typeface="Calibri"/>
                  </a:rPr>
                  <a:t>Listings</a:t>
                </a:r>
              </a:p>
            </c:rich>
          </c:tx>
          <c:overlay val="0"/>
          <c:spPr>
            <a:noFill/>
            <a:ln w="0">
              <a:noFill/>
            </a:ln>
          </c:spPr>
        </c:title>
        <c:numFmt formatCode="#,##0" sourceLinked="0"/>
        <c:majorTickMark val="none"/>
        <c:minorTickMark val="none"/>
        <c:tickLblPos val="nextTo"/>
        <c:spPr>
          <a:ln w="9360">
            <a:solidFill>
              <a:srgbClr val="878787"/>
            </a:solidFill>
            <a:round/>
          </a:ln>
        </c:spPr>
        <c:txPr>
          <a:bodyPr/>
          <a:lstStyle/>
          <a:p>
            <a:pPr>
              <a:defRPr sz="1000" b="0" strike="noStrike" spc="-1">
                <a:solidFill>
                  <a:srgbClr val="000000"/>
                </a:solidFill>
                <a:latin typeface="Calibri"/>
              </a:defRPr>
            </a:pPr>
            <a:endParaRPr lang="en-US"/>
          </a:p>
        </c:txPr>
        <c:crossAx val="99559695"/>
        <c:crosses val="autoZero"/>
        <c:crossBetween val="between"/>
      </c:valAx>
      <c:spPr>
        <a:noFill/>
        <a:ln w="0">
          <a:noFill/>
        </a:ln>
      </c:spPr>
    </c:plotArea>
    <c:legend>
      <c:legendPos val="r"/>
      <c:overlay val="0"/>
      <c:spPr>
        <a:noFill/>
        <a:ln w="0">
          <a:noFill/>
        </a:ln>
      </c:spPr>
      <c:txPr>
        <a:bodyPr/>
        <a:lstStyle/>
        <a:p>
          <a:pPr>
            <a:defRPr sz="1000" b="0" strike="noStrike" spc="-1">
              <a:solidFill>
                <a:srgbClr val="000000"/>
              </a:solidFill>
              <a:latin typeface="Calibri"/>
            </a:defRPr>
          </a:pPr>
          <a:endParaRPr lang="en-US"/>
        </a:p>
      </c:txPr>
    </c:legend>
    <c:plotVisOnly val="1"/>
    <c:dispBlanksAs val="gap"/>
    <c:showDLblsOverMax val="1"/>
  </c:chart>
  <c:spPr>
    <a:solidFill>
      <a:srgbClr val="FFFFFF"/>
    </a:solidFill>
    <a:ln w="9360">
      <a:solidFill>
        <a:srgbClr val="D9D9D9"/>
      </a:solidFill>
      <a:round/>
    </a:ln>
  </c:spPr>
  <c:printSettings>
    <c:headerFooter/>
    <c:pageMargins b="0.75" l="0.7" r="0.7" t="0.75" header="0.3" footer="0.3"/>
    <c:pageSetup/>
  </c:printSettings>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c:style val="2"/>
  <c:chart>
    <c:title>
      <c:tx>
        <c:rich>
          <a:bodyPr rot="0"/>
          <a:lstStyle/>
          <a:p>
            <a:pPr>
              <a:defRPr sz="1800" b="1" strike="noStrike" spc="-1">
                <a:solidFill>
                  <a:srgbClr val="000000"/>
                </a:solidFill>
                <a:latin typeface="Calibri"/>
              </a:defRPr>
            </a:pPr>
            <a:r>
              <a:rPr lang="en-US" sz="1800" b="1" strike="noStrike" spc="-1">
                <a:solidFill>
                  <a:srgbClr val="000000"/>
                </a:solidFill>
                <a:latin typeface="Calibri"/>
              </a:rPr>
              <a:t>Overall Ghost Label Distribution</a:t>
            </a:r>
          </a:p>
        </c:rich>
      </c:tx>
      <c:overlay val="0"/>
      <c:spPr>
        <a:noFill/>
        <a:ln w="0">
          <a:noFill/>
        </a:ln>
      </c:spPr>
    </c:title>
    <c:autoTitleDeleted val="0"/>
    <c:plotArea>
      <c:layout/>
      <c:pieChart>
        <c:varyColors val="1"/>
        <c:ser>
          <c:idx val="0"/>
          <c:order val="0"/>
          <c:spPr>
            <a:solidFill>
              <a:srgbClr val="4F81BD"/>
            </a:solidFill>
            <a:ln w="0">
              <a:noFill/>
            </a:ln>
          </c:spPr>
          <c:dPt>
            <c:idx val="0"/>
            <c:bubble3D val="0"/>
            <c:spPr>
              <a:solidFill>
                <a:srgbClr val="C0524B"/>
              </a:solidFill>
              <a:ln w="0">
                <a:noFill/>
              </a:ln>
            </c:spPr>
            <c:extLst>
              <c:ext xmlns:c16="http://schemas.microsoft.com/office/drawing/2014/chart" uri="{C3380CC4-5D6E-409C-BE32-E72D297353CC}">
                <c16:uniqueId val="{00000001-67CC-463A-BB34-6369389EB595}"/>
              </c:ext>
            </c:extLst>
          </c:dPt>
          <c:dPt>
            <c:idx val="1"/>
            <c:bubble3D val="0"/>
            <c:spPr>
              <a:solidFill>
                <a:srgbClr val="E8A33D"/>
              </a:solidFill>
              <a:ln w="0">
                <a:noFill/>
              </a:ln>
            </c:spPr>
            <c:extLst>
              <c:ext xmlns:c16="http://schemas.microsoft.com/office/drawing/2014/chart" uri="{C3380CC4-5D6E-409C-BE32-E72D297353CC}">
                <c16:uniqueId val="{00000003-67CC-463A-BB34-6369389EB595}"/>
              </c:ext>
            </c:extLst>
          </c:dPt>
          <c:dPt>
            <c:idx val="2"/>
            <c:bubble3D val="0"/>
            <c:spPr>
              <a:solidFill>
                <a:srgbClr val="3F8F63"/>
              </a:solidFill>
              <a:ln w="0">
                <a:noFill/>
              </a:ln>
            </c:spPr>
            <c:extLst>
              <c:ext xmlns:c16="http://schemas.microsoft.com/office/drawing/2014/chart" uri="{C3380CC4-5D6E-409C-BE32-E72D297353CC}">
                <c16:uniqueId val="{00000005-67CC-463A-BB34-6369389EB595}"/>
              </c:ext>
            </c:extLst>
          </c:dPt>
          <c:dLbls>
            <c:dLbl>
              <c:idx val="0"/>
              <c:spPr/>
              <c:txPr>
                <a:bodyPr wrap="square"/>
                <a:lstStyle/>
                <a:p>
                  <a:pPr>
                    <a:defRPr sz="1000" b="0" strike="noStrike" spc="-1">
                      <a:solidFill>
                        <a:srgbClr val="000000"/>
                      </a:solidFill>
                      <a:latin typeface="Calibri"/>
                    </a:defRPr>
                  </a:pPr>
                  <a:endParaRPr lang="en-US"/>
                </a:p>
              </c:txPr>
              <c:dLblPos val="bestFit"/>
              <c:showLegendKey val="1"/>
              <c:showVal val="1"/>
              <c:showCatName val="1"/>
              <c:showSerName val="1"/>
              <c:showPercent val="1"/>
              <c:showBubbleSize val="1"/>
              <c:extLst>
                <c:ext xmlns:c16="http://schemas.microsoft.com/office/drawing/2014/chart" uri="{C3380CC4-5D6E-409C-BE32-E72D297353CC}">
                  <c16:uniqueId val="{00000001-67CC-463A-BB34-6369389EB595}"/>
                </c:ext>
              </c:extLst>
            </c:dLbl>
            <c:dLbl>
              <c:idx val="1"/>
              <c:spPr/>
              <c:txPr>
                <a:bodyPr wrap="square"/>
                <a:lstStyle/>
                <a:p>
                  <a:pPr>
                    <a:defRPr sz="1000" b="0" strike="noStrike" spc="-1">
                      <a:solidFill>
                        <a:srgbClr val="000000"/>
                      </a:solidFill>
                      <a:latin typeface="Calibri"/>
                    </a:defRPr>
                  </a:pPr>
                  <a:endParaRPr lang="en-US"/>
                </a:p>
              </c:txPr>
              <c:dLblPos val="bestFit"/>
              <c:showLegendKey val="1"/>
              <c:showVal val="1"/>
              <c:showCatName val="1"/>
              <c:showSerName val="1"/>
              <c:showPercent val="1"/>
              <c:showBubbleSize val="1"/>
              <c:extLst>
                <c:ext xmlns:c16="http://schemas.microsoft.com/office/drawing/2014/chart" uri="{C3380CC4-5D6E-409C-BE32-E72D297353CC}">
                  <c16:uniqueId val="{00000003-67CC-463A-BB34-6369389EB595}"/>
                </c:ext>
              </c:extLst>
            </c:dLbl>
            <c:dLbl>
              <c:idx val="2"/>
              <c:spPr/>
              <c:txPr>
                <a:bodyPr wrap="square"/>
                <a:lstStyle/>
                <a:p>
                  <a:pPr>
                    <a:defRPr sz="1000" b="0" strike="noStrike" spc="-1">
                      <a:solidFill>
                        <a:srgbClr val="000000"/>
                      </a:solidFill>
                      <a:latin typeface="Calibri"/>
                    </a:defRPr>
                  </a:pPr>
                  <a:endParaRPr lang="en-US"/>
                </a:p>
              </c:txPr>
              <c:dLblPos val="bestFit"/>
              <c:showLegendKey val="1"/>
              <c:showVal val="1"/>
              <c:showCatName val="1"/>
              <c:showSerName val="1"/>
              <c:showPercent val="1"/>
              <c:showBubbleSize val="1"/>
              <c:extLst>
                <c:ext xmlns:c16="http://schemas.microsoft.com/office/drawing/2014/chart" uri="{C3380CC4-5D6E-409C-BE32-E72D297353CC}">
                  <c16:uniqueId val="{00000005-67CC-463A-BB34-6369389EB595}"/>
                </c:ext>
              </c:extLst>
            </c:dLbl>
            <c:spPr>
              <a:noFill/>
              <a:ln>
                <a:noFill/>
              </a:ln>
              <a:effectLst/>
            </c:spPr>
            <c:txPr>
              <a:bodyPr wrap="square"/>
              <a:lstStyle/>
              <a:p>
                <a:pPr>
                  <a:defRPr sz="1000" b="0" strike="noStrike" spc="-1">
                    <a:solidFill>
                      <a:srgbClr val="000000"/>
                    </a:solidFill>
                    <a:latin typeface="Calibri"/>
                  </a:defRPr>
                </a:pPr>
                <a:endParaRPr lang="en-US"/>
              </a:p>
            </c:txPr>
            <c:dLblPos val="bestFit"/>
            <c:showLegendKey val="1"/>
            <c:showVal val="1"/>
            <c:showCatName val="1"/>
            <c:showSerName val="1"/>
            <c:showPercent val="1"/>
            <c:showBubbleSize val="1"/>
            <c:separator>; </c:separator>
            <c:showLeaderLines val="1"/>
            <c:extLst>
              <c:ext xmlns:c15="http://schemas.microsoft.com/office/drawing/2012/chart" uri="{CE6537A1-D6FC-4f65-9D91-7224C49458BB}"/>
            </c:extLst>
          </c:dLbls>
          <c:cat>
            <c:strRef>
              <c:f>Executive_Dashboard!$A$17:$A$19</c:f>
              <c:strCache>
                <c:ptCount val="3"/>
                <c:pt idx="0">
                  <c:v>Likely Ghost</c:v>
                </c:pt>
                <c:pt idx="1">
                  <c:v>Uncertain</c:v>
                </c:pt>
                <c:pt idx="2">
                  <c:v>Likely Genuine</c:v>
                </c:pt>
              </c:strCache>
            </c:strRef>
          </c:cat>
          <c:val>
            <c:numRef>
              <c:f>Executive_Dashboard!$B$17:$B$19</c:f>
              <c:numCache>
                <c:formatCode>#,##0</c:formatCode>
                <c:ptCount val="3"/>
                <c:pt idx="0">
                  <c:v>146</c:v>
                </c:pt>
                <c:pt idx="1">
                  <c:v>1543</c:v>
                </c:pt>
                <c:pt idx="2">
                  <c:v>1311</c:v>
                </c:pt>
              </c:numCache>
            </c:numRef>
          </c:val>
          <c:extLst>
            <c:ext xmlns:c16="http://schemas.microsoft.com/office/drawing/2014/chart" uri="{C3380CC4-5D6E-409C-BE32-E72D297353CC}">
              <c16:uniqueId val="{00000006-67CC-463A-BB34-6369389EB595}"/>
            </c:ext>
          </c:extLst>
        </c:ser>
        <c:dLbls>
          <c:showLegendKey val="0"/>
          <c:showVal val="0"/>
          <c:showCatName val="0"/>
          <c:showSerName val="0"/>
          <c:showPercent val="0"/>
          <c:showBubbleSize val="0"/>
          <c:showLeaderLines val="1"/>
        </c:dLbls>
        <c:firstSliceAng val="0"/>
      </c:pieChart>
      <c:spPr>
        <a:noFill/>
        <a:ln w="0">
          <a:noFill/>
        </a:ln>
      </c:spPr>
    </c:plotArea>
    <c:legend>
      <c:legendPos val="r"/>
      <c:overlay val="0"/>
      <c:spPr>
        <a:noFill/>
        <a:ln w="0">
          <a:noFill/>
        </a:ln>
      </c:spPr>
      <c:txPr>
        <a:bodyPr/>
        <a:lstStyle/>
        <a:p>
          <a:pPr>
            <a:defRPr sz="1000" b="0" strike="noStrike" spc="-1">
              <a:solidFill>
                <a:srgbClr val="000000"/>
              </a:solidFill>
              <a:latin typeface="Calibri"/>
            </a:defRPr>
          </a:pPr>
          <a:endParaRPr lang="en-US"/>
        </a:p>
      </c:txPr>
    </c:legend>
    <c:plotVisOnly val="1"/>
    <c:dispBlanksAs val="gap"/>
    <c:showDLblsOverMax val="1"/>
  </c:chart>
  <c:spPr>
    <a:solidFill>
      <a:srgbClr val="FFFFFF"/>
    </a:solidFill>
    <a:ln w="9360">
      <a:solidFill>
        <a:srgbClr val="D9D9D9"/>
      </a:solidFill>
      <a:round/>
    </a:ln>
  </c:spPr>
  <c:printSettings>
    <c:headerFooter/>
    <c:pageMargins b="0.75" l="0.7" r="0.7" t="0.75" header="0.3" footer="0.3"/>
    <c:pageSetup/>
  </c:printSettings>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c:style val="2"/>
  <c:chart>
    <c:title>
      <c:tx>
        <c:rich>
          <a:bodyPr rot="0"/>
          <a:lstStyle/>
          <a:p>
            <a:pPr>
              <a:defRPr sz="1800" b="1" strike="noStrike" spc="-1">
                <a:solidFill>
                  <a:srgbClr val="000000"/>
                </a:solidFill>
                <a:latin typeface="Calibri"/>
              </a:defRPr>
            </a:pPr>
            <a:r>
              <a:rPr lang="en-US" sz="1800" b="1" strike="noStrike" spc="-1">
                <a:solidFill>
                  <a:srgbClr val="000000"/>
                </a:solidFill>
                <a:latin typeface="Calibri"/>
              </a:rPr>
              <a:t>Platform Split (current filter)</a:t>
            </a:r>
          </a:p>
        </c:rich>
      </c:tx>
      <c:overlay val="0"/>
      <c:spPr>
        <a:noFill/>
        <a:ln w="0">
          <a:noFill/>
        </a:ln>
      </c:spPr>
    </c:title>
    <c:autoTitleDeleted val="0"/>
    <c:plotArea>
      <c:layout/>
      <c:barChart>
        <c:barDir val="col"/>
        <c:grouping val="clustered"/>
        <c:varyColors val="0"/>
        <c:ser>
          <c:idx val="0"/>
          <c:order val="0"/>
          <c:tx>
            <c:strRef>
              <c:f>Company_Explorer!$B$14</c:f>
              <c:strCache>
                <c:ptCount val="1"/>
                <c:pt idx="0">
                  <c:v>Count</c:v>
                </c:pt>
              </c:strCache>
            </c:strRef>
          </c:tx>
          <c:spPr>
            <a:solidFill>
              <a:srgbClr val="4F81BD"/>
            </a:solidFill>
            <a:ln w="0">
              <a:noFill/>
            </a:ln>
          </c:spPr>
          <c:invertIfNegative val="0"/>
          <c:dLbls>
            <c:spPr>
              <a:noFill/>
              <a:ln>
                <a:noFill/>
              </a:ln>
              <a:effectLst/>
            </c:spPr>
            <c:txPr>
              <a:bodyPr wrap="square"/>
              <a:lstStyle/>
              <a:p>
                <a:pPr>
                  <a:defRPr sz="1000" b="0" strike="noStrike" spc="-1">
                    <a:solidFill>
                      <a:srgbClr val="000000"/>
                    </a:solidFill>
                    <a:latin typeface="Arial"/>
                  </a:defRPr>
                </a:pPr>
                <a:endParaRPr lang="en-US"/>
              </a:p>
            </c:txPr>
            <c:dLblPos val="outEnd"/>
            <c:showLegendKey val="0"/>
            <c:showVal val="0"/>
            <c:showCatName val="0"/>
            <c:showSerName val="0"/>
            <c:showPercent val="0"/>
            <c:showBubbleSize val="1"/>
            <c:separator>; </c:separator>
            <c:showLeaderLines val="0"/>
            <c:extLst>
              <c:ext xmlns:c15="http://schemas.microsoft.com/office/drawing/2012/chart" uri="{CE6537A1-D6FC-4f65-9D91-7224C49458BB}">
                <c15:showLeaderLines val="1"/>
              </c:ext>
            </c:extLst>
          </c:dLbls>
          <c:cat>
            <c:strRef>
              <c:f>Company_Explorer!$A$15:$A$17</c:f>
              <c:strCache>
                <c:ptCount val="3"/>
                <c:pt idx="0">
                  <c:v>LinkedIn</c:v>
                </c:pt>
                <c:pt idx="1">
                  <c:v>Indeed</c:v>
                </c:pt>
                <c:pt idx="2">
                  <c:v>Glassdoor</c:v>
                </c:pt>
              </c:strCache>
            </c:strRef>
          </c:cat>
          <c:val>
            <c:numRef>
              <c:f>Company_Explorer!$B$15:$B$17</c:f>
              <c:numCache>
                <c:formatCode>General</c:formatCode>
                <c:ptCount val="3"/>
                <c:pt idx="0">
                  <c:v>8</c:v>
                </c:pt>
                <c:pt idx="1">
                  <c:v>16</c:v>
                </c:pt>
                <c:pt idx="2">
                  <c:v>0</c:v>
                </c:pt>
              </c:numCache>
            </c:numRef>
          </c:val>
          <c:extLst>
            <c:ext xmlns:c16="http://schemas.microsoft.com/office/drawing/2014/chart" uri="{C3380CC4-5D6E-409C-BE32-E72D297353CC}">
              <c16:uniqueId val="{00000000-A393-4697-A6F2-D4481C8BDA2D}"/>
            </c:ext>
          </c:extLst>
        </c:ser>
        <c:dLbls>
          <c:showLegendKey val="0"/>
          <c:showVal val="0"/>
          <c:showCatName val="0"/>
          <c:showSerName val="0"/>
          <c:showPercent val="0"/>
          <c:showBubbleSize val="0"/>
        </c:dLbls>
        <c:gapWidth val="150"/>
        <c:axId val="5679054"/>
        <c:axId val="28837913"/>
      </c:barChart>
      <c:catAx>
        <c:axId val="5679054"/>
        <c:scaling>
          <c:orientation val="minMax"/>
        </c:scaling>
        <c:delete val="0"/>
        <c:axPos val="b"/>
        <c:numFmt formatCode="General" sourceLinked="0"/>
        <c:majorTickMark val="none"/>
        <c:minorTickMark val="none"/>
        <c:tickLblPos val="nextTo"/>
        <c:spPr>
          <a:ln w="0">
            <a:solidFill>
              <a:srgbClr val="B3B3B3"/>
            </a:solidFill>
          </a:ln>
        </c:spPr>
        <c:txPr>
          <a:bodyPr/>
          <a:lstStyle/>
          <a:p>
            <a:pPr>
              <a:defRPr sz="1000" b="0" strike="noStrike" spc="-1">
                <a:solidFill>
                  <a:srgbClr val="000000"/>
                </a:solidFill>
                <a:latin typeface="Calibri"/>
              </a:defRPr>
            </a:pPr>
            <a:endParaRPr lang="en-US"/>
          </a:p>
        </c:txPr>
        <c:crossAx val="28837913"/>
        <c:crosses val="autoZero"/>
        <c:auto val="1"/>
        <c:lblAlgn val="ctr"/>
        <c:lblOffset val="100"/>
        <c:noMultiLvlLbl val="0"/>
      </c:catAx>
      <c:valAx>
        <c:axId val="28837913"/>
        <c:scaling>
          <c:orientation val="minMax"/>
        </c:scaling>
        <c:delete val="0"/>
        <c:axPos val="l"/>
        <c:majorGridlines>
          <c:spPr>
            <a:ln w="0">
              <a:solidFill>
                <a:srgbClr val="B3B3B3"/>
              </a:solidFill>
            </a:ln>
          </c:spPr>
        </c:majorGridlines>
        <c:numFmt formatCode="General" sourceLinked="0"/>
        <c:majorTickMark val="none"/>
        <c:minorTickMark val="none"/>
        <c:tickLblPos val="nextTo"/>
        <c:spPr>
          <a:ln w="0">
            <a:solidFill>
              <a:srgbClr val="B3B3B3"/>
            </a:solidFill>
          </a:ln>
        </c:spPr>
        <c:txPr>
          <a:bodyPr/>
          <a:lstStyle/>
          <a:p>
            <a:pPr>
              <a:defRPr sz="1000" b="0" strike="noStrike" spc="-1">
                <a:solidFill>
                  <a:srgbClr val="000000"/>
                </a:solidFill>
                <a:latin typeface="Calibri"/>
              </a:defRPr>
            </a:pPr>
            <a:endParaRPr lang="en-US"/>
          </a:p>
        </c:txPr>
        <c:crossAx val="5679054"/>
        <c:crosses val="autoZero"/>
        <c:crossBetween val="between"/>
      </c:valAx>
      <c:spPr>
        <a:noFill/>
        <a:ln w="0">
          <a:noFill/>
        </a:ln>
      </c:spPr>
    </c:plotArea>
    <c:plotVisOnly val="1"/>
    <c:dispBlanksAs val="gap"/>
    <c:showDLblsOverMax val="1"/>
  </c:chart>
  <c:spPr>
    <a:solidFill>
      <a:srgbClr val="FFFFFF"/>
    </a:solidFill>
    <a:ln w="9360">
      <a:solidFill>
        <a:srgbClr val="D9D9D9"/>
      </a:solidFill>
      <a:round/>
    </a:ln>
  </c:spPr>
  <c:printSettings>
    <c:headerFooter/>
    <c:pageMargins b="0.75" l="0.7" r="0.7" t="0.75" header="0.3" footer="0.3"/>
    <c:pageSetup/>
  </c:printSettings>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c:style val="2"/>
  <c:chart>
    <c:title>
      <c:tx>
        <c:rich>
          <a:bodyPr rot="0"/>
          <a:lstStyle/>
          <a:p>
            <a:pPr>
              <a:defRPr sz="1800" b="1" strike="noStrike" spc="-1">
                <a:solidFill>
                  <a:srgbClr val="000000"/>
                </a:solidFill>
                <a:latin typeface="Calibri"/>
              </a:defRPr>
            </a:pPr>
            <a:r>
              <a:rPr lang="en-US" sz="1800" b="1" strike="noStrike" spc="-1">
                <a:solidFill>
                  <a:srgbClr val="000000"/>
                </a:solidFill>
                <a:latin typeface="Calibri"/>
              </a:rPr>
              <a:t>Ghost Label Split (current filter)</a:t>
            </a:r>
          </a:p>
        </c:rich>
      </c:tx>
      <c:overlay val="0"/>
      <c:spPr>
        <a:noFill/>
        <a:ln w="0">
          <a:noFill/>
        </a:ln>
      </c:spPr>
    </c:title>
    <c:autoTitleDeleted val="0"/>
    <c:plotArea>
      <c:layout/>
      <c:pieChart>
        <c:varyColors val="1"/>
        <c:ser>
          <c:idx val="0"/>
          <c:order val="0"/>
          <c:tx>
            <c:strRef>
              <c:f>Company_Explorer!$G$14</c:f>
              <c:strCache>
                <c:ptCount val="1"/>
                <c:pt idx="0">
                  <c:v>Count</c:v>
                </c:pt>
              </c:strCache>
            </c:strRef>
          </c:tx>
          <c:spPr>
            <a:solidFill>
              <a:srgbClr val="4F81BD"/>
            </a:solidFill>
            <a:ln w="0">
              <a:noFill/>
            </a:ln>
          </c:spPr>
          <c:dPt>
            <c:idx val="0"/>
            <c:bubble3D val="0"/>
            <c:extLst>
              <c:ext xmlns:c16="http://schemas.microsoft.com/office/drawing/2014/chart" uri="{C3380CC4-5D6E-409C-BE32-E72D297353CC}">
                <c16:uniqueId val="{00000001-B61F-4903-B17B-5440174B750A}"/>
              </c:ext>
            </c:extLst>
          </c:dPt>
          <c:dPt>
            <c:idx val="1"/>
            <c:bubble3D val="0"/>
            <c:spPr>
              <a:solidFill>
                <a:srgbClr val="C0504D"/>
              </a:solidFill>
              <a:ln w="0">
                <a:noFill/>
              </a:ln>
            </c:spPr>
            <c:extLst>
              <c:ext xmlns:c16="http://schemas.microsoft.com/office/drawing/2014/chart" uri="{C3380CC4-5D6E-409C-BE32-E72D297353CC}">
                <c16:uniqueId val="{00000003-B61F-4903-B17B-5440174B750A}"/>
              </c:ext>
            </c:extLst>
          </c:dPt>
          <c:dPt>
            <c:idx val="2"/>
            <c:bubble3D val="0"/>
            <c:spPr>
              <a:solidFill>
                <a:srgbClr val="9BBB59"/>
              </a:solidFill>
              <a:ln w="0">
                <a:noFill/>
              </a:ln>
            </c:spPr>
            <c:extLst>
              <c:ext xmlns:c16="http://schemas.microsoft.com/office/drawing/2014/chart" uri="{C3380CC4-5D6E-409C-BE32-E72D297353CC}">
                <c16:uniqueId val="{00000005-B61F-4903-B17B-5440174B750A}"/>
              </c:ext>
            </c:extLst>
          </c:dPt>
          <c:dLbls>
            <c:dLbl>
              <c:idx val="0"/>
              <c:spPr/>
              <c:txPr>
                <a:bodyPr wrap="square"/>
                <a:lstStyle/>
                <a:p>
                  <a:pPr>
                    <a:defRPr sz="1000" b="0" strike="noStrike" spc="-1">
                      <a:solidFill>
                        <a:srgbClr val="000000"/>
                      </a:solidFill>
                      <a:latin typeface="Arial"/>
                    </a:defRPr>
                  </a:pPr>
                  <a:endParaRPr lang="en-US"/>
                </a:p>
              </c:txPr>
              <c:dLblPos val="bestFit"/>
              <c:showLegendKey val="0"/>
              <c:showVal val="0"/>
              <c:showCatName val="0"/>
              <c:showSerName val="0"/>
              <c:showPercent val="0"/>
              <c:showBubbleSize val="1"/>
              <c:extLst>
                <c:ext xmlns:c16="http://schemas.microsoft.com/office/drawing/2014/chart" uri="{C3380CC4-5D6E-409C-BE32-E72D297353CC}">
                  <c16:uniqueId val="{00000001-B61F-4903-B17B-5440174B750A}"/>
                </c:ext>
              </c:extLst>
            </c:dLbl>
            <c:dLbl>
              <c:idx val="1"/>
              <c:spPr/>
              <c:txPr>
                <a:bodyPr wrap="square"/>
                <a:lstStyle/>
                <a:p>
                  <a:pPr>
                    <a:defRPr sz="1000" b="0" strike="noStrike" spc="-1">
                      <a:solidFill>
                        <a:srgbClr val="000000"/>
                      </a:solidFill>
                      <a:latin typeface="Arial"/>
                    </a:defRPr>
                  </a:pPr>
                  <a:endParaRPr lang="en-US"/>
                </a:p>
              </c:txPr>
              <c:dLblPos val="bestFit"/>
              <c:showLegendKey val="0"/>
              <c:showVal val="0"/>
              <c:showCatName val="0"/>
              <c:showSerName val="0"/>
              <c:showPercent val="0"/>
              <c:showBubbleSize val="1"/>
              <c:extLst>
                <c:ext xmlns:c16="http://schemas.microsoft.com/office/drawing/2014/chart" uri="{C3380CC4-5D6E-409C-BE32-E72D297353CC}">
                  <c16:uniqueId val="{00000003-B61F-4903-B17B-5440174B750A}"/>
                </c:ext>
              </c:extLst>
            </c:dLbl>
            <c:dLbl>
              <c:idx val="2"/>
              <c:spPr/>
              <c:txPr>
                <a:bodyPr wrap="square"/>
                <a:lstStyle/>
                <a:p>
                  <a:pPr>
                    <a:defRPr sz="1000" b="0" strike="noStrike" spc="-1">
                      <a:solidFill>
                        <a:srgbClr val="000000"/>
                      </a:solidFill>
                      <a:latin typeface="Arial"/>
                    </a:defRPr>
                  </a:pPr>
                  <a:endParaRPr lang="en-US"/>
                </a:p>
              </c:txPr>
              <c:dLblPos val="bestFit"/>
              <c:showLegendKey val="0"/>
              <c:showVal val="0"/>
              <c:showCatName val="0"/>
              <c:showSerName val="0"/>
              <c:showPercent val="0"/>
              <c:showBubbleSize val="1"/>
              <c:extLst>
                <c:ext xmlns:c16="http://schemas.microsoft.com/office/drawing/2014/chart" uri="{C3380CC4-5D6E-409C-BE32-E72D297353CC}">
                  <c16:uniqueId val="{00000005-B61F-4903-B17B-5440174B750A}"/>
                </c:ext>
              </c:extLst>
            </c:dLbl>
            <c:spPr>
              <a:noFill/>
              <a:ln>
                <a:noFill/>
              </a:ln>
              <a:effectLst/>
            </c:spPr>
            <c:txPr>
              <a:bodyPr wrap="square"/>
              <a:lstStyle/>
              <a:p>
                <a:pPr>
                  <a:defRPr sz="1000" b="0" strike="noStrike" spc="-1">
                    <a:solidFill>
                      <a:srgbClr val="000000"/>
                    </a:solidFill>
                    <a:latin typeface="Arial"/>
                  </a:defRPr>
                </a:pPr>
                <a:endParaRPr lang="en-US"/>
              </a:p>
            </c:txPr>
            <c:dLblPos val="bestFit"/>
            <c:showLegendKey val="0"/>
            <c:showVal val="0"/>
            <c:showCatName val="0"/>
            <c:showSerName val="0"/>
            <c:showPercent val="0"/>
            <c:showBubbleSize val="1"/>
            <c:separator>; </c:separator>
            <c:showLeaderLines val="1"/>
            <c:extLst>
              <c:ext xmlns:c15="http://schemas.microsoft.com/office/drawing/2012/chart" uri="{CE6537A1-D6FC-4f65-9D91-7224C49458BB}"/>
            </c:extLst>
          </c:dLbls>
          <c:cat>
            <c:strRef>
              <c:f>Company_Explorer!$F$15:$F$17</c:f>
              <c:strCache>
                <c:ptCount val="3"/>
                <c:pt idx="0">
                  <c:v>Likely Ghost</c:v>
                </c:pt>
                <c:pt idx="1">
                  <c:v>Uncertain</c:v>
                </c:pt>
                <c:pt idx="2">
                  <c:v>Likely Genuine</c:v>
                </c:pt>
              </c:strCache>
            </c:strRef>
          </c:cat>
          <c:val>
            <c:numRef>
              <c:f>Company_Explorer!$G$15:$G$17</c:f>
              <c:numCache>
                <c:formatCode>General</c:formatCode>
                <c:ptCount val="3"/>
                <c:pt idx="0">
                  <c:v>0</c:v>
                </c:pt>
                <c:pt idx="1">
                  <c:v>18</c:v>
                </c:pt>
                <c:pt idx="2">
                  <c:v>6</c:v>
                </c:pt>
              </c:numCache>
            </c:numRef>
          </c:val>
          <c:extLst>
            <c:ext xmlns:c16="http://schemas.microsoft.com/office/drawing/2014/chart" uri="{C3380CC4-5D6E-409C-BE32-E72D297353CC}">
              <c16:uniqueId val="{00000006-B61F-4903-B17B-5440174B750A}"/>
            </c:ext>
          </c:extLst>
        </c:ser>
        <c:dLbls>
          <c:showLegendKey val="0"/>
          <c:showVal val="0"/>
          <c:showCatName val="0"/>
          <c:showSerName val="0"/>
          <c:showPercent val="0"/>
          <c:showBubbleSize val="0"/>
          <c:showLeaderLines val="1"/>
        </c:dLbls>
        <c:firstSliceAng val="0"/>
      </c:pieChart>
      <c:spPr>
        <a:noFill/>
        <a:ln w="0">
          <a:noFill/>
        </a:ln>
      </c:spPr>
    </c:plotArea>
    <c:legend>
      <c:legendPos val="r"/>
      <c:overlay val="0"/>
      <c:spPr>
        <a:noFill/>
        <a:ln w="0">
          <a:noFill/>
        </a:ln>
      </c:spPr>
      <c:txPr>
        <a:bodyPr/>
        <a:lstStyle/>
        <a:p>
          <a:pPr>
            <a:defRPr sz="1000" b="0" strike="noStrike" spc="-1">
              <a:solidFill>
                <a:srgbClr val="000000"/>
              </a:solidFill>
              <a:latin typeface="Calibri"/>
            </a:defRPr>
          </a:pPr>
          <a:endParaRPr lang="en-US"/>
        </a:p>
      </c:txPr>
    </c:legend>
    <c:plotVisOnly val="1"/>
    <c:dispBlanksAs val="gap"/>
    <c:showDLblsOverMax val="1"/>
  </c:chart>
  <c:spPr>
    <a:solidFill>
      <a:srgbClr val="FFFFFF"/>
    </a:solidFill>
    <a:ln w="9360">
      <a:solidFill>
        <a:srgbClr val="D9D9D9"/>
      </a:solidFill>
      <a:round/>
    </a:ln>
  </c:spPr>
  <c:printSettings>
    <c:headerFooter/>
    <c:pageMargins b="0.75" l="0.7" r="0.7" t="0.75" header="0.3" footer="0.3"/>
    <c:pageSetup/>
  </c:printSettings>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c:style val="2"/>
  <c:chart>
    <c:title>
      <c:tx>
        <c:rich>
          <a:bodyPr rot="0"/>
          <a:lstStyle/>
          <a:p>
            <a:pPr>
              <a:defRPr sz="1800" b="1" strike="noStrike" spc="-1">
                <a:solidFill>
                  <a:srgbClr val="000000"/>
                </a:solidFill>
                <a:latin typeface="Calibri"/>
              </a:defRPr>
            </a:pPr>
            <a:r>
              <a:rPr lang="en-US" sz="1800" b="1" strike="noStrike" spc="-1">
                <a:solidFill>
                  <a:srgbClr val="000000"/>
                </a:solidFill>
                <a:latin typeface="Calibri"/>
              </a:rPr>
              <a:t>Role Distribution by Platform</a:t>
            </a:r>
          </a:p>
        </c:rich>
      </c:tx>
      <c:overlay val="0"/>
      <c:spPr>
        <a:noFill/>
        <a:ln w="0">
          <a:noFill/>
        </a:ln>
      </c:spPr>
    </c:title>
    <c:autoTitleDeleted val="0"/>
    <c:plotArea>
      <c:layout/>
      <c:barChart>
        <c:barDir val="col"/>
        <c:grouping val="clustered"/>
        <c:varyColors val="0"/>
        <c:ser>
          <c:idx val="0"/>
          <c:order val="0"/>
          <c:tx>
            <c:strRef>
              <c:f>Platform_Breakdown!$B$5</c:f>
              <c:strCache>
                <c:ptCount val="1"/>
                <c:pt idx="0">
                  <c:v>LinkedIn</c:v>
                </c:pt>
              </c:strCache>
            </c:strRef>
          </c:tx>
          <c:spPr>
            <a:solidFill>
              <a:srgbClr val="1F6F6B"/>
            </a:solidFill>
            <a:ln w="0">
              <a:noFill/>
            </a:ln>
          </c:spPr>
          <c:invertIfNegative val="0"/>
          <c:dLbls>
            <c:spPr>
              <a:noFill/>
              <a:ln>
                <a:noFill/>
              </a:ln>
              <a:effectLst/>
            </c:spPr>
            <c:txPr>
              <a:bodyPr wrap="square"/>
              <a:lstStyle/>
              <a:p>
                <a:pPr>
                  <a:defRPr sz="1000" b="0" strike="noStrike" spc="-1">
                    <a:solidFill>
                      <a:srgbClr val="000000"/>
                    </a:solidFill>
                    <a:latin typeface="Arial"/>
                  </a:defRPr>
                </a:pPr>
                <a:endParaRPr lang="en-US"/>
              </a:p>
            </c:txPr>
            <c:dLblPos val="outEnd"/>
            <c:showLegendKey val="0"/>
            <c:showVal val="0"/>
            <c:showCatName val="0"/>
            <c:showSerName val="0"/>
            <c:showPercent val="0"/>
            <c:showBubbleSize val="1"/>
            <c:separator>; </c:separator>
            <c:showLeaderLines val="0"/>
            <c:extLst>
              <c:ext xmlns:c15="http://schemas.microsoft.com/office/drawing/2012/chart" uri="{CE6537A1-D6FC-4f65-9D91-7224C49458BB}">
                <c15:showLeaderLines val="1"/>
              </c:ext>
            </c:extLst>
          </c:dLbls>
          <c:cat>
            <c:strRef>
              <c:f>Platform_Breakdown!$A$6:$A$17</c:f>
              <c:strCache>
                <c:ptCount val="12"/>
                <c:pt idx="0">
                  <c:v>Software Engineer</c:v>
                </c:pt>
                <c:pt idx="1">
                  <c:v>Other</c:v>
                </c:pt>
                <c:pt idx="2">
                  <c:v>Data Analyst</c:v>
                </c:pt>
                <c:pt idx="3">
                  <c:v>ML Engineer</c:v>
                </c:pt>
                <c:pt idx="4">
                  <c:v>Frontend Engineer</c:v>
                </c:pt>
                <c:pt idx="5">
                  <c:v>Full Stack Engineer</c:v>
                </c:pt>
                <c:pt idx="6">
                  <c:v>Backend Engineer</c:v>
                </c:pt>
                <c:pt idx="7">
                  <c:v>Data Scientist</c:v>
                </c:pt>
                <c:pt idx="8">
                  <c:v>Data Engineer</c:v>
                </c:pt>
                <c:pt idx="9">
                  <c:v>DevOps Engineer</c:v>
                </c:pt>
                <c:pt idx="10">
                  <c:v>QA/Test Engineer</c:v>
                </c:pt>
                <c:pt idx="11">
                  <c:v>Product Manager</c:v>
                </c:pt>
              </c:strCache>
            </c:strRef>
          </c:cat>
          <c:val>
            <c:numRef>
              <c:f>Platform_Breakdown!$B$6:$B$17</c:f>
              <c:numCache>
                <c:formatCode>#,##0</c:formatCode>
                <c:ptCount val="12"/>
                <c:pt idx="0">
                  <c:v>701</c:v>
                </c:pt>
                <c:pt idx="1">
                  <c:v>63</c:v>
                </c:pt>
                <c:pt idx="2">
                  <c:v>0</c:v>
                </c:pt>
                <c:pt idx="3">
                  <c:v>1</c:v>
                </c:pt>
                <c:pt idx="4">
                  <c:v>30</c:v>
                </c:pt>
                <c:pt idx="5">
                  <c:v>79</c:v>
                </c:pt>
                <c:pt idx="6">
                  <c:v>121</c:v>
                </c:pt>
                <c:pt idx="7">
                  <c:v>0</c:v>
                </c:pt>
                <c:pt idx="8">
                  <c:v>0</c:v>
                </c:pt>
                <c:pt idx="9">
                  <c:v>0</c:v>
                </c:pt>
                <c:pt idx="10">
                  <c:v>5</c:v>
                </c:pt>
                <c:pt idx="11">
                  <c:v>0</c:v>
                </c:pt>
              </c:numCache>
            </c:numRef>
          </c:val>
          <c:extLst>
            <c:ext xmlns:c16="http://schemas.microsoft.com/office/drawing/2014/chart" uri="{C3380CC4-5D6E-409C-BE32-E72D297353CC}">
              <c16:uniqueId val="{00000000-9718-4DB1-A14F-B66D4EFF4C14}"/>
            </c:ext>
          </c:extLst>
        </c:ser>
        <c:ser>
          <c:idx val="1"/>
          <c:order val="1"/>
          <c:tx>
            <c:strRef>
              <c:f>Platform_Breakdown!$C$5</c:f>
              <c:strCache>
                <c:ptCount val="1"/>
                <c:pt idx="0">
                  <c:v>Indeed</c:v>
                </c:pt>
              </c:strCache>
            </c:strRef>
          </c:tx>
          <c:spPr>
            <a:solidFill>
              <a:srgbClr val="E8A33D"/>
            </a:solidFill>
            <a:ln w="0">
              <a:noFill/>
            </a:ln>
          </c:spPr>
          <c:invertIfNegative val="0"/>
          <c:dLbls>
            <c:spPr>
              <a:noFill/>
              <a:ln>
                <a:noFill/>
              </a:ln>
              <a:effectLst/>
            </c:spPr>
            <c:txPr>
              <a:bodyPr wrap="square"/>
              <a:lstStyle/>
              <a:p>
                <a:pPr>
                  <a:defRPr sz="1000" b="0" strike="noStrike" spc="-1">
                    <a:solidFill>
                      <a:srgbClr val="000000"/>
                    </a:solidFill>
                    <a:latin typeface="Arial"/>
                  </a:defRPr>
                </a:pPr>
                <a:endParaRPr lang="en-US"/>
              </a:p>
            </c:txPr>
            <c:dLblPos val="outEnd"/>
            <c:showLegendKey val="0"/>
            <c:showVal val="0"/>
            <c:showCatName val="0"/>
            <c:showSerName val="0"/>
            <c:showPercent val="0"/>
            <c:showBubbleSize val="1"/>
            <c:separator>; </c:separator>
            <c:showLeaderLines val="0"/>
            <c:extLst>
              <c:ext xmlns:c15="http://schemas.microsoft.com/office/drawing/2012/chart" uri="{CE6537A1-D6FC-4f65-9D91-7224C49458BB}">
                <c15:showLeaderLines val="1"/>
              </c:ext>
            </c:extLst>
          </c:dLbls>
          <c:cat>
            <c:strRef>
              <c:f>Platform_Breakdown!$A$6:$A$17</c:f>
              <c:strCache>
                <c:ptCount val="12"/>
                <c:pt idx="0">
                  <c:v>Software Engineer</c:v>
                </c:pt>
                <c:pt idx="1">
                  <c:v>Other</c:v>
                </c:pt>
                <c:pt idx="2">
                  <c:v>Data Analyst</c:v>
                </c:pt>
                <c:pt idx="3">
                  <c:v>ML Engineer</c:v>
                </c:pt>
                <c:pt idx="4">
                  <c:v>Frontend Engineer</c:v>
                </c:pt>
                <c:pt idx="5">
                  <c:v>Full Stack Engineer</c:v>
                </c:pt>
                <c:pt idx="6">
                  <c:v>Backend Engineer</c:v>
                </c:pt>
                <c:pt idx="7">
                  <c:v>Data Scientist</c:v>
                </c:pt>
                <c:pt idx="8">
                  <c:v>Data Engineer</c:v>
                </c:pt>
                <c:pt idx="9">
                  <c:v>DevOps Engineer</c:v>
                </c:pt>
                <c:pt idx="10">
                  <c:v>QA/Test Engineer</c:v>
                </c:pt>
                <c:pt idx="11">
                  <c:v>Product Manager</c:v>
                </c:pt>
              </c:strCache>
            </c:strRef>
          </c:cat>
          <c:val>
            <c:numRef>
              <c:f>Platform_Breakdown!$C$6:$C$17</c:f>
              <c:numCache>
                <c:formatCode>#,##0</c:formatCode>
                <c:ptCount val="12"/>
                <c:pt idx="0">
                  <c:v>288</c:v>
                </c:pt>
                <c:pt idx="1">
                  <c:v>466</c:v>
                </c:pt>
                <c:pt idx="2">
                  <c:v>93</c:v>
                </c:pt>
                <c:pt idx="3">
                  <c:v>14</c:v>
                </c:pt>
                <c:pt idx="4">
                  <c:v>5</c:v>
                </c:pt>
                <c:pt idx="5">
                  <c:v>56</c:v>
                </c:pt>
                <c:pt idx="6">
                  <c:v>16</c:v>
                </c:pt>
                <c:pt idx="7">
                  <c:v>9</c:v>
                </c:pt>
                <c:pt idx="8">
                  <c:v>14</c:v>
                </c:pt>
                <c:pt idx="9">
                  <c:v>24</c:v>
                </c:pt>
                <c:pt idx="10">
                  <c:v>9</c:v>
                </c:pt>
                <c:pt idx="11">
                  <c:v>6</c:v>
                </c:pt>
              </c:numCache>
            </c:numRef>
          </c:val>
          <c:extLst>
            <c:ext xmlns:c16="http://schemas.microsoft.com/office/drawing/2014/chart" uri="{C3380CC4-5D6E-409C-BE32-E72D297353CC}">
              <c16:uniqueId val="{00000001-9718-4DB1-A14F-B66D4EFF4C14}"/>
            </c:ext>
          </c:extLst>
        </c:ser>
        <c:ser>
          <c:idx val="2"/>
          <c:order val="2"/>
          <c:tx>
            <c:strRef>
              <c:f>Platform_Breakdown!$D$5</c:f>
              <c:strCache>
                <c:ptCount val="1"/>
                <c:pt idx="0">
                  <c:v>Glassdoor</c:v>
                </c:pt>
              </c:strCache>
            </c:strRef>
          </c:tx>
          <c:spPr>
            <a:solidFill>
              <a:srgbClr val="C0524B"/>
            </a:solidFill>
            <a:ln w="0">
              <a:noFill/>
            </a:ln>
          </c:spPr>
          <c:invertIfNegative val="0"/>
          <c:dLbls>
            <c:spPr>
              <a:noFill/>
              <a:ln>
                <a:noFill/>
              </a:ln>
              <a:effectLst/>
            </c:spPr>
            <c:txPr>
              <a:bodyPr wrap="square"/>
              <a:lstStyle/>
              <a:p>
                <a:pPr>
                  <a:defRPr sz="1000" b="0" strike="noStrike" spc="-1">
                    <a:solidFill>
                      <a:srgbClr val="000000"/>
                    </a:solidFill>
                    <a:latin typeface="Arial"/>
                  </a:defRPr>
                </a:pPr>
                <a:endParaRPr lang="en-US"/>
              </a:p>
            </c:txPr>
            <c:dLblPos val="outEnd"/>
            <c:showLegendKey val="0"/>
            <c:showVal val="0"/>
            <c:showCatName val="0"/>
            <c:showSerName val="0"/>
            <c:showPercent val="0"/>
            <c:showBubbleSize val="1"/>
            <c:separator>; </c:separator>
            <c:showLeaderLines val="0"/>
            <c:extLst>
              <c:ext xmlns:c15="http://schemas.microsoft.com/office/drawing/2012/chart" uri="{CE6537A1-D6FC-4f65-9D91-7224C49458BB}">
                <c15:showLeaderLines val="1"/>
              </c:ext>
            </c:extLst>
          </c:dLbls>
          <c:cat>
            <c:strRef>
              <c:f>Platform_Breakdown!$A$6:$A$17</c:f>
              <c:strCache>
                <c:ptCount val="12"/>
                <c:pt idx="0">
                  <c:v>Software Engineer</c:v>
                </c:pt>
                <c:pt idx="1">
                  <c:v>Other</c:v>
                </c:pt>
                <c:pt idx="2">
                  <c:v>Data Analyst</c:v>
                </c:pt>
                <c:pt idx="3">
                  <c:v>ML Engineer</c:v>
                </c:pt>
                <c:pt idx="4">
                  <c:v>Frontend Engineer</c:v>
                </c:pt>
                <c:pt idx="5">
                  <c:v>Full Stack Engineer</c:v>
                </c:pt>
                <c:pt idx="6">
                  <c:v>Backend Engineer</c:v>
                </c:pt>
                <c:pt idx="7">
                  <c:v>Data Scientist</c:v>
                </c:pt>
                <c:pt idx="8">
                  <c:v>Data Engineer</c:v>
                </c:pt>
                <c:pt idx="9">
                  <c:v>DevOps Engineer</c:v>
                </c:pt>
                <c:pt idx="10">
                  <c:v>QA/Test Engineer</c:v>
                </c:pt>
                <c:pt idx="11">
                  <c:v>Product Manager</c:v>
                </c:pt>
              </c:strCache>
            </c:strRef>
          </c:cat>
          <c:val>
            <c:numRef>
              <c:f>Platform_Breakdown!$D$6:$D$17</c:f>
              <c:numCache>
                <c:formatCode>#,##0</c:formatCode>
                <c:ptCount val="12"/>
                <c:pt idx="0">
                  <c:v>209</c:v>
                </c:pt>
                <c:pt idx="1">
                  <c:v>227</c:v>
                </c:pt>
                <c:pt idx="2">
                  <c:v>178</c:v>
                </c:pt>
                <c:pt idx="3">
                  <c:v>189</c:v>
                </c:pt>
                <c:pt idx="4">
                  <c:v>119</c:v>
                </c:pt>
                <c:pt idx="5">
                  <c:v>14</c:v>
                </c:pt>
                <c:pt idx="6">
                  <c:v>6</c:v>
                </c:pt>
                <c:pt idx="7">
                  <c:v>36</c:v>
                </c:pt>
                <c:pt idx="8">
                  <c:v>22</c:v>
                </c:pt>
                <c:pt idx="9">
                  <c:v>0</c:v>
                </c:pt>
                <c:pt idx="10">
                  <c:v>0</c:v>
                </c:pt>
                <c:pt idx="11">
                  <c:v>0</c:v>
                </c:pt>
              </c:numCache>
            </c:numRef>
          </c:val>
          <c:extLst>
            <c:ext xmlns:c16="http://schemas.microsoft.com/office/drawing/2014/chart" uri="{C3380CC4-5D6E-409C-BE32-E72D297353CC}">
              <c16:uniqueId val="{00000002-9718-4DB1-A14F-B66D4EFF4C14}"/>
            </c:ext>
          </c:extLst>
        </c:ser>
        <c:dLbls>
          <c:showLegendKey val="0"/>
          <c:showVal val="0"/>
          <c:showCatName val="0"/>
          <c:showSerName val="0"/>
          <c:showPercent val="0"/>
          <c:showBubbleSize val="0"/>
        </c:dLbls>
        <c:gapWidth val="150"/>
        <c:axId val="25124776"/>
        <c:axId val="17528148"/>
      </c:barChart>
      <c:catAx>
        <c:axId val="25124776"/>
        <c:scaling>
          <c:orientation val="minMax"/>
        </c:scaling>
        <c:delete val="0"/>
        <c:axPos val="b"/>
        <c:numFmt formatCode="General" sourceLinked="0"/>
        <c:majorTickMark val="none"/>
        <c:minorTickMark val="none"/>
        <c:tickLblPos val="nextTo"/>
        <c:spPr>
          <a:ln w="9360">
            <a:solidFill>
              <a:srgbClr val="878787"/>
            </a:solidFill>
            <a:round/>
          </a:ln>
        </c:spPr>
        <c:txPr>
          <a:bodyPr/>
          <a:lstStyle/>
          <a:p>
            <a:pPr>
              <a:defRPr sz="1000" b="0" strike="noStrike" spc="-1">
                <a:solidFill>
                  <a:srgbClr val="000000"/>
                </a:solidFill>
                <a:latin typeface="Calibri"/>
              </a:defRPr>
            </a:pPr>
            <a:endParaRPr lang="en-US"/>
          </a:p>
        </c:txPr>
        <c:crossAx val="17528148"/>
        <c:crosses val="autoZero"/>
        <c:auto val="1"/>
        <c:lblAlgn val="ctr"/>
        <c:lblOffset val="100"/>
        <c:noMultiLvlLbl val="0"/>
      </c:catAx>
      <c:valAx>
        <c:axId val="17528148"/>
        <c:scaling>
          <c:orientation val="minMax"/>
        </c:scaling>
        <c:delete val="0"/>
        <c:axPos val="l"/>
        <c:majorGridlines>
          <c:spPr>
            <a:ln w="9360">
              <a:solidFill>
                <a:srgbClr val="878787"/>
              </a:solidFill>
              <a:round/>
            </a:ln>
          </c:spPr>
        </c:majorGridlines>
        <c:title>
          <c:tx>
            <c:rich>
              <a:bodyPr rot="-5400000"/>
              <a:lstStyle/>
              <a:p>
                <a:pPr>
                  <a:defRPr sz="1000" b="1" strike="noStrike" spc="-1">
                    <a:solidFill>
                      <a:srgbClr val="000000"/>
                    </a:solidFill>
                    <a:latin typeface="Calibri"/>
                  </a:defRPr>
                </a:pPr>
                <a:r>
                  <a:rPr lang="en-US" sz="1000" b="1" strike="noStrike" spc="-1">
                    <a:solidFill>
                      <a:srgbClr val="000000"/>
                    </a:solidFill>
                    <a:latin typeface="Calibri"/>
                  </a:rPr>
                  <a:t>Listings</a:t>
                </a:r>
              </a:p>
            </c:rich>
          </c:tx>
          <c:overlay val="0"/>
          <c:spPr>
            <a:noFill/>
            <a:ln w="0">
              <a:noFill/>
            </a:ln>
          </c:spPr>
        </c:title>
        <c:numFmt formatCode="#,##0" sourceLinked="0"/>
        <c:majorTickMark val="none"/>
        <c:minorTickMark val="none"/>
        <c:tickLblPos val="nextTo"/>
        <c:spPr>
          <a:ln w="9360">
            <a:solidFill>
              <a:srgbClr val="878787"/>
            </a:solidFill>
            <a:round/>
          </a:ln>
        </c:spPr>
        <c:txPr>
          <a:bodyPr/>
          <a:lstStyle/>
          <a:p>
            <a:pPr>
              <a:defRPr sz="1000" b="0" strike="noStrike" spc="-1">
                <a:solidFill>
                  <a:srgbClr val="000000"/>
                </a:solidFill>
                <a:latin typeface="Calibri"/>
              </a:defRPr>
            </a:pPr>
            <a:endParaRPr lang="en-US"/>
          </a:p>
        </c:txPr>
        <c:crossAx val="25124776"/>
        <c:crosses val="autoZero"/>
        <c:crossBetween val="between"/>
      </c:valAx>
      <c:spPr>
        <a:noFill/>
        <a:ln w="0">
          <a:noFill/>
        </a:ln>
      </c:spPr>
    </c:plotArea>
    <c:legend>
      <c:legendPos val="r"/>
      <c:overlay val="0"/>
      <c:spPr>
        <a:noFill/>
        <a:ln w="0">
          <a:noFill/>
        </a:ln>
      </c:spPr>
      <c:txPr>
        <a:bodyPr/>
        <a:lstStyle/>
        <a:p>
          <a:pPr>
            <a:defRPr sz="1000" b="0" strike="noStrike" spc="-1">
              <a:solidFill>
                <a:srgbClr val="000000"/>
              </a:solidFill>
              <a:latin typeface="Calibri"/>
            </a:defRPr>
          </a:pPr>
          <a:endParaRPr lang="en-US"/>
        </a:p>
      </c:txPr>
    </c:legend>
    <c:plotVisOnly val="1"/>
    <c:dispBlanksAs val="gap"/>
    <c:showDLblsOverMax val="1"/>
  </c:chart>
  <c:spPr>
    <a:solidFill>
      <a:srgbClr val="FFFFFF"/>
    </a:solidFill>
    <a:ln w="9360">
      <a:solidFill>
        <a:srgbClr val="D9D9D9"/>
      </a:solidFill>
      <a:round/>
    </a:ln>
  </c:spPr>
  <c:printSettings>
    <c:headerFooter/>
    <c:pageMargins b="0.75" l="0.7" r="0.7" t="0.75" header="0.3" footer="0.3"/>
    <c:pageSetup/>
  </c:printSettings>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c:style val="2"/>
  <c:chart>
    <c:title>
      <c:tx>
        <c:rich>
          <a:bodyPr rot="0"/>
          <a:lstStyle/>
          <a:p>
            <a:pPr>
              <a:defRPr sz="1800" b="1" strike="noStrike" spc="-1">
                <a:solidFill>
                  <a:srgbClr val="000000"/>
                </a:solidFill>
                <a:latin typeface="Calibri"/>
              </a:defRPr>
            </a:pPr>
            <a:r>
              <a:rPr lang="en-US" sz="1800" b="1" strike="noStrike" spc="-1">
                <a:solidFill>
                  <a:srgbClr val="000000"/>
                </a:solidFill>
                <a:latin typeface="Calibri"/>
              </a:rPr>
              <a:t>Avg Annual Salary (INR est., LinkedIn excluded — see ReadMe)</a:t>
            </a:r>
          </a:p>
        </c:rich>
      </c:tx>
      <c:overlay val="0"/>
      <c:spPr>
        <a:noFill/>
        <a:ln w="0">
          <a:noFill/>
        </a:ln>
      </c:spPr>
    </c:title>
    <c:autoTitleDeleted val="0"/>
    <c:plotArea>
      <c:layout/>
      <c:barChart>
        <c:barDir val="col"/>
        <c:grouping val="clustered"/>
        <c:varyColors val="0"/>
        <c:ser>
          <c:idx val="0"/>
          <c:order val="0"/>
          <c:tx>
            <c:strRef>
              <c:f>Platform_Breakdown!$H$5</c:f>
              <c:strCache>
                <c:ptCount val="1"/>
                <c:pt idx="0">
                  <c:v>Avg Annual Salary (INR est.)</c:v>
                </c:pt>
              </c:strCache>
            </c:strRef>
          </c:tx>
          <c:spPr>
            <a:solidFill>
              <a:srgbClr val="E8A33D"/>
            </a:solidFill>
            <a:ln w="0">
              <a:noFill/>
            </a:ln>
          </c:spPr>
          <c:invertIfNegative val="0"/>
          <c:dLbls>
            <c:spPr>
              <a:noFill/>
              <a:ln>
                <a:noFill/>
              </a:ln>
              <a:effectLst/>
            </c:spPr>
            <c:txPr>
              <a:bodyPr wrap="square"/>
              <a:lstStyle/>
              <a:p>
                <a:pPr>
                  <a:defRPr sz="1000" b="0" strike="noStrike" spc="-1">
                    <a:solidFill>
                      <a:srgbClr val="000000"/>
                    </a:solidFill>
                    <a:latin typeface="Arial"/>
                  </a:defRPr>
                </a:pPr>
                <a:endParaRPr lang="en-US"/>
              </a:p>
            </c:txPr>
            <c:dLblPos val="outEnd"/>
            <c:showLegendKey val="0"/>
            <c:showVal val="0"/>
            <c:showCatName val="0"/>
            <c:showSerName val="0"/>
            <c:showPercent val="0"/>
            <c:showBubbleSize val="1"/>
            <c:separator>; </c:separator>
            <c:showLeaderLines val="0"/>
            <c:extLst>
              <c:ext xmlns:c15="http://schemas.microsoft.com/office/drawing/2012/chart" uri="{CE6537A1-D6FC-4f65-9D91-7224C49458BB}">
                <c15:showLeaderLines val="1"/>
              </c:ext>
            </c:extLst>
          </c:dLbls>
          <c:cat>
            <c:strRef>
              <c:f>Platform_Breakdown!$G$6:$G$8</c:f>
              <c:strCache>
                <c:ptCount val="3"/>
                <c:pt idx="0">
                  <c:v>LinkedIn</c:v>
                </c:pt>
                <c:pt idx="1">
                  <c:v>Indeed</c:v>
                </c:pt>
                <c:pt idx="2">
                  <c:v>Glassdoor</c:v>
                </c:pt>
              </c:strCache>
            </c:strRef>
          </c:cat>
          <c:val>
            <c:numRef>
              <c:f>Platform_Breakdown!$H$6:$H$8</c:f>
              <c:numCache>
                <c:formatCode>#,##0</c:formatCode>
                <c:ptCount val="3"/>
                <c:pt idx="0">
                  <c:v>0</c:v>
                </c:pt>
                <c:pt idx="1">
                  <c:v>712321.27702702698</c:v>
                </c:pt>
                <c:pt idx="2">
                  <c:v>608706.69401330373</c:v>
                </c:pt>
              </c:numCache>
            </c:numRef>
          </c:val>
          <c:extLst>
            <c:ext xmlns:c16="http://schemas.microsoft.com/office/drawing/2014/chart" uri="{C3380CC4-5D6E-409C-BE32-E72D297353CC}">
              <c16:uniqueId val="{00000000-78AC-4995-A46B-D0FF5523DD3F}"/>
            </c:ext>
          </c:extLst>
        </c:ser>
        <c:dLbls>
          <c:showLegendKey val="0"/>
          <c:showVal val="0"/>
          <c:showCatName val="0"/>
          <c:showSerName val="0"/>
          <c:showPercent val="0"/>
          <c:showBubbleSize val="0"/>
        </c:dLbls>
        <c:gapWidth val="150"/>
        <c:axId val="15887589"/>
        <c:axId val="62646342"/>
      </c:barChart>
      <c:catAx>
        <c:axId val="15887589"/>
        <c:scaling>
          <c:orientation val="minMax"/>
        </c:scaling>
        <c:delete val="0"/>
        <c:axPos val="b"/>
        <c:numFmt formatCode="General" sourceLinked="0"/>
        <c:majorTickMark val="none"/>
        <c:minorTickMark val="none"/>
        <c:tickLblPos val="nextTo"/>
        <c:spPr>
          <a:ln w="9360">
            <a:solidFill>
              <a:srgbClr val="878787"/>
            </a:solidFill>
            <a:round/>
          </a:ln>
        </c:spPr>
        <c:txPr>
          <a:bodyPr/>
          <a:lstStyle/>
          <a:p>
            <a:pPr>
              <a:defRPr sz="1000" b="0" strike="noStrike" spc="-1">
                <a:solidFill>
                  <a:srgbClr val="000000"/>
                </a:solidFill>
                <a:latin typeface="Calibri"/>
              </a:defRPr>
            </a:pPr>
            <a:endParaRPr lang="en-US"/>
          </a:p>
        </c:txPr>
        <c:crossAx val="62646342"/>
        <c:crosses val="autoZero"/>
        <c:auto val="1"/>
        <c:lblAlgn val="ctr"/>
        <c:lblOffset val="100"/>
        <c:noMultiLvlLbl val="0"/>
      </c:catAx>
      <c:valAx>
        <c:axId val="62646342"/>
        <c:scaling>
          <c:orientation val="minMax"/>
        </c:scaling>
        <c:delete val="0"/>
        <c:axPos val="l"/>
        <c:majorGridlines>
          <c:spPr>
            <a:ln w="9360">
              <a:solidFill>
                <a:srgbClr val="878787"/>
              </a:solidFill>
              <a:round/>
            </a:ln>
          </c:spPr>
        </c:majorGridlines>
        <c:title>
          <c:tx>
            <c:rich>
              <a:bodyPr rot="-5400000"/>
              <a:lstStyle/>
              <a:p>
                <a:pPr>
                  <a:defRPr sz="1000" b="1" strike="noStrike" spc="-1">
                    <a:solidFill>
                      <a:srgbClr val="000000"/>
                    </a:solidFill>
                    <a:latin typeface="Calibri"/>
                  </a:defRPr>
                </a:pPr>
                <a:r>
                  <a:rPr lang="en-US" sz="1000" b="1" strike="noStrike" spc="-1">
                    <a:solidFill>
                      <a:srgbClr val="000000"/>
                    </a:solidFill>
                    <a:latin typeface="Calibri"/>
                  </a:rPr>
                  <a:t>INR / year</a:t>
                </a:r>
              </a:p>
            </c:rich>
          </c:tx>
          <c:overlay val="0"/>
          <c:spPr>
            <a:noFill/>
            <a:ln w="0">
              <a:noFill/>
            </a:ln>
          </c:spPr>
        </c:title>
        <c:numFmt formatCode="#,##0" sourceLinked="0"/>
        <c:majorTickMark val="none"/>
        <c:minorTickMark val="none"/>
        <c:tickLblPos val="nextTo"/>
        <c:spPr>
          <a:ln w="9360">
            <a:solidFill>
              <a:srgbClr val="878787"/>
            </a:solidFill>
            <a:round/>
          </a:ln>
        </c:spPr>
        <c:txPr>
          <a:bodyPr/>
          <a:lstStyle/>
          <a:p>
            <a:pPr>
              <a:defRPr sz="1000" b="0" strike="noStrike" spc="-1">
                <a:solidFill>
                  <a:srgbClr val="000000"/>
                </a:solidFill>
                <a:latin typeface="Calibri"/>
              </a:defRPr>
            </a:pPr>
            <a:endParaRPr lang="en-US"/>
          </a:p>
        </c:txPr>
        <c:crossAx val="15887589"/>
        <c:crosses val="autoZero"/>
        <c:crossBetween val="between"/>
      </c:valAx>
      <c:spPr>
        <a:noFill/>
        <a:ln w="0">
          <a:noFill/>
        </a:ln>
      </c:spPr>
    </c:plotArea>
    <c:legend>
      <c:legendPos val="r"/>
      <c:overlay val="0"/>
      <c:spPr>
        <a:noFill/>
        <a:ln w="0">
          <a:noFill/>
        </a:ln>
      </c:spPr>
      <c:txPr>
        <a:bodyPr/>
        <a:lstStyle/>
        <a:p>
          <a:pPr>
            <a:defRPr sz="1000" b="0" strike="noStrike" spc="-1">
              <a:solidFill>
                <a:srgbClr val="000000"/>
              </a:solidFill>
              <a:latin typeface="Calibri"/>
            </a:defRPr>
          </a:pPr>
          <a:endParaRPr lang="en-US"/>
        </a:p>
      </c:txPr>
    </c:legend>
    <c:plotVisOnly val="1"/>
    <c:dispBlanksAs val="gap"/>
    <c:showDLblsOverMax val="1"/>
  </c:chart>
  <c:spPr>
    <a:solidFill>
      <a:srgbClr val="FFFFFF"/>
    </a:solidFill>
    <a:ln w="9360">
      <a:solidFill>
        <a:srgbClr val="D9D9D9"/>
      </a:solidFill>
      <a:round/>
    </a:ln>
  </c:spPr>
  <c:printSettings>
    <c:headerFooter/>
    <c:pageMargins b="0.75" l="0.7" r="0.7" t="0.75" header="0.3" footer="0.3"/>
    <c:pageSetup/>
  </c:printSettings>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c:style val="2"/>
  <c:chart>
    <c:title>
      <c:tx>
        <c:rich>
          <a:bodyPr rot="0"/>
          <a:lstStyle/>
          <a:p>
            <a:pPr>
              <a:defRPr sz="1800" b="1" strike="noStrike" spc="-1">
                <a:solidFill>
                  <a:srgbClr val="000000"/>
                </a:solidFill>
                <a:latin typeface="Calibri"/>
              </a:defRPr>
            </a:pPr>
            <a:r>
              <a:rPr sz="1800" b="1" strike="noStrike" spc="-1">
                <a:solidFill>
                  <a:srgbClr val="000000"/>
                </a:solidFill>
                <a:latin typeface="Calibri"/>
              </a:rPr>
              <a:t>Top 20 Companies by Posting Volume</a:t>
            </a:r>
          </a:p>
        </c:rich>
      </c:tx>
      <c:overlay val="0"/>
      <c:spPr>
        <a:noFill/>
        <a:ln w="0">
          <a:noFill/>
        </a:ln>
      </c:spPr>
    </c:title>
    <c:autoTitleDeleted val="0"/>
    <c:plotArea>
      <c:layout/>
      <c:barChart>
        <c:barDir val="bar"/>
        <c:grouping val="clustered"/>
        <c:varyColors val="0"/>
        <c:ser>
          <c:idx val="0"/>
          <c:order val="0"/>
          <c:tx>
            <c:strRef>
              <c:f>Top_Companies!$B$4</c:f>
              <c:strCache>
                <c:ptCount val="1"/>
                <c:pt idx="0">
                  <c:v>Total Postings</c:v>
                </c:pt>
              </c:strCache>
            </c:strRef>
          </c:tx>
          <c:spPr>
            <a:solidFill>
              <a:srgbClr val="1F6F6B"/>
            </a:solidFill>
            <a:ln w="0">
              <a:noFill/>
            </a:ln>
          </c:spPr>
          <c:invertIfNegative val="0"/>
          <c:dLbls>
            <c:spPr>
              <a:noFill/>
              <a:ln>
                <a:noFill/>
              </a:ln>
              <a:effectLst/>
            </c:spPr>
            <c:txPr>
              <a:bodyPr wrap="square"/>
              <a:lstStyle/>
              <a:p>
                <a:pPr>
                  <a:defRPr sz="1000" b="0" strike="noStrike" spc="-1">
                    <a:solidFill>
                      <a:srgbClr val="000000"/>
                    </a:solidFill>
                    <a:latin typeface="Arial"/>
                  </a:defRPr>
                </a:pPr>
                <a:endParaRPr lang="en-US"/>
              </a:p>
            </c:txPr>
            <c:dLblPos val="outEnd"/>
            <c:showLegendKey val="0"/>
            <c:showVal val="0"/>
            <c:showCatName val="0"/>
            <c:showSerName val="0"/>
            <c:showPercent val="0"/>
            <c:showBubbleSize val="1"/>
            <c:separator>; </c:separator>
            <c:showLeaderLines val="0"/>
            <c:extLst>
              <c:ext xmlns:c15="http://schemas.microsoft.com/office/drawing/2012/chart" uri="{CE6537A1-D6FC-4f65-9D91-7224C49458BB}">
                <c15:showLeaderLines val="1"/>
              </c:ext>
            </c:extLst>
          </c:dLbls>
          <c:cat>
            <c:strRef>
              <c:f>Top_Companies!$A$5:$A$24</c:f>
              <c:strCache>
                <c:ptCount val="20"/>
                <c:pt idx="0">
                  <c:v>Accenture in India</c:v>
                </c:pt>
                <c:pt idx="1">
                  <c:v>Wipro</c:v>
                </c:pt>
                <c:pt idx="2">
                  <c:v>Accenture</c:v>
                </c:pt>
                <c:pt idx="3">
                  <c:v>Capgemini</c:v>
                </c:pt>
                <c:pt idx="4">
                  <c:v>Calpion</c:v>
                </c:pt>
                <c:pt idx="5">
                  <c:v>Amazon.com</c:v>
                </c:pt>
                <c:pt idx="6">
                  <c:v>Infosys</c:v>
                </c:pt>
                <c:pt idx="7">
                  <c:v>U.S. Bank</c:v>
                </c:pt>
                <c:pt idx="8">
                  <c:v>Citi</c:v>
                </c:pt>
                <c:pt idx="9">
                  <c:v>Citigroup Inc.</c:v>
                </c:pt>
                <c:pt idx="10">
                  <c:v>Amazon.com, Inc.</c:v>
                </c:pt>
                <c:pt idx="11">
                  <c:v>Accenture Ltd</c:v>
                </c:pt>
                <c:pt idx="12">
                  <c:v>Deloitte</c:v>
                </c:pt>
                <c:pt idx="13">
                  <c:v>Optum, Inc.</c:v>
                </c:pt>
                <c:pt idx="14">
                  <c:v>Amazon</c:v>
                </c:pt>
                <c:pt idx="15">
                  <c:v>JPMorganChase</c:v>
                </c:pt>
                <c:pt idx="16">
                  <c:v>ExlService Holdings, Inc.</c:v>
                </c:pt>
                <c:pt idx="17">
                  <c:v>Persistent Systems</c:v>
                </c:pt>
                <c:pt idx="18">
                  <c:v>Cisco</c:v>
                </c:pt>
                <c:pt idx="19">
                  <c:v>Husky Injection Molding</c:v>
                </c:pt>
              </c:strCache>
            </c:strRef>
          </c:cat>
          <c:val>
            <c:numRef>
              <c:f>Top_Companies!$B$5:$B$24</c:f>
              <c:numCache>
                <c:formatCode>#,##0</c:formatCode>
                <c:ptCount val="20"/>
                <c:pt idx="0">
                  <c:v>429</c:v>
                </c:pt>
                <c:pt idx="1">
                  <c:v>81</c:v>
                </c:pt>
                <c:pt idx="2">
                  <c:v>64</c:v>
                </c:pt>
                <c:pt idx="3">
                  <c:v>50</c:v>
                </c:pt>
                <c:pt idx="4">
                  <c:v>42</c:v>
                </c:pt>
                <c:pt idx="5">
                  <c:v>33</c:v>
                </c:pt>
                <c:pt idx="6">
                  <c:v>24</c:v>
                </c:pt>
                <c:pt idx="7">
                  <c:v>18</c:v>
                </c:pt>
                <c:pt idx="8">
                  <c:v>18</c:v>
                </c:pt>
                <c:pt idx="9">
                  <c:v>18</c:v>
                </c:pt>
                <c:pt idx="10">
                  <c:v>17</c:v>
                </c:pt>
                <c:pt idx="11">
                  <c:v>17</c:v>
                </c:pt>
                <c:pt idx="12">
                  <c:v>16</c:v>
                </c:pt>
                <c:pt idx="13">
                  <c:v>16</c:v>
                </c:pt>
                <c:pt idx="14">
                  <c:v>16</c:v>
                </c:pt>
                <c:pt idx="15">
                  <c:v>15</c:v>
                </c:pt>
                <c:pt idx="16">
                  <c:v>15</c:v>
                </c:pt>
                <c:pt idx="17">
                  <c:v>15</c:v>
                </c:pt>
                <c:pt idx="18">
                  <c:v>14</c:v>
                </c:pt>
                <c:pt idx="19">
                  <c:v>14</c:v>
                </c:pt>
              </c:numCache>
            </c:numRef>
          </c:val>
          <c:extLst>
            <c:ext xmlns:c16="http://schemas.microsoft.com/office/drawing/2014/chart" uri="{C3380CC4-5D6E-409C-BE32-E72D297353CC}">
              <c16:uniqueId val="{00000000-F0E4-40CF-AF93-AA6BD91A07D7}"/>
            </c:ext>
          </c:extLst>
        </c:ser>
        <c:dLbls>
          <c:showLegendKey val="0"/>
          <c:showVal val="0"/>
          <c:showCatName val="0"/>
          <c:showSerName val="0"/>
          <c:showPercent val="0"/>
          <c:showBubbleSize val="0"/>
        </c:dLbls>
        <c:gapWidth val="150"/>
        <c:axId val="27790520"/>
        <c:axId val="84256270"/>
      </c:barChart>
      <c:catAx>
        <c:axId val="27790520"/>
        <c:scaling>
          <c:orientation val="minMax"/>
        </c:scaling>
        <c:delete val="0"/>
        <c:axPos val="l"/>
        <c:title>
          <c:tx>
            <c:rich>
              <a:bodyPr rot="-5400000"/>
              <a:lstStyle/>
              <a:p>
                <a:pPr>
                  <a:defRPr sz="1000" b="1" strike="noStrike" spc="-1">
                    <a:solidFill>
                      <a:srgbClr val="000000"/>
                    </a:solidFill>
                    <a:latin typeface="Calibri"/>
                  </a:defRPr>
                </a:pPr>
                <a:r>
                  <a:rPr sz="1000" b="1" strike="noStrike" spc="-1">
                    <a:solidFill>
                      <a:srgbClr val="000000"/>
                    </a:solidFill>
                    <a:latin typeface="Calibri"/>
                  </a:rPr>
                  <a:t>Total Postings</a:t>
                </a:r>
              </a:p>
            </c:rich>
          </c:tx>
          <c:overlay val="0"/>
          <c:spPr>
            <a:noFill/>
            <a:ln w="0">
              <a:noFill/>
            </a:ln>
          </c:spPr>
        </c:title>
        <c:numFmt formatCode="General" sourceLinked="0"/>
        <c:majorTickMark val="none"/>
        <c:minorTickMark val="none"/>
        <c:tickLblPos val="nextTo"/>
        <c:spPr>
          <a:ln w="9360">
            <a:solidFill>
              <a:srgbClr val="878787"/>
            </a:solidFill>
            <a:round/>
          </a:ln>
        </c:spPr>
        <c:txPr>
          <a:bodyPr/>
          <a:lstStyle/>
          <a:p>
            <a:pPr>
              <a:defRPr sz="1000" b="0" strike="noStrike" spc="-1">
                <a:solidFill>
                  <a:srgbClr val="000000"/>
                </a:solidFill>
                <a:latin typeface="Calibri"/>
              </a:defRPr>
            </a:pPr>
            <a:endParaRPr lang="en-US"/>
          </a:p>
        </c:txPr>
        <c:crossAx val="84256270"/>
        <c:crosses val="autoZero"/>
        <c:auto val="1"/>
        <c:lblAlgn val="ctr"/>
        <c:lblOffset val="100"/>
        <c:noMultiLvlLbl val="0"/>
      </c:catAx>
      <c:valAx>
        <c:axId val="84256270"/>
        <c:scaling>
          <c:orientation val="minMax"/>
        </c:scaling>
        <c:delete val="0"/>
        <c:axPos val="b"/>
        <c:majorGridlines>
          <c:spPr>
            <a:ln w="9360">
              <a:solidFill>
                <a:srgbClr val="878787"/>
              </a:solidFill>
              <a:round/>
            </a:ln>
          </c:spPr>
        </c:majorGridlines>
        <c:numFmt formatCode="#,##0" sourceLinked="0"/>
        <c:majorTickMark val="none"/>
        <c:minorTickMark val="none"/>
        <c:tickLblPos val="nextTo"/>
        <c:spPr>
          <a:ln w="9360">
            <a:solidFill>
              <a:srgbClr val="878787"/>
            </a:solidFill>
            <a:round/>
          </a:ln>
        </c:spPr>
        <c:txPr>
          <a:bodyPr/>
          <a:lstStyle/>
          <a:p>
            <a:pPr>
              <a:defRPr sz="1000" b="0" strike="noStrike" spc="-1">
                <a:solidFill>
                  <a:srgbClr val="000000"/>
                </a:solidFill>
                <a:latin typeface="Calibri"/>
              </a:defRPr>
            </a:pPr>
            <a:endParaRPr lang="en-US"/>
          </a:p>
        </c:txPr>
        <c:crossAx val="27790520"/>
        <c:crosses val="autoZero"/>
        <c:crossBetween val="between"/>
      </c:valAx>
      <c:spPr>
        <a:noFill/>
        <a:ln w="0">
          <a:noFill/>
        </a:ln>
      </c:spPr>
    </c:plotArea>
    <c:legend>
      <c:legendPos val="r"/>
      <c:overlay val="0"/>
      <c:spPr>
        <a:noFill/>
        <a:ln w="0">
          <a:noFill/>
        </a:ln>
      </c:spPr>
      <c:txPr>
        <a:bodyPr/>
        <a:lstStyle/>
        <a:p>
          <a:pPr>
            <a:defRPr sz="1000" b="0" strike="noStrike" spc="-1">
              <a:solidFill>
                <a:srgbClr val="000000"/>
              </a:solidFill>
              <a:latin typeface="Calibri"/>
            </a:defRPr>
          </a:pPr>
          <a:endParaRPr lang="en-US"/>
        </a:p>
      </c:txPr>
    </c:legend>
    <c:plotVisOnly val="1"/>
    <c:dispBlanksAs val="gap"/>
    <c:showDLblsOverMax val="1"/>
  </c:chart>
  <c:spPr>
    <a:solidFill>
      <a:srgbClr val="FFFFFF"/>
    </a:solidFill>
    <a:ln w="9360">
      <a:solidFill>
        <a:srgbClr val="D9D9D9"/>
      </a:solidFill>
      <a:round/>
    </a:ln>
  </c:spPr>
  <c:printSettings>
    <c:headerFooter/>
    <c:pageMargins b="0.75" l="0.7" r="0.7" t="0.75" header="0.3" footer="0.3"/>
    <c:pageSetup/>
  </c:printSettings>
</c:chartSpace>
</file>

<file path=xl/charts/chart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c:style val="2"/>
  <c:chart>
    <c:title>
      <c:tx>
        <c:rich>
          <a:bodyPr rot="0"/>
          <a:lstStyle/>
          <a:p>
            <a:pPr>
              <a:defRPr sz="1800" b="1" strike="noStrike" spc="-1">
                <a:solidFill>
                  <a:srgbClr val="000000"/>
                </a:solidFill>
                <a:latin typeface="Calibri"/>
              </a:defRPr>
            </a:pPr>
            <a:r>
              <a:rPr sz="1800" b="1" strike="noStrike" spc="-1">
                <a:solidFill>
                  <a:srgbClr val="000000"/>
                </a:solidFill>
                <a:latin typeface="Calibri"/>
              </a:rPr>
              <a:t>Ghost Rate % by Role</a:t>
            </a:r>
          </a:p>
        </c:rich>
      </c:tx>
      <c:overlay val="0"/>
      <c:spPr>
        <a:noFill/>
        <a:ln w="0">
          <a:noFill/>
        </a:ln>
      </c:spPr>
    </c:title>
    <c:autoTitleDeleted val="0"/>
    <c:plotArea>
      <c:layout/>
      <c:barChart>
        <c:barDir val="col"/>
        <c:grouping val="clustered"/>
        <c:varyColors val="0"/>
        <c:ser>
          <c:idx val="0"/>
          <c:order val="0"/>
          <c:tx>
            <c:strRef>
              <c:f>Role_Analysis!$D$4</c:f>
              <c:strCache>
                <c:ptCount val="1"/>
                <c:pt idx="0">
                  <c:v>Ghost Rate %</c:v>
                </c:pt>
              </c:strCache>
            </c:strRef>
          </c:tx>
          <c:spPr>
            <a:solidFill>
              <a:srgbClr val="C0524B"/>
            </a:solidFill>
            <a:ln w="0">
              <a:noFill/>
            </a:ln>
          </c:spPr>
          <c:invertIfNegative val="0"/>
          <c:dLbls>
            <c:spPr>
              <a:noFill/>
              <a:ln>
                <a:noFill/>
              </a:ln>
              <a:effectLst/>
            </c:spPr>
            <c:txPr>
              <a:bodyPr wrap="square"/>
              <a:lstStyle/>
              <a:p>
                <a:pPr>
                  <a:defRPr sz="1000" b="0" strike="noStrike" spc="-1">
                    <a:solidFill>
                      <a:srgbClr val="000000"/>
                    </a:solidFill>
                    <a:latin typeface="Arial"/>
                  </a:defRPr>
                </a:pPr>
                <a:endParaRPr lang="en-US"/>
              </a:p>
            </c:txPr>
            <c:dLblPos val="outEnd"/>
            <c:showLegendKey val="0"/>
            <c:showVal val="0"/>
            <c:showCatName val="0"/>
            <c:showSerName val="0"/>
            <c:showPercent val="0"/>
            <c:showBubbleSize val="1"/>
            <c:separator>; </c:separator>
            <c:showLeaderLines val="0"/>
            <c:extLst>
              <c:ext xmlns:c15="http://schemas.microsoft.com/office/drawing/2012/chart" uri="{CE6537A1-D6FC-4f65-9D91-7224C49458BB}">
                <c15:showLeaderLines val="1"/>
              </c:ext>
            </c:extLst>
          </c:dLbls>
          <c:cat>
            <c:strRef>
              <c:f>Role_Analysis!$A$5:$A$16</c:f>
              <c:strCache>
                <c:ptCount val="12"/>
                <c:pt idx="0">
                  <c:v>Software Engineer</c:v>
                </c:pt>
                <c:pt idx="1">
                  <c:v>Other</c:v>
                </c:pt>
                <c:pt idx="2">
                  <c:v>Data Analyst</c:v>
                </c:pt>
                <c:pt idx="3">
                  <c:v>ML Engineer</c:v>
                </c:pt>
                <c:pt idx="4">
                  <c:v>Frontend Engineer</c:v>
                </c:pt>
                <c:pt idx="5">
                  <c:v>Full Stack Engineer</c:v>
                </c:pt>
                <c:pt idx="6">
                  <c:v>Backend Engineer</c:v>
                </c:pt>
                <c:pt idx="7">
                  <c:v>Data Scientist</c:v>
                </c:pt>
                <c:pt idx="8">
                  <c:v>Data Engineer</c:v>
                </c:pt>
                <c:pt idx="9">
                  <c:v>DevOps Engineer</c:v>
                </c:pt>
                <c:pt idx="10">
                  <c:v>QA/Test Engineer</c:v>
                </c:pt>
                <c:pt idx="11">
                  <c:v>Product Manager</c:v>
                </c:pt>
              </c:strCache>
            </c:strRef>
          </c:cat>
          <c:val>
            <c:numRef>
              <c:f>Role_Analysis!$D$5:$D$16</c:f>
              <c:numCache>
                <c:formatCode>0.0\%</c:formatCode>
                <c:ptCount val="12"/>
                <c:pt idx="0">
                  <c:v>7.7629382303839725</c:v>
                </c:pt>
                <c:pt idx="1">
                  <c:v>3.4391534391534391</c:v>
                </c:pt>
                <c:pt idx="2">
                  <c:v>3.6900369003690034</c:v>
                </c:pt>
                <c:pt idx="3">
                  <c:v>5.8823529411764701</c:v>
                </c:pt>
                <c:pt idx="4">
                  <c:v>1.948051948051948</c:v>
                </c:pt>
                <c:pt idx="5">
                  <c:v>0.67114093959731547</c:v>
                </c:pt>
                <c:pt idx="6">
                  <c:v>0</c:v>
                </c:pt>
                <c:pt idx="7">
                  <c:v>2.2222222222222223</c:v>
                </c:pt>
                <c:pt idx="8">
                  <c:v>0</c:v>
                </c:pt>
                <c:pt idx="9">
                  <c:v>0</c:v>
                </c:pt>
                <c:pt idx="10">
                  <c:v>0</c:v>
                </c:pt>
                <c:pt idx="11">
                  <c:v>0</c:v>
                </c:pt>
              </c:numCache>
            </c:numRef>
          </c:val>
          <c:extLst>
            <c:ext xmlns:c16="http://schemas.microsoft.com/office/drawing/2014/chart" uri="{C3380CC4-5D6E-409C-BE32-E72D297353CC}">
              <c16:uniqueId val="{00000000-7938-427E-B713-3379D84021AE}"/>
            </c:ext>
          </c:extLst>
        </c:ser>
        <c:dLbls>
          <c:showLegendKey val="0"/>
          <c:showVal val="0"/>
          <c:showCatName val="0"/>
          <c:showSerName val="0"/>
          <c:showPercent val="0"/>
          <c:showBubbleSize val="0"/>
        </c:dLbls>
        <c:gapWidth val="150"/>
        <c:axId val="90141439"/>
        <c:axId val="91602493"/>
      </c:barChart>
      <c:catAx>
        <c:axId val="90141439"/>
        <c:scaling>
          <c:orientation val="minMax"/>
        </c:scaling>
        <c:delete val="0"/>
        <c:axPos val="b"/>
        <c:numFmt formatCode="General" sourceLinked="0"/>
        <c:majorTickMark val="none"/>
        <c:minorTickMark val="none"/>
        <c:tickLblPos val="nextTo"/>
        <c:spPr>
          <a:ln w="9360">
            <a:solidFill>
              <a:srgbClr val="878787"/>
            </a:solidFill>
            <a:round/>
          </a:ln>
        </c:spPr>
        <c:txPr>
          <a:bodyPr/>
          <a:lstStyle/>
          <a:p>
            <a:pPr>
              <a:defRPr sz="1000" b="0" strike="noStrike" spc="-1">
                <a:solidFill>
                  <a:srgbClr val="000000"/>
                </a:solidFill>
                <a:latin typeface="Calibri"/>
              </a:defRPr>
            </a:pPr>
            <a:endParaRPr lang="en-US"/>
          </a:p>
        </c:txPr>
        <c:crossAx val="91602493"/>
        <c:crosses val="autoZero"/>
        <c:auto val="1"/>
        <c:lblAlgn val="ctr"/>
        <c:lblOffset val="100"/>
        <c:noMultiLvlLbl val="0"/>
      </c:catAx>
      <c:valAx>
        <c:axId val="91602493"/>
        <c:scaling>
          <c:orientation val="minMax"/>
        </c:scaling>
        <c:delete val="0"/>
        <c:axPos val="l"/>
        <c:majorGridlines>
          <c:spPr>
            <a:ln w="9360">
              <a:solidFill>
                <a:srgbClr val="878787"/>
              </a:solidFill>
              <a:round/>
            </a:ln>
          </c:spPr>
        </c:majorGridlines>
        <c:title>
          <c:tx>
            <c:rich>
              <a:bodyPr rot="-5400000"/>
              <a:lstStyle/>
              <a:p>
                <a:pPr>
                  <a:defRPr sz="1000" b="1" strike="noStrike" spc="-1">
                    <a:solidFill>
                      <a:srgbClr val="000000"/>
                    </a:solidFill>
                    <a:latin typeface="Calibri"/>
                  </a:defRPr>
                </a:pPr>
                <a:r>
                  <a:rPr sz="1000" b="1" strike="noStrike" spc="-1">
                    <a:solidFill>
                      <a:srgbClr val="000000"/>
                    </a:solidFill>
                    <a:latin typeface="Calibri"/>
                  </a:rPr>
                  <a:t>Ghost Rate %</a:t>
                </a:r>
              </a:p>
            </c:rich>
          </c:tx>
          <c:overlay val="0"/>
          <c:spPr>
            <a:noFill/>
            <a:ln w="0">
              <a:noFill/>
            </a:ln>
          </c:spPr>
        </c:title>
        <c:numFmt formatCode="0.0\%" sourceLinked="0"/>
        <c:majorTickMark val="none"/>
        <c:minorTickMark val="none"/>
        <c:tickLblPos val="nextTo"/>
        <c:spPr>
          <a:ln w="9360">
            <a:solidFill>
              <a:srgbClr val="878787"/>
            </a:solidFill>
            <a:round/>
          </a:ln>
        </c:spPr>
        <c:txPr>
          <a:bodyPr/>
          <a:lstStyle/>
          <a:p>
            <a:pPr>
              <a:defRPr sz="1000" b="0" strike="noStrike" spc="-1">
                <a:solidFill>
                  <a:srgbClr val="000000"/>
                </a:solidFill>
                <a:latin typeface="Calibri"/>
              </a:defRPr>
            </a:pPr>
            <a:endParaRPr lang="en-US"/>
          </a:p>
        </c:txPr>
        <c:crossAx val="90141439"/>
        <c:crosses val="autoZero"/>
        <c:crossBetween val="between"/>
      </c:valAx>
      <c:spPr>
        <a:noFill/>
        <a:ln w="0">
          <a:noFill/>
        </a:ln>
      </c:spPr>
    </c:plotArea>
    <c:legend>
      <c:legendPos val="r"/>
      <c:overlay val="0"/>
      <c:spPr>
        <a:noFill/>
        <a:ln w="0">
          <a:noFill/>
        </a:ln>
      </c:spPr>
      <c:txPr>
        <a:bodyPr/>
        <a:lstStyle/>
        <a:p>
          <a:pPr>
            <a:defRPr sz="1000" b="0" strike="noStrike" spc="-1">
              <a:solidFill>
                <a:srgbClr val="000000"/>
              </a:solidFill>
              <a:latin typeface="Calibri"/>
            </a:defRPr>
          </a:pPr>
          <a:endParaRPr lang="en-US"/>
        </a:p>
      </c:txPr>
    </c:legend>
    <c:plotVisOnly val="1"/>
    <c:dispBlanksAs val="gap"/>
    <c:showDLblsOverMax val="1"/>
  </c:chart>
  <c:spPr>
    <a:solidFill>
      <a:srgbClr val="FFFFFF"/>
    </a:solidFill>
    <a:ln w="9360">
      <a:solidFill>
        <a:srgbClr val="D9D9D9"/>
      </a:solidFill>
      <a:round/>
    </a:ln>
  </c:spPr>
  <c:printSettings>
    <c:headerFooter/>
    <c:pageMargins b="0.75" l="0.7" r="0.7" t="0.75" header="0.3" footer="0.3"/>
    <c:pageSetup/>
  </c:printSettings>
</c:chartSpace>
</file>

<file path=xl/charts/chart1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c:style val="2"/>
  <c:chart>
    <c:title>
      <c:tx>
        <c:rich>
          <a:bodyPr rot="0"/>
          <a:lstStyle/>
          <a:p>
            <a:pPr>
              <a:defRPr sz="1800" b="1" strike="noStrike" spc="-1">
                <a:solidFill>
                  <a:srgbClr val="000000"/>
                </a:solidFill>
                <a:latin typeface="Calibri"/>
              </a:defRPr>
            </a:pPr>
            <a:r>
              <a:rPr sz="1800" b="1" strike="noStrike" spc="-1">
                <a:solidFill>
                  <a:srgbClr val="000000"/>
                </a:solidFill>
                <a:latin typeface="Calibri"/>
              </a:rPr>
              <a:t>Avg Annual Salary (INR est.) by Role</a:t>
            </a:r>
          </a:p>
        </c:rich>
      </c:tx>
      <c:overlay val="0"/>
      <c:spPr>
        <a:noFill/>
        <a:ln w="0">
          <a:noFill/>
        </a:ln>
      </c:spPr>
    </c:title>
    <c:autoTitleDeleted val="0"/>
    <c:plotArea>
      <c:layout/>
      <c:barChart>
        <c:barDir val="col"/>
        <c:grouping val="clustered"/>
        <c:varyColors val="0"/>
        <c:ser>
          <c:idx val="0"/>
          <c:order val="0"/>
          <c:tx>
            <c:strRef>
              <c:f>Role_Analysis!$F$4</c:f>
              <c:strCache>
                <c:ptCount val="1"/>
                <c:pt idx="0">
                  <c:v>Avg Annual Salary (INR est.)</c:v>
                </c:pt>
              </c:strCache>
            </c:strRef>
          </c:tx>
          <c:spPr>
            <a:solidFill>
              <a:srgbClr val="E8A33D"/>
            </a:solidFill>
            <a:ln w="0">
              <a:noFill/>
            </a:ln>
          </c:spPr>
          <c:invertIfNegative val="0"/>
          <c:dLbls>
            <c:spPr>
              <a:noFill/>
              <a:ln>
                <a:noFill/>
              </a:ln>
              <a:effectLst/>
            </c:spPr>
            <c:txPr>
              <a:bodyPr wrap="square"/>
              <a:lstStyle/>
              <a:p>
                <a:pPr>
                  <a:defRPr sz="1000" b="0" strike="noStrike" spc="-1">
                    <a:solidFill>
                      <a:srgbClr val="000000"/>
                    </a:solidFill>
                    <a:latin typeface="Arial"/>
                  </a:defRPr>
                </a:pPr>
                <a:endParaRPr lang="en-US"/>
              </a:p>
            </c:txPr>
            <c:dLblPos val="outEnd"/>
            <c:showLegendKey val="0"/>
            <c:showVal val="0"/>
            <c:showCatName val="0"/>
            <c:showSerName val="0"/>
            <c:showPercent val="0"/>
            <c:showBubbleSize val="1"/>
            <c:separator>; </c:separator>
            <c:showLeaderLines val="0"/>
            <c:extLst>
              <c:ext xmlns:c15="http://schemas.microsoft.com/office/drawing/2012/chart" uri="{CE6537A1-D6FC-4f65-9D91-7224C49458BB}">
                <c15:showLeaderLines val="1"/>
              </c:ext>
            </c:extLst>
          </c:dLbls>
          <c:cat>
            <c:strRef>
              <c:f>Role_Analysis!$A$5:$A$16</c:f>
              <c:strCache>
                <c:ptCount val="12"/>
                <c:pt idx="0">
                  <c:v>Software Engineer</c:v>
                </c:pt>
                <c:pt idx="1">
                  <c:v>Other</c:v>
                </c:pt>
                <c:pt idx="2">
                  <c:v>Data Analyst</c:v>
                </c:pt>
                <c:pt idx="3">
                  <c:v>ML Engineer</c:v>
                </c:pt>
                <c:pt idx="4">
                  <c:v>Frontend Engineer</c:v>
                </c:pt>
                <c:pt idx="5">
                  <c:v>Full Stack Engineer</c:v>
                </c:pt>
                <c:pt idx="6">
                  <c:v>Backend Engineer</c:v>
                </c:pt>
                <c:pt idx="7">
                  <c:v>Data Scientist</c:v>
                </c:pt>
                <c:pt idx="8">
                  <c:v>Data Engineer</c:v>
                </c:pt>
                <c:pt idx="9">
                  <c:v>DevOps Engineer</c:v>
                </c:pt>
                <c:pt idx="10">
                  <c:v>QA/Test Engineer</c:v>
                </c:pt>
                <c:pt idx="11">
                  <c:v>Product Manager</c:v>
                </c:pt>
              </c:strCache>
            </c:strRef>
          </c:cat>
          <c:val>
            <c:numRef>
              <c:f>Role_Analysis!$F$5:$F$16</c:f>
              <c:numCache>
                <c:formatCode>#,##0</c:formatCode>
                <c:ptCount val="12"/>
                <c:pt idx="0">
                  <c:v>582718.109375</c:v>
                </c:pt>
                <c:pt idx="1">
                  <c:v>613551.15333333332</c:v>
                </c:pt>
                <c:pt idx="2">
                  <c:v>563160.41599999997</c:v>
                </c:pt>
                <c:pt idx="3">
                  <c:v>638042.19999999995</c:v>
                </c:pt>
                <c:pt idx="4">
                  <c:v>633805.32857142854</c:v>
                </c:pt>
                <c:pt idx="5">
                  <c:v>1387600.2</c:v>
                </c:pt>
                <c:pt idx="6">
                  <c:v>929815.25</c:v>
                </c:pt>
                <c:pt idx="7">
                  <c:v>596326.92307692312</c:v>
                </c:pt>
                <c:pt idx="8">
                  <c:v>906050</c:v>
                </c:pt>
                <c:pt idx="9">
                  <c:v>787010.66666666663</c:v>
                </c:pt>
                <c:pt idx="10">
                  <c:v>919910</c:v>
                </c:pt>
                <c:pt idx="11">
                  <c:v>0</c:v>
                </c:pt>
              </c:numCache>
            </c:numRef>
          </c:val>
          <c:extLst>
            <c:ext xmlns:c16="http://schemas.microsoft.com/office/drawing/2014/chart" uri="{C3380CC4-5D6E-409C-BE32-E72D297353CC}">
              <c16:uniqueId val="{00000000-9A65-4E31-ABDB-9B56DBAFABDA}"/>
            </c:ext>
          </c:extLst>
        </c:ser>
        <c:dLbls>
          <c:showLegendKey val="0"/>
          <c:showVal val="0"/>
          <c:showCatName val="0"/>
          <c:showSerName val="0"/>
          <c:showPercent val="0"/>
          <c:showBubbleSize val="0"/>
        </c:dLbls>
        <c:gapWidth val="150"/>
        <c:axId val="84633024"/>
        <c:axId val="54590413"/>
      </c:barChart>
      <c:catAx>
        <c:axId val="84633024"/>
        <c:scaling>
          <c:orientation val="minMax"/>
        </c:scaling>
        <c:delete val="0"/>
        <c:axPos val="b"/>
        <c:numFmt formatCode="General" sourceLinked="0"/>
        <c:majorTickMark val="none"/>
        <c:minorTickMark val="none"/>
        <c:tickLblPos val="nextTo"/>
        <c:spPr>
          <a:ln w="9360">
            <a:solidFill>
              <a:srgbClr val="878787"/>
            </a:solidFill>
            <a:round/>
          </a:ln>
        </c:spPr>
        <c:txPr>
          <a:bodyPr/>
          <a:lstStyle/>
          <a:p>
            <a:pPr>
              <a:defRPr sz="1000" b="0" strike="noStrike" spc="-1">
                <a:solidFill>
                  <a:srgbClr val="000000"/>
                </a:solidFill>
                <a:latin typeface="Calibri"/>
              </a:defRPr>
            </a:pPr>
            <a:endParaRPr lang="en-US"/>
          </a:p>
        </c:txPr>
        <c:crossAx val="54590413"/>
        <c:crosses val="autoZero"/>
        <c:auto val="1"/>
        <c:lblAlgn val="ctr"/>
        <c:lblOffset val="100"/>
        <c:noMultiLvlLbl val="0"/>
      </c:catAx>
      <c:valAx>
        <c:axId val="54590413"/>
        <c:scaling>
          <c:orientation val="minMax"/>
        </c:scaling>
        <c:delete val="0"/>
        <c:axPos val="l"/>
        <c:majorGridlines>
          <c:spPr>
            <a:ln w="9360">
              <a:solidFill>
                <a:srgbClr val="878787"/>
              </a:solidFill>
              <a:round/>
            </a:ln>
          </c:spPr>
        </c:majorGridlines>
        <c:title>
          <c:tx>
            <c:rich>
              <a:bodyPr rot="-5400000"/>
              <a:lstStyle/>
              <a:p>
                <a:pPr>
                  <a:defRPr sz="1000" b="1" strike="noStrike" spc="-1">
                    <a:solidFill>
                      <a:srgbClr val="000000"/>
                    </a:solidFill>
                    <a:latin typeface="Calibri"/>
                  </a:defRPr>
                </a:pPr>
                <a:r>
                  <a:rPr sz="1000" b="1" strike="noStrike" spc="-1">
                    <a:solidFill>
                      <a:srgbClr val="000000"/>
                    </a:solidFill>
                    <a:latin typeface="Calibri"/>
                  </a:rPr>
                  <a:t>INR / year</a:t>
                </a:r>
              </a:p>
            </c:rich>
          </c:tx>
          <c:overlay val="0"/>
          <c:spPr>
            <a:noFill/>
            <a:ln w="0">
              <a:noFill/>
            </a:ln>
          </c:spPr>
        </c:title>
        <c:numFmt formatCode="#,##0" sourceLinked="0"/>
        <c:majorTickMark val="none"/>
        <c:minorTickMark val="none"/>
        <c:tickLblPos val="nextTo"/>
        <c:spPr>
          <a:ln w="9360">
            <a:solidFill>
              <a:srgbClr val="878787"/>
            </a:solidFill>
            <a:round/>
          </a:ln>
        </c:spPr>
        <c:txPr>
          <a:bodyPr/>
          <a:lstStyle/>
          <a:p>
            <a:pPr>
              <a:defRPr sz="1000" b="0" strike="noStrike" spc="-1">
                <a:solidFill>
                  <a:srgbClr val="000000"/>
                </a:solidFill>
                <a:latin typeface="Calibri"/>
              </a:defRPr>
            </a:pPr>
            <a:endParaRPr lang="en-US"/>
          </a:p>
        </c:txPr>
        <c:crossAx val="84633024"/>
        <c:crosses val="autoZero"/>
        <c:crossBetween val="between"/>
      </c:valAx>
      <c:spPr>
        <a:noFill/>
        <a:ln w="0">
          <a:noFill/>
        </a:ln>
      </c:spPr>
    </c:plotArea>
    <c:legend>
      <c:legendPos val="r"/>
      <c:overlay val="0"/>
      <c:spPr>
        <a:noFill/>
        <a:ln w="0">
          <a:noFill/>
        </a:ln>
      </c:spPr>
      <c:txPr>
        <a:bodyPr/>
        <a:lstStyle/>
        <a:p>
          <a:pPr>
            <a:defRPr sz="1000" b="0" strike="noStrike" spc="-1">
              <a:solidFill>
                <a:srgbClr val="000000"/>
              </a:solidFill>
              <a:latin typeface="Calibri"/>
            </a:defRPr>
          </a:pPr>
          <a:endParaRPr lang="en-US"/>
        </a:p>
      </c:txPr>
    </c:legend>
    <c:plotVisOnly val="1"/>
    <c:dispBlanksAs val="gap"/>
    <c:showDLblsOverMax val="1"/>
  </c:chart>
  <c:spPr>
    <a:solidFill>
      <a:srgbClr val="FFFFFF"/>
    </a:solidFill>
    <a:ln w="9360">
      <a:solidFill>
        <a:srgbClr val="D9D9D9"/>
      </a:solidFill>
      <a:round/>
    </a:ln>
  </c:spPr>
  <c:printSettings>
    <c:headerFooter/>
    <c:pageMargins b="0.75" l="0.7" r="0.7" t="0.75" header="0.3" footer="0.3"/>
    <c:pageSetup/>
  </c:printSettings>
</c:chartSpace>
</file>

<file path=xl/charts/chart1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c:style val="2"/>
  <c:chart>
    <c:title>
      <c:tx>
        <c:rich>
          <a:bodyPr rot="0"/>
          <a:lstStyle/>
          <a:p>
            <a:pPr>
              <a:defRPr sz="1800" b="1" strike="noStrike" spc="-1">
                <a:solidFill>
                  <a:srgbClr val="000000"/>
                </a:solidFill>
                <a:latin typeface="Calibri"/>
              </a:defRPr>
            </a:pPr>
            <a:r>
              <a:rPr sz="1800" b="1" strike="noStrike" spc="-1">
                <a:solidFill>
                  <a:srgbClr val="000000"/>
                </a:solidFill>
                <a:latin typeface="Calibri"/>
              </a:rPr>
              <a:t>Ghost Rate % by City</a:t>
            </a:r>
          </a:p>
        </c:rich>
      </c:tx>
      <c:overlay val="0"/>
      <c:spPr>
        <a:noFill/>
        <a:ln w="0">
          <a:noFill/>
        </a:ln>
      </c:spPr>
    </c:title>
    <c:autoTitleDeleted val="0"/>
    <c:plotArea>
      <c:layout/>
      <c:barChart>
        <c:barDir val="col"/>
        <c:grouping val="clustered"/>
        <c:varyColors val="0"/>
        <c:ser>
          <c:idx val="0"/>
          <c:order val="0"/>
          <c:tx>
            <c:strRef>
              <c:f>City_Analysis!$D$4</c:f>
              <c:strCache>
                <c:ptCount val="1"/>
                <c:pt idx="0">
                  <c:v>Ghost Rate %</c:v>
                </c:pt>
              </c:strCache>
            </c:strRef>
          </c:tx>
          <c:spPr>
            <a:solidFill>
              <a:srgbClr val="4F81BD"/>
            </a:solidFill>
            <a:ln w="0">
              <a:noFill/>
            </a:ln>
          </c:spPr>
          <c:invertIfNegative val="0"/>
          <c:dLbls>
            <c:spPr>
              <a:noFill/>
              <a:ln>
                <a:noFill/>
              </a:ln>
              <a:effectLst/>
            </c:spPr>
            <c:txPr>
              <a:bodyPr wrap="square"/>
              <a:lstStyle/>
              <a:p>
                <a:pPr>
                  <a:defRPr sz="1000" b="0" strike="noStrike" spc="-1">
                    <a:solidFill>
                      <a:srgbClr val="000000"/>
                    </a:solidFill>
                    <a:latin typeface="Arial"/>
                  </a:defRPr>
                </a:pPr>
                <a:endParaRPr lang="en-US"/>
              </a:p>
            </c:txPr>
            <c:dLblPos val="outEnd"/>
            <c:showLegendKey val="0"/>
            <c:showVal val="0"/>
            <c:showCatName val="0"/>
            <c:showSerName val="0"/>
            <c:showPercent val="0"/>
            <c:showBubbleSize val="1"/>
            <c:separator>; </c:separator>
            <c:showLeaderLines val="0"/>
            <c:extLst>
              <c:ext xmlns:c15="http://schemas.microsoft.com/office/drawing/2012/chart" uri="{CE6537A1-D6FC-4f65-9D91-7224C49458BB}">
                <c15:showLeaderLines val="1"/>
              </c:ext>
            </c:extLst>
          </c:dLbls>
          <c:cat>
            <c:strRef>
              <c:f>City_Analysis!$A$5:$A$19</c:f>
              <c:strCache>
                <c:ptCount val="15"/>
                <c:pt idx="0">
                  <c:v>Not Specified</c:v>
                </c:pt>
                <c:pt idx="1">
                  <c:v>Bengaluru</c:v>
                </c:pt>
                <c:pt idx="2">
                  <c:v>Chennai</c:v>
                </c:pt>
                <c:pt idx="3">
                  <c:v>Pune Division</c:v>
                </c:pt>
                <c:pt idx="4">
                  <c:v>Hyderabad</c:v>
                </c:pt>
                <c:pt idx="5">
                  <c:v>Mumbai Metropolitan Region</c:v>
                </c:pt>
                <c:pt idx="6">
                  <c:v>Mumbai</c:v>
                </c:pt>
                <c:pt idx="7">
                  <c:v>Coimbatore</c:v>
                </c:pt>
                <c:pt idx="8">
                  <c:v>Jaipur</c:v>
                </c:pt>
                <c:pt idx="9">
                  <c:v>Gurugram</c:v>
                </c:pt>
                <c:pt idx="10">
                  <c:v>Pune</c:v>
                </c:pt>
                <c:pt idx="11">
                  <c:v>Gurgaon</c:v>
                </c:pt>
                <c:pt idx="12">
                  <c:v>Remote</c:v>
                </c:pt>
                <c:pt idx="13">
                  <c:v>India</c:v>
                </c:pt>
                <c:pt idx="14">
                  <c:v>Navi Mumbai</c:v>
                </c:pt>
              </c:strCache>
            </c:strRef>
          </c:cat>
          <c:val>
            <c:numRef>
              <c:f>City_Analysis!$D$5:$D$19</c:f>
              <c:numCache>
                <c:formatCode>0.0\%</c:formatCode>
                <c:ptCount val="15"/>
                <c:pt idx="0">
                  <c:v>3.5483870967741935</c:v>
                </c:pt>
                <c:pt idx="1">
                  <c:v>4.4568245125348191</c:v>
                </c:pt>
                <c:pt idx="2">
                  <c:v>4.8484848484848486</c:v>
                </c:pt>
                <c:pt idx="3">
                  <c:v>6.4102564102564097</c:v>
                </c:pt>
                <c:pt idx="4">
                  <c:v>5.3333333333333339</c:v>
                </c:pt>
                <c:pt idx="5">
                  <c:v>11.111111111111111</c:v>
                </c:pt>
                <c:pt idx="6">
                  <c:v>19.607843137254903</c:v>
                </c:pt>
                <c:pt idx="7">
                  <c:v>14.000000000000002</c:v>
                </c:pt>
                <c:pt idx="8">
                  <c:v>8.5106382978723403</c:v>
                </c:pt>
                <c:pt idx="9">
                  <c:v>6.5217391304347823</c:v>
                </c:pt>
                <c:pt idx="10">
                  <c:v>0</c:v>
                </c:pt>
                <c:pt idx="11">
                  <c:v>0</c:v>
                </c:pt>
                <c:pt idx="12">
                  <c:v>9.375</c:v>
                </c:pt>
                <c:pt idx="13">
                  <c:v>0</c:v>
                </c:pt>
                <c:pt idx="14">
                  <c:v>17.857142857142858</c:v>
                </c:pt>
              </c:numCache>
            </c:numRef>
          </c:val>
          <c:extLst>
            <c:ext xmlns:c16="http://schemas.microsoft.com/office/drawing/2014/chart" uri="{C3380CC4-5D6E-409C-BE32-E72D297353CC}">
              <c16:uniqueId val="{00000000-0DAD-4FF3-B8B4-CC50DCE2977E}"/>
            </c:ext>
          </c:extLst>
        </c:ser>
        <c:dLbls>
          <c:showLegendKey val="0"/>
          <c:showVal val="0"/>
          <c:showCatName val="0"/>
          <c:showSerName val="0"/>
          <c:showPercent val="0"/>
          <c:showBubbleSize val="0"/>
        </c:dLbls>
        <c:gapWidth val="150"/>
        <c:axId val="82198841"/>
        <c:axId val="49524444"/>
      </c:barChart>
      <c:catAx>
        <c:axId val="82198841"/>
        <c:scaling>
          <c:orientation val="minMax"/>
        </c:scaling>
        <c:delete val="0"/>
        <c:axPos val="b"/>
        <c:numFmt formatCode="General" sourceLinked="0"/>
        <c:majorTickMark val="none"/>
        <c:minorTickMark val="none"/>
        <c:tickLblPos val="nextTo"/>
        <c:spPr>
          <a:ln w="0">
            <a:solidFill>
              <a:srgbClr val="B3B3B3"/>
            </a:solidFill>
          </a:ln>
        </c:spPr>
        <c:txPr>
          <a:bodyPr/>
          <a:lstStyle/>
          <a:p>
            <a:pPr>
              <a:defRPr sz="1000" b="0" strike="noStrike" spc="-1">
                <a:solidFill>
                  <a:srgbClr val="000000"/>
                </a:solidFill>
                <a:latin typeface="Calibri"/>
              </a:defRPr>
            </a:pPr>
            <a:endParaRPr lang="en-US"/>
          </a:p>
        </c:txPr>
        <c:crossAx val="49524444"/>
        <c:crosses val="autoZero"/>
        <c:auto val="1"/>
        <c:lblAlgn val="ctr"/>
        <c:lblOffset val="100"/>
        <c:noMultiLvlLbl val="0"/>
      </c:catAx>
      <c:valAx>
        <c:axId val="49524444"/>
        <c:scaling>
          <c:orientation val="minMax"/>
        </c:scaling>
        <c:delete val="0"/>
        <c:axPos val="l"/>
        <c:majorGridlines>
          <c:spPr>
            <a:ln w="0">
              <a:solidFill>
                <a:srgbClr val="B3B3B3"/>
              </a:solidFill>
            </a:ln>
          </c:spPr>
        </c:majorGridlines>
        <c:numFmt formatCode="0.0\%" sourceLinked="0"/>
        <c:majorTickMark val="none"/>
        <c:minorTickMark val="none"/>
        <c:tickLblPos val="nextTo"/>
        <c:spPr>
          <a:ln w="0">
            <a:solidFill>
              <a:srgbClr val="B3B3B3"/>
            </a:solidFill>
          </a:ln>
        </c:spPr>
        <c:txPr>
          <a:bodyPr/>
          <a:lstStyle/>
          <a:p>
            <a:pPr>
              <a:defRPr sz="1000" b="0" strike="noStrike" spc="-1">
                <a:solidFill>
                  <a:srgbClr val="000000"/>
                </a:solidFill>
                <a:latin typeface="Calibri"/>
              </a:defRPr>
            </a:pPr>
            <a:endParaRPr lang="en-US"/>
          </a:p>
        </c:txPr>
        <c:crossAx val="82198841"/>
        <c:crosses val="autoZero"/>
        <c:crossBetween val="between"/>
      </c:valAx>
      <c:spPr>
        <a:noFill/>
        <a:ln w="0">
          <a:noFill/>
        </a:ln>
      </c:spPr>
    </c:plotArea>
    <c:plotVisOnly val="1"/>
    <c:dispBlanksAs val="gap"/>
    <c:showDLblsOverMax val="1"/>
  </c:chart>
  <c:spPr>
    <a:solidFill>
      <a:srgbClr val="FFFFFF"/>
    </a:solidFill>
    <a:ln w="9360">
      <a:solidFill>
        <a:srgbClr val="D9D9D9"/>
      </a:solidFill>
      <a:round/>
    </a:ln>
  </c:spPr>
  <c:printSettings>
    <c:headerFooter/>
    <c:pageMargins b="0.75" l="0.7" r="0.7" t="0.75" header="0.3" footer="0.3"/>
    <c:pageSetup/>
  </c:printSettings>
</c:chartSpace>
</file>

<file path=xl/charts/chart1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c:style val="2"/>
  <c:chart>
    <c:title>
      <c:tx>
        <c:rich>
          <a:bodyPr rot="0"/>
          <a:lstStyle/>
          <a:p>
            <a:pPr>
              <a:defRPr sz="1800" b="1" strike="noStrike" spc="-1">
                <a:solidFill>
                  <a:srgbClr val="000000"/>
                </a:solidFill>
                <a:latin typeface="Calibri"/>
              </a:defRPr>
            </a:pPr>
            <a:r>
              <a:rPr sz="1800" b="1" strike="noStrike" spc="-1">
                <a:solidFill>
                  <a:srgbClr val="000000"/>
                </a:solidFill>
                <a:latin typeface="Calibri"/>
              </a:rPr>
              <a:t>Ghost Rate % by Experience Level</a:t>
            </a:r>
          </a:p>
        </c:rich>
      </c:tx>
      <c:overlay val="0"/>
      <c:spPr>
        <a:noFill/>
        <a:ln w="0">
          <a:noFill/>
        </a:ln>
      </c:spPr>
    </c:title>
    <c:autoTitleDeleted val="0"/>
    <c:plotArea>
      <c:layout/>
      <c:barChart>
        <c:barDir val="col"/>
        <c:grouping val="clustered"/>
        <c:varyColors val="0"/>
        <c:ser>
          <c:idx val="0"/>
          <c:order val="0"/>
          <c:tx>
            <c:strRef>
              <c:f>Experience_Contract!$D$4</c:f>
              <c:strCache>
                <c:ptCount val="1"/>
                <c:pt idx="0">
                  <c:v>Ghost Rate %</c:v>
                </c:pt>
              </c:strCache>
            </c:strRef>
          </c:tx>
          <c:spPr>
            <a:solidFill>
              <a:srgbClr val="4F81BD"/>
            </a:solidFill>
            <a:ln w="0">
              <a:noFill/>
            </a:ln>
          </c:spPr>
          <c:invertIfNegative val="0"/>
          <c:dLbls>
            <c:spPr>
              <a:noFill/>
              <a:ln>
                <a:noFill/>
              </a:ln>
              <a:effectLst/>
            </c:spPr>
            <c:txPr>
              <a:bodyPr wrap="square"/>
              <a:lstStyle/>
              <a:p>
                <a:pPr>
                  <a:defRPr sz="1000" b="0" strike="noStrike" spc="-1">
                    <a:solidFill>
                      <a:srgbClr val="000000"/>
                    </a:solidFill>
                    <a:latin typeface="Arial"/>
                  </a:defRPr>
                </a:pPr>
                <a:endParaRPr lang="en-US"/>
              </a:p>
            </c:txPr>
            <c:dLblPos val="outEnd"/>
            <c:showLegendKey val="0"/>
            <c:showVal val="0"/>
            <c:showCatName val="0"/>
            <c:showSerName val="0"/>
            <c:showPercent val="0"/>
            <c:showBubbleSize val="1"/>
            <c:separator>; </c:separator>
            <c:showLeaderLines val="0"/>
            <c:extLst>
              <c:ext xmlns:c15="http://schemas.microsoft.com/office/drawing/2012/chart" uri="{CE6537A1-D6FC-4f65-9D91-7224C49458BB}">
                <c15:showLeaderLines val="1"/>
              </c:ext>
            </c:extLst>
          </c:dLbls>
          <c:cat>
            <c:strRef>
              <c:f>Experience_Contract!$A$5:$A$12</c:f>
              <c:strCache>
                <c:ptCount val="8"/>
                <c:pt idx="0">
                  <c:v>Not Captured by Scraper</c:v>
                </c:pt>
                <c:pt idx="1">
                  <c:v>Mid-Senior level</c:v>
                </c:pt>
                <c:pt idx="2">
                  <c:v>Not Applicable</c:v>
                </c:pt>
                <c:pt idx="3">
                  <c:v>Associate</c:v>
                </c:pt>
                <c:pt idx="4">
                  <c:v>Entry level</c:v>
                </c:pt>
                <c:pt idx="5">
                  <c:v>Internship</c:v>
                </c:pt>
                <c:pt idx="6">
                  <c:v>Director</c:v>
                </c:pt>
                <c:pt idx="7">
                  <c:v>Executive</c:v>
                </c:pt>
              </c:strCache>
            </c:strRef>
          </c:cat>
          <c:val>
            <c:numRef>
              <c:f>Experience_Contract!$D$5:$D$12</c:f>
              <c:numCache>
                <c:formatCode>0.0\%</c:formatCode>
                <c:ptCount val="8"/>
                <c:pt idx="0">
                  <c:v>3.45</c:v>
                </c:pt>
                <c:pt idx="1">
                  <c:v>13.298791018998275</c:v>
                </c:pt>
                <c:pt idx="2">
                  <c:v>0</c:v>
                </c:pt>
                <c:pt idx="3">
                  <c:v>0</c:v>
                </c:pt>
                <c:pt idx="4">
                  <c:v>0</c:v>
                </c:pt>
                <c:pt idx="5">
                  <c:v>0</c:v>
                </c:pt>
                <c:pt idx="6">
                  <c:v>0</c:v>
                </c:pt>
                <c:pt idx="7">
                  <c:v>0</c:v>
                </c:pt>
              </c:numCache>
            </c:numRef>
          </c:val>
          <c:extLst>
            <c:ext xmlns:c16="http://schemas.microsoft.com/office/drawing/2014/chart" uri="{C3380CC4-5D6E-409C-BE32-E72D297353CC}">
              <c16:uniqueId val="{00000000-A09A-4BCA-BC1E-9A5E69129D4E}"/>
            </c:ext>
          </c:extLst>
        </c:ser>
        <c:dLbls>
          <c:showLegendKey val="0"/>
          <c:showVal val="0"/>
          <c:showCatName val="0"/>
          <c:showSerName val="0"/>
          <c:showPercent val="0"/>
          <c:showBubbleSize val="0"/>
        </c:dLbls>
        <c:gapWidth val="150"/>
        <c:axId val="43451357"/>
        <c:axId val="57033284"/>
      </c:barChart>
      <c:catAx>
        <c:axId val="43451357"/>
        <c:scaling>
          <c:orientation val="minMax"/>
        </c:scaling>
        <c:delete val="0"/>
        <c:axPos val="b"/>
        <c:numFmt formatCode="General" sourceLinked="0"/>
        <c:majorTickMark val="none"/>
        <c:minorTickMark val="none"/>
        <c:tickLblPos val="nextTo"/>
        <c:spPr>
          <a:ln w="0">
            <a:solidFill>
              <a:srgbClr val="B3B3B3"/>
            </a:solidFill>
          </a:ln>
        </c:spPr>
        <c:txPr>
          <a:bodyPr/>
          <a:lstStyle/>
          <a:p>
            <a:pPr>
              <a:defRPr sz="1000" b="0" strike="noStrike" spc="-1">
                <a:solidFill>
                  <a:srgbClr val="000000"/>
                </a:solidFill>
                <a:latin typeface="Calibri"/>
              </a:defRPr>
            </a:pPr>
            <a:endParaRPr lang="en-US"/>
          </a:p>
        </c:txPr>
        <c:crossAx val="57033284"/>
        <c:crosses val="autoZero"/>
        <c:auto val="1"/>
        <c:lblAlgn val="ctr"/>
        <c:lblOffset val="100"/>
        <c:noMultiLvlLbl val="0"/>
      </c:catAx>
      <c:valAx>
        <c:axId val="57033284"/>
        <c:scaling>
          <c:orientation val="minMax"/>
        </c:scaling>
        <c:delete val="0"/>
        <c:axPos val="l"/>
        <c:majorGridlines>
          <c:spPr>
            <a:ln w="0">
              <a:solidFill>
                <a:srgbClr val="B3B3B3"/>
              </a:solidFill>
            </a:ln>
          </c:spPr>
        </c:majorGridlines>
        <c:numFmt formatCode="0.0\%" sourceLinked="0"/>
        <c:majorTickMark val="none"/>
        <c:minorTickMark val="none"/>
        <c:tickLblPos val="nextTo"/>
        <c:spPr>
          <a:ln w="0">
            <a:solidFill>
              <a:srgbClr val="B3B3B3"/>
            </a:solidFill>
          </a:ln>
        </c:spPr>
        <c:txPr>
          <a:bodyPr/>
          <a:lstStyle/>
          <a:p>
            <a:pPr>
              <a:defRPr sz="1000" b="0" strike="noStrike" spc="-1">
                <a:solidFill>
                  <a:srgbClr val="000000"/>
                </a:solidFill>
                <a:latin typeface="Calibri"/>
              </a:defRPr>
            </a:pPr>
            <a:endParaRPr lang="en-US"/>
          </a:p>
        </c:txPr>
        <c:crossAx val="43451357"/>
        <c:crosses val="autoZero"/>
        <c:crossBetween val="between"/>
      </c:valAx>
      <c:spPr>
        <a:noFill/>
        <a:ln w="0">
          <a:noFill/>
        </a:ln>
      </c:spPr>
    </c:plotArea>
    <c:plotVisOnly val="1"/>
    <c:dispBlanksAs val="gap"/>
    <c:showDLblsOverMax val="1"/>
  </c:chart>
  <c:spPr>
    <a:solidFill>
      <a:srgbClr val="FFFFFF"/>
    </a:solidFill>
    <a:ln w="9360">
      <a:solidFill>
        <a:srgbClr val="D9D9D9"/>
      </a:solidFill>
      <a:round/>
    </a:ln>
  </c:spPr>
  <c:printSettings>
    <c:headerFooter/>
    <c:pageMargins b="0.75" l="0.7" r="0.7" t="0.75" header="0.3" footer="0.3"/>
    <c:pageSetup/>
  </c:printSettings>
</c:chartSpace>
</file>

<file path=xl/charts/chart1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c:style val="2"/>
  <c:chart>
    <c:title>
      <c:tx>
        <c:rich>
          <a:bodyPr rot="0"/>
          <a:lstStyle/>
          <a:p>
            <a:pPr>
              <a:defRPr sz="1800" b="1" strike="noStrike" spc="-1">
                <a:solidFill>
                  <a:srgbClr val="000000"/>
                </a:solidFill>
                <a:latin typeface="Calibri"/>
              </a:defRPr>
            </a:pPr>
            <a:r>
              <a:rPr sz="1800" b="1" strike="noStrike" spc="-1">
                <a:solidFill>
                  <a:srgbClr val="000000"/>
                </a:solidFill>
                <a:latin typeface="Calibri"/>
              </a:rPr>
              <a:t>Ghost Rate % by Contract Type</a:t>
            </a:r>
          </a:p>
        </c:rich>
      </c:tx>
      <c:overlay val="0"/>
      <c:spPr>
        <a:noFill/>
        <a:ln w="0">
          <a:noFill/>
        </a:ln>
      </c:spPr>
    </c:title>
    <c:autoTitleDeleted val="0"/>
    <c:plotArea>
      <c:layout/>
      <c:barChart>
        <c:barDir val="col"/>
        <c:grouping val="clustered"/>
        <c:varyColors val="0"/>
        <c:ser>
          <c:idx val="0"/>
          <c:order val="0"/>
          <c:tx>
            <c:strRef>
              <c:f>Experience_Contract!$D$16</c:f>
              <c:strCache>
                <c:ptCount val="1"/>
                <c:pt idx="0">
                  <c:v>5.5%</c:v>
                </c:pt>
              </c:strCache>
            </c:strRef>
          </c:tx>
          <c:spPr>
            <a:solidFill>
              <a:srgbClr val="4F81BD"/>
            </a:solidFill>
            <a:ln w="0">
              <a:noFill/>
            </a:ln>
          </c:spPr>
          <c:invertIfNegative val="0"/>
          <c:dLbls>
            <c:spPr>
              <a:noFill/>
              <a:ln>
                <a:noFill/>
              </a:ln>
              <a:effectLst/>
            </c:spPr>
            <c:txPr>
              <a:bodyPr wrap="square"/>
              <a:lstStyle/>
              <a:p>
                <a:pPr>
                  <a:defRPr sz="1000" b="0" strike="noStrike" spc="-1">
                    <a:solidFill>
                      <a:srgbClr val="000000"/>
                    </a:solidFill>
                    <a:latin typeface="Arial"/>
                  </a:defRPr>
                </a:pPr>
                <a:endParaRPr lang="en-US"/>
              </a:p>
            </c:txPr>
            <c:dLblPos val="outEnd"/>
            <c:showLegendKey val="0"/>
            <c:showVal val="0"/>
            <c:showCatName val="0"/>
            <c:showSerName val="0"/>
            <c:showPercent val="0"/>
            <c:showBubbleSize val="1"/>
            <c:separator>; </c:separator>
            <c:showLeaderLines val="0"/>
            <c:extLst>
              <c:ext xmlns:c15="http://schemas.microsoft.com/office/drawing/2012/chart" uri="{CE6537A1-D6FC-4f65-9D91-7224C49458BB}">
                <c15:showLeaderLines val="1"/>
              </c:ext>
            </c:extLst>
          </c:dLbls>
          <c:cat>
            <c:strRef>
              <c:f>Experience_Contract!$A$17:$A$23</c:f>
              <c:strCache>
                <c:ptCount val="7"/>
                <c:pt idx="0">
                  <c:v>Not Captured by Scraper</c:v>
                </c:pt>
                <c:pt idx="1">
                  <c:v>Temporary</c:v>
                </c:pt>
                <c:pt idx="2">
                  <c:v>Contract</c:v>
                </c:pt>
                <c:pt idx="3">
                  <c:v>Internship</c:v>
                </c:pt>
                <c:pt idx="4">
                  <c:v>Entry Level</c:v>
                </c:pt>
                <c:pt idx="5">
                  <c:v>Part-time</c:v>
                </c:pt>
                <c:pt idx="6">
                  <c:v>Volunteer</c:v>
                </c:pt>
              </c:strCache>
            </c:strRef>
          </c:cat>
          <c:val>
            <c:numRef>
              <c:f>Experience_Contract!$D$17:$D$23</c:f>
              <c:numCache>
                <c:formatCode>0.0\%</c:formatCode>
                <c:ptCount val="7"/>
                <c:pt idx="0">
                  <c:v>4.119850187265917</c:v>
                </c:pt>
                <c:pt idx="1">
                  <c:v>6.666666666666667</c:v>
                </c:pt>
                <c:pt idx="2">
                  <c:v>0</c:v>
                </c:pt>
                <c:pt idx="3">
                  <c:v>0</c:v>
                </c:pt>
                <c:pt idx="4">
                  <c:v>22.222222222222221</c:v>
                </c:pt>
                <c:pt idx="5">
                  <c:v>0</c:v>
                </c:pt>
                <c:pt idx="6">
                  <c:v>0</c:v>
                </c:pt>
              </c:numCache>
            </c:numRef>
          </c:val>
          <c:extLst>
            <c:ext xmlns:c16="http://schemas.microsoft.com/office/drawing/2014/chart" uri="{C3380CC4-5D6E-409C-BE32-E72D297353CC}">
              <c16:uniqueId val="{00000000-2E92-4AB2-B48D-EF522A6DC9E9}"/>
            </c:ext>
          </c:extLst>
        </c:ser>
        <c:dLbls>
          <c:showLegendKey val="0"/>
          <c:showVal val="0"/>
          <c:showCatName val="0"/>
          <c:showSerName val="0"/>
          <c:showPercent val="0"/>
          <c:showBubbleSize val="0"/>
        </c:dLbls>
        <c:gapWidth val="150"/>
        <c:axId val="75954259"/>
        <c:axId val="20929458"/>
      </c:barChart>
      <c:catAx>
        <c:axId val="75954259"/>
        <c:scaling>
          <c:orientation val="minMax"/>
        </c:scaling>
        <c:delete val="0"/>
        <c:axPos val="b"/>
        <c:numFmt formatCode="General" sourceLinked="0"/>
        <c:majorTickMark val="none"/>
        <c:minorTickMark val="none"/>
        <c:tickLblPos val="nextTo"/>
        <c:spPr>
          <a:ln w="0">
            <a:solidFill>
              <a:srgbClr val="B3B3B3"/>
            </a:solidFill>
          </a:ln>
        </c:spPr>
        <c:txPr>
          <a:bodyPr/>
          <a:lstStyle/>
          <a:p>
            <a:pPr>
              <a:defRPr sz="1000" b="0" strike="noStrike" spc="-1">
                <a:solidFill>
                  <a:srgbClr val="000000"/>
                </a:solidFill>
                <a:latin typeface="Calibri"/>
              </a:defRPr>
            </a:pPr>
            <a:endParaRPr lang="en-US"/>
          </a:p>
        </c:txPr>
        <c:crossAx val="20929458"/>
        <c:crosses val="autoZero"/>
        <c:auto val="1"/>
        <c:lblAlgn val="ctr"/>
        <c:lblOffset val="100"/>
        <c:noMultiLvlLbl val="0"/>
      </c:catAx>
      <c:valAx>
        <c:axId val="20929458"/>
        <c:scaling>
          <c:orientation val="minMax"/>
        </c:scaling>
        <c:delete val="0"/>
        <c:axPos val="l"/>
        <c:majorGridlines>
          <c:spPr>
            <a:ln w="0">
              <a:solidFill>
                <a:srgbClr val="B3B3B3"/>
              </a:solidFill>
            </a:ln>
          </c:spPr>
        </c:majorGridlines>
        <c:numFmt formatCode="0.0\%" sourceLinked="0"/>
        <c:majorTickMark val="none"/>
        <c:minorTickMark val="none"/>
        <c:tickLblPos val="nextTo"/>
        <c:spPr>
          <a:ln w="0">
            <a:solidFill>
              <a:srgbClr val="B3B3B3"/>
            </a:solidFill>
          </a:ln>
        </c:spPr>
        <c:txPr>
          <a:bodyPr/>
          <a:lstStyle/>
          <a:p>
            <a:pPr>
              <a:defRPr sz="1000" b="0" strike="noStrike" spc="-1">
                <a:solidFill>
                  <a:srgbClr val="000000"/>
                </a:solidFill>
                <a:latin typeface="Calibri"/>
              </a:defRPr>
            </a:pPr>
            <a:endParaRPr lang="en-US"/>
          </a:p>
        </c:txPr>
        <c:crossAx val="75954259"/>
        <c:crosses val="autoZero"/>
        <c:crossBetween val="between"/>
      </c:valAx>
      <c:spPr>
        <a:noFill/>
        <a:ln w="0">
          <a:noFill/>
        </a:ln>
      </c:spPr>
    </c:plotArea>
    <c:plotVisOnly val="1"/>
    <c:dispBlanksAs val="gap"/>
    <c:showDLblsOverMax val="1"/>
  </c:chart>
  <c:spPr>
    <a:solidFill>
      <a:srgbClr val="FFFFFF"/>
    </a:solidFill>
    <a:ln w="9360">
      <a:solidFill>
        <a:srgbClr val="D9D9D9"/>
      </a:solidFill>
      <a:round/>
    </a:ln>
  </c:spPr>
  <c:printSettings>
    <c:headerFooter/>
    <c:pageMargins b="0.75" l="0.7" r="0.7" t="0.75" header="0.3" footer="0.3"/>
    <c:pageSetup/>
  </c:printSettings>
</c:chartSpace>
</file>

<file path=xl/charts/chart1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c:style val="2"/>
  <c:chart>
    <c:title>
      <c:tx>
        <c:rich>
          <a:bodyPr rot="0"/>
          <a:lstStyle/>
          <a:p>
            <a:pPr>
              <a:defRPr sz="1800" b="1" strike="noStrike" spc="-1">
                <a:solidFill>
                  <a:srgbClr val="000000"/>
                </a:solidFill>
                <a:latin typeface="Calibri"/>
              </a:defRPr>
            </a:pPr>
            <a:r>
              <a:rPr sz="1800" b="1" strike="noStrike" spc="-1">
                <a:solidFill>
                  <a:srgbClr val="000000"/>
                </a:solidFill>
                <a:latin typeface="Calibri"/>
              </a:rPr>
              <a:t>Avg Disclosed Annual Salary by Portal</a:t>
            </a:r>
          </a:p>
        </c:rich>
      </c:tx>
      <c:overlay val="0"/>
      <c:spPr>
        <a:noFill/>
        <a:ln w="0">
          <a:noFill/>
        </a:ln>
      </c:spPr>
    </c:title>
    <c:autoTitleDeleted val="0"/>
    <c:plotArea>
      <c:layout/>
      <c:barChart>
        <c:barDir val="col"/>
        <c:grouping val="clustered"/>
        <c:varyColors val="0"/>
        <c:ser>
          <c:idx val="0"/>
          <c:order val="0"/>
          <c:tx>
            <c:strRef>
              <c:f>Salary_Analysis!$E$4</c:f>
              <c:strCache>
                <c:ptCount val="1"/>
                <c:pt idx="0">
                  <c:v>Avg Est. Annual Salary (disclosed)</c:v>
                </c:pt>
              </c:strCache>
            </c:strRef>
          </c:tx>
          <c:spPr>
            <a:solidFill>
              <a:srgbClr val="4F81BD"/>
            </a:solidFill>
            <a:ln w="0">
              <a:noFill/>
            </a:ln>
          </c:spPr>
          <c:invertIfNegative val="0"/>
          <c:dLbls>
            <c:spPr>
              <a:noFill/>
              <a:ln>
                <a:noFill/>
              </a:ln>
              <a:effectLst/>
            </c:spPr>
            <c:txPr>
              <a:bodyPr wrap="square"/>
              <a:lstStyle/>
              <a:p>
                <a:pPr>
                  <a:defRPr sz="1000" b="0" strike="noStrike" spc="-1">
                    <a:solidFill>
                      <a:srgbClr val="000000"/>
                    </a:solidFill>
                    <a:latin typeface="Arial"/>
                  </a:defRPr>
                </a:pPr>
                <a:endParaRPr lang="en-US"/>
              </a:p>
            </c:txPr>
            <c:dLblPos val="outEnd"/>
            <c:showLegendKey val="0"/>
            <c:showVal val="0"/>
            <c:showCatName val="0"/>
            <c:showSerName val="0"/>
            <c:showPercent val="0"/>
            <c:showBubbleSize val="1"/>
            <c:separator>; </c:separator>
            <c:showLeaderLines val="0"/>
            <c:extLst>
              <c:ext xmlns:c15="http://schemas.microsoft.com/office/drawing/2012/chart" uri="{CE6537A1-D6FC-4f65-9D91-7224C49458BB}">
                <c15:showLeaderLines val="1"/>
              </c:ext>
            </c:extLst>
          </c:dLbls>
          <c:cat>
            <c:strRef>
              <c:f>Salary_Analysis!$A$5:$A$7</c:f>
              <c:strCache>
                <c:ptCount val="3"/>
                <c:pt idx="0">
                  <c:v>LinkedIn</c:v>
                </c:pt>
                <c:pt idx="1">
                  <c:v>Indeed</c:v>
                </c:pt>
                <c:pt idx="2">
                  <c:v>Glassdoor</c:v>
                </c:pt>
              </c:strCache>
            </c:strRef>
          </c:cat>
          <c:val>
            <c:numRef>
              <c:f>Salary_Analysis!$E$5:$E$7</c:f>
              <c:numCache>
                <c:formatCode>\₹#,##0</c:formatCode>
                <c:ptCount val="3"/>
                <c:pt idx="0">
                  <c:v>0</c:v>
                </c:pt>
                <c:pt idx="1">
                  <c:v>712321.27702702698</c:v>
                </c:pt>
                <c:pt idx="2">
                  <c:v>608706.69401330373</c:v>
                </c:pt>
              </c:numCache>
            </c:numRef>
          </c:val>
          <c:extLst>
            <c:ext xmlns:c16="http://schemas.microsoft.com/office/drawing/2014/chart" uri="{C3380CC4-5D6E-409C-BE32-E72D297353CC}">
              <c16:uniqueId val="{00000000-7ED4-41C7-A93F-75B0AE8CD466}"/>
            </c:ext>
          </c:extLst>
        </c:ser>
        <c:dLbls>
          <c:showLegendKey val="0"/>
          <c:showVal val="0"/>
          <c:showCatName val="0"/>
          <c:showSerName val="0"/>
          <c:showPercent val="0"/>
          <c:showBubbleSize val="0"/>
        </c:dLbls>
        <c:gapWidth val="150"/>
        <c:axId val="98452507"/>
        <c:axId val="88825815"/>
      </c:barChart>
      <c:catAx>
        <c:axId val="98452507"/>
        <c:scaling>
          <c:orientation val="minMax"/>
        </c:scaling>
        <c:delete val="0"/>
        <c:axPos val="b"/>
        <c:numFmt formatCode="General" sourceLinked="0"/>
        <c:majorTickMark val="none"/>
        <c:minorTickMark val="none"/>
        <c:tickLblPos val="nextTo"/>
        <c:spPr>
          <a:ln w="0">
            <a:solidFill>
              <a:srgbClr val="B3B3B3"/>
            </a:solidFill>
          </a:ln>
        </c:spPr>
        <c:txPr>
          <a:bodyPr/>
          <a:lstStyle/>
          <a:p>
            <a:pPr>
              <a:defRPr sz="1000" b="0" strike="noStrike" spc="-1">
                <a:solidFill>
                  <a:srgbClr val="000000"/>
                </a:solidFill>
                <a:latin typeface="Calibri"/>
              </a:defRPr>
            </a:pPr>
            <a:endParaRPr lang="en-US"/>
          </a:p>
        </c:txPr>
        <c:crossAx val="88825815"/>
        <c:crosses val="autoZero"/>
        <c:auto val="1"/>
        <c:lblAlgn val="ctr"/>
        <c:lblOffset val="100"/>
        <c:noMultiLvlLbl val="0"/>
      </c:catAx>
      <c:valAx>
        <c:axId val="88825815"/>
        <c:scaling>
          <c:orientation val="minMax"/>
        </c:scaling>
        <c:delete val="0"/>
        <c:axPos val="l"/>
        <c:majorGridlines>
          <c:spPr>
            <a:ln w="0">
              <a:solidFill>
                <a:srgbClr val="B3B3B3"/>
              </a:solidFill>
            </a:ln>
          </c:spPr>
        </c:majorGridlines>
        <c:numFmt formatCode="\₹#,##0" sourceLinked="0"/>
        <c:majorTickMark val="none"/>
        <c:minorTickMark val="none"/>
        <c:tickLblPos val="nextTo"/>
        <c:spPr>
          <a:ln w="0">
            <a:solidFill>
              <a:srgbClr val="B3B3B3"/>
            </a:solidFill>
          </a:ln>
        </c:spPr>
        <c:txPr>
          <a:bodyPr/>
          <a:lstStyle/>
          <a:p>
            <a:pPr>
              <a:defRPr sz="1000" b="0" strike="noStrike" spc="-1">
                <a:solidFill>
                  <a:srgbClr val="000000"/>
                </a:solidFill>
                <a:latin typeface="Calibri"/>
              </a:defRPr>
            </a:pPr>
            <a:endParaRPr lang="en-US"/>
          </a:p>
        </c:txPr>
        <c:crossAx val="98452507"/>
        <c:crosses val="autoZero"/>
        <c:crossBetween val="between"/>
      </c:valAx>
      <c:spPr>
        <a:noFill/>
        <a:ln w="0">
          <a:noFill/>
        </a:ln>
      </c:spPr>
    </c:plotArea>
    <c:plotVisOnly val="1"/>
    <c:dispBlanksAs val="gap"/>
    <c:showDLblsOverMax val="1"/>
  </c:chart>
  <c:spPr>
    <a:solidFill>
      <a:srgbClr val="FFFFFF"/>
    </a:solidFill>
    <a:ln w="9360">
      <a:solidFill>
        <a:srgbClr val="D9D9D9"/>
      </a:solidFill>
      <a:round/>
    </a:ln>
  </c:spPr>
  <c:printSettings>
    <c:headerFooter/>
    <c:pageMargins b="0.75" l="0.7" r="0.7" t="0.75" header="0.3" footer="0.3"/>
    <c:pageSetup/>
  </c:printSettings>
</c:chartSpace>
</file>

<file path=xl/charts/chart1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c:style val="2"/>
  <c:chart>
    <c:title>
      <c:tx>
        <c:rich>
          <a:bodyPr rot="0"/>
          <a:lstStyle/>
          <a:p>
            <a:pPr>
              <a:defRPr sz="1800" b="1" strike="noStrike" spc="-1">
                <a:solidFill>
                  <a:srgbClr val="000000"/>
                </a:solidFill>
                <a:latin typeface="Calibri"/>
              </a:defRPr>
            </a:pPr>
            <a:r>
              <a:rPr sz="1800" b="1" strike="noStrike" spc="-1">
                <a:solidFill>
                  <a:srgbClr val="000000"/>
                </a:solidFill>
                <a:latin typeface="Calibri"/>
              </a:rPr>
              <a:t>Disclosed Salary Distribution</a:t>
            </a:r>
          </a:p>
        </c:rich>
      </c:tx>
      <c:overlay val="0"/>
      <c:spPr>
        <a:noFill/>
        <a:ln w="0">
          <a:noFill/>
        </a:ln>
      </c:spPr>
    </c:title>
    <c:autoTitleDeleted val="0"/>
    <c:plotArea>
      <c:layout/>
      <c:barChart>
        <c:barDir val="col"/>
        <c:grouping val="clustered"/>
        <c:varyColors val="0"/>
        <c:ser>
          <c:idx val="0"/>
          <c:order val="0"/>
          <c:tx>
            <c:strRef>
              <c:f>Salary_Analysis!$B$25</c:f>
              <c:strCache>
                <c:ptCount val="1"/>
                <c:pt idx="0">
                  <c:v>Count</c:v>
                </c:pt>
              </c:strCache>
            </c:strRef>
          </c:tx>
          <c:spPr>
            <a:solidFill>
              <a:srgbClr val="4F81BD"/>
            </a:solidFill>
            <a:ln w="0">
              <a:noFill/>
            </a:ln>
          </c:spPr>
          <c:invertIfNegative val="0"/>
          <c:dLbls>
            <c:spPr>
              <a:noFill/>
              <a:ln>
                <a:noFill/>
              </a:ln>
              <a:effectLst/>
            </c:spPr>
            <c:txPr>
              <a:bodyPr wrap="square"/>
              <a:lstStyle/>
              <a:p>
                <a:pPr>
                  <a:defRPr sz="1000" b="0" strike="noStrike" spc="-1">
                    <a:solidFill>
                      <a:srgbClr val="000000"/>
                    </a:solidFill>
                    <a:latin typeface="Arial"/>
                  </a:defRPr>
                </a:pPr>
                <a:endParaRPr lang="en-US"/>
              </a:p>
            </c:txPr>
            <c:dLblPos val="outEnd"/>
            <c:showLegendKey val="0"/>
            <c:showVal val="0"/>
            <c:showCatName val="0"/>
            <c:showSerName val="0"/>
            <c:showPercent val="0"/>
            <c:showBubbleSize val="1"/>
            <c:separator>; </c:separator>
            <c:showLeaderLines val="0"/>
            <c:extLst>
              <c:ext xmlns:c15="http://schemas.microsoft.com/office/drawing/2012/chart" uri="{CE6537A1-D6FC-4f65-9D91-7224C49458BB}">
                <c15:showLeaderLines val="1"/>
              </c:ext>
            </c:extLst>
          </c:dLbls>
          <c:cat>
            <c:strRef>
              <c:f>Salary_Analysis!$A$26:$A$30</c:f>
              <c:strCache>
                <c:ptCount val="5"/>
                <c:pt idx="0">
                  <c:v>Under ₹6L</c:v>
                </c:pt>
                <c:pt idx="1">
                  <c:v>₹6L – 12L</c:v>
                </c:pt>
                <c:pt idx="2">
                  <c:v>₹12L – 20L</c:v>
                </c:pt>
                <c:pt idx="3">
                  <c:v>₹20L – 35L</c:v>
                </c:pt>
                <c:pt idx="4">
                  <c:v>₹35L+</c:v>
                </c:pt>
              </c:strCache>
            </c:strRef>
          </c:cat>
          <c:val>
            <c:numRef>
              <c:f>Salary_Analysis!$B$26:$B$30</c:f>
              <c:numCache>
                <c:formatCode>General</c:formatCode>
                <c:ptCount val="5"/>
                <c:pt idx="0">
                  <c:v>358</c:v>
                </c:pt>
                <c:pt idx="1">
                  <c:v>205</c:v>
                </c:pt>
                <c:pt idx="2">
                  <c:v>23</c:v>
                </c:pt>
                <c:pt idx="3">
                  <c:v>8</c:v>
                </c:pt>
                <c:pt idx="4">
                  <c:v>5</c:v>
                </c:pt>
              </c:numCache>
            </c:numRef>
          </c:val>
          <c:extLst>
            <c:ext xmlns:c16="http://schemas.microsoft.com/office/drawing/2014/chart" uri="{C3380CC4-5D6E-409C-BE32-E72D297353CC}">
              <c16:uniqueId val="{00000000-9323-4B34-942C-9B650EF41146}"/>
            </c:ext>
          </c:extLst>
        </c:ser>
        <c:dLbls>
          <c:showLegendKey val="0"/>
          <c:showVal val="0"/>
          <c:showCatName val="0"/>
          <c:showSerName val="0"/>
          <c:showPercent val="0"/>
          <c:showBubbleSize val="0"/>
        </c:dLbls>
        <c:gapWidth val="150"/>
        <c:axId val="48336385"/>
        <c:axId val="60359055"/>
      </c:barChart>
      <c:catAx>
        <c:axId val="48336385"/>
        <c:scaling>
          <c:orientation val="minMax"/>
        </c:scaling>
        <c:delete val="0"/>
        <c:axPos val="b"/>
        <c:numFmt formatCode="General" sourceLinked="0"/>
        <c:majorTickMark val="none"/>
        <c:minorTickMark val="none"/>
        <c:tickLblPos val="nextTo"/>
        <c:spPr>
          <a:ln w="0">
            <a:solidFill>
              <a:srgbClr val="B3B3B3"/>
            </a:solidFill>
          </a:ln>
        </c:spPr>
        <c:txPr>
          <a:bodyPr/>
          <a:lstStyle/>
          <a:p>
            <a:pPr>
              <a:defRPr sz="1000" b="0" strike="noStrike" spc="-1">
                <a:solidFill>
                  <a:srgbClr val="000000"/>
                </a:solidFill>
                <a:latin typeface="Calibri"/>
              </a:defRPr>
            </a:pPr>
            <a:endParaRPr lang="en-US"/>
          </a:p>
        </c:txPr>
        <c:crossAx val="60359055"/>
        <c:crosses val="autoZero"/>
        <c:auto val="1"/>
        <c:lblAlgn val="ctr"/>
        <c:lblOffset val="100"/>
        <c:noMultiLvlLbl val="0"/>
      </c:catAx>
      <c:valAx>
        <c:axId val="60359055"/>
        <c:scaling>
          <c:orientation val="minMax"/>
        </c:scaling>
        <c:delete val="0"/>
        <c:axPos val="l"/>
        <c:majorGridlines>
          <c:spPr>
            <a:ln w="0">
              <a:solidFill>
                <a:srgbClr val="B3B3B3"/>
              </a:solidFill>
            </a:ln>
          </c:spPr>
        </c:majorGridlines>
        <c:numFmt formatCode="General" sourceLinked="0"/>
        <c:majorTickMark val="none"/>
        <c:minorTickMark val="none"/>
        <c:tickLblPos val="nextTo"/>
        <c:spPr>
          <a:ln w="0">
            <a:solidFill>
              <a:srgbClr val="B3B3B3"/>
            </a:solidFill>
          </a:ln>
        </c:spPr>
        <c:txPr>
          <a:bodyPr/>
          <a:lstStyle/>
          <a:p>
            <a:pPr>
              <a:defRPr sz="1000" b="0" strike="noStrike" spc="-1">
                <a:solidFill>
                  <a:srgbClr val="000000"/>
                </a:solidFill>
                <a:latin typeface="Calibri"/>
              </a:defRPr>
            </a:pPr>
            <a:endParaRPr lang="en-US"/>
          </a:p>
        </c:txPr>
        <c:crossAx val="48336385"/>
        <c:crosses val="autoZero"/>
        <c:crossBetween val="between"/>
      </c:valAx>
      <c:spPr>
        <a:noFill/>
        <a:ln w="0">
          <a:noFill/>
        </a:ln>
      </c:spPr>
    </c:plotArea>
    <c:plotVisOnly val="1"/>
    <c:dispBlanksAs val="gap"/>
    <c:showDLblsOverMax val="1"/>
  </c:chart>
  <c:spPr>
    <a:solidFill>
      <a:srgbClr val="FFFFFF"/>
    </a:solidFill>
    <a:ln w="9360">
      <a:solidFill>
        <a:srgbClr val="D9D9D9"/>
      </a:solidFill>
      <a:round/>
    </a:ln>
  </c:spPr>
  <c:printSettings>
    <c:headerFooter/>
    <c:pageMargins b="0.75" l="0.7" r="0.7" t="0.75" header="0.3" footer="0.3"/>
    <c:pageSetup/>
  </c:printSettings>
</c:chartSpace>
</file>

<file path=xl/drawings/_rels/drawing1.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s>
</file>

<file path=xl/drawings/_rels/drawing2.xml.rels><?xml version="1.0" encoding="UTF-8" standalone="yes"?>
<Relationships xmlns="http://schemas.openxmlformats.org/package/2006/relationships"><Relationship Id="rId2" Type="http://schemas.openxmlformats.org/officeDocument/2006/relationships/chart" Target="../charts/chart5.xml"/><Relationship Id="rId1" Type="http://schemas.openxmlformats.org/officeDocument/2006/relationships/chart" Target="../charts/chart4.xml"/></Relationships>
</file>

<file path=xl/drawings/_rels/drawing3.xml.rels><?xml version="1.0" encoding="UTF-8" standalone="yes"?>
<Relationships xmlns="http://schemas.openxmlformats.org/package/2006/relationships"><Relationship Id="rId2" Type="http://schemas.openxmlformats.org/officeDocument/2006/relationships/chart" Target="../charts/chart7.xml"/><Relationship Id="rId1" Type="http://schemas.openxmlformats.org/officeDocument/2006/relationships/chart" Target="../charts/chart6.xml"/></Relationships>
</file>

<file path=xl/drawings/_rels/drawing4.xml.rels><?xml version="1.0" encoding="UTF-8" standalone="yes"?>
<Relationships xmlns="http://schemas.openxmlformats.org/package/2006/relationships"><Relationship Id="rId1" Type="http://schemas.openxmlformats.org/officeDocument/2006/relationships/chart" Target="../charts/chart8.xml"/></Relationships>
</file>

<file path=xl/drawings/_rels/drawing5.xml.rels><?xml version="1.0" encoding="UTF-8" standalone="yes"?>
<Relationships xmlns="http://schemas.openxmlformats.org/package/2006/relationships"><Relationship Id="rId2" Type="http://schemas.openxmlformats.org/officeDocument/2006/relationships/chart" Target="../charts/chart10.xml"/><Relationship Id="rId1" Type="http://schemas.openxmlformats.org/officeDocument/2006/relationships/chart" Target="../charts/chart9.xml"/></Relationships>
</file>

<file path=xl/drawings/_rels/drawing6.xml.rels><?xml version="1.0" encoding="UTF-8" standalone="yes"?>
<Relationships xmlns="http://schemas.openxmlformats.org/package/2006/relationships"><Relationship Id="rId1" Type="http://schemas.openxmlformats.org/officeDocument/2006/relationships/chart" Target="../charts/chart11.xml"/></Relationships>
</file>

<file path=xl/drawings/_rels/drawing7.xml.rels><?xml version="1.0" encoding="UTF-8" standalone="yes"?>
<Relationships xmlns="http://schemas.openxmlformats.org/package/2006/relationships"><Relationship Id="rId2" Type="http://schemas.openxmlformats.org/officeDocument/2006/relationships/chart" Target="../charts/chart13.xml"/><Relationship Id="rId1" Type="http://schemas.openxmlformats.org/officeDocument/2006/relationships/chart" Target="../charts/chart12.xml"/></Relationships>
</file>

<file path=xl/drawings/_rels/drawing8.xml.rels><?xml version="1.0" encoding="UTF-8" standalone="yes"?>
<Relationships xmlns="http://schemas.openxmlformats.org/package/2006/relationships"><Relationship Id="rId2" Type="http://schemas.openxmlformats.org/officeDocument/2006/relationships/chart" Target="../charts/chart15.xml"/><Relationship Id="rId1" Type="http://schemas.openxmlformats.org/officeDocument/2006/relationships/chart" Target="../charts/chart14.xml"/></Relationships>
</file>

<file path=xl/drawings/drawing1.xml><?xml version="1.0" encoding="utf-8"?>
<xdr:wsDr xmlns:xdr="http://schemas.openxmlformats.org/drawingml/2006/spreadsheetDrawing" xmlns:a="http://schemas.openxmlformats.org/drawingml/2006/main">
  <xdr:twoCellAnchor editAs="oneCell">
    <xdr:from>
      <xdr:col>0</xdr:col>
      <xdr:colOff>0</xdr:colOff>
      <xdr:row>14</xdr:row>
      <xdr:rowOff>78120</xdr:rowOff>
    </xdr:from>
    <xdr:to>
      <xdr:col>4</xdr:col>
      <xdr:colOff>582840</xdr:colOff>
      <xdr:row>29</xdr:row>
      <xdr:rowOff>99000</xdr:rowOff>
    </xdr:to>
    <xdr:graphicFrame macro="">
      <xdr:nvGraphicFramePr>
        <xdr:cNvPr id="2" name="Chart 1">
          <a:extLst>
            <a:ext uri="{FF2B5EF4-FFF2-40B4-BE49-F238E27FC236}">
              <a16:creationId xmlns:a16="http://schemas.microsoft.com/office/drawing/2014/main" id="{00000000-0008-0000-0100-000002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5</xdr:col>
      <xdr:colOff>0</xdr:colOff>
      <xdr:row>14</xdr:row>
      <xdr:rowOff>78120</xdr:rowOff>
    </xdr:from>
    <xdr:to>
      <xdr:col>10</xdr:col>
      <xdr:colOff>276120</xdr:colOff>
      <xdr:row>29</xdr:row>
      <xdr:rowOff>99000</xdr:rowOff>
    </xdr:to>
    <xdr:graphicFrame macro="">
      <xdr:nvGraphicFramePr>
        <xdr:cNvPr id="3" name="Chart 2">
          <a:extLst>
            <a:ext uri="{FF2B5EF4-FFF2-40B4-BE49-F238E27FC236}">
              <a16:creationId xmlns:a16="http://schemas.microsoft.com/office/drawing/2014/main" id="{00000000-0008-0000-0100-000003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editAs="oneCell">
    <xdr:from>
      <xdr:col>0</xdr:col>
      <xdr:colOff>0</xdr:colOff>
      <xdr:row>20</xdr:row>
      <xdr:rowOff>78120</xdr:rowOff>
    </xdr:from>
    <xdr:to>
      <xdr:col>4</xdr:col>
      <xdr:colOff>582840</xdr:colOff>
      <xdr:row>35</xdr:row>
      <xdr:rowOff>99000</xdr:rowOff>
    </xdr:to>
    <xdr:graphicFrame macro="">
      <xdr:nvGraphicFramePr>
        <xdr:cNvPr id="4" name="Chart 3">
          <a:extLst>
            <a:ext uri="{FF2B5EF4-FFF2-40B4-BE49-F238E27FC236}">
              <a16:creationId xmlns:a16="http://schemas.microsoft.com/office/drawing/2014/main" id="{00000000-0008-0000-0100-000004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wsDr>
</file>

<file path=xl/drawings/drawing2.xml><?xml version="1.0" encoding="utf-8"?>
<xdr:wsDr xmlns:xdr="http://schemas.openxmlformats.org/drawingml/2006/spreadsheetDrawing" xmlns:a="http://schemas.openxmlformats.org/drawingml/2006/main">
  <xdr:twoCellAnchor editAs="oneCell">
    <xdr:from>
      <xdr:col>0</xdr:col>
      <xdr:colOff>0</xdr:colOff>
      <xdr:row>17</xdr:row>
      <xdr:rowOff>130680</xdr:rowOff>
    </xdr:from>
    <xdr:to>
      <xdr:col>1</xdr:col>
      <xdr:colOff>1703520</xdr:colOff>
      <xdr:row>30</xdr:row>
      <xdr:rowOff>720</xdr:rowOff>
    </xdr:to>
    <xdr:graphicFrame macro="">
      <xdr:nvGraphicFramePr>
        <xdr:cNvPr id="3" name="Chart 1">
          <a:extLst>
            <a:ext uri="{FF2B5EF4-FFF2-40B4-BE49-F238E27FC236}">
              <a16:creationId xmlns:a16="http://schemas.microsoft.com/office/drawing/2014/main" id="{00000000-0008-0000-0200-000003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5</xdr:col>
      <xdr:colOff>0</xdr:colOff>
      <xdr:row>17</xdr:row>
      <xdr:rowOff>130680</xdr:rowOff>
    </xdr:from>
    <xdr:to>
      <xdr:col>9</xdr:col>
      <xdr:colOff>505080</xdr:colOff>
      <xdr:row>30</xdr:row>
      <xdr:rowOff>720</xdr:rowOff>
    </xdr:to>
    <xdr:graphicFrame macro="">
      <xdr:nvGraphicFramePr>
        <xdr:cNvPr id="4" name="Chart 2">
          <a:extLst>
            <a:ext uri="{FF2B5EF4-FFF2-40B4-BE49-F238E27FC236}">
              <a16:creationId xmlns:a16="http://schemas.microsoft.com/office/drawing/2014/main" id="{00000000-0008-0000-0200-000004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wsDr>
</file>

<file path=xl/drawings/drawing3.xml><?xml version="1.0" encoding="utf-8"?>
<xdr:wsDr xmlns:xdr="http://schemas.openxmlformats.org/drawingml/2006/spreadsheetDrawing" xmlns:a="http://schemas.openxmlformats.org/drawingml/2006/main">
  <xdr:twoCellAnchor editAs="oneCell">
    <xdr:from>
      <xdr:col>0</xdr:col>
      <xdr:colOff>0</xdr:colOff>
      <xdr:row>17</xdr:row>
      <xdr:rowOff>78120</xdr:rowOff>
    </xdr:from>
    <xdr:to>
      <xdr:col>6</xdr:col>
      <xdr:colOff>447480</xdr:colOff>
      <xdr:row>34</xdr:row>
      <xdr:rowOff>78120</xdr:rowOff>
    </xdr:to>
    <xdr:graphicFrame macro="">
      <xdr:nvGraphicFramePr>
        <xdr:cNvPr id="5" name="Chart 1">
          <a:extLst>
            <a:ext uri="{FF2B5EF4-FFF2-40B4-BE49-F238E27FC236}">
              <a16:creationId xmlns:a16="http://schemas.microsoft.com/office/drawing/2014/main" id="{00000000-0008-0000-0300-000005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6</xdr:col>
      <xdr:colOff>0</xdr:colOff>
      <xdr:row>8</xdr:row>
      <xdr:rowOff>78120</xdr:rowOff>
    </xdr:from>
    <xdr:to>
      <xdr:col>11</xdr:col>
      <xdr:colOff>353880</xdr:colOff>
      <xdr:row>25</xdr:row>
      <xdr:rowOff>78120</xdr:rowOff>
    </xdr:to>
    <xdr:graphicFrame macro="">
      <xdr:nvGraphicFramePr>
        <xdr:cNvPr id="6" name="Chart 2">
          <a:extLst>
            <a:ext uri="{FF2B5EF4-FFF2-40B4-BE49-F238E27FC236}">
              <a16:creationId xmlns:a16="http://schemas.microsoft.com/office/drawing/2014/main" id="{00000000-0008-0000-0300-000006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wsDr>
</file>

<file path=xl/drawings/drawing4.xml><?xml version="1.0" encoding="utf-8"?>
<xdr:wsDr xmlns:xdr="http://schemas.openxmlformats.org/drawingml/2006/spreadsheetDrawing" xmlns:a="http://schemas.openxmlformats.org/drawingml/2006/main">
  <xdr:twoCellAnchor editAs="oneCell">
    <xdr:from>
      <xdr:col>0</xdr:col>
      <xdr:colOff>0</xdr:colOff>
      <xdr:row>24</xdr:row>
      <xdr:rowOff>78120</xdr:rowOff>
    </xdr:from>
    <xdr:to>
      <xdr:col>5</xdr:col>
      <xdr:colOff>628200</xdr:colOff>
      <xdr:row>50</xdr:row>
      <xdr:rowOff>163800</xdr:rowOff>
    </xdr:to>
    <xdr:graphicFrame macro="">
      <xdr:nvGraphicFramePr>
        <xdr:cNvPr id="7" name="Chart 1">
          <a:extLst>
            <a:ext uri="{FF2B5EF4-FFF2-40B4-BE49-F238E27FC236}">
              <a16:creationId xmlns:a16="http://schemas.microsoft.com/office/drawing/2014/main" id="{00000000-0008-0000-0400-000007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5.xml><?xml version="1.0" encoding="utf-8"?>
<xdr:wsDr xmlns:xdr="http://schemas.openxmlformats.org/drawingml/2006/spreadsheetDrawing" xmlns:a="http://schemas.openxmlformats.org/drawingml/2006/main">
  <xdr:twoCellAnchor editAs="oneCell">
    <xdr:from>
      <xdr:col>0</xdr:col>
      <xdr:colOff>0</xdr:colOff>
      <xdr:row>16</xdr:row>
      <xdr:rowOff>77760</xdr:rowOff>
    </xdr:from>
    <xdr:to>
      <xdr:col>5</xdr:col>
      <xdr:colOff>613080</xdr:colOff>
      <xdr:row>33</xdr:row>
      <xdr:rowOff>78120</xdr:rowOff>
    </xdr:to>
    <xdr:graphicFrame macro="">
      <xdr:nvGraphicFramePr>
        <xdr:cNvPr id="8" name="Chart 1">
          <a:extLst>
            <a:ext uri="{FF2B5EF4-FFF2-40B4-BE49-F238E27FC236}">
              <a16:creationId xmlns:a16="http://schemas.microsoft.com/office/drawing/2014/main" id="{00000000-0008-0000-0500-000008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0</xdr:col>
      <xdr:colOff>0</xdr:colOff>
      <xdr:row>34</xdr:row>
      <xdr:rowOff>77760</xdr:rowOff>
    </xdr:from>
    <xdr:to>
      <xdr:col>5</xdr:col>
      <xdr:colOff>613080</xdr:colOff>
      <xdr:row>51</xdr:row>
      <xdr:rowOff>78120</xdr:rowOff>
    </xdr:to>
    <xdr:graphicFrame macro="">
      <xdr:nvGraphicFramePr>
        <xdr:cNvPr id="9" name="Chart 2">
          <a:extLst>
            <a:ext uri="{FF2B5EF4-FFF2-40B4-BE49-F238E27FC236}">
              <a16:creationId xmlns:a16="http://schemas.microsoft.com/office/drawing/2014/main" id="{00000000-0008-0000-0500-000009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wsDr>
</file>

<file path=xl/drawings/drawing6.xml><?xml version="1.0" encoding="utf-8"?>
<xdr:wsDr xmlns:xdr="http://schemas.openxmlformats.org/drawingml/2006/spreadsheetDrawing" xmlns:a="http://schemas.openxmlformats.org/drawingml/2006/main">
  <xdr:twoCellAnchor editAs="oneCell">
    <xdr:from>
      <xdr:col>0</xdr:col>
      <xdr:colOff>0</xdr:colOff>
      <xdr:row>21</xdr:row>
      <xdr:rowOff>18360</xdr:rowOff>
    </xdr:from>
    <xdr:to>
      <xdr:col>5</xdr:col>
      <xdr:colOff>550800</xdr:colOff>
      <xdr:row>36</xdr:row>
      <xdr:rowOff>40320</xdr:rowOff>
    </xdr:to>
    <xdr:graphicFrame macro="">
      <xdr:nvGraphicFramePr>
        <xdr:cNvPr id="10" name="Chart 1">
          <a:extLst>
            <a:ext uri="{FF2B5EF4-FFF2-40B4-BE49-F238E27FC236}">
              <a16:creationId xmlns:a16="http://schemas.microsoft.com/office/drawing/2014/main" id="{00000000-0008-0000-0600-00000A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7.xml><?xml version="1.0" encoding="utf-8"?>
<xdr:wsDr xmlns:xdr="http://schemas.openxmlformats.org/drawingml/2006/spreadsheetDrawing" xmlns:a="http://schemas.openxmlformats.org/drawingml/2006/main">
  <xdr:twoCellAnchor editAs="oneCell">
    <xdr:from>
      <xdr:col>0</xdr:col>
      <xdr:colOff>0</xdr:colOff>
      <xdr:row>23</xdr:row>
      <xdr:rowOff>96480</xdr:rowOff>
    </xdr:from>
    <xdr:to>
      <xdr:col>5</xdr:col>
      <xdr:colOff>550800</xdr:colOff>
      <xdr:row>38</xdr:row>
      <xdr:rowOff>118080</xdr:rowOff>
    </xdr:to>
    <xdr:graphicFrame macro="">
      <xdr:nvGraphicFramePr>
        <xdr:cNvPr id="11" name="Chart 1">
          <a:extLst>
            <a:ext uri="{FF2B5EF4-FFF2-40B4-BE49-F238E27FC236}">
              <a16:creationId xmlns:a16="http://schemas.microsoft.com/office/drawing/2014/main" id="{00000000-0008-0000-0700-00000B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5</xdr:col>
      <xdr:colOff>0</xdr:colOff>
      <xdr:row>23</xdr:row>
      <xdr:rowOff>96480</xdr:rowOff>
    </xdr:from>
    <xdr:to>
      <xdr:col>15</xdr:col>
      <xdr:colOff>4320</xdr:colOff>
      <xdr:row>38</xdr:row>
      <xdr:rowOff>118080</xdr:rowOff>
    </xdr:to>
    <xdr:graphicFrame macro="">
      <xdr:nvGraphicFramePr>
        <xdr:cNvPr id="12" name="Chart 2">
          <a:extLst>
            <a:ext uri="{FF2B5EF4-FFF2-40B4-BE49-F238E27FC236}">
              <a16:creationId xmlns:a16="http://schemas.microsoft.com/office/drawing/2014/main" id="{00000000-0008-0000-0700-00000C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wsDr>
</file>

<file path=xl/drawings/drawing8.xml><?xml version="1.0" encoding="utf-8"?>
<xdr:wsDr xmlns:xdr="http://schemas.openxmlformats.org/drawingml/2006/spreadsheetDrawing" xmlns:a="http://schemas.openxmlformats.org/drawingml/2006/main">
  <xdr:twoCellAnchor editAs="oneCell">
    <xdr:from>
      <xdr:col>0</xdr:col>
      <xdr:colOff>0</xdr:colOff>
      <xdr:row>30</xdr:row>
      <xdr:rowOff>174960</xdr:rowOff>
    </xdr:from>
    <xdr:to>
      <xdr:col>4</xdr:col>
      <xdr:colOff>739800</xdr:colOff>
      <xdr:row>46</xdr:row>
      <xdr:rowOff>6120</xdr:rowOff>
    </xdr:to>
    <xdr:graphicFrame macro="">
      <xdr:nvGraphicFramePr>
        <xdr:cNvPr id="13" name="Chart 1">
          <a:extLst>
            <a:ext uri="{FF2B5EF4-FFF2-40B4-BE49-F238E27FC236}">
              <a16:creationId xmlns:a16="http://schemas.microsoft.com/office/drawing/2014/main" id="{00000000-0008-0000-0800-00000D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5</xdr:col>
      <xdr:colOff>0</xdr:colOff>
      <xdr:row>30</xdr:row>
      <xdr:rowOff>174960</xdr:rowOff>
    </xdr:from>
    <xdr:to>
      <xdr:col>13</xdr:col>
      <xdr:colOff>147240</xdr:colOff>
      <xdr:row>46</xdr:row>
      <xdr:rowOff>6120</xdr:rowOff>
    </xdr:to>
    <xdr:graphicFrame macro="">
      <xdr:nvGraphicFramePr>
        <xdr:cNvPr id="14" name="Chart 2">
          <a:extLst>
            <a:ext uri="{FF2B5EF4-FFF2-40B4-BE49-F238E27FC236}">
              <a16:creationId xmlns:a16="http://schemas.microsoft.com/office/drawing/2014/main" id="{00000000-0008-0000-0800-00000E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wsDr>
</file>

<file path=xl/theme/theme1.xml><?xml version="1.0" encoding="utf-8"?>
<a:theme xmlns:a="http://schemas.openxmlformats.org/drawingml/2006/main" name="Office Them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majorFont>
      <a:minorFont>
        <a:latin typeface="Calibri"/>
        <a:ea typeface=""/>
        <a:cs typeface=""/>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a:gradFill>
        <a:gradFill>
          <a:gsLst>
            <a:gs pos="0">
              <a:schemeClr val="phClr">
                <a:shade val="51000"/>
              </a:schemeClr>
            </a:gs>
            <a:gs pos="80000">
              <a:schemeClr val="phClr">
                <a:shade val="93000"/>
              </a:schemeClr>
            </a:gs>
            <a:gs pos="100000">
              <a:schemeClr val="phClr">
                <a:shade val="94000"/>
              </a:schemeClr>
            </a:gs>
          </a:gsLst>
          <a:lin ang="16200000" scaled="0"/>
          <a:tileRect/>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a:gradFill>
        <a:gradFill>
          <a:gsLst>
            <a:gs pos="0">
              <a:schemeClr val="phClr">
                <a:tint val="80000"/>
              </a:schemeClr>
            </a:gs>
            <a:gs pos="100000">
              <a:schemeClr val="phClr">
                <a:shade val="30000"/>
              </a:schemeClr>
            </a:gs>
          </a:gsLst>
          <a:path path="circle">
            <a:fillToRect l="50000" t="50000" r="50000" b="50000"/>
          </a:path>
          <a:tileRect/>
        </a:gradFill>
      </a:bgFillStyleLst>
    </a:fmtScheme>
  </a:themeElements>
  <a:objectDefaults/>
  <a:extraClrSchemeLst/>
</a:theme>
</file>

<file path=xl/worksheets/_rels/sheet2.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4.xml"/></Relationships>
</file>

<file path=xl/worksheets/_rels/sheet6.xml.rels><?xml version="1.0" encoding="UTF-8" standalone="yes"?>
<Relationships xmlns="http://schemas.openxmlformats.org/package/2006/relationships"><Relationship Id="rId1" Type="http://schemas.openxmlformats.org/officeDocument/2006/relationships/drawing" Target="../drawings/drawing5.xml"/></Relationships>
</file>

<file path=xl/worksheets/_rels/sheet7.xml.rels><?xml version="1.0" encoding="UTF-8" standalone="yes"?>
<Relationships xmlns="http://schemas.openxmlformats.org/package/2006/relationships"><Relationship Id="rId1" Type="http://schemas.openxmlformats.org/officeDocument/2006/relationships/drawing" Target="../drawings/drawing6.xml"/></Relationships>
</file>

<file path=xl/worksheets/_rels/sheet8.xml.rels><?xml version="1.0" encoding="UTF-8" standalone="yes"?>
<Relationships xmlns="http://schemas.openxmlformats.org/package/2006/relationships"><Relationship Id="rId1" Type="http://schemas.openxmlformats.org/officeDocument/2006/relationships/drawing" Target="../drawings/drawing7.xml"/></Relationships>
</file>

<file path=xl/worksheets/_rels/sheet9.xml.rels><?xml version="1.0" encoding="UTF-8" standalone="yes"?>
<Relationships xmlns="http://schemas.openxmlformats.org/package/2006/relationships"><Relationship Id="rId1" Type="http://schemas.openxmlformats.org/officeDocument/2006/relationships/drawing" Target="../drawings/drawing8.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H80"/>
  <sheetViews>
    <sheetView showGridLines="0" zoomScaleNormal="100" workbookViewId="0"/>
  </sheetViews>
  <sheetFormatPr defaultColWidth="8.6640625" defaultRowHeight="14.4" x14ac:dyDescent="0.3"/>
  <cols>
    <col min="1" max="1" width="118" customWidth="1"/>
  </cols>
  <sheetData>
    <row r="1" spans="1:8" ht="13.5" customHeight="1" x14ac:dyDescent="0.3">
      <c r="A1" s="6" t="s">
        <v>0</v>
      </c>
      <c r="B1" s="6"/>
      <c r="C1" s="6"/>
      <c r="D1" s="6"/>
      <c r="E1" s="6"/>
      <c r="F1" s="6"/>
      <c r="G1" s="6"/>
      <c r="H1" s="6"/>
    </row>
    <row r="2" spans="1:8" ht="13.5" customHeight="1" x14ac:dyDescent="0.3">
      <c r="A2" s="5" t="s">
        <v>1</v>
      </c>
      <c r="B2" s="5"/>
      <c r="C2" s="5"/>
      <c r="D2" s="5"/>
      <c r="E2" s="5"/>
      <c r="F2" s="5"/>
      <c r="G2" s="5"/>
      <c r="H2" s="5"/>
    </row>
    <row r="3" spans="1:8" ht="13.5" customHeight="1" x14ac:dyDescent="0.3">
      <c r="A3" s="15"/>
      <c r="B3" s="15"/>
      <c r="C3" s="15"/>
      <c r="D3" s="15"/>
      <c r="E3" s="15"/>
      <c r="F3" s="15"/>
      <c r="G3" s="15"/>
      <c r="H3" s="15"/>
    </row>
    <row r="4" spans="1:8" ht="13.5" customHeight="1" x14ac:dyDescent="0.3">
      <c r="A4" s="4"/>
      <c r="B4" s="4"/>
      <c r="C4" s="4"/>
      <c r="D4" s="4"/>
      <c r="E4" s="4"/>
      <c r="F4" s="4"/>
      <c r="G4" s="4"/>
      <c r="H4" s="4"/>
    </row>
    <row r="5" spans="1:8" ht="13.5" customHeight="1" x14ac:dyDescent="0.3">
      <c r="A5" s="3" t="s">
        <v>2</v>
      </c>
      <c r="B5" s="3"/>
      <c r="C5" s="3"/>
      <c r="D5" s="3"/>
      <c r="E5" s="3"/>
      <c r="F5" s="3"/>
      <c r="G5" s="3"/>
      <c r="H5" s="3"/>
    </row>
    <row r="6" spans="1:8" ht="13.5" customHeight="1" x14ac:dyDescent="0.3">
      <c r="A6" s="4" t="s">
        <v>3</v>
      </c>
      <c r="B6" s="4"/>
      <c r="C6" s="4"/>
      <c r="D6" s="4"/>
      <c r="E6" s="4"/>
      <c r="F6" s="4"/>
      <c r="G6" s="4"/>
      <c r="H6" s="4"/>
    </row>
    <row r="7" spans="1:8" ht="13.5" customHeight="1" x14ac:dyDescent="0.3">
      <c r="A7" s="4" t="s">
        <v>4</v>
      </c>
      <c r="B7" s="4"/>
      <c r="C7" s="4"/>
      <c r="D7" s="4"/>
      <c r="E7" s="4"/>
      <c r="F7" s="4"/>
      <c r="G7" s="4"/>
      <c r="H7" s="4"/>
    </row>
    <row r="8" spans="1:8" ht="13.5" customHeight="1" x14ac:dyDescent="0.3">
      <c r="A8" s="4"/>
      <c r="B8" s="4"/>
      <c r="C8" s="4"/>
      <c r="D8" s="4"/>
      <c r="E8" s="4"/>
      <c r="F8" s="4"/>
      <c r="G8" s="4"/>
      <c r="H8" s="4"/>
    </row>
    <row r="9" spans="1:8" ht="13.5" customHeight="1" x14ac:dyDescent="0.3">
      <c r="A9" s="3" t="s">
        <v>5</v>
      </c>
      <c r="B9" s="3"/>
      <c r="C9" s="3"/>
      <c r="D9" s="3"/>
      <c r="E9" s="3"/>
      <c r="F9" s="3"/>
      <c r="G9" s="3"/>
      <c r="H9" s="3"/>
    </row>
    <row r="10" spans="1:8" ht="13.5" customHeight="1" x14ac:dyDescent="0.3">
      <c r="A10" s="4" t="s">
        <v>6</v>
      </c>
      <c r="B10" s="4"/>
      <c r="C10" s="4"/>
      <c r="D10" s="4"/>
      <c r="E10" s="4"/>
      <c r="F10" s="4"/>
      <c r="G10" s="4"/>
      <c r="H10" s="4"/>
    </row>
    <row r="11" spans="1:8" ht="13.5" customHeight="1" x14ac:dyDescent="0.3">
      <c r="A11" s="4" t="s">
        <v>7</v>
      </c>
      <c r="B11" s="4"/>
      <c r="C11" s="4"/>
      <c r="D11" s="4"/>
      <c r="E11" s="4"/>
      <c r="F11" s="4"/>
      <c r="G11" s="4"/>
      <c r="H11" s="4"/>
    </row>
    <row r="12" spans="1:8" ht="13.5" customHeight="1" x14ac:dyDescent="0.3">
      <c r="A12" s="4" t="s">
        <v>8</v>
      </c>
      <c r="B12" s="4"/>
      <c r="C12" s="4"/>
      <c r="D12" s="4"/>
      <c r="E12" s="4"/>
      <c r="F12" s="4"/>
      <c r="G12" s="4"/>
      <c r="H12" s="4"/>
    </row>
    <row r="13" spans="1:8" ht="13.5" customHeight="1" x14ac:dyDescent="0.3">
      <c r="A13" s="4"/>
      <c r="B13" s="4"/>
      <c r="C13" s="4"/>
      <c r="D13" s="4"/>
      <c r="E13" s="4"/>
      <c r="F13" s="4"/>
      <c r="G13" s="4"/>
      <c r="H13" s="4"/>
    </row>
    <row r="14" spans="1:8" ht="13.5" customHeight="1" x14ac:dyDescent="0.3">
      <c r="A14" s="4" t="s">
        <v>9</v>
      </c>
      <c r="B14" s="4"/>
      <c r="C14" s="4"/>
      <c r="D14" s="4"/>
      <c r="E14" s="4"/>
      <c r="F14" s="4"/>
      <c r="G14" s="4"/>
      <c r="H14" s="4"/>
    </row>
    <row r="15" spans="1:8" ht="13.5" customHeight="1" x14ac:dyDescent="0.3">
      <c r="A15" s="4" t="s">
        <v>10</v>
      </c>
      <c r="B15" s="4"/>
      <c r="C15" s="4"/>
      <c r="D15" s="4"/>
      <c r="E15" s="4"/>
      <c r="F15" s="4"/>
      <c r="G15" s="4"/>
      <c r="H15" s="4"/>
    </row>
    <row r="16" spans="1:8" ht="13.5" customHeight="1" x14ac:dyDescent="0.3">
      <c r="A16" s="4" t="s">
        <v>11</v>
      </c>
      <c r="B16" s="4"/>
      <c r="C16" s="4"/>
      <c r="D16" s="4"/>
      <c r="E16" s="4"/>
      <c r="F16" s="4"/>
      <c r="G16" s="4"/>
      <c r="H16" s="4"/>
    </row>
    <row r="17" spans="1:8" ht="13.5" customHeight="1" x14ac:dyDescent="0.3">
      <c r="A17" s="4" t="s">
        <v>12</v>
      </c>
      <c r="B17" s="4"/>
      <c r="C17" s="4"/>
      <c r="D17" s="4"/>
      <c r="E17" s="4"/>
      <c r="F17" s="4"/>
      <c r="G17" s="4"/>
      <c r="H17" s="4"/>
    </row>
    <row r="18" spans="1:8" ht="13.5" customHeight="1" x14ac:dyDescent="0.3">
      <c r="A18" s="4" t="s">
        <v>13</v>
      </c>
      <c r="B18" s="4"/>
      <c r="C18" s="4"/>
      <c r="D18" s="4"/>
      <c r="E18" s="4"/>
      <c r="F18" s="4"/>
      <c r="G18" s="4"/>
      <c r="H18" s="4"/>
    </row>
    <row r="19" spans="1:8" ht="13.5" customHeight="1" x14ac:dyDescent="0.3">
      <c r="A19" s="4" t="s">
        <v>14</v>
      </c>
      <c r="B19" s="4"/>
      <c r="C19" s="4"/>
      <c r="D19" s="4"/>
      <c r="E19" s="4"/>
      <c r="F19" s="4"/>
      <c r="G19" s="4"/>
      <c r="H19" s="4"/>
    </row>
    <row r="20" spans="1:8" ht="13.5" customHeight="1" x14ac:dyDescent="0.3">
      <c r="A20" s="4" t="s">
        <v>15</v>
      </c>
      <c r="B20" s="4"/>
      <c r="C20" s="4"/>
      <c r="D20" s="4"/>
      <c r="E20" s="4"/>
      <c r="F20" s="4"/>
      <c r="G20" s="4"/>
      <c r="H20" s="4"/>
    </row>
    <row r="21" spans="1:8" ht="13.5" customHeight="1" x14ac:dyDescent="0.3">
      <c r="A21" s="4" t="s">
        <v>16</v>
      </c>
      <c r="B21" s="4"/>
      <c r="C21" s="4"/>
      <c r="D21" s="4"/>
      <c r="E21" s="4"/>
      <c r="F21" s="4"/>
      <c r="G21" s="4"/>
      <c r="H21" s="4"/>
    </row>
    <row r="22" spans="1:8" ht="13.5" customHeight="1" x14ac:dyDescent="0.3">
      <c r="A22" s="4" t="s">
        <v>17</v>
      </c>
      <c r="B22" s="4"/>
      <c r="C22" s="4"/>
      <c r="D22" s="4"/>
      <c r="E22" s="4"/>
      <c r="F22" s="4"/>
      <c r="G22" s="4"/>
      <c r="H22" s="4"/>
    </row>
    <row r="23" spans="1:8" ht="13.5" customHeight="1" x14ac:dyDescent="0.3">
      <c r="A23" s="4" t="s">
        <v>18</v>
      </c>
      <c r="B23" s="4"/>
      <c r="C23" s="4"/>
      <c r="D23" s="4"/>
      <c r="E23" s="4"/>
      <c r="F23" s="4"/>
      <c r="G23" s="4"/>
      <c r="H23" s="4"/>
    </row>
    <row r="24" spans="1:8" ht="13.5" customHeight="1" x14ac:dyDescent="0.3">
      <c r="A24" s="4"/>
      <c r="B24" s="4"/>
      <c r="C24" s="4"/>
      <c r="D24" s="4"/>
      <c r="E24" s="4"/>
      <c r="F24" s="4"/>
      <c r="G24" s="4"/>
      <c r="H24" s="4"/>
    </row>
    <row r="25" spans="1:8" ht="13.5" customHeight="1" x14ac:dyDescent="0.3">
      <c r="A25" s="4" t="s">
        <v>19</v>
      </c>
      <c r="B25" s="4"/>
      <c r="C25" s="4"/>
      <c r="D25" s="4"/>
      <c r="E25" s="4"/>
      <c r="F25" s="4"/>
      <c r="G25" s="4"/>
      <c r="H25" s="4"/>
    </row>
    <row r="26" spans="1:8" ht="13.5" customHeight="1" x14ac:dyDescent="0.3">
      <c r="A26" s="2" t="s">
        <v>20</v>
      </c>
      <c r="B26" s="2"/>
      <c r="C26" s="2"/>
      <c r="D26" s="2"/>
      <c r="E26" s="2"/>
      <c r="F26" s="2"/>
      <c r="G26" s="2"/>
      <c r="H26" s="2"/>
    </row>
    <row r="27" spans="1:8" ht="13.5" customHeight="1" x14ac:dyDescent="0.3">
      <c r="A27" s="2" t="s">
        <v>21</v>
      </c>
      <c r="B27" s="2"/>
      <c r="C27" s="2"/>
      <c r="D27" s="2"/>
      <c r="E27" s="2"/>
      <c r="F27" s="2"/>
      <c r="G27" s="2"/>
      <c r="H27" s="2"/>
    </row>
    <row r="28" spans="1:8" ht="13.5" customHeight="1" x14ac:dyDescent="0.3">
      <c r="A28" s="2" t="s">
        <v>22</v>
      </c>
      <c r="B28" s="2"/>
      <c r="C28" s="2"/>
      <c r="D28" s="2"/>
      <c r="E28" s="2"/>
      <c r="F28" s="2"/>
      <c r="G28" s="2"/>
      <c r="H28" s="2"/>
    </row>
    <row r="29" spans="1:8" ht="13.5" customHeight="1" x14ac:dyDescent="0.3">
      <c r="A29" s="2" t="s">
        <v>23</v>
      </c>
      <c r="B29" s="2"/>
      <c r="C29" s="2"/>
      <c r="D29" s="2"/>
      <c r="E29" s="2"/>
      <c r="F29" s="2"/>
      <c r="G29" s="2"/>
      <c r="H29" s="2"/>
    </row>
    <row r="30" spans="1:8" ht="13.5" customHeight="1" x14ac:dyDescent="0.3">
      <c r="A30" s="2" t="s">
        <v>24</v>
      </c>
      <c r="B30" s="2"/>
      <c r="C30" s="2"/>
      <c r="D30" s="2"/>
      <c r="E30" s="2"/>
      <c r="F30" s="2"/>
      <c r="G30" s="2"/>
      <c r="H30" s="2"/>
    </row>
    <row r="31" spans="1:8" ht="13.5" customHeight="1" x14ac:dyDescent="0.3">
      <c r="A31" s="4"/>
      <c r="B31" s="4"/>
      <c r="C31" s="4"/>
      <c r="D31" s="4"/>
      <c r="E31" s="4"/>
      <c r="F31" s="4"/>
      <c r="G31" s="4"/>
      <c r="H31" s="4"/>
    </row>
    <row r="32" spans="1:8" ht="13.5" customHeight="1" x14ac:dyDescent="0.3">
      <c r="A32" s="4" t="s">
        <v>25</v>
      </c>
      <c r="B32" s="4"/>
      <c r="C32" s="4"/>
      <c r="D32" s="4"/>
      <c r="E32" s="4"/>
      <c r="F32" s="4"/>
      <c r="G32" s="4"/>
      <c r="H32" s="4"/>
    </row>
    <row r="33" spans="1:8" ht="13.5" customHeight="1" x14ac:dyDescent="0.3">
      <c r="A33" s="4" t="s">
        <v>26</v>
      </c>
      <c r="B33" s="4"/>
      <c r="C33" s="4"/>
      <c r="D33" s="4"/>
      <c r="E33" s="4"/>
      <c r="F33" s="4"/>
      <c r="G33" s="4"/>
      <c r="H33" s="4"/>
    </row>
    <row r="34" spans="1:8" ht="13.5" customHeight="1" x14ac:dyDescent="0.3">
      <c r="A34" s="4" t="s">
        <v>27</v>
      </c>
      <c r="B34" s="4"/>
      <c r="C34" s="4"/>
      <c r="D34" s="4"/>
      <c r="E34" s="4"/>
      <c r="F34" s="4"/>
      <c r="G34" s="4"/>
      <c r="H34" s="4"/>
    </row>
    <row r="35" spans="1:8" ht="13.5" customHeight="1" x14ac:dyDescent="0.3">
      <c r="A35" s="4" t="s">
        <v>28</v>
      </c>
      <c r="B35" s="4"/>
      <c r="C35" s="4"/>
      <c r="D35" s="4"/>
      <c r="E35" s="4"/>
      <c r="F35" s="4"/>
      <c r="G35" s="4"/>
      <c r="H35" s="4"/>
    </row>
    <row r="36" spans="1:8" ht="13.5" customHeight="1" x14ac:dyDescent="0.3">
      <c r="A36" s="4" t="s">
        <v>29</v>
      </c>
      <c r="B36" s="4"/>
      <c r="C36" s="4"/>
      <c r="D36" s="4"/>
      <c r="E36" s="4"/>
      <c r="F36" s="4"/>
      <c r="G36" s="4"/>
      <c r="H36" s="4"/>
    </row>
    <row r="37" spans="1:8" ht="13.5" customHeight="1" x14ac:dyDescent="0.3">
      <c r="A37" s="4" t="s">
        <v>30</v>
      </c>
      <c r="B37" s="4"/>
      <c r="C37" s="4"/>
      <c r="D37" s="4"/>
      <c r="E37" s="4"/>
      <c r="F37" s="4"/>
      <c r="G37" s="4"/>
      <c r="H37" s="4"/>
    </row>
    <row r="38" spans="1:8" ht="13.5" customHeight="1" x14ac:dyDescent="0.3">
      <c r="A38" s="4"/>
      <c r="B38" s="4"/>
      <c r="C38" s="4"/>
      <c r="D38" s="4"/>
      <c r="E38" s="4"/>
      <c r="F38" s="4"/>
      <c r="G38" s="4"/>
      <c r="H38" s="4"/>
    </row>
    <row r="39" spans="1:8" ht="13.5" customHeight="1" x14ac:dyDescent="0.3">
      <c r="A39" s="3" t="s">
        <v>31</v>
      </c>
      <c r="B39" s="3"/>
      <c r="C39" s="3"/>
      <c r="D39" s="3"/>
      <c r="E39" s="3"/>
      <c r="F39" s="3"/>
      <c r="G39" s="3"/>
      <c r="H39" s="3"/>
    </row>
    <row r="40" spans="1:8" ht="13.5" customHeight="1" x14ac:dyDescent="0.3">
      <c r="A40" s="4" t="s">
        <v>32</v>
      </c>
      <c r="B40" s="4"/>
      <c r="C40" s="4"/>
      <c r="D40" s="4"/>
      <c r="E40" s="4"/>
      <c r="F40" s="4"/>
      <c r="G40" s="4"/>
      <c r="H40" s="4"/>
    </row>
    <row r="41" spans="1:8" ht="13.5" customHeight="1" x14ac:dyDescent="0.3">
      <c r="A41" s="4" t="s">
        <v>33</v>
      </c>
      <c r="B41" s="4"/>
      <c r="C41" s="4"/>
      <c r="D41" s="4"/>
      <c r="E41" s="4"/>
      <c r="F41" s="4"/>
      <c r="G41" s="4"/>
      <c r="H41" s="4"/>
    </row>
    <row r="42" spans="1:8" ht="13.5" customHeight="1" x14ac:dyDescent="0.3">
      <c r="A42" s="4" t="s">
        <v>34</v>
      </c>
      <c r="B42" s="4"/>
      <c r="C42" s="4"/>
      <c r="D42" s="4"/>
      <c r="E42" s="4"/>
      <c r="F42" s="4"/>
      <c r="G42" s="4"/>
      <c r="H42" s="4"/>
    </row>
    <row r="43" spans="1:8" ht="13.5" customHeight="1" x14ac:dyDescent="0.3">
      <c r="A43" s="4" t="s">
        <v>35</v>
      </c>
      <c r="B43" s="4"/>
      <c r="C43" s="4"/>
      <c r="D43" s="4"/>
      <c r="E43" s="4"/>
      <c r="F43" s="4"/>
      <c r="G43" s="4"/>
      <c r="H43" s="4"/>
    </row>
    <row r="44" spans="1:8" ht="13.5" customHeight="1" x14ac:dyDescent="0.3">
      <c r="A44" s="4" t="s">
        <v>36</v>
      </c>
      <c r="B44" s="4"/>
      <c r="C44" s="4"/>
      <c r="D44" s="4"/>
      <c r="E44" s="4"/>
      <c r="F44" s="4"/>
      <c r="G44" s="4"/>
      <c r="H44" s="4"/>
    </row>
    <row r="45" spans="1:8" ht="13.5" customHeight="1" x14ac:dyDescent="0.3">
      <c r="A45" s="4" t="s">
        <v>37</v>
      </c>
      <c r="B45" s="4"/>
      <c r="C45" s="4"/>
      <c r="D45" s="4"/>
      <c r="E45" s="4"/>
      <c r="F45" s="4"/>
      <c r="G45" s="4"/>
      <c r="H45" s="4"/>
    </row>
    <row r="46" spans="1:8" ht="13.5" customHeight="1" x14ac:dyDescent="0.3">
      <c r="A46" s="4" t="s">
        <v>38</v>
      </c>
      <c r="B46" s="4"/>
      <c r="C46" s="4"/>
      <c r="D46" s="4"/>
      <c r="E46" s="4"/>
      <c r="F46" s="4"/>
      <c r="G46" s="4"/>
      <c r="H46" s="4"/>
    </row>
    <row r="47" spans="1:8" ht="13.5" customHeight="1" x14ac:dyDescent="0.3">
      <c r="A47" s="4" t="s">
        <v>39</v>
      </c>
      <c r="B47" s="4"/>
      <c r="C47" s="4"/>
      <c r="D47" s="4"/>
      <c r="E47" s="4"/>
      <c r="F47" s="4"/>
      <c r="G47" s="4"/>
      <c r="H47" s="4"/>
    </row>
    <row r="48" spans="1:8" ht="13.5" customHeight="1" x14ac:dyDescent="0.3">
      <c r="A48" s="4" t="s">
        <v>40</v>
      </c>
      <c r="B48" s="4"/>
      <c r="C48" s="4"/>
      <c r="D48" s="4"/>
      <c r="E48" s="4"/>
      <c r="F48" s="4"/>
      <c r="G48" s="4"/>
      <c r="H48" s="4"/>
    </row>
    <row r="49" spans="1:8" ht="13.5" customHeight="1" x14ac:dyDescent="0.3">
      <c r="A49" s="4" t="s">
        <v>41</v>
      </c>
      <c r="B49" s="4"/>
      <c r="C49" s="4"/>
      <c r="D49" s="4"/>
      <c r="E49" s="4"/>
      <c r="F49" s="4"/>
      <c r="G49" s="4"/>
      <c r="H49" s="4"/>
    </row>
    <row r="50" spans="1:8" ht="13.5" customHeight="1" x14ac:dyDescent="0.3">
      <c r="A50" s="4" t="s">
        <v>42</v>
      </c>
      <c r="B50" s="4"/>
      <c r="C50" s="4"/>
      <c r="D50" s="4"/>
      <c r="E50" s="4"/>
      <c r="F50" s="4"/>
      <c r="G50" s="4"/>
      <c r="H50" s="4"/>
    </row>
    <row r="51" spans="1:8" ht="13.5" customHeight="1" x14ac:dyDescent="0.3">
      <c r="A51" s="4" t="s">
        <v>43</v>
      </c>
      <c r="B51" s="4"/>
      <c r="C51" s="4"/>
      <c r="D51" s="4"/>
      <c r="E51" s="4"/>
      <c r="F51" s="4"/>
      <c r="G51" s="4"/>
      <c r="H51" s="4"/>
    </row>
    <row r="52" spans="1:8" ht="13.5" customHeight="1" x14ac:dyDescent="0.3">
      <c r="A52" s="4" t="s">
        <v>44</v>
      </c>
      <c r="B52" s="4"/>
      <c r="C52" s="4"/>
      <c r="D52" s="4"/>
      <c r="E52" s="4"/>
      <c r="F52" s="4"/>
      <c r="G52" s="4"/>
      <c r="H52" s="4"/>
    </row>
    <row r="53" spans="1:8" ht="13.5" customHeight="1" x14ac:dyDescent="0.3">
      <c r="A53" s="4" t="s">
        <v>45</v>
      </c>
      <c r="B53" s="4"/>
      <c r="C53" s="4"/>
      <c r="D53" s="4"/>
      <c r="E53" s="4"/>
      <c r="F53" s="4"/>
      <c r="G53" s="4"/>
      <c r="H53" s="4"/>
    </row>
    <row r="54" spans="1:8" ht="13.5" customHeight="1" x14ac:dyDescent="0.3">
      <c r="A54" s="4"/>
      <c r="B54" s="4"/>
      <c r="C54" s="4"/>
      <c r="D54" s="4"/>
      <c r="E54" s="4"/>
      <c r="F54" s="4"/>
      <c r="G54" s="4"/>
      <c r="H54" s="4"/>
    </row>
    <row r="55" spans="1:8" ht="13.5" customHeight="1" x14ac:dyDescent="0.3">
      <c r="A55" s="3" t="s">
        <v>46</v>
      </c>
      <c r="B55" s="3"/>
      <c r="C55" s="3"/>
      <c r="D55" s="3"/>
      <c r="E55" s="3"/>
      <c r="F55" s="3"/>
      <c r="G55" s="3"/>
      <c r="H55" s="3"/>
    </row>
    <row r="56" spans="1:8" ht="13.5" customHeight="1" x14ac:dyDescent="0.3">
      <c r="A56" s="4" t="s">
        <v>47</v>
      </c>
      <c r="B56" s="4"/>
      <c r="C56" s="4"/>
      <c r="D56" s="4"/>
      <c r="E56" s="4"/>
      <c r="F56" s="4"/>
      <c r="G56" s="4"/>
      <c r="H56" s="4"/>
    </row>
    <row r="57" spans="1:8" ht="13.5" customHeight="1" x14ac:dyDescent="0.3">
      <c r="A57" s="4" t="s">
        <v>48</v>
      </c>
      <c r="B57" s="4"/>
      <c r="C57" s="4"/>
      <c r="D57" s="4"/>
      <c r="E57" s="4"/>
      <c r="F57" s="4"/>
      <c r="G57" s="4"/>
      <c r="H57" s="4"/>
    </row>
    <row r="58" spans="1:8" ht="13.5" customHeight="1" x14ac:dyDescent="0.3">
      <c r="A58" s="4" t="s">
        <v>49</v>
      </c>
      <c r="B58" s="4"/>
      <c r="C58" s="4"/>
      <c r="D58" s="4"/>
      <c r="E58" s="4"/>
      <c r="F58" s="4"/>
      <c r="G58" s="4"/>
      <c r="H58" s="4"/>
    </row>
    <row r="59" spans="1:8" ht="13.5" customHeight="1" x14ac:dyDescent="0.3">
      <c r="A59" s="4" t="s">
        <v>50</v>
      </c>
      <c r="B59" s="4"/>
      <c r="C59" s="4"/>
      <c r="D59" s="4"/>
      <c r="E59" s="4"/>
      <c r="F59" s="4"/>
      <c r="G59" s="4"/>
      <c r="H59" s="4"/>
    </row>
    <row r="60" spans="1:8" ht="13.5" customHeight="1" x14ac:dyDescent="0.3">
      <c r="A60" s="4" t="s">
        <v>51</v>
      </c>
      <c r="B60" s="4"/>
      <c r="C60" s="4"/>
      <c r="D60" s="4"/>
      <c r="E60" s="4"/>
      <c r="F60" s="4"/>
      <c r="G60" s="4"/>
      <c r="H60" s="4"/>
    </row>
    <row r="61" spans="1:8" ht="13.5" customHeight="1" x14ac:dyDescent="0.3">
      <c r="A61" s="4" t="s">
        <v>52</v>
      </c>
      <c r="B61" s="4"/>
      <c r="C61" s="4"/>
      <c r="D61" s="4"/>
      <c r="E61" s="4"/>
      <c r="F61" s="4"/>
      <c r="G61" s="4"/>
      <c r="H61" s="4"/>
    </row>
    <row r="62" spans="1:8" ht="13.5" customHeight="1" x14ac:dyDescent="0.3">
      <c r="A62" s="4" t="s">
        <v>53</v>
      </c>
      <c r="B62" s="4"/>
      <c r="C62" s="4"/>
      <c r="D62" s="4"/>
      <c r="E62" s="4"/>
      <c r="F62" s="4"/>
      <c r="G62" s="4"/>
      <c r="H62" s="4"/>
    </row>
    <row r="63" spans="1:8" ht="13.5" customHeight="1" x14ac:dyDescent="0.3">
      <c r="A63" s="4" t="s">
        <v>54</v>
      </c>
      <c r="B63" s="4"/>
      <c r="C63" s="4"/>
      <c r="D63" s="4"/>
      <c r="E63" s="4"/>
      <c r="F63" s="4"/>
      <c r="G63" s="4"/>
      <c r="H63" s="4"/>
    </row>
    <row r="64" spans="1:8" ht="13.5" customHeight="1" x14ac:dyDescent="0.3">
      <c r="A64" s="4" t="s">
        <v>55</v>
      </c>
      <c r="B64" s="4"/>
      <c r="C64" s="4"/>
      <c r="D64" s="4"/>
      <c r="E64" s="4"/>
      <c r="F64" s="4"/>
      <c r="G64" s="4"/>
      <c r="H64" s="4"/>
    </row>
    <row r="65" spans="1:8" ht="13.5" customHeight="1" x14ac:dyDescent="0.3">
      <c r="A65" s="15"/>
      <c r="B65" s="15"/>
      <c r="C65" s="15"/>
      <c r="D65" s="15"/>
      <c r="E65" s="15"/>
      <c r="F65" s="15"/>
      <c r="G65" s="15"/>
      <c r="H65" s="15"/>
    </row>
    <row r="66" spans="1:8" ht="13.5" customHeight="1" x14ac:dyDescent="0.3">
      <c r="A66" s="15"/>
      <c r="B66" s="15"/>
      <c r="C66" s="15"/>
      <c r="D66" s="15"/>
      <c r="E66" s="15"/>
      <c r="F66" s="15"/>
      <c r="G66" s="15"/>
      <c r="H66" s="15"/>
    </row>
    <row r="67" spans="1:8" ht="15" customHeight="1" x14ac:dyDescent="0.3">
      <c r="A67" s="16" t="s">
        <v>56</v>
      </c>
      <c r="B67" s="15"/>
      <c r="C67" s="15"/>
      <c r="D67" s="15"/>
      <c r="E67" s="15"/>
      <c r="F67" s="15"/>
      <c r="G67" s="15"/>
      <c r="H67" s="15"/>
    </row>
    <row r="69" spans="1:8" ht="15" customHeight="1" x14ac:dyDescent="0.3">
      <c r="A69" s="17" t="s">
        <v>57</v>
      </c>
    </row>
    <row r="70" spans="1:8" ht="15" customHeight="1" x14ac:dyDescent="0.3">
      <c r="A70" s="17" t="s">
        <v>58</v>
      </c>
    </row>
    <row r="71" spans="1:8" ht="15" customHeight="1" x14ac:dyDescent="0.3">
      <c r="A71" s="17" t="s">
        <v>59</v>
      </c>
    </row>
    <row r="72" spans="1:8" ht="15" customHeight="1" x14ac:dyDescent="0.3">
      <c r="A72" s="17" t="s">
        <v>60</v>
      </c>
    </row>
    <row r="73" spans="1:8" ht="15" customHeight="1" x14ac:dyDescent="0.3">
      <c r="A73" s="17" t="s">
        <v>61</v>
      </c>
    </row>
    <row r="74" spans="1:8" ht="15" customHeight="1" x14ac:dyDescent="0.3">
      <c r="A74" s="17" t="s">
        <v>62</v>
      </c>
    </row>
    <row r="75" spans="1:8" ht="15" customHeight="1" x14ac:dyDescent="0.3">
      <c r="A75" s="17" t="s">
        <v>63</v>
      </c>
    </row>
    <row r="76" spans="1:8" ht="15" customHeight="1" x14ac:dyDescent="0.3">
      <c r="A76" s="17" t="s">
        <v>64</v>
      </c>
    </row>
    <row r="77" spans="1:8" ht="15" customHeight="1" x14ac:dyDescent="0.3">
      <c r="A77" s="17" t="s">
        <v>65</v>
      </c>
    </row>
    <row r="78" spans="1:8" ht="15" customHeight="1" x14ac:dyDescent="0.3">
      <c r="A78" s="17" t="s">
        <v>66</v>
      </c>
    </row>
    <row r="79" spans="1:8" ht="15" customHeight="1" x14ac:dyDescent="0.3">
      <c r="A79" s="17" t="s">
        <v>67</v>
      </c>
    </row>
    <row r="80" spans="1:8" ht="15" customHeight="1" x14ac:dyDescent="0.3">
      <c r="A80" s="17" t="s">
        <v>68</v>
      </c>
    </row>
  </sheetData>
  <mergeCells count="63">
    <mergeCell ref="A62:H62"/>
    <mergeCell ref="A63:H63"/>
    <mergeCell ref="A64:H64"/>
    <mergeCell ref="A57:H57"/>
    <mergeCell ref="A58:H58"/>
    <mergeCell ref="A59:H59"/>
    <mergeCell ref="A60:H60"/>
    <mergeCell ref="A61:H61"/>
    <mergeCell ref="A52:H52"/>
    <mergeCell ref="A53:H53"/>
    <mergeCell ref="A54:H54"/>
    <mergeCell ref="A55:H55"/>
    <mergeCell ref="A56:H56"/>
    <mergeCell ref="A47:H47"/>
    <mergeCell ref="A48:H48"/>
    <mergeCell ref="A49:H49"/>
    <mergeCell ref="A50:H50"/>
    <mergeCell ref="A51:H51"/>
    <mergeCell ref="A42:H42"/>
    <mergeCell ref="A43:H43"/>
    <mergeCell ref="A44:H44"/>
    <mergeCell ref="A45:H45"/>
    <mergeCell ref="A46:H46"/>
    <mergeCell ref="A37:H37"/>
    <mergeCell ref="A38:H38"/>
    <mergeCell ref="A39:H39"/>
    <mergeCell ref="A40:H40"/>
    <mergeCell ref="A41:H41"/>
    <mergeCell ref="A32:H32"/>
    <mergeCell ref="A33:H33"/>
    <mergeCell ref="A34:H34"/>
    <mergeCell ref="A35:H35"/>
    <mergeCell ref="A36:H36"/>
    <mergeCell ref="A27:H27"/>
    <mergeCell ref="A28:H28"/>
    <mergeCell ref="A29:H29"/>
    <mergeCell ref="A30:H30"/>
    <mergeCell ref="A31:H31"/>
    <mergeCell ref="A22:H22"/>
    <mergeCell ref="A23:H23"/>
    <mergeCell ref="A24:H24"/>
    <mergeCell ref="A25:H25"/>
    <mergeCell ref="A26:H26"/>
    <mergeCell ref="A17:H17"/>
    <mergeCell ref="A18:H18"/>
    <mergeCell ref="A19:H19"/>
    <mergeCell ref="A20:H20"/>
    <mergeCell ref="A21:H21"/>
    <mergeCell ref="A12:H12"/>
    <mergeCell ref="A13:H13"/>
    <mergeCell ref="A14:H14"/>
    <mergeCell ref="A15:H15"/>
    <mergeCell ref="A16:H16"/>
    <mergeCell ref="A7:H7"/>
    <mergeCell ref="A8:H8"/>
    <mergeCell ref="A9:H9"/>
    <mergeCell ref="A10:H10"/>
    <mergeCell ref="A11:H11"/>
    <mergeCell ref="A1:H1"/>
    <mergeCell ref="A2:H2"/>
    <mergeCell ref="A4:H4"/>
    <mergeCell ref="A5:H5"/>
    <mergeCell ref="A6:H6"/>
  </mergeCells>
  <pageMargins left="0.75" right="0.75" top="1" bottom="1" header="0.511811023622047" footer="0.511811023622047"/>
  <pageSetup paperSize="9" orientation="portrait" horizontalDpi="300" verticalDpi="300"/>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J19"/>
  <sheetViews>
    <sheetView showGridLines="0" zoomScaleNormal="100" workbookViewId="0">
      <selection sqref="A1:J1"/>
    </sheetView>
  </sheetViews>
  <sheetFormatPr defaultColWidth="8.6640625" defaultRowHeight="14.4" x14ac:dyDescent="0.3"/>
  <cols>
    <col min="1" max="2" width="14" customWidth="1"/>
    <col min="3" max="3" width="13" customWidth="1"/>
    <col min="4" max="4" width="12" customWidth="1"/>
    <col min="5" max="5" width="14" customWidth="1"/>
    <col min="6" max="6" width="12" customWidth="1"/>
    <col min="7" max="7" width="13" customWidth="1"/>
    <col min="8" max="8" width="15" customWidth="1"/>
  </cols>
  <sheetData>
    <row r="1" spans="1:10" ht="27.75" customHeight="1" x14ac:dyDescent="0.3">
      <c r="A1" s="14" t="s">
        <v>69</v>
      </c>
      <c r="B1" s="14"/>
      <c r="C1" s="14"/>
      <c r="D1" s="14"/>
      <c r="E1" s="14"/>
      <c r="F1" s="14"/>
      <c r="G1" s="14"/>
      <c r="H1" s="14"/>
      <c r="I1" s="14"/>
      <c r="J1" s="14"/>
    </row>
    <row r="2" spans="1:10" ht="18" customHeight="1" x14ac:dyDescent="0.3">
      <c r="A2" s="13" t="s">
        <v>70</v>
      </c>
      <c r="B2" s="13"/>
      <c r="C2" s="13"/>
      <c r="D2" s="13"/>
      <c r="E2" s="13"/>
      <c r="F2" s="13"/>
      <c r="G2" s="13"/>
      <c r="H2" s="13"/>
      <c r="I2" s="13"/>
      <c r="J2" s="13"/>
    </row>
    <row r="4" spans="1:10" ht="18" customHeight="1" x14ac:dyDescent="0.3">
      <c r="A4" s="12" t="s">
        <v>71</v>
      </c>
      <c r="B4" s="12"/>
      <c r="C4" s="11" t="s">
        <v>72</v>
      </c>
      <c r="D4" s="11"/>
      <c r="E4" s="10" t="s">
        <v>73</v>
      </c>
      <c r="F4" s="10"/>
      <c r="G4" s="9" t="s">
        <v>74</v>
      </c>
      <c r="H4" s="9"/>
      <c r="I4" s="11" t="s">
        <v>75</v>
      </c>
      <c r="J4" s="11"/>
    </row>
    <row r="5" spans="1:10" ht="30" customHeight="1" x14ac:dyDescent="0.3">
      <c r="A5" s="8">
        <f>COUNTA(Combined_Data!$A$2:$A$3001)</f>
        <v>3000</v>
      </c>
      <c r="B5" s="8"/>
      <c r="C5" s="8">
        <f>COUNTIF(Combined_Data!$AG$2:$AG$3001,"Likely Ghost")</f>
        <v>146</v>
      </c>
      <c r="D5" s="8"/>
      <c r="E5" s="8">
        <f>COUNTIF(Combined_Data!$AG$2:$AG$3001,"Uncertain")</f>
        <v>1543</v>
      </c>
      <c r="F5" s="8"/>
      <c r="G5" s="8">
        <f>COUNTIF(Combined_Data!$AG$2:$AG$3001,"Likely Genuine")</f>
        <v>1311</v>
      </c>
      <c r="H5" s="8"/>
      <c r="I5" s="7">
        <f>COUNTIF(Combined_Data!$AG$2:$AG$3001,"Likely Ghost")/COUNTA(Combined_Data!$A$2:$A$3001)*100</f>
        <v>4.8666666666666663</v>
      </c>
      <c r="J5" s="7"/>
    </row>
    <row r="6" spans="1:10" ht="15" customHeight="1" x14ac:dyDescent="0.3">
      <c r="A6" s="8"/>
      <c r="B6" s="8"/>
      <c r="C6" s="8"/>
      <c r="D6" s="8"/>
      <c r="E6" s="8"/>
      <c r="F6" s="8"/>
      <c r="G6" s="8"/>
      <c r="H6" s="8"/>
      <c r="I6" s="7"/>
      <c r="J6" s="7"/>
    </row>
    <row r="9" spans="1:10" ht="15" customHeight="1" x14ac:dyDescent="0.3">
      <c r="A9" s="18" t="s">
        <v>76</v>
      </c>
    </row>
    <row r="10" spans="1:10" ht="23.25" customHeight="1" x14ac:dyDescent="0.3">
      <c r="A10" s="19" t="s">
        <v>77</v>
      </c>
      <c r="B10" s="19" t="s">
        <v>71</v>
      </c>
      <c r="C10" s="19" t="s">
        <v>72</v>
      </c>
      <c r="D10" s="19" t="s">
        <v>73</v>
      </c>
      <c r="E10" s="19" t="s">
        <v>74</v>
      </c>
      <c r="F10" s="19" t="s">
        <v>75</v>
      </c>
      <c r="G10" s="19" t="s">
        <v>78</v>
      </c>
      <c r="H10" s="19" t="s">
        <v>79</v>
      </c>
    </row>
    <row r="11" spans="1:10" ht="15" customHeight="1" x14ac:dyDescent="0.3">
      <c r="A11" s="20" t="s">
        <v>80</v>
      </c>
      <c r="B11" s="21">
        <f>COUNTIF(Combined_Data!$B$2:$B$3001,"LinkedIn")</f>
        <v>1000</v>
      </c>
      <c r="C11" s="21">
        <f>COUNTIFS(Combined_Data!$B$2:$B$3001,"LinkedIn",Combined_Data!$AG$2:$AG$3001,"Likely Ghost")</f>
        <v>77</v>
      </c>
      <c r="D11" s="21">
        <f>COUNTIFS(Combined_Data!$B$2:$B$3001,"LinkedIn",Combined_Data!$AG$2:$AG$3001,"Uncertain")</f>
        <v>669</v>
      </c>
      <c r="E11" s="21">
        <f>COUNTIFS(Combined_Data!$B$2:$B$3001,"LinkedIn",Combined_Data!$AG$2:$AG$3001,"Likely Genuine")</f>
        <v>254</v>
      </c>
      <c r="F11" s="22">
        <f>C11/B11*100</f>
        <v>7.7</v>
      </c>
      <c r="G11" s="23">
        <f>AVERAGEIF(Combined_Data!$B$2:$B$3001,"LinkedIn",Combined_Data!$K$2:$K$3001)</f>
        <v>40.734000000000002</v>
      </c>
      <c r="H11" s="22">
        <f>AVERAGEIF(Combined_Data!$B$2:$B$3001,"LinkedIn",Combined_Data!$AF$2:$AF$3001)</f>
        <v>33.139699999999792</v>
      </c>
    </row>
    <row r="12" spans="1:10" ht="15" customHeight="1" x14ac:dyDescent="0.3">
      <c r="A12" s="24" t="s">
        <v>81</v>
      </c>
      <c r="B12" s="25">
        <f>COUNTIF(Combined_Data!$B$2:$B$3001,"Indeed")</f>
        <v>1000</v>
      </c>
      <c r="C12" s="25">
        <f>COUNTIFS(Combined_Data!$B$2:$B$3001,"Indeed",Combined_Data!$AG$2:$AG$3001,"Likely Ghost")</f>
        <v>44</v>
      </c>
      <c r="D12" s="25">
        <f>COUNTIFS(Combined_Data!$B$2:$B$3001,"Indeed",Combined_Data!$AG$2:$AG$3001,"Uncertain")</f>
        <v>435</v>
      </c>
      <c r="E12" s="25">
        <f>COUNTIFS(Combined_Data!$B$2:$B$3001,"Indeed",Combined_Data!$AG$2:$AG$3001,"Likely Genuine")</f>
        <v>521</v>
      </c>
      <c r="F12" s="26">
        <f>C12/B12*100</f>
        <v>4.3999999999999995</v>
      </c>
      <c r="G12" s="27">
        <f>AVERAGEIF(Combined_Data!$B$2:$B$3001,"Indeed",Combined_Data!$K$2:$K$3001)</f>
        <v>0.76309999999999756</v>
      </c>
      <c r="H12" s="26">
        <f>AVERAGEIF(Combined_Data!$B$2:$B$3001,"Indeed",Combined_Data!$AF$2:$AF$3001)</f>
        <v>24.10539999999968</v>
      </c>
    </row>
    <row r="13" spans="1:10" ht="15" customHeight="1" x14ac:dyDescent="0.3">
      <c r="A13" s="20" t="s">
        <v>82</v>
      </c>
      <c r="B13" s="21">
        <f>COUNTIF(Combined_Data!$B$2:$B$3001,"Glassdoor")</f>
        <v>1000</v>
      </c>
      <c r="C13" s="21">
        <f>COUNTIFS(Combined_Data!$B$2:$B$3001,"Glassdoor",Combined_Data!$AG$2:$AG$3001,"Likely Ghost")</f>
        <v>25</v>
      </c>
      <c r="D13" s="21">
        <f>COUNTIFS(Combined_Data!$B$2:$B$3001,"Glassdoor",Combined_Data!$AG$2:$AG$3001,"Uncertain")</f>
        <v>439</v>
      </c>
      <c r="E13" s="21">
        <f>COUNTIFS(Combined_Data!$B$2:$B$3001,"Glassdoor",Combined_Data!$AG$2:$AG$3001,"Likely Genuine")</f>
        <v>536</v>
      </c>
      <c r="F13" s="22">
        <f>C13/B13*100</f>
        <v>2.5</v>
      </c>
      <c r="G13" s="23">
        <f>AVERAGEIF(Combined_Data!$B$2:$B$3001,"Glassdoor",Combined_Data!$K$2:$K$3001)</f>
        <v>61.334000000000003</v>
      </c>
      <c r="H13" s="22">
        <f>AVERAGEIF(Combined_Data!$B$2:$B$3001,"Glassdoor",Combined_Data!$AF$2:$AF$3001)</f>
        <v>21.804999999999847</v>
      </c>
    </row>
    <row r="14" spans="1:10" ht="15" customHeight="1" x14ac:dyDescent="0.3">
      <c r="A14" s="28" t="s">
        <v>83</v>
      </c>
      <c r="B14" s="29">
        <f>SUM(B11:B13)</f>
        <v>3000</v>
      </c>
      <c r="C14" s="29">
        <f>SUM(C11:C13)</f>
        <v>146</v>
      </c>
      <c r="D14" s="29">
        <f>SUM(D11:D13)</f>
        <v>1543</v>
      </c>
      <c r="E14" s="29">
        <f>SUM(E11:E13)</f>
        <v>1311</v>
      </c>
      <c r="F14" s="30">
        <f>C14/B14*100</f>
        <v>4.8666666666666663</v>
      </c>
      <c r="G14" s="31">
        <f>AVERAGE(Combined_Data!$K$2:$K$3001)</f>
        <v>34.277033333333279</v>
      </c>
      <c r="H14" s="30">
        <f>AVERAGE(Combined_Data!$AF$2:$AF$3001)</f>
        <v>26.350033333334164</v>
      </c>
    </row>
    <row r="16" spans="1:10" ht="15" customHeight="1" x14ac:dyDescent="0.3">
      <c r="A16" s="32" t="s">
        <v>84</v>
      </c>
    </row>
    <row r="17" spans="1:2" ht="15" customHeight="1" x14ac:dyDescent="0.3">
      <c r="A17" t="s">
        <v>72</v>
      </c>
      <c r="B17" s="33">
        <f>COUNTIF(Combined_Data!$AG$2:$AG$3001,"Likely Ghost")</f>
        <v>146</v>
      </c>
    </row>
    <row r="18" spans="1:2" ht="15" customHeight="1" x14ac:dyDescent="0.3">
      <c r="A18" t="s">
        <v>73</v>
      </c>
      <c r="B18" s="33">
        <f>COUNTIF(Combined_Data!$AG$2:$AG$3001,"Uncertain")</f>
        <v>1543</v>
      </c>
    </row>
    <row r="19" spans="1:2" ht="15" customHeight="1" x14ac:dyDescent="0.3">
      <c r="A19" t="s">
        <v>74</v>
      </c>
      <c r="B19" s="33">
        <f>COUNTIF(Combined_Data!$AG$2:$AG$3001,"Likely Genuine")</f>
        <v>1311</v>
      </c>
    </row>
  </sheetData>
  <mergeCells count="12">
    <mergeCell ref="A5:B6"/>
    <mergeCell ref="C5:D6"/>
    <mergeCell ref="E5:F6"/>
    <mergeCell ref="G5:H6"/>
    <mergeCell ref="I5:J6"/>
    <mergeCell ref="A1:J1"/>
    <mergeCell ref="A2:J2"/>
    <mergeCell ref="A4:B4"/>
    <mergeCell ref="C4:D4"/>
    <mergeCell ref="E4:F4"/>
    <mergeCell ref="G4:H4"/>
    <mergeCell ref="I4:J4"/>
  </mergeCells>
  <pageMargins left="0.75" right="0.75" top="1" bottom="1" header="0.511811023622047" footer="0.511811023622047"/>
  <pageSetup paperSize="9" orientation="portrait" horizontalDpi="300" verticalDpi="300"/>
  <drawing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tabColor rgb="FF1F6F6B"/>
  </sheetPr>
  <dimension ref="A1:O436"/>
  <sheetViews>
    <sheetView showGridLines="0" tabSelected="1" zoomScaleNormal="100" workbookViewId="0">
      <selection activeCell="B6" sqref="B6:D6"/>
    </sheetView>
  </sheetViews>
  <sheetFormatPr defaultColWidth="8.6640625" defaultRowHeight="14.4" x14ac:dyDescent="0.3"/>
  <cols>
    <col min="1" max="1" width="32" customWidth="1"/>
    <col min="2" max="2" width="26" customWidth="1"/>
    <col min="3" max="3" width="11" customWidth="1"/>
    <col min="4" max="4" width="17" customWidth="1"/>
    <col min="5" max="5" width="16" customWidth="1"/>
    <col min="6" max="6" width="12" customWidth="1"/>
    <col min="7" max="7" width="9" customWidth="1"/>
    <col min="8" max="8" width="17" customWidth="1"/>
    <col min="9" max="9" width="11" customWidth="1"/>
    <col min="10" max="10" width="15" customWidth="1"/>
    <col min="11" max="11" width="10" customWidth="1"/>
    <col min="12" max="12" width="13" customWidth="1"/>
    <col min="13" max="13" width="10" customWidth="1"/>
    <col min="15" max="15" width="13" hidden="1" customWidth="1"/>
  </cols>
  <sheetData>
    <row r="1" spans="1:13" ht="19.5" customHeight="1" x14ac:dyDescent="0.4">
      <c r="A1" s="34" t="s">
        <v>85</v>
      </c>
    </row>
    <row r="2" spans="1:13" ht="15" customHeight="1" x14ac:dyDescent="0.3">
      <c r="A2" s="1" t="s">
        <v>86</v>
      </c>
      <c r="B2" s="1"/>
      <c r="C2" s="1"/>
      <c r="D2" s="1"/>
      <c r="E2" s="1"/>
      <c r="F2" s="1"/>
      <c r="G2" s="1"/>
      <c r="H2" s="1"/>
      <c r="I2" s="1"/>
      <c r="J2" s="1"/>
      <c r="K2" s="1"/>
      <c r="L2" s="1"/>
      <c r="M2" s="1"/>
    </row>
    <row r="4" spans="1:13" ht="15" customHeight="1" x14ac:dyDescent="0.3">
      <c r="A4" s="72" t="s">
        <v>87</v>
      </c>
      <c r="B4" s="72"/>
      <c r="C4" s="72"/>
      <c r="D4" s="72"/>
      <c r="E4" s="37"/>
      <c r="F4" s="37"/>
      <c r="G4" s="37"/>
      <c r="H4" s="37"/>
    </row>
    <row r="5" spans="1:13" ht="15" customHeight="1" x14ac:dyDescent="0.3">
      <c r="A5" s="38" t="s">
        <v>88</v>
      </c>
      <c r="B5" s="73" t="s">
        <v>147</v>
      </c>
      <c r="C5" s="73"/>
      <c r="D5" s="73"/>
      <c r="F5" s="74" t="s">
        <v>90</v>
      </c>
      <c r="G5" s="74"/>
      <c r="H5" s="74"/>
      <c r="I5" s="74"/>
      <c r="J5" s="74"/>
      <c r="K5" s="74"/>
      <c r="L5" s="74"/>
      <c r="M5" s="74"/>
    </row>
    <row r="6" spans="1:13" ht="15" customHeight="1" x14ac:dyDescent="0.3">
      <c r="A6" s="38" t="s">
        <v>91</v>
      </c>
      <c r="B6" s="73" t="s">
        <v>92</v>
      </c>
      <c r="C6" s="73"/>
      <c r="D6" s="73"/>
      <c r="F6" s="74"/>
      <c r="G6" s="74"/>
      <c r="H6" s="74"/>
      <c r="I6" s="74"/>
      <c r="J6" s="74"/>
      <c r="K6" s="74"/>
      <c r="L6" s="74"/>
      <c r="M6" s="74"/>
    </row>
    <row r="7" spans="1:13" ht="15" customHeight="1" x14ac:dyDescent="0.3">
      <c r="A7" s="38" t="s">
        <v>93</v>
      </c>
      <c r="B7" s="73" t="s">
        <v>94</v>
      </c>
      <c r="C7" s="73"/>
      <c r="D7" s="73"/>
      <c r="F7" s="74"/>
      <c r="G7" s="74"/>
      <c r="H7" s="74"/>
      <c r="I7" s="74"/>
      <c r="J7" s="74"/>
      <c r="K7" s="74"/>
      <c r="L7" s="74"/>
      <c r="M7" s="74"/>
    </row>
    <row r="8" spans="1:13" ht="15" customHeight="1" x14ac:dyDescent="0.3">
      <c r="A8" s="38" t="s">
        <v>95</v>
      </c>
      <c r="B8" s="73" t="s">
        <v>96</v>
      </c>
      <c r="C8" s="73"/>
      <c r="D8" s="73"/>
      <c r="F8" s="74"/>
      <c r="G8" s="74"/>
      <c r="H8" s="74"/>
      <c r="I8" s="74"/>
      <c r="J8" s="74"/>
      <c r="K8" s="74"/>
      <c r="L8" s="74"/>
      <c r="M8" s="74"/>
    </row>
    <row r="9" spans="1:13" ht="15" customHeight="1" x14ac:dyDescent="0.3">
      <c r="A9" s="72" t="s">
        <v>97</v>
      </c>
      <c r="B9" s="72"/>
      <c r="C9" s="72"/>
      <c r="D9" s="72"/>
      <c r="E9" s="72"/>
      <c r="F9" s="72"/>
      <c r="G9" s="72"/>
      <c r="H9" s="72"/>
      <c r="I9" s="72"/>
      <c r="J9" s="72"/>
      <c r="K9" s="72"/>
      <c r="L9" s="72"/>
      <c r="M9" s="72"/>
    </row>
    <row r="10" spans="1:13" ht="27.75" customHeight="1" x14ac:dyDescent="0.3">
      <c r="A10" s="75" t="s">
        <v>98</v>
      </c>
      <c r="B10" s="75"/>
      <c r="C10" s="76" t="s">
        <v>99</v>
      </c>
      <c r="D10" s="76"/>
      <c r="E10" s="77" t="s">
        <v>100</v>
      </c>
      <c r="F10" s="77"/>
      <c r="G10" s="75" t="s">
        <v>101</v>
      </c>
      <c r="H10" s="75"/>
      <c r="I10" s="77" t="s">
        <v>102</v>
      </c>
      <c r="J10" s="77"/>
      <c r="K10" s="78" t="s">
        <v>103</v>
      </c>
      <c r="L10" s="78"/>
    </row>
    <row r="11" spans="1:13" ht="25.5" customHeight="1" x14ac:dyDescent="0.3">
      <c r="A11" s="79">
        <f>SUM(Combined_Data!$AI$2:$AI$3001)</f>
        <v>24</v>
      </c>
      <c r="B11" s="79"/>
      <c r="C11" s="79">
        <f>SUMPRODUCT((Combined_Data!$AG$2:$AG$3001="Likely Ghost")*Combined_Data!$AI$2:$AI$3001)</f>
        <v>0</v>
      </c>
      <c r="D11" s="79"/>
      <c r="E11" s="80">
        <f>IFERROR(C11/A11*100,0)</f>
        <v>0</v>
      </c>
      <c r="F11" s="80"/>
      <c r="G11" s="81">
        <f>IFERROR(SUMPRODUCT(Combined_Data!$K$2:$K$3001*Combined_Data!$AI$2:$AI$3001)/A11,0)</f>
        <v>3.4083333333333319</v>
      </c>
      <c r="H11" s="81"/>
      <c r="I11" s="80">
        <f>IFERROR(SUMPRODUCT(Combined_Data!$AF$2:$AF$3001*Combined_Data!$AI$2:$AI$3001)/A11,0)</f>
        <v>29.195833333333329</v>
      </c>
      <c r="J11" s="80"/>
      <c r="K11" s="82">
        <f>IFERROR(SUMPRODUCT((Combined_Data!$T$2:$T$3001=TRUE())*Combined_Data!$AI$2:$AI$3001*Combined_Data!$S$2:$S$3001)/SUMPRODUCT((Combined_Data!$T$2:$T$3001=TRUE())*Combined_Data!$AI$2:$AI$3001),0)</f>
        <v>0</v>
      </c>
      <c r="L11" s="82"/>
    </row>
    <row r="13" spans="1:13" ht="15" customHeight="1" x14ac:dyDescent="0.3">
      <c r="A13" s="72" t="s">
        <v>104</v>
      </c>
      <c r="B13" s="72"/>
      <c r="C13" s="72"/>
      <c r="D13" s="72"/>
      <c r="F13" s="72" t="s">
        <v>105</v>
      </c>
      <c r="G13" s="72"/>
      <c r="H13" s="72"/>
      <c r="I13" s="72"/>
    </row>
    <row r="14" spans="1:13" ht="15" customHeight="1" x14ac:dyDescent="0.3">
      <c r="A14" s="36" t="s">
        <v>77</v>
      </c>
      <c r="B14" s="36" t="s">
        <v>106</v>
      </c>
      <c r="F14" s="36" t="s">
        <v>95</v>
      </c>
      <c r="G14" s="36" t="s">
        <v>106</v>
      </c>
    </row>
    <row r="15" spans="1:13" ht="15" customHeight="1" x14ac:dyDescent="0.3">
      <c r="A15" s="39" t="s">
        <v>80</v>
      </c>
      <c r="B15" s="39">
        <f>SUMPRODUCT((Combined_Data!$B$2:$B$3001="LinkedIn")*Combined_Data!$AI$2:$AI$3001)</f>
        <v>8</v>
      </c>
      <c r="F15" s="39" t="s">
        <v>72</v>
      </c>
      <c r="G15" s="39">
        <f>SUMPRODUCT((Combined_Data!$AG$2:$AG$3001="Likely Ghost")*Combined_Data!$AI$2:$AI$3001)</f>
        <v>0</v>
      </c>
    </row>
    <row r="16" spans="1:13" ht="15" customHeight="1" x14ac:dyDescent="0.3">
      <c r="A16" s="39" t="s">
        <v>81</v>
      </c>
      <c r="B16" s="39">
        <f>SUMPRODUCT((Combined_Data!$B$2:$B$3001="Indeed")*Combined_Data!$AI$2:$AI$3001)</f>
        <v>16</v>
      </c>
      <c r="F16" s="39" t="s">
        <v>73</v>
      </c>
      <c r="G16" s="39">
        <f>SUMPRODUCT((Combined_Data!$AG$2:$AG$3001="Uncertain")*Combined_Data!$AI$2:$AI$3001)</f>
        <v>18</v>
      </c>
    </row>
    <row r="17" spans="1:7" ht="15" customHeight="1" x14ac:dyDescent="0.3">
      <c r="A17" s="39" t="s">
        <v>82</v>
      </c>
      <c r="B17" s="39">
        <f>SUMPRODUCT((Combined_Data!$B$2:$B$3001="Glassdoor")*Combined_Data!$AI$2:$AI$3001)</f>
        <v>0</v>
      </c>
      <c r="F17" s="39" t="s">
        <v>74</v>
      </c>
      <c r="G17" s="39">
        <f>SUMPRODUCT((Combined_Data!$AG$2:$AG$3001="Likely Genuine")*Combined_Data!$AI$2:$AI$3001)</f>
        <v>6</v>
      </c>
    </row>
    <row r="33" spans="1:15" ht="15" customHeight="1" x14ac:dyDescent="0.3">
      <c r="A33" s="72" t="s">
        <v>107</v>
      </c>
      <c r="B33" s="72"/>
      <c r="C33" s="72"/>
      <c r="D33" s="72"/>
      <c r="E33" s="72"/>
      <c r="F33" s="72"/>
      <c r="G33" s="72"/>
      <c r="H33" s="72"/>
      <c r="I33" s="72"/>
      <c r="J33" s="72"/>
      <c r="K33" s="72"/>
      <c r="L33" s="72"/>
      <c r="M33" s="72"/>
    </row>
    <row r="34" spans="1:15" ht="15" customHeight="1" x14ac:dyDescent="0.3">
      <c r="A34" s="40" t="s">
        <v>108</v>
      </c>
      <c r="B34" s="40" t="s">
        <v>109</v>
      </c>
      <c r="C34" s="40" t="s">
        <v>77</v>
      </c>
      <c r="D34" s="40" t="s">
        <v>93</v>
      </c>
      <c r="E34" s="40" t="s">
        <v>110</v>
      </c>
      <c r="F34" s="40" t="s">
        <v>111</v>
      </c>
      <c r="G34" s="40" t="s">
        <v>112</v>
      </c>
      <c r="H34" s="40" t="s">
        <v>113</v>
      </c>
      <c r="I34" s="40" t="s">
        <v>114</v>
      </c>
      <c r="J34" s="40" t="s">
        <v>115</v>
      </c>
      <c r="K34" s="40" t="s">
        <v>116</v>
      </c>
      <c r="L34" s="40" t="s">
        <v>95</v>
      </c>
      <c r="M34" s="40" t="s">
        <v>117</v>
      </c>
    </row>
    <row r="35" spans="1:15" ht="15" customHeight="1" x14ac:dyDescent="0.3">
      <c r="A35" s="41" t="str">
        <f>IFERROR(INDEX(Combined_Data!$C:$C,$O35+1),"")</f>
        <v>Full stack Developer (Python with React)</v>
      </c>
      <c r="B35" s="41" t="str">
        <f>IFERROR(INDEX(Combined_Data!$E:$E,$O35+1),"")</f>
        <v>Infosys</v>
      </c>
      <c r="C35" s="41" t="str">
        <f>IFERROR(INDEX(Combined_Data!$B:$B,$O35+1),"")</f>
        <v>LinkedIn</v>
      </c>
      <c r="D35" s="41" t="str">
        <f>IFERROR(INDEX(Combined_Data!$D:$D,$O35+1),"")</f>
        <v>Full Stack Engineer</v>
      </c>
      <c r="E35" s="41" t="str">
        <f>IFERROR(INDEX(Combined_Data!$G:$G,$O35+1),"")</f>
        <v>Bengaluru East</v>
      </c>
      <c r="F35" s="42">
        <f>IFERROR(INDEX(Combined_Data!$I:$I,$O35+1),"")</f>
        <v>46205</v>
      </c>
      <c r="G35" s="41">
        <f>IFERROR(INDEX(Combined_Data!$K:$K,$O35+1),"")</f>
        <v>5</v>
      </c>
      <c r="H35" s="41" t="str">
        <f>IFERROR(INDEX(Combined_Data!$M:$M,$O35+1),"")</f>
        <v>Not Applicable</v>
      </c>
      <c r="I35" s="41" t="b">
        <f>IFERROR(INDEX(Combined_Data!$N:$N,$O35+1),"")</f>
        <v>0</v>
      </c>
      <c r="J35" s="43">
        <f>IFERROR(INDEX(Combined_Data!$S:$S,$O35+1),"")</f>
        <v>0</v>
      </c>
      <c r="K35" s="44">
        <f>IFERROR(INDEX(Combined_Data!$AF:$AF,$O35+1),"")</f>
        <v>14.3</v>
      </c>
      <c r="L35" s="41" t="str">
        <f>IFERROR(INDEX(Combined_Data!$AG:$AG,$O35+1),"")</f>
        <v>Likely Genuine</v>
      </c>
      <c r="M35" s="41" t="str">
        <f>IFERROR(INDEX(Combined_Data!$AH:$AH,$O35+1),"")</f>
        <v>https://in.linkedin.com/jobs/view/full-stack-developer-python-with-react-at-infosys-4435263024?trk=public_jobs_topcard-title</v>
      </c>
      <c r="O35">
        <f>IFERROR(_xlfn.AGGREGATE(15,6,(ROW(Combined_Data!$AI$2:$AI$3001)-1)/(Combined_Data!$AI$2:$AI$3001),1),"")</f>
        <v>656</v>
      </c>
    </row>
    <row r="36" spans="1:15" ht="15" customHeight="1" x14ac:dyDescent="0.3">
      <c r="A36" s="41" t="str">
        <f>IFERROR(INDEX(Combined_Data!$C:$C,$O36+1),"")</f>
        <v>Java Developer</v>
      </c>
      <c r="B36" s="41" t="str">
        <f>IFERROR(INDEX(Combined_Data!$E:$E,$O36+1),"")</f>
        <v>Infosys</v>
      </c>
      <c r="C36" s="41" t="str">
        <f>IFERROR(INDEX(Combined_Data!$B:$B,$O36+1),"")</f>
        <v>LinkedIn</v>
      </c>
      <c r="D36" s="41" t="str">
        <f>IFERROR(INDEX(Combined_Data!$D:$D,$O36+1),"")</f>
        <v>Software Engineer</v>
      </c>
      <c r="E36" s="41" t="str">
        <f>IFERROR(INDEX(Combined_Data!$G:$G,$O36+1),"")</f>
        <v>Bengaluru East</v>
      </c>
      <c r="F36" s="42">
        <f>IFERROR(INDEX(Combined_Data!$I:$I,$O36+1),"")</f>
        <v>46203</v>
      </c>
      <c r="G36" s="41">
        <f>IFERROR(INDEX(Combined_Data!$K:$K,$O36+1),"")</f>
        <v>7</v>
      </c>
      <c r="H36" s="41" t="str">
        <f>IFERROR(INDEX(Combined_Data!$M:$M,$O36+1),"")</f>
        <v>Not Applicable</v>
      </c>
      <c r="I36" s="41" t="b">
        <f>IFERROR(INDEX(Combined_Data!$N:$N,$O36+1),"")</f>
        <v>0</v>
      </c>
      <c r="J36" s="43">
        <f>IFERROR(INDEX(Combined_Data!$S:$S,$O36+1),"")</f>
        <v>0</v>
      </c>
      <c r="K36" s="44">
        <f>IFERROR(INDEX(Combined_Data!$AF:$AF,$O36+1),"")</f>
        <v>28.6</v>
      </c>
      <c r="L36" s="41" t="str">
        <f>IFERROR(INDEX(Combined_Data!$AG:$AG,$O36+1),"")</f>
        <v>Uncertain</v>
      </c>
      <c r="M36" s="41" t="str">
        <f>IFERROR(INDEX(Combined_Data!$AH:$AH,$O36+1),"")</f>
        <v>https://in.linkedin.com/jobs/view/java-developer-at-infosys-4434348807?trk=public_jobs_topcard-title</v>
      </c>
      <c r="O36">
        <f>IFERROR(_xlfn.AGGREGATE(15,6,(ROW(Combined_Data!$AI$2:$AI$3001)-1)/(Combined_Data!$AI$2:$AI$3001),2),"")</f>
        <v>661</v>
      </c>
    </row>
    <row r="37" spans="1:15" ht="15" customHeight="1" x14ac:dyDescent="0.3">
      <c r="A37" s="41" t="str">
        <f>IFERROR(INDEX(Combined_Data!$C:$C,$O37+1),"")</f>
        <v>Java Developer</v>
      </c>
      <c r="B37" s="41" t="str">
        <f>IFERROR(INDEX(Combined_Data!$E:$E,$O37+1),"")</f>
        <v>Infosys</v>
      </c>
      <c r="C37" s="41" t="str">
        <f>IFERROR(INDEX(Combined_Data!$B:$B,$O37+1),"")</f>
        <v>LinkedIn</v>
      </c>
      <c r="D37" s="41" t="str">
        <f>IFERROR(INDEX(Combined_Data!$D:$D,$O37+1),"")</f>
        <v>Software Engineer</v>
      </c>
      <c r="E37" s="41" t="str">
        <f>IFERROR(INDEX(Combined_Data!$G:$G,$O37+1),"")</f>
        <v>Bengaluru East</v>
      </c>
      <c r="F37" s="42">
        <f>IFERROR(INDEX(Combined_Data!$I:$I,$O37+1),"")</f>
        <v>46203</v>
      </c>
      <c r="G37" s="41">
        <f>IFERROR(INDEX(Combined_Data!$K:$K,$O37+1),"")</f>
        <v>7</v>
      </c>
      <c r="H37" s="41" t="str">
        <f>IFERROR(INDEX(Combined_Data!$M:$M,$O37+1),"")</f>
        <v>Not Applicable</v>
      </c>
      <c r="I37" s="41" t="b">
        <f>IFERROR(INDEX(Combined_Data!$N:$N,$O37+1),"")</f>
        <v>0</v>
      </c>
      <c r="J37" s="43">
        <f>IFERROR(INDEX(Combined_Data!$S:$S,$O37+1),"")</f>
        <v>0</v>
      </c>
      <c r="K37" s="44">
        <f>IFERROR(INDEX(Combined_Data!$AF:$AF,$O37+1),"")</f>
        <v>14.3</v>
      </c>
      <c r="L37" s="41" t="str">
        <f>IFERROR(INDEX(Combined_Data!$AG:$AG,$O37+1),"")</f>
        <v>Likely Genuine</v>
      </c>
      <c r="M37" s="41" t="str">
        <f>IFERROR(INDEX(Combined_Data!$AH:$AH,$O37+1),"")</f>
        <v>https://in.linkedin.com/jobs/view/java-developer-at-infosys-4434302723?trk=public_jobs_topcard-title</v>
      </c>
      <c r="O37">
        <f>IFERROR(_xlfn.AGGREGATE(15,6,(ROW(Combined_Data!$AI$2:$AI$3001)-1)/(Combined_Data!$AI$2:$AI$3001),3),"")</f>
        <v>663</v>
      </c>
    </row>
    <row r="38" spans="1:15" ht="15" customHeight="1" x14ac:dyDescent="0.3">
      <c r="A38" s="41" t="str">
        <f>IFERROR(INDEX(Combined_Data!$C:$C,$O38+1),"")</f>
        <v>Java Springboot Developer</v>
      </c>
      <c r="B38" s="41" t="str">
        <f>IFERROR(INDEX(Combined_Data!$E:$E,$O38+1),"")</f>
        <v>Infosys</v>
      </c>
      <c r="C38" s="41" t="str">
        <f>IFERROR(INDEX(Combined_Data!$B:$B,$O38+1),"")</f>
        <v>LinkedIn</v>
      </c>
      <c r="D38" s="41" t="str">
        <f>IFERROR(INDEX(Combined_Data!$D:$D,$O38+1),"")</f>
        <v>Software Engineer</v>
      </c>
      <c r="E38" s="41" t="str">
        <f>IFERROR(INDEX(Combined_Data!$G:$G,$O38+1),"")</f>
        <v>Bengaluru East</v>
      </c>
      <c r="F38" s="42">
        <f>IFERROR(INDEX(Combined_Data!$I:$I,$O38+1),"")</f>
        <v>46200</v>
      </c>
      <c r="G38" s="41">
        <f>IFERROR(INDEX(Combined_Data!$K:$K,$O38+1),"")</f>
        <v>10</v>
      </c>
      <c r="H38" s="41" t="str">
        <f>IFERROR(INDEX(Combined_Data!$M:$M,$O38+1),"")</f>
        <v>Not Applicable</v>
      </c>
      <c r="I38" s="41" t="b">
        <f>IFERROR(INDEX(Combined_Data!$N:$N,$O38+1),"")</f>
        <v>0</v>
      </c>
      <c r="J38" s="43">
        <f>IFERROR(INDEX(Combined_Data!$S:$S,$O38+1),"")</f>
        <v>0</v>
      </c>
      <c r="K38" s="44">
        <f>IFERROR(INDEX(Combined_Data!$AF:$AF,$O38+1),"")</f>
        <v>14.3</v>
      </c>
      <c r="L38" s="41" t="str">
        <f>IFERROR(INDEX(Combined_Data!$AG:$AG,$O38+1),"")</f>
        <v>Likely Genuine</v>
      </c>
      <c r="M38" s="41" t="str">
        <f>IFERROR(INDEX(Combined_Data!$AH:$AH,$O38+1),"")</f>
        <v>https://in.linkedin.com/jobs/view/java-springboot-developer-at-infosys-4433476671?trk=public_jobs_topcard-title</v>
      </c>
      <c r="O38">
        <f>IFERROR(_xlfn.AGGREGATE(15,6,(ROW(Combined_Data!$AI$2:$AI$3001)-1)/(Combined_Data!$AI$2:$AI$3001),4),"")</f>
        <v>687</v>
      </c>
    </row>
    <row r="39" spans="1:15" ht="15" customHeight="1" x14ac:dyDescent="0.3">
      <c r="A39" s="41" t="str">
        <f>IFERROR(INDEX(Combined_Data!$C:$C,$O39+1),"")</f>
        <v>Java Developer</v>
      </c>
      <c r="B39" s="41" t="str">
        <f>IFERROR(INDEX(Combined_Data!$E:$E,$O39+1),"")</f>
        <v>Infosys</v>
      </c>
      <c r="C39" s="41" t="str">
        <f>IFERROR(INDEX(Combined_Data!$B:$B,$O39+1),"")</f>
        <v>LinkedIn</v>
      </c>
      <c r="D39" s="41" t="str">
        <f>IFERROR(INDEX(Combined_Data!$D:$D,$O39+1),"")</f>
        <v>Software Engineer</v>
      </c>
      <c r="E39" s="41" t="str">
        <f>IFERROR(INDEX(Combined_Data!$G:$G,$O39+1),"")</f>
        <v>Bengaluru East</v>
      </c>
      <c r="F39" s="42">
        <f>IFERROR(INDEX(Combined_Data!$I:$I,$O39+1),"")</f>
        <v>46201</v>
      </c>
      <c r="G39" s="41">
        <f>IFERROR(INDEX(Combined_Data!$K:$K,$O39+1),"")</f>
        <v>9</v>
      </c>
      <c r="H39" s="41" t="str">
        <f>IFERROR(INDEX(Combined_Data!$M:$M,$O39+1),"")</f>
        <v>Not Applicable</v>
      </c>
      <c r="I39" s="41" t="b">
        <f>IFERROR(INDEX(Combined_Data!$N:$N,$O39+1),"")</f>
        <v>0</v>
      </c>
      <c r="J39" s="43">
        <f>IFERROR(INDEX(Combined_Data!$S:$S,$O39+1),"")</f>
        <v>0</v>
      </c>
      <c r="K39" s="44">
        <f>IFERROR(INDEX(Combined_Data!$AF:$AF,$O39+1),"")</f>
        <v>14.3</v>
      </c>
      <c r="L39" s="41" t="str">
        <f>IFERROR(INDEX(Combined_Data!$AG:$AG,$O39+1),"")</f>
        <v>Likely Genuine</v>
      </c>
      <c r="M39" s="41" t="str">
        <f>IFERROR(INDEX(Combined_Data!$AH:$AH,$O39+1),"")</f>
        <v>https://in.linkedin.com/jobs/view/java-developer-at-infosys-4433627403?trk=public_jobs_topcard-title</v>
      </c>
      <c r="O39">
        <f>IFERROR(_xlfn.AGGREGATE(15,6,(ROW(Combined_Data!$AI$2:$AI$3001)-1)/(Combined_Data!$AI$2:$AI$3001),5),"")</f>
        <v>699</v>
      </c>
    </row>
    <row r="40" spans="1:15" ht="15" customHeight="1" x14ac:dyDescent="0.3">
      <c r="A40" s="41" t="str">
        <f>IFERROR(INDEX(Combined_Data!$C:$C,$O40+1),"")</f>
        <v>React.js Developer</v>
      </c>
      <c r="B40" s="41" t="str">
        <f>IFERROR(INDEX(Combined_Data!$E:$E,$O40+1),"")</f>
        <v>Infosys</v>
      </c>
      <c r="C40" s="41" t="str">
        <f>IFERROR(INDEX(Combined_Data!$B:$B,$O40+1),"")</f>
        <v>LinkedIn</v>
      </c>
      <c r="D40" s="41" t="str">
        <f>IFERROR(INDEX(Combined_Data!$D:$D,$O40+1),"")</f>
        <v>Software Engineer</v>
      </c>
      <c r="E40" s="41" t="str">
        <f>IFERROR(INDEX(Combined_Data!$G:$G,$O40+1),"")</f>
        <v>Hyderabad</v>
      </c>
      <c r="F40" s="42">
        <f>IFERROR(INDEX(Combined_Data!$I:$I,$O40+1),"")</f>
        <v>46200</v>
      </c>
      <c r="G40" s="41">
        <f>IFERROR(INDEX(Combined_Data!$K:$K,$O40+1),"")</f>
        <v>10</v>
      </c>
      <c r="H40" s="41" t="str">
        <f>IFERROR(INDEX(Combined_Data!$M:$M,$O40+1),"")</f>
        <v>Not Applicable</v>
      </c>
      <c r="I40" s="41" t="b">
        <f>IFERROR(INDEX(Combined_Data!$N:$N,$O40+1),"")</f>
        <v>0</v>
      </c>
      <c r="J40" s="43">
        <f>IFERROR(INDEX(Combined_Data!$S:$S,$O40+1),"")</f>
        <v>0</v>
      </c>
      <c r="K40" s="44">
        <f>IFERROR(INDEX(Combined_Data!$AF:$AF,$O40+1),"")</f>
        <v>14.3</v>
      </c>
      <c r="L40" s="41" t="str">
        <f>IFERROR(INDEX(Combined_Data!$AG:$AG,$O40+1),"")</f>
        <v>Likely Genuine</v>
      </c>
      <c r="M40" s="41" t="str">
        <f>IFERROR(INDEX(Combined_Data!$AH:$AH,$O40+1),"")</f>
        <v>https://in.linkedin.com/jobs/view/react-js-developer-at-infosys-4433471833?trk=public_jobs_topcard-title</v>
      </c>
      <c r="O40">
        <f>IFERROR(_xlfn.AGGREGATE(15,6,(ROW(Combined_Data!$AI$2:$AI$3001)-1)/(Combined_Data!$AI$2:$AI$3001),6),"")</f>
        <v>714</v>
      </c>
    </row>
    <row r="41" spans="1:15" ht="15" customHeight="1" x14ac:dyDescent="0.3">
      <c r="A41" s="41" t="str">
        <f>IFERROR(INDEX(Combined_Data!$C:$C,$O41+1),"")</f>
        <v>Node JS, Graph QL, AWS/Azure Developer</v>
      </c>
      <c r="B41" s="41" t="str">
        <f>IFERROR(INDEX(Combined_Data!$E:$E,$O41+1),"")</f>
        <v>Infosys</v>
      </c>
      <c r="C41" s="41" t="str">
        <f>IFERROR(INDEX(Combined_Data!$B:$B,$O41+1),"")</f>
        <v>LinkedIn</v>
      </c>
      <c r="D41" s="41" t="str">
        <f>IFERROR(INDEX(Combined_Data!$D:$D,$O41+1),"")</f>
        <v>Software Engineer</v>
      </c>
      <c r="E41" s="41" t="str">
        <f>IFERROR(INDEX(Combined_Data!$G:$G,$O41+1),"")</f>
        <v>Pune Division</v>
      </c>
      <c r="F41" s="42">
        <f>IFERROR(INDEX(Combined_Data!$I:$I,$O41+1),"")</f>
        <v>46203</v>
      </c>
      <c r="G41" s="41">
        <f>IFERROR(INDEX(Combined_Data!$K:$K,$O41+1),"")</f>
        <v>7</v>
      </c>
      <c r="H41" s="41" t="str">
        <f>IFERROR(INDEX(Combined_Data!$M:$M,$O41+1),"")</f>
        <v>Not Applicable</v>
      </c>
      <c r="I41" s="41" t="b">
        <f>IFERROR(INDEX(Combined_Data!$N:$N,$O41+1),"")</f>
        <v>0</v>
      </c>
      <c r="J41" s="43">
        <f>IFERROR(INDEX(Combined_Data!$S:$S,$O41+1),"")</f>
        <v>0</v>
      </c>
      <c r="K41" s="44">
        <f>IFERROR(INDEX(Combined_Data!$AF:$AF,$O41+1),"")</f>
        <v>14.3</v>
      </c>
      <c r="L41" s="41" t="str">
        <f>IFERROR(INDEX(Combined_Data!$AG:$AG,$O41+1),"")</f>
        <v>Likely Genuine</v>
      </c>
      <c r="M41" s="41" t="str">
        <f>IFERROR(INDEX(Combined_Data!$AH:$AH,$O41+1),"")</f>
        <v>https://in.linkedin.com/jobs/view/node-js-graph-ql-aws-azure-developer-at-infosys-4434341886?trk=public_jobs_topcard-title</v>
      </c>
      <c r="O41">
        <f>IFERROR(_xlfn.AGGREGATE(15,6,(ROW(Combined_Data!$AI$2:$AI$3001)-1)/(Combined_Data!$AI$2:$AI$3001),7),"")</f>
        <v>750</v>
      </c>
    </row>
    <row r="42" spans="1:15" ht="15" customHeight="1" x14ac:dyDescent="0.3">
      <c r="A42" s="41" t="str">
        <f>IFERROR(INDEX(Combined_Data!$C:$C,$O42+1),"")</f>
        <v>Java full stack, React Developer</v>
      </c>
      <c r="B42" s="41" t="str">
        <f>IFERROR(INDEX(Combined_Data!$E:$E,$O42+1),"")</f>
        <v>Infosys</v>
      </c>
      <c r="C42" s="41" t="str">
        <f>IFERROR(INDEX(Combined_Data!$B:$B,$O42+1),"")</f>
        <v>LinkedIn</v>
      </c>
      <c r="D42" s="41" t="str">
        <f>IFERROR(INDEX(Combined_Data!$D:$D,$O42+1),"")</f>
        <v>Full Stack Engineer</v>
      </c>
      <c r="E42" s="41" t="str">
        <f>IFERROR(INDEX(Combined_Data!$G:$G,$O42+1),"")</f>
        <v>Bengaluru East</v>
      </c>
      <c r="F42" s="42">
        <f>IFERROR(INDEX(Combined_Data!$I:$I,$O42+1),"")</f>
        <v>46203</v>
      </c>
      <c r="G42" s="41">
        <f>IFERROR(INDEX(Combined_Data!$K:$K,$O42+1),"")</f>
        <v>7</v>
      </c>
      <c r="H42" s="41" t="str">
        <f>IFERROR(INDEX(Combined_Data!$M:$M,$O42+1),"")</f>
        <v>Not Applicable</v>
      </c>
      <c r="I42" s="41" t="b">
        <f>IFERROR(INDEX(Combined_Data!$N:$N,$O42+1),"")</f>
        <v>0</v>
      </c>
      <c r="J42" s="43">
        <f>IFERROR(INDEX(Combined_Data!$S:$S,$O42+1),"")</f>
        <v>0</v>
      </c>
      <c r="K42" s="44">
        <f>IFERROR(INDEX(Combined_Data!$AF:$AF,$O42+1),"")</f>
        <v>28.6</v>
      </c>
      <c r="L42" s="41" t="str">
        <f>IFERROR(INDEX(Combined_Data!$AG:$AG,$O42+1),"")</f>
        <v>Uncertain</v>
      </c>
      <c r="M42" s="41" t="str">
        <f>IFERROR(INDEX(Combined_Data!$AH:$AH,$O42+1),"")</f>
        <v>https://in.linkedin.com/jobs/view/java-full-stack-react-developer-at-infosys-4434904987?trk=public_jobs_topcard-title</v>
      </c>
      <c r="O42">
        <f>IFERROR(_xlfn.AGGREGATE(15,6,(ROW(Combined_Data!$AI$2:$AI$3001)-1)/(Combined_Data!$AI$2:$AI$3001),8),"")</f>
        <v>839</v>
      </c>
    </row>
    <row r="43" spans="1:15" ht="15" customHeight="1" x14ac:dyDescent="0.3">
      <c r="A43" s="41" t="str">
        <f>IFERROR(INDEX(Combined_Data!$C:$C,$O43+1),"")</f>
        <v>Healthcare Business Analyst</v>
      </c>
      <c r="B43" s="41" t="str">
        <f>IFERROR(INDEX(Combined_Data!$E:$E,$O43+1),"")</f>
        <v>Infosys</v>
      </c>
      <c r="C43" s="41" t="str">
        <f>IFERROR(INDEX(Combined_Data!$B:$B,$O43+1),"")</f>
        <v>Indeed</v>
      </c>
      <c r="D43" s="41" t="str">
        <f>IFERROR(INDEX(Combined_Data!$D:$D,$O43+1),"")</f>
        <v>Data Analyst</v>
      </c>
      <c r="E43" s="41" t="str">
        <f>IFERROR(INDEX(Combined_Data!$G:$G,$O43+1),"")</f>
        <v>Not Specified</v>
      </c>
      <c r="F43" s="42">
        <f>IFERROR(INDEX(Combined_Data!$I:$I,$O43+1),"")</f>
        <v>46210.222498912</v>
      </c>
      <c r="G43" s="41">
        <f>IFERROR(INDEX(Combined_Data!$K:$K,$O43+1),"")</f>
        <v>0.1</v>
      </c>
      <c r="H43" s="41" t="str">
        <f>IFERROR(INDEX(Combined_Data!$M:$M,$O43+1),"")</f>
        <v>Not Captured by Scraper</v>
      </c>
      <c r="I43" s="41" t="b">
        <f>IFERROR(INDEX(Combined_Data!$N:$N,$O43+1),"")</f>
        <v>0</v>
      </c>
      <c r="J43" s="43">
        <f>IFERROR(INDEX(Combined_Data!$S:$S,$O43+1),"")</f>
        <v>0</v>
      </c>
      <c r="K43" s="44">
        <f>IFERROR(INDEX(Combined_Data!$AF:$AF,$O43+1),"")</f>
        <v>28.6</v>
      </c>
      <c r="L43" s="41" t="str">
        <f>IFERROR(INDEX(Combined_Data!$AG:$AG,$O43+1),"")</f>
        <v>Uncertain</v>
      </c>
      <c r="M43" s="41" t="str">
        <f>IFERROR(INDEX(Combined_Data!$AH:$AH,$O43+1),"")</f>
        <v>https://indeed.com/viewjob?jk=45af8ba21046d880</v>
      </c>
      <c r="O43">
        <f>IFERROR(_xlfn.AGGREGATE(15,6,(ROW(Combined_Data!$AI$2:$AI$3001)-1)/(Combined_Data!$AI$2:$AI$3001),9),"")</f>
        <v>1035</v>
      </c>
    </row>
    <row r="44" spans="1:15" ht="15" customHeight="1" x14ac:dyDescent="0.3">
      <c r="A44" s="41" t="str">
        <f>IFERROR(INDEX(Combined_Data!$C:$C,$O44+1),"")</f>
        <v>Python &amp; InManta Automation</v>
      </c>
      <c r="B44" s="41" t="str">
        <f>IFERROR(INDEX(Combined_Data!$E:$E,$O44+1),"")</f>
        <v>Infosys</v>
      </c>
      <c r="C44" s="41" t="str">
        <f>IFERROR(INDEX(Combined_Data!$B:$B,$O44+1),"")</f>
        <v>Indeed</v>
      </c>
      <c r="D44" s="41" t="str">
        <f>IFERROR(INDEX(Combined_Data!$D:$D,$O44+1),"")</f>
        <v>Other</v>
      </c>
      <c r="E44" s="41" t="str">
        <f>IFERROR(INDEX(Combined_Data!$G:$G,$O44+1),"")</f>
        <v>Not Specified</v>
      </c>
      <c r="F44" s="42">
        <f>IFERROR(INDEX(Combined_Data!$I:$I,$O44+1),"")</f>
        <v>46210.222507233797</v>
      </c>
      <c r="G44" s="41">
        <f>IFERROR(INDEX(Combined_Data!$K:$K,$O44+1),"")</f>
        <v>0.1</v>
      </c>
      <c r="H44" s="41" t="str">
        <f>IFERROR(INDEX(Combined_Data!$M:$M,$O44+1),"")</f>
        <v>Not Captured by Scraper</v>
      </c>
      <c r="I44" s="41" t="b">
        <f>IFERROR(INDEX(Combined_Data!$N:$N,$O44+1),"")</f>
        <v>0</v>
      </c>
      <c r="J44" s="43">
        <f>IFERROR(INDEX(Combined_Data!$S:$S,$O44+1),"")</f>
        <v>0</v>
      </c>
      <c r="K44" s="44">
        <f>IFERROR(INDEX(Combined_Data!$AF:$AF,$O44+1),"")</f>
        <v>28.6</v>
      </c>
      <c r="L44" s="41" t="str">
        <f>IFERROR(INDEX(Combined_Data!$AG:$AG,$O44+1),"")</f>
        <v>Uncertain</v>
      </c>
      <c r="M44" s="41" t="str">
        <f>IFERROR(INDEX(Combined_Data!$AH:$AH,$O44+1),"")</f>
        <v>https://indeed.com/viewjob?jk=13396b5c08f1e021</v>
      </c>
      <c r="O44">
        <f>IFERROR(_xlfn.AGGREGATE(15,6,(ROW(Combined_Data!$AI$2:$AI$3001)-1)/(Combined_Data!$AI$2:$AI$3001),10),"")</f>
        <v>1153</v>
      </c>
    </row>
    <row r="45" spans="1:15" ht="15" customHeight="1" x14ac:dyDescent="0.3">
      <c r="A45" s="41" t="str">
        <f>IFERROR(INDEX(Combined_Data!$C:$C,$O45+1),"")</f>
        <v>Agentic AI Engineer</v>
      </c>
      <c r="B45" s="41" t="str">
        <f>IFERROR(INDEX(Combined_Data!$E:$E,$O45+1),"")</f>
        <v>Infosys</v>
      </c>
      <c r="C45" s="41" t="str">
        <f>IFERROR(INDEX(Combined_Data!$B:$B,$O45+1),"")</f>
        <v>Indeed</v>
      </c>
      <c r="D45" s="41" t="str">
        <f>IFERROR(INDEX(Combined_Data!$D:$D,$O45+1),"")</f>
        <v>ML Engineer</v>
      </c>
      <c r="E45" s="41" t="str">
        <f>IFERROR(INDEX(Combined_Data!$G:$G,$O45+1),"")</f>
        <v>Not Specified</v>
      </c>
      <c r="F45" s="42">
        <f>IFERROR(INDEX(Combined_Data!$I:$I,$O45+1),"")</f>
        <v>46210.222500185198</v>
      </c>
      <c r="G45" s="41">
        <f>IFERROR(INDEX(Combined_Data!$K:$K,$O45+1),"")</f>
        <v>0.1</v>
      </c>
      <c r="H45" s="41" t="str">
        <f>IFERROR(INDEX(Combined_Data!$M:$M,$O45+1),"")</f>
        <v>Not Captured by Scraper</v>
      </c>
      <c r="I45" s="41" t="b">
        <f>IFERROR(INDEX(Combined_Data!$N:$N,$O45+1),"")</f>
        <v>0</v>
      </c>
      <c r="J45" s="43">
        <f>IFERROR(INDEX(Combined_Data!$S:$S,$O45+1),"")</f>
        <v>0</v>
      </c>
      <c r="K45" s="44">
        <f>IFERROR(INDEX(Combined_Data!$AF:$AF,$O45+1),"")</f>
        <v>28.6</v>
      </c>
      <c r="L45" s="41" t="str">
        <f>IFERROR(INDEX(Combined_Data!$AG:$AG,$O45+1),"")</f>
        <v>Uncertain</v>
      </c>
      <c r="M45" s="41" t="str">
        <f>IFERROR(INDEX(Combined_Data!$AH:$AH,$O45+1),"")</f>
        <v>https://indeed.com/viewjob?jk=63743131dcf8d453</v>
      </c>
      <c r="O45">
        <f>IFERROR(_xlfn.AGGREGATE(15,6,(ROW(Combined_Data!$AI$2:$AI$3001)-1)/(Combined_Data!$AI$2:$AI$3001),11),"")</f>
        <v>1154</v>
      </c>
    </row>
    <row r="46" spans="1:15" ht="15" customHeight="1" x14ac:dyDescent="0.3">
      <c r="A46" s="41" t="str">
        <f>IFERROR(INDEX(Combined_Data!$C:$C,$O46+1),"")</f>
        <v>Agentic AI Engineer</v>
      </c>
      <c r="B46" s="41" t="str">
        <f>IFERROR(INDEX(Combined_Data!$E:$E,$O46+1),"")</f>
        <v>Infosys</v>
      </c>
      <c r="C46" s="41" t="str">
        <f>IFERROR(INDEX(Combined_Data!$B:$B,$O46+1),"")</f>
        <v>Indeed</v>
      </c>
      <c r="D46" s="41" t="str">
        <f>IFERROR(INDEX(Combined_Data!$D:$D,$O46+1),"")</f>
        <v>ML Engineer</v>
      </c>
      <c r="E46" s="41" t="str">
        <f>IFERROR(INDEX(Combined_Data!$G:$G,$O46+1),"")</f>
        <v>Not Specified</v>
      </c>
      <c r="F46" s="42">
        <f>IFERROR(INDEX(Combined_Data!$I:$I,$O46+1),"")</f>
        <v>46210.222502106502</v>
      </c>
      <c r="G46" s="41">
        <f>IFERROR(INDEX(Combined_Data!$K:$K,$O46+1),"")</f>
        <v>0.1</v>
      </c>
      <c r="H46" s="41" t="str">
        <f>IFERROR(INDEX(Combined_Data!$M:$M,$O46+1),"")</f>
        <v>Not Captured by Scraper</v>
      </c>
      <c r="I46" s="41" t="b">
        <f>IFERROR(INDEX(Combined_Data!$N:$N,$O46+1),"")</f>
        <v>0</v>
      </c>
      <c r="J46" s="43">
        <f>IFERROR(INDEX(Combined_Data!$S:$S,$O46+1),"")</f>
        <v>0</v>
      </c>
      <c r="K46" s="44">
        <f>IFERROR(INDEX(Combined_Data!$AF:$AF,$O46+1),"")</f>
        <v>28.6</v>
      </c>
      <c r="L46" s="41" t="str">
        <f>IFERROR(INDEX(Combined_Data!$AG:$AG,$O46+1),"")</f>
        <v>Uncertain</v>
      </c>
      <c r="M46" s="41" t="str">
        <f>IFERROR(INDEX(Combined_Data!$AH:$AH,$O46+1),"")</f>
        <v>https://indeed.com/viewjob?jk=8490dafc143b3dc8</v>
      </c>
      <c r="O46">
        <f>IFERROR(_xlfn.AGGREGATE(15,6,(ROW(Combined_Data!$AI$2:$AI$3001)-1)/(Combined_Data!$AI$2:$AI$3001),12),"")</f>
        <v>1246</v>
      </c>
    </row>
    <row r="47" spans="1:15" ht="15" customHeight="1" x14ac:dyDescent="0.3">
      <c r="A47" s="41" t="str">
        <f>IFERROR(INDEX(Combined_Data!$C:$C,$O47+1),"")</f>
        <v>Senior Snowflake Data Engineer – DBT &amp; Power BI</v>
      </c>
      <c r="B47" s="41" t="str">
        <f>IFERROR(INDEX(Combined_Data!$E:$E,$O47+1),"")</f>
        <v>Infosys</v>
      </c>
      <c r="C47" s="41" t="str">
        <f>IFERROR(INDEX(Combined_Data!$B:$B,$O47+1),"")</f>
        <v>Indeed</v>
      </c>
      <c r="D47" s="41" t="str">
        <f>IFERROR(INDEX(Combined_Data!$D:$D,$O47+1),"")</f>
        <v>Data Engineer</v>
      </c>
      <c r="E47" s="41" t="str">
        <f>IFERROR(INDEX(Combined_Data!$G:$G,$O47+1),"")</f>
        <v>Not Specified</v>
      </c>
      <c r="F47" s="42">
        <f>IFERROR(INDEX(Combined_Data!$I:$I,$O47+1),"")</f>
        <v>46206.722539791699</v>
      </c>
      <c r="G47" s="41">
        <f>IFERROR(INDEX(Combined_Data!$K:$K,$O47+1),"")</f>
        <v>3.6</v>
      </c>
      <c r="H47" s="41" t="str">
        <f>IFERROR(INDEX(Combined_Data!$M:$M,$O47+1),"")</f>
        <v>Not Captured by Scraper</v>
      </c>
      <c r="I47" s="41" t="b">
        <f>IFERROR(INDEX(Combined_Data!$N:$N,$O47+1),"")</f>
        <v>0</v>
      </c>
      <c r="J47" s="43">
        <f>IFERROR(INDEX(Combined_Data!$S:$S,$O47+1),"")</f>
        <v>0</v>
      </c>
      <c r="K47" s="44">
        <f>IFERROR(INDEX(Combined_Data!$AF:$AF,$O47+1),"")</f>
        <v>42.9</v>
      </c>
      <c r="L47" s="41" t="str">
        <f>IFERROR(INDEX(Combined_Data!$AG:$AG,$O47+1),"")</f>
        <v>Uncertain</v>
      </c>
      <c r="M47" s="41" t="str">
        <f>IFERROR(INDEX(Combined_Data!$AH:$AH,$O47+1),"")</f>
        <v>https://indeed.com/viewjob?jk=fbd25b69e715c7e5</v>
      </c>
      <c r="O47">
        <f>IFERROR(_xlfn.AGGREGATE(15,6,(ROW(Combined_Data!$AI$2:$AI$3001)-1)/(Combined_Data!$AI$2:$AI$3001),13),"")</f>
        <v>1839</v>
      </c>
    </row>
    <row r="48" spans="1:15" ht="15" customHeight="1" x14ac:dyDescent="0.3">
      <c r="A48" s="41" t="str">
        <f>IFERROR(INDEX(Combined_Data!$C:$C,$O48+1),"")</f>
        <v>Business analyst - Regulatory reporting</v>
      </c>
      <c r="B48" s="41" t="str">
        <f>IFERROR(INDEX(Combined_Data!$E:$E,$O48+1),"")</f>
        <v>Infosys</v>
      </c>
      <c r="C48" s="41" t="str">
        <f>IFERROR(INDEX(Combined_Data!$B:$B,$O48+1),"")</f>
        <v>Indeed</v>
      </c>
      <c r="D48" s="41" t="str">
        <f>IFERROR(INDEX(Combined_Data!$D:$D,$O48+1),"")</f>
        <v>Data Analyst</v>
      </c>
      <c r="E48" s="41" t="str">
        <f>IFERROR(INDEX(Combined_Data!$G:$G,$O48+1),"")</f>
        <v>Not Specified</v>
      </c>
      <c r="F48" s="42">
        <f>IFERROR(INDEX(Combined_Data!$I:$I,$O48+1),"")</f>
        <v>46205.972572627303</v>
      </c>
      <c r="G48" s="41">
        <f>IFERROR(INDEX(Combined_Data!$K:$K,$O48+1),"")</f>
        <v>4.3</v>
      </c>
      <c r="H48" s="41" t="str">
        <f>IFERROR(INDEX(Combined_Data!$M:$M,$O48+1),"")</f>
        <v>Not Captured by Scraper</v>
      </c>
      <c r="I48" s="41" t="b">
        <f>IFERROR(INDEX(Combined_Data!$N:$N,$O48+1),"")</f>
        <v>0</v>
      </c>
      <c r="J48" s="43">
        <f>IFERROR(INDEX(Combined_Data!$S:$S,$O48+1),"")</f>
        <v>0</v>
      </c>
      <c r="K48" s="44">
        <f>IFERROR(INDEX(Combined_Data!$AF:$AF,$O48+1),"")</f>
        <v>42.9</v>
      </c>
      <c r="L48" s="41" t="str">
        <f>IFERROR(INDEX(Combined_Data!$AG:$AG,$O48+1),"")</f>
        <v>Uncertain</v>
      </c>
      <c r="M48" s="41" t="str">
        <f>IFERROR(INDEX(Combined_Data!$AH:$AH,$O48+1),"")</f>
        <v>https://indeed.com/viewjob?jk=8291b9483fde94dc</v>
      </c>
      <c r="O48">
        <f>IFERROR(_xlfn.AGGREGATE(15,6,(ROW(Combined_Data!$AI$2:$AI$3001)-1)/(Combined_Data!$AI$2:$AI$3001),14),"")</f>
        <v>1930</v>
      </c>
    </row>
    <row r="49" spans="1:15" ht="15" customHeight="1" x14ac:dyDescent="0.3">
      <c r="A49" s="41" t="str">
        <f>IFERROR(INDEX(Combined_Data!$C:$C,$O49+1),"")</f>
        <v>Power Bi Admin</v>
      </c>
      <c r="B49" s="41" t="str">
        <f>IFERROR(INDEX(Combined_Data!$E:$E,$O49+1),"")</f>
        <v>Infosys</v>
      </c>
      <c r="C49" s="41" t="str">
        <f>IFERROR(INDEX(Combined_Data!$B:$B,$O49+1),"")</f>
        <v>Indeed</v>
      </c>
      <c r="D49" s="41" t="str">
        <f>IFERROR(INDEX(Combined_Data!$D:$D,$O49+1),"")</f>
        <v>Other</v>
      </c>
      <c r="E49" s="41" t="str">
        <f>IFERROR(INDEX(Combined_Data!$G:$G,$O49+1),"")</f>
        <v>Not Specified</v>
      </c>
      <c r="F49" s="42">
        <f>IFERROR(INDEX(Combined_Data!$I:$I,$O49+1),"")</f>
        <v>46205.972572986102</v>
      </c>
      <c r="G49" s="41">
        <f>IFERROR(INDEX(Combined_Data!$K:$K,$O49+1),"")</f>
        <v>4.3</v>
      </c>
      <c r="H49" s="41" t="str">
        <f>IFERROR(INDEX(Combined_Data!$M:$M,$O49+1),"")</f>
        <v>Not Captured by Scraper</v>
      </c>
      <c r="I49" s="41" t="b">
        <f>IFERROR(INDEX(Combined_Data!$N:$N,$O49+1),"")</f>
        <v>0</v>
      </c>
      <c r="J49" s="43">
        <f>IFERROR(INDEX(Combined_Data!$S:$S,$O49+1),"")</f>
        <v>0</v>
      </c>
      <c r="K49" s="44">
        <f>IFERROR(INDEX(Combined_Data!$AF:$AF,$O49+1),"")</f>
        <v>28.6</v>
      </c>
      <c r="L49" s="41" t="str">
        <f>IFERROR(INDEX(Combined_Data!$AG:$AG,$O49+1),"")</f>
        <v>Uncertain</v>
      </c>
      <c r="M49" s="41" t="str">
        <f>IFERROR(INDEX(Combined_Data!$AH:$AH,$O49+1),"")</f>
        <v>https://indeed.com/viewjob?jk=11262d6203dd79e8</v>
      </c>
      <c r="O49">
        <f>IFERROR(_xlfn.AGGREGATE(15,6,(ROW(Combined_Data!$AI$2:$AI$3001)-1)/(Combined_Data!$AI$2:$AI$3001),15),"")</f>
        <v>1932</v>
      </c>
    </row>
    <row r="50" spans="1:15" ht="15" customHeight="1" x14ac:dyDescent="0.3">
      <c r="A50" s="41" t="str">
        <f>IFERROR(INDEX(Combined_Data!$C:$C,$O50+1),"")</f>
        <v>.Net Full Stack</v>
      </c>
      <c r="B50" s="41" t="str">
        <f>IFERROR(INDEX(Combined_Data!$E:$E,$O50+1),"")</f>
        <v>Infosys</v>
      </c>
      <c r="C50" s="41" t="str">
        <f>IFERROR(INDEX(Combined_Data!$B:$B,$O50+1),"")</f>
        <v>Indeed</v>
      </c>
      <c r="D50" s="41" t="str">
        <f>IFERROR(INDEX(Combined_Data!$D:$D,$O50+1),"")</f>
        <v>Full Stack Engineer</v>
      </c>
      <c r="E50" s="41" t="str">
        <f>IFERROR(INDEX(Combined_Data!$G:$G,$O50+1),"")</f>
        <v>Not Specified</v>
      </c>
      <c r="F50" s="42">
        <f>IFERROR(INDEX(Combined_Data!$I:$I,$O50+1),"")</f>
        <v>46209.472572175902</v>
      </c>
      <c r="G50" s="41">
        <f>IFERROR(INDEX(Combined_Data!$K:$K,$O50+1),"")</f>
        <v>0.8</v>
      </c>
      <c r="H50" s="41" t="str">
        <f>IFERROR(INDEX(Combined_Data!$M:$M,$O50+1),"")</f>
        <v>Not Captured by Scraper</v>
      </c>
      <c r="I50" s="41" t="b">
        <f>IFERROR(INDEX(Combined_Data!$N:$N,$O50+1),"")</f>
        <v>0</v>
      </c>
      <c r="J50" s="43">
        <f>IFERROR(INDEX(Combined_Data!$S:$S,$O50+1),"")</f>
        <v>0</v>
      </c>
      <c r="K50" s="44">
        <f>IFERROR(INDEX(Combined_Data!$AF:$AF,$O50+1),"")</f>
        <v>42.9</v>
      </c>
      <c r="L50" s="41" t="str">
        <f>IFERROR(INDEX(Combined_Data!$AG:$AG,$O50+1),"")</f>
        <v>Uncertain</v>
      </c>
      <c r="M50" s="41" t="str">
        <f>IFERROR(INDEX(Combined_Data!$AH:$AH,$O50+1),"")</f>
        <v>https://indeed.com/viewjob?jk=82530a1f7f3227d3</v>
      </c>
      <c r="O50">
        <f>IFERROR(_xlfn.AGGREGATE(15,6,(ROW(Combined_Data!$AI$2:$AI$3001)-1)/(Combined_Data!$AI$2:$AI$3001),16),"")</f>
        <v>1957</v>
      </c>
    </row>
    <row r="51" spans="1:15" ht="15" customHeight="1" x14ac:dyDescent="0.3">
      <c r="A51" s="41" t="str">
        <f>IFERROR(INDEX(Combined_Data!$C:$C,$O51+1),"")</f>
        <v>Java Full Stack</v>
      </c>
      <c r="B51" s="41" t="str">
        <f>IFERROR(INDEX(Combined_Data!$E:$E,$O51+1),"")</f>
        <v>Infosys</v>
      </c>
      <c r="C51" s="41" t="str">
        <f>IFERROR(INDEX(Combined_Data!$B:$B,$O51+1),"")</f>
        <v>Indeed</v>
      </c>
      <c r="D51" s="41" t="str">
        <f>IFERROR(INDEX(Combined_Data!$D:$D,$O51+1),"")</f>
        <v>Full Stack Engineer</v>
      </c>
      <c r="E51" s="41" t="str">
        <f>IFERROR(INDEX(Combined_Data!$G:$G,$O51+1),"")</f>
        <v>Not Specified</v>
      </c>
      <c r="F51" s="42">
        <f>IFERROR(INDEX(Combined_Data!$I:$I,$O51+1),"")</f>
        <v>46209.472583044</v>
      </c>
      <c r="G51" s="41">
        <f>IFERROR(INDEX(Combined_Data!$K:$K,$O51+1),"")</f>
        <v>0.8</v>
      </c>
      <c r="H51" s="41" t="str">
        <f>IFERROR(INDEX(Combined_Data!$M:$M,$O51+1),"")</f>
        <v>Not Captured by Scraper</v>
      </c>
      <c r="I51" s="41" t="b">
        <f>IFERROR(INDEX(Combined_Data!$N:$N,$O51+1),"")</f>
        <v>0</v>
      </c>
      <c r="J51" s="43">
        <f>IFERROR(INDEX(Combined_Data!$S:$S,$O51+1),"")</f>
        <v>0</v>
      </c>
      <c r="K51" s="44">
        <f>IFERROR(INDEX(Combined_Data!$AF:$AF,$O51+1),"")</f>
        <v>42.9</v>
      </c>
      <c r="L51" s="41" t="str">
        <f>IFERROR(INDEX(Combined_Data!$AG:$AG,$O51+1),"")</f>
        <v>Uncertain</v>
      </c>
      <c r="M51" s="41" t="str">
        <f>IFERROR(INDEX(Combined_Data!$AH:$AH,$O51+1),"")</f>
        <v>https://indeed.com/viewjob?jk=f40e3fa4d1983453</v>
      </c>
      <c r="O51">
        <f>IFERROR(_xlfn.AGGREGATE(15,6,(ROW(Combined_Data!$AI$2:$AI$3001)-1)/(Combined_Data!$AI$2:$AI$3001),17),"")</f>
        <v>1962</v>
      </c>
    </row>
    <row r="52" spans="1:15" ht="15" customHeight="1" x14ac:dyDescent="0.3">
      <c r="A52" s="41" t="str">
        <f>IFERROR(INDEX(Combined_Data!$C:$C,$O52+1),"")</f>
        <v>Production Support - Java</v>
      </c>
      <c r="B52" s="41" t="str">
        <f>IFERROR(INDEX(Combined_Data!$E:$E,$O52+1),"")</f>
        <v>Infosys</v>
      </c>
      <c r="C52" s="41" t="str">
        <f>IFERROR(INDEX(Combined_Data!$B:$B,$O52+1),"")</f>
        <v>Indeed</v>
      </c>
      <c r="D52" s="41" t="str">
        <f>IFERROR(INDEX(Combined_Data!$D:$D,$O52+1),"")</f>
        <v>Other</v>
      </c>
      <c r="E52" s="41" t="str">
        <f>IFERROR(INDEX(Combined_Data!$G:$G,$O52+1),"")</f>
        <v>Not Specified</v>
      </c>
      <c r="F52" s="42">
        <f>IFERROR(INDEX(Combined_Data!$I:$I,$O52+1),"")</f>
        <v>46209.472575231499</v>
      </c>
      <c r="G52" s="41">
        <f>IFERROR(INDEX(Combined_Data!$K:$K,$O52+1),"")</f>
        <v>0.8</v>
      </c>
      <c r="H52" s="41" t="str">
        <f>IFERROR(INDEX(Combined_Data!$M:$M,$O52+1),"")</f>
        <v>Not Captured by Scraper</v>
      </c>
      <c r="I52" s="41" t="b">
        <f>IFERROR(INDEX(Combined_Data!$N:$N,$O52+1),"")</f>
        <v>0</v>
      </c>
      <c r="J52" s="43">
        <f>IFERROR(INDEX(Combined_Data!$S:$S,$O52+1),"")</f>
        <v>0</v>
      </c>
      <c r="K52" s="44">
        <f>IFERROR(INDEX(Combined_Data!$AF:$AF,$O52+1),"")</f>
        <v>42.9</v>
      </c>
      <c r="L52" s="41" t="str">
        <f>IFERROR(INDEX(Combined_Data!$AG:$AG,$O52+1),"")</f>
        <v>Uncertain</v>
      </c>
      <c r="M52" s="41" t="str">
        <f>IFERROR(INDEX(Combined_Data!$AH:$AH,$O52+1),"")</f>
        <v>https://indeed.com/viewjob?jk=da3afae1e4e530bd</v>
      </c>
      <c r="O52">
        <f>IFERROR(_xlfn.AGGREGATE(15,6,(ROW(Combined_Data!$AI$2:$AI$3001)-1)/(Combined_Data!$AI$2:$AI$3001),18),"")</f>
        <v>1966</v>
      </c>
    </row>
    <row r="53" spans="1:15" ht="15" customHeight="1" x14ac:dyDescent="0.3">
      <c r="A53" s="41" t="str">
        <f>IFERROR(INDEX(Combined_Data!$C:$C,$O53+1),"")</f>
        <v>IT Consulting</v>
      </c>
      <c r="B53" s="41" t="str">
        <f>IFERROR(INDEX(Combined_Data!$E:$E,$O53+1),"")</f>
        <v>Infosys</v>
      </c>
      <c r="C53" s="41" t="str">
        <f>IFERROR(INDEX(Combined_Data!$B:$B,$O53+1),"")</f>
        <v>Indeed</v>
      </c>
      <c r="D53" s="41" t="str">
        <f>IFERROR(INDEX(Combined_Data!$D:$D,$O53+1),"")</f>
        <v>Other</v>
      </c>
      <c r="E53" s="41" t="str">
        <f>IFERROR(INDEX(Combined_Data!$G:$G,$O53+1),"")</f>
        <v>Not Specified</v>
      </c>
      <c r="F53" s="42">
        <f>IFERROR(INDEX(Combined_Data!$I:$I,$O53+1),"")</f>
        <v>46209.472565763899</v>
      </c>
      <c r="G53" s="41">
        <f>IFERROR(INDEX(Combined_Data!$K:$K,$O53+1),"")</f>
        <v>0.8</v>
      </c>
      <c r="H53" s="41" t="str">
        <f>IFERROR(INDEX(Combined_Data!$M:$M,$O53+1),"")</f>
        <v>Not Captured by Scraper</v>
      </c>
      <c r="I53" s="41" t="b">
        <f>IFERROR(INDEX(Combined_Data!$N:$N,$O53+1),"")</f>
        <v>0</v>
      </c>
      <c r="J53" s="43">
        <f>IFERROR(INDEX(Combined_Data!$S:$S,$O53+1),"")</f>
        <v>0</v>
      </c>
      <c r="K53" s="44">
        <f>IFERROR(INDEX(Combined_Data!$AF:$AF,$O53+1),"")</f>
        <v>42.9</v>
      </c>
      <c r="L53" s="41" t="str">
        <f>IFERROR(INDEX(Combined_Data!$AG:$AG,$O53+1),"")</f>
        <v>Uncertain</v>
      </c>
      <c r="M53" s="41" t="str">
        <f>IFERROR(INDEX(Combined_Data!$AH:$AH,$O53+1),"")</f>
        <v>https://indeed.com/viewjob?jk=0f484b58a9d28673</v>
      </c>
      <c r="O53">
        <f>IFERROR(_xlfn.AGGREGATE(15,6,(ROW(Combined_Data!$AI$2:$AI$3001)-1)/(Combined_Data!$AI$2:$AI$3001),19),"")</f>
        <v>1967</v>
      </c>
    </row>
    <row r="54" spans="1:15" ht="15" customHeight="1" x14ac:dyDescent="0.3">
      <c r="A54" s="41" t="str">
        <f>IFERROR(INDEX(Combined_Data!$C:$C,$O54+1),"")</f>
        <v>SAP ABAP Developer</v>
      </c>
      <c r="B54" s="41" t="str">
        <f>IFERROR(INDEX(Combined_Data!$E:$E,$O54+1),"")</f>
        <v>Infosys</v>
      </c>
      <c r="C54" s="41" t="str">
        <f>IFERROR(INDEX(Combined_Data!$B:$B,$O54+1),"")</f>
        <v>Indeed</v>
      </c>
      <c r="D54" s="41" t="str">
        <f>IFERROR(INDEX(Combined_Data!$D:$D,$O54+1),"")</f>
        <v>Software Engineer</v>
      </c>
      <c r="E54" s="41" t="str">
        <f>IFERROR(INDEX(Combined_Data!$G:$G,$O54+1),"")</f>
        <v>Not Specified</v>
      </c>
      <c r="F54" s="42">
        <f>IFERROR(INDEX(Combined_Data!$I:$I,$O54+1),"")</f>
        <v>46209.472583761599</v>
      </c>
      <c r="G54" s="41">
        <f>IFERROR(INDEX(Combined_Data!$K:$K,$O54+1),"")</f>
        <v>0.8</v>
      </c>
      <c r="H54" s="41" t="str">
        <f>IFERROR(INDEX(Combined_Data!$M:$M,$O54+1),"")</f>
        <v>Not Captured by Scraper</v>
      </c>
      <c r="I54" s="41" t="b">
        <f>IFERROR(INDEX(Combined_Data!$N:$N,$O54+1),"")</f>
        <v>0</v>
      </c>
      <c r="J54" s="43">
        <f>IFERROR(INDEX(Combined_Data!$S:$S,$O54+1),"")</f>
        <v>0</v>
      </c>
      <c r="K54" s="44">
        <f>IFERROR(INDEX(Combined_Data!$AF:$AF,$O54+1),"")</f>
        <v>28.6</v>
      </c>
      <c r="L54" s="41" t="str">
        <f>IFERROR(INDEX(Combined_Data!$AG:$AG,$O54+1),"")</f>
        <v>Uncertain</v>
      </c>
      <c r="M54" s="41" t="str">
        <f>IFERROR(INDEX(Combined_Data!$AH:$AH,$O54+1),"")</f>
        <v>https://indeed.com/viewjob?jk=46adcd1840e7e2eb</v>
      </c>
      <c r="O54">
        <f>IFERROR(_xlfn.AGGREGATE(15,6,(ROW(Combined_Data!$AI$2:$AI$3001)-1)/(Combined_Data!$AI$2:$AI$3001),20),"")</f>
        <v>1969</v>
      </c>
    </row>
    <row r="55" spans="1:15" ht="15" customHeight="1" x14ac:dyDescent="0.3">
      <c r="A55" s="41" t="str">
        <f>IFERROR(INDEX(Combined_Data!$C:$C,$O55+1),"")</f>
        <v>Production Support - .Net II</v>
      </c>
      <c r="B55" s="41" t="str">
        <f>IFERROR(INDEX(Combined_Data!$E:$E,$O55+1),"")</f>
        <v>Infosys</v>
      </c>
      <c r="C55" s="41" t="str">
        <f>IFERROR(INDEX(Combined_Data!$B:$B,$O55+1),"")</f>
        <v>Indeed</v>
      </c>
      <c r="D55" s="41" t="str">
        <f>IFERROR(INDEX(Combined_Data!$D:$D,$O55+1),"")</f>
        <v>Other</v>
      </c>
      <c r="E55" s="41" t="str">
        <f>IFERROR(INDEX(Combined_Data!$G:$G,$O55+1),"")</f>
        <v>Not Specified</v>
      </c>
      <c r="F55" s="42">
        <f>IFERROR(INDEX(Combined_Data!$I:$I,$O55+1),"")</f>
        <v>46209.472566296303</v>
      </c>
      <c r="G55" s="41">
        <f>IFERROR(INDEX(Combined_Data!$K:$K,$O55+1),"")</f>
        <v>0.8</v>
      </c>
      <c r="H55" s="41" t="str">
        <f>IFERROR(INDEX(Combined_Data!$M:$M,$O55+1),"")</f>
        <v>Not Captured by Scraper</v>
      </c>
      <c r="I55" s="41" t="b">
        <f>IFERROR(INDEX(Combined_Data!$N:$N,$O55+1),"")</f>
        <v>0</v>
      </c>
      <c r="J55" s="43">
        <f>IFERROR(INDEX(Combined_Data!$S:$S,$O55+1),"")</f>
        <v>0</v>
      </c>
      <c r="K55" s="44">
        <f>IFERROR(INDEX(Combined_Data!$AF:$AF,$O55+1),"")</f>
        <v>28.6</v>
      </c>
      <c r="L55" s="41" t="str">
        <f>IFERROR(INDEX(Combined_Data!$AG:$AG,$O55+1),"")</f>
        <v>Uncertain</v>
      </c>
      <c r="M55" s="41" t="str">
        <f>IFERROR(INDEX(Combined_Data!$AH:$AH,$O55+1),"")</f>
        <v>https://indeed.com/viewjob?jk=b8e1e5faf4c6aeb6</v>
      </c>
      <c r="O55">
        <f>IFERROR(_xlfn.AGGREGATE(15,6,(ROW(Combined_Data!$AI$2:$AI$3001)-1)/(Combined_Data!$AI$2:$AI$3001),21),"")</f>
        <v>1973</v>
      </c>
    </row>
    <row r="56" spans="1:15" ht="15" customHeight="1" x14ac:dyDescent="0.3">
      <c r="A56" s="41" t="str">
        <f>IFERROR(INDEX(Combined_Data!$C:$C,$O56+1),"")</f>
        <v>Senior Systems Engineer</v>
      </c>
      <c r="B56" s="41" t="str">
        <f>IFERROR(INDEX(Combined_Data!$E:$E,$O56+1),"")</f>
        <v>Infosys</v>
      </c>
      <c r="C56" s="41" t="str">
        <f>IFERROR(INDEX(Combined_Data!$B:$B,$O56+1),"")</f>
        <v>Indeed</v>
      </c>
      <c r="D56" s="41" t="str">
        <f>IFERROR(INDEX(Combined_Data!$D:$D,$O56+1),"")</f>
        <v>Other</v>
      </c>
      <c r="E56" s="41" t="str">
        <f>IFERROR(INDEX(Combined_Data!$G:$G,$O56+1),"")</f>
        <v>Not Specified</v>
      </c>
      <c r="F56" s="42">
        <f>IFERROR(INDEX(Combined_Data!$I:$I,$O56+1),"")</f>
        <v>46209.472575185202</v>
      </c>
      <c r="G56" s="41">
        <f>IFERROR(INDEX(Combined_Data!$K:$K,$O56+1),"")</f>
        <v>0.8</v>
      </c>
      <c r="H56" s="41" t="str">
        <f>IFERROR(INDEX(Combined_Data!$M:$M,$O56+1),"")</f>
        <v>Not Captured by Scraper</v>
      </c>
      <c r="I56" s="41" t="b">
        <f>IFERROR(INDEX(Combined_Data!$N:$N,$O56+1),"")</f>
        <v>0</v>
      </c>
      <c r="J56" s="43">
        <f>IFERROR(INDEX(Combined_Data!$S:$S,$O56+1),"")</f>
        <v>0</v>
      </c>
      <c r="K56" s="44">
        <f>IFERROR(INDEX(Combined_Data!$AF:$AF,$O56+1),"")</f>
        <v>42.9</v>
      </c>
      <c r="L56" s="41" t="str">
        <f>IFERROR(INDEX(Combined_Data!$AG:$AG,$O56+1),"")</f>
        <v>Uncertain</v>
      </c>
      <c r="M56" s="41" t="str">
        <f>IFERROR(INDEX(Combined_Data!$AH:$AH,$O56+1),"")</f>
        <v>https://indeed.com/viewjob?jk=4f4f5f2faee25402</v>
      </c>
      <c r="O56">
        <f>IFERROR(_xlfn.AGGREGATE(15,6,(ROW(Combined_Data!$AI$2:$AI$3001)-1)/(Combined_Data!$AI$2:$AI$3001),22),"")</f>
        <v>1977</v>
      </c>
    </row>
    <row r="57" spans="1:15" ht="15" customHeight="1" x14ac:dyDescent="0.3">
      <c r="A57" s="41" t="str">
        <f>IFERROR(INDEX(Combined_Data!$C:$C,$O57+1),"")</f>
        <v>Production Support - .Net</v>
      </c>
      <c r="B57" s="41" t="str">
        <f>IFERROR(INDEX(Combined_Data!$E:$E,$O57+1),"")</f>
        <v>Infosys</v>
      </c>
      <c r="C57" s="41" t="str">
        <f>IFERROR(INDEX(Combined_Data!$B:$B,$O57+1),"")</f>
        <v>Indeed</v>
      </c>
      <c r="D57" s="41" t="str">
        <f>IFERROR(INDEX(Combined_Data!$D:$D,$O57+1),"")</f>
        <v>Other</v>
      </c>
      <c r="E57" s="41" t="str">
        <f>IFERROR(INDEX(Combined_Data!$G:$G,$O57+1),"")</f>
        <v>Not Specified</v>
      </c>
      <c r="F57" s="42">
        <f>IFERROR(INDEX(Combined_Data!$I:$I,$O57+1),"")</f>
        <v>46209.472575856496</v>
      </c>
      <c r="G57" s="41">
        <f>IFERROR(INDEX(Combined_Data!$K:$K,$O57+1),"")</f>
        <v>0.8</v>
      </c>
      <c r="H57" s="41" t="str">
        <f>IFERROR(INDEX(Combined_Data!$M:$M,$O57+1),"")</f>
        <v>Not Captured by Scraper</v>
      </c>
      <c r="I57" s="41" t="b">
        <f>IFERROR(INDEX(Combined_Data!$N:$N,$O57+1),"")</f>
        <v>0</v>
      </c>
      <c r="J57" s="43">
        <f>IFERROR(INDEX(Combined_Data!$S:$S,$O57+1),"")</f>
        <v>0</v>
      </c>
      <c r="K57" s="44">
        <f>IFERROR(INDEX(Combined_Data!$AF:$AF,$O57+1),"")</f>
        <v>28.6</v>
      </c>
      <c r="L57" s="41" t="str">
        <f>IFERROR(INDEX(Combined_Data!$AG:$AG,$O57+1),"")</f>
        <v>Uncertain</v>
      </c>
      <c r="M57" s="41" t="str">
        <f>IFERROR(INDEX(Combined_Data!$AH:$AH,$O57+1),"")</f>
        <v>https://indeed.com/viewjob?jk=c16097404185408c</v>
      </c>
      <c r="O57">
        <f>IFERROR(_xlfn.AGGREGATE(15,6,(ROW(Combined_Data!$AI$2:$AI$3001)-1)/(Combined_Data!$AI$2:$AI$3001),23),"")</f>
        <v>1978</v>
      </c>
    </row>
    <row r="58" spans="1:15" ht="15" customHeight="1" x14ac:dyDescent="0.3">
      <c r="A58" s="41" t="str">
        <f>IFERROR(INDEX(Combined_Data!$C:$C,$O58+1),"")</f>
        <v>SAP ABAP Developer</v>
      </c>
      <c r="B58" s="41" t="str">
        <f>IFERROR(INDEX(Combined_Data!$E:$E,$O58+1),"")</f>
        <v>Infosys</v>
      </c>
      <c r="C58" s="41" t="str">
        <f>IFERROR(INDEX(Combined_Data!$B:$B,$O58+1),"")</f>
        <v>Indeed</v>
      </c>
      <c r="D58" s="41" t="str">
        <f>IFERROR(INDEX(Combined_Data!$D:$D,$O58+1),"")</f>
        <v>Software Engineer</v>
      </c>
      <c r="E58" s="41" t="str">
        <f>IFERROR(INDEX(Combined_Data!$G:$G,$O58+1),"")</f>
        <v>Not Specified</v>
      </c>
      <c r="F58" s="42">
        <f>IFERROR(INDEX(Combined_Data!$I:$I,$O58+1),"")</f>
        <v>46209.4725658565</v>
      </c>
      <c r="G58" s="41">
        <f>IFERROR(INDEX(Combined_Data!$K:$K,$O58+1),"")</f>
        <v>0.8</v>
      </c>
      <c r="H58" s="41" t="str">
        <f>IFERROR(INDEX(Combined_Data!$M:$M,$O58+1),"")</f>
        <v>Not Captured by Scraper</v>
      </c>
      <c r="I58" s="41" t="b">
        <f>IFERROR(INDEX(Combined_Data!$N:$N,$O58+1),"")</f>
        <v>0</v>
      </c>
      <c r="J58" s="43">
        <f>IFERROR(INDEX(Combined_Data!$S:$S,$O58+1),"")</f>
        <v>0</v>
      </c>
      <c r="K58" s="44">
        <f>IFERROR(INDEX(Combined_Data!$AF:$AF,$O58+1),"")</f>
        <v>28.6</v>
      </c>
      <c r="L58" s="41" t="str">
        <f>IFERROR(INDEX(Combined_Data!$AG:$AG,$O58+1),"")</f>
        <v>Uncertain</v>
      </c>
      <c r="M58" s="41" t="str">
        <f>IFERROR(INDEX(Combined_Data!$AH:$AH,$O58+1),"")</f>
        <v>https://indeed.com/viewjob?jk=6936b5cfafd6e186</v>
      </c>
      <c r="O58">
        <f>IFERROR(_xlfn.AGGREGATE(15,6,(ROW(Combined_Data!$AI$2:$AI$3001)-1)/(Combined_Data!$AI$2:$AI$3001),24),"")</f>
        <v>1979</v>
      </c>
    </row>
    <row r="59" spans="1:15" ht="15" customHeight="1" x14ac:dyDescent="0.3">
      <c r="A59" s="41" t="str">
        <f>IFERROR(INDEX(Combined_Data!$C:$C,$O59+1),"")</f>
        <v/>
      </c>
      <c r="B59" s="41" t="str">
        <f>IFERROR(INDEX(Combined_Data!$E:$E,$O59+1),"")</f>
        <v/>
      </c>
      <c r="C59" s="41" t="str">
        <f>IFERROR(INDEX(Combined_Data!$B:$B,$O59+1),"")</f>
        <v/>
      </c>
      <c r="D59" s="41" t="str">
        <f>IFERROR(INDEX(Combined_Data!$D:$D,$O59+1),"")</f>
        <v/>
      </c>
      <c r="E59" s="41" t="str">
        <f>IFERROR(INDEX(Combined_Data!$G:$G,$O59+1),"")</f>
        <v/>
      </c>
      <c r="F59" s="42" t="str">
        <f>IFERROR(INDEX(Combined_Data!$I:$I,$O59+1),"")</f>
        <v/>
      </c>
      <c r="G59" s="41" t="str">
        <f>IFERROR(INDEX(Combined_Data!$K:$K,$O59+1),"")</f>
        <v/>
      </c>
      <c r="H59" s="41" t="str">
        <f>IFERROR(INDEX(Combined_Data!$M:$M,$O59+1),"")</f>
        <v/>
      </c>
      <c r="I59" s="41" t="str">
        <f>IFERROR(INDEX(Combined_Data!$N:$N,$O59+1),"")</f>
        <v/>
      </c>
      <c r="J59" s="43" t="str">
        <f>IFERROR(INDEX(Combined_Data!$S:$S,$O59+1),"")</f>
        <v/>
      </c>
      <c r="K59" s="44" t="str">
        <f>IFERROR(INDEX(Combined_Data!$AF:$AF,$O59+1),"")</f>
        <v/>
      </c>
      <c r="L59" s="41" t="str">
        <f>IFERROR(INDEX(Combined_Data!$AG:$AG,$O59+1),"")</f>
        <v/>
      </c>
      <c r="M59" s="41" t="str">
        <f>IFERROR(INDEX(Combined_Data!$AH:$AH,$O59+1),"")</f>
        <v/>
      </c>
      <c r="O59" t="str">
        <f>IFERROR(_xlfn.AGGREGATE(15,6,(ROW(Combined_Data!$AI$2:$AI$3001)-1)/(Combined_Data!$AI$2:$AI$3001),25),"")</f>
        <v/>
      </c>
    </row>
    <row r="60" spans="1:15" ht="15" customHeight="1" x14ac:dyDescent="0.3">
      <c r="A60" s="41" t="str">
        <f>IFERROR(INDEX(Combined_Data!$C:$C,$O60+1),"")</f>
        <v/>
      </c>
      <c r="B60" s="41" t="str">
        <f>IFERROR(INDEX(Combined_Data!$E:$E,$O60+1),"")</f>
        <v/>
      </c>
      <c r="C60" s="41" t="str">
        <f>IFERROR(INDEX(Combined_Data!$B:$B,$O60+1),"")</f>
        <v/>
      </c>
      <c r="D60" s="41" t="str">
        <f>IFERROR(INDEX(Combined_Data!$D:$D,$O60+1),"")</f>
        <v/>
      </c>
      <c r="E60" s="41" t="str">
        <f>IFERROR(INDEX(Combined_Data!$G:$G,$O60+1),"")</f>
        <v/>
      </c>
      <c r="F60" s="42" t="str">
        <f>IFERROR(INDEX(Combined_Data!$I:$I,$O60+1),"")</f>
        <v/>
      </c>
      <c r="G60" s="41" t="str">
        <f>IFERROR(INDEX(Combined_Data!$K:$K,$O60+1),"")</f>
        <v/>
      </c>
      <c r="H60" s="41" t="str">
        <f>IFERROR(INDEX(Combined_Data!$M:$M,$O60+1),"")</f>
        <v/>
      </c>
      <c r="I60" s="41" t="str">
        <f>IFERROR(INDEX(Combined_Data!$N:$N,$O60+1),"")</f>
        <v/>
      </c>
      <c r="J60" s="43" t="str">
        <f>IFERROR(INDEX(Combined_Data!$S:$S,$O60+1),"")</f>
        <v/>
      </c>
      <c r="K60" s="44" t="str">
        <f>IFERROR(INDEX(Combined_Data!$AF:$AF,$O60+1),"")</f>
        <v/>
      </c>
      <c r="L60" s="41" t="str">
        <f>IFERROR(INDEX(Combined_Data!$AG:$AG,$O60+1),"")</f>
        <v/>
      </c>
      <c r="M60" s="41" t="str">
        <f>IFERROR(INDEX(Combined_Data!$AH:$AH,$O60+1),"")</f>
        <v/>
      </c>
      <c r="O60" t="str">
        <f>IFERROR(_xlfn.AGGREGATE(15,6,(ROW(Combined_Data!$AI$2:$AI$3001)-1)/(Combined_Data!$AI$2:$AI$3001),26),"")</f>
        <v/>
      </c>
    </row>
    <row r="61" spans="1:15" ht="15" customHeight="1" x14ac:dyDescent="0.3">
      <c r="A61" s="41" t="str">
        <f>IFERROR(INDEX(Combined_Data!$C:$C,$O61+1),"")</f>
        <v/>
      </c>
      <c r="B61" s="41" t="str">
        <f>IFERROR(INDEX(Combined_Data!$E:$E,$O61+1),"")</f>
        <v/>
      </c>
      <c r="C61" s="41" t="str">
        <f>IFERROR(INDEX(Combined_Data!$B:$B,$O61+1),"")</f>
        <v/>
      </c>
      <c r="D61" s="41" t="str">
        <f>IFERROR(INDEX(Combined_Data!$D:$D,$O61+1),"")</f>
        <v/>
      </c>
      <c r="E61" s="41" t="str">
        <f>IFERROR(INDEX(Combined_Data!$G:$G,$O61+1),"")</f>
        <v/>
      </c>
      <c r="F61" s="42" t="str">
        <f>IFERROR(INDEX(Combined_Data!$I:$I,$O61+1),"")</f>
        <v/>
      </c>
      <c r="G61" s="41" t="str">
        <f>IFERROR(INDEX(Combined_Data!$K:$K,$O61+1),"")</f>
        <v/>
      </c>
      <c r="H61" s="41" t="str">
        <f>IFERROR(INDEX(Combined_Data!$M:$M,$O61+1),"")</f>
        <v/>
      </c>
      <c r="I61" s="41" t="str">
        <f>IFERROR(INDEX(Combined_Data!$N:$N,$O61+1),"")</f>
        <v/>
      </c>
      <c r="J61" s="43" t="str">
        <f>IFERROR(INDEX(Combined_Data!$S:$S,$O61+1),"")</f>
        <v/>
      </c>
      <c r="K61" s="44" t="str">
        <f>IFERROR(INDEX(Combined_Data!$AF:$AF,$O61+1),"")</f>
        <v/>
      </c>
      <c r="L61" s="41" t="str">
        <f>IFERROR(INDEX(Combined_Data!$AG:$AG,$O61+1),"")</f>
        <v/>
      </c>
      <c r="M61" s="41" t="str">
        <f>IFERROR(INDEX(Combined_Data!$AH:$AH,$O61+1),"")</f>
        <v/>
      </c>
      <c r="O61" t="str">
        <f>IFERROR(_xlfn.AGGREGATE(15,6,(ROW(Combined_Data!$AI$2:$AI$3001)-1)/(Combined_Data!$AI$2:$AI$3001),27),"")</f>
        <v/>
      </c>
    </row>
    <row r="62" spans="1:15" ht="15" customHeight="1" x14ac:dyDescent="0.3">
      <c r="A62" s="41" t="str">
        <f>IFERROR(INDEX(Combined_Data!$C:$C,$O62+1),"")</f>
        <v/>
      </c>
      <c r="B62" s="41" t="str">
        <f>IFERROR(INDEX(Combined_Data!$E:$E,$O62+1),"")</f>
        <v/>
      </c>
      <c r="C62" s="41" t="str">
        <f>IFERROR(INDEX(Combined_Data!$B:$B,$O62+1),"")</f>
        <v/>
      </c>
      <c r="D62" s="41" t="str">
        <f>IFERROR(INDEX(Combined_Data!$D:$D,$O62+1),"")</f>
        <v/>
      </c>
      <c r="E62" s="41" t="str">
        <f>IFERROR(INDEX(Combined_Data!$G:$G,$O62+1),"")</f>
        <v/>
      </c>
      <c r="F62" s="42" t="str">
        <f>IFERROR(INDEX(Combined_Data!$I:$I,$O62+1),"")</f>
        <v/>
      </c>
      <c r="G62" s="41" t="str">
        <f>IFERROR(INDEX(Combined_Data!$K:$K,$O62+1),"")</f>
        <v/>
      </c>
      <c r="H62" s="41" t="str">
        <f>IFERROR(INDEX(Combined_Data!$M:$M,$O62+1),"")</f>
        <v/>
      </c>
      <c r="I62" s="41" t="str">
        <f>IFERROR(INDEX(Combined_Data!$N:$N,$O62+1),"")</f>
        <v/>
      </c>
      <c r="J62" s="43" t="str">
        <f>IFERROR(INDEX(Combined_Data!$S:$S,$O62+1),"")</f>
        <v/>
      </c>
      <c r="K62" s="44" t="str">
        <f>IFERROR(INDEX(Combined_Data!$AF:$AF,$O62+1),"")</f>
        <v/>
      </c>
      <c r="L62" s="41" t="str">
        <f>IFERROR(INDEX(Combined_Data!$AG:$AG,$O62+1),"")</f>
        <v/>
      </c>
      <c r="M62" s="41" t="str">
        <f>IFERROR(INDEX(Combined_Data!$AH:$AH,$O62+1),"")</f>
        <v/>
      </c>
      <c r="O62" t="str">
        <f>IFERROR(_xlfn.AGGREGATE(15,6,(ROW(Combined_Data!$AI$2:$AI$3001)-1)/(Combined_Data!$AI$2:$AI$3001),28),"")</f>
        <v/>
      </c>
    </row>
    <row r="63" spans="1:15" ht="15" customHeight="1" x14ac:dyDescent="0.3">
      <c r="A63" s="41" t="str">
        <f>IFERROR(INDEX(Combined_Data!$C:$C,$O63+1),"")</f>
        <v/>
      </c>
      <c r="B63" s="41" t="str">
        <f>IFERROR(INDEX(Combined_Data!$E:$E,$O63+1),"")</f>
        <v/>
      </c>
      <c r="C63" s="41" t="str">
        <f>IFERROR(INDEX(Combined_Data!$B:$B,$O63+1),"")</f>
        <v/>
      </c>
      <c r="D63" s="41" t="str">
        <f>IFERROR(INDEX(Combined_Data!$D:$D,$O63+1),"")</f>
        <v/>
      </c>
      <c r="E63" s="41" t="str">
        <f>IFERROR(INDEX(Combined_Data!$G:$G,$O63+1),"")</f>
        <v/>
      </c>
      <c r="F63" s="42" t="str">
        <f>IFERROR(INDEX(Combined_Data!$I:$I,$O63+1),"")</f>
        <v/>
      </c>
      <c r="G63" s="41" t="str">
        <f>IFERROR(INDEX(Combined_Data!$K:$K,$O63+1),"")</f>
        <v/>
      </c>
      <c r="H63" s="41" t="str">
        <f>IFERROR(INDEX(Combined_Data!$M:$M,$O63+1),"")</f>
        <v/>
      </c>
      <c r="I63" s="41" t="str">
        <f>IFERROR(INDEX(Combined_Data!$N:$N,$O63+1),"")</f>
        <v/>
      </c>
      <c r="J63" s="43" t="str">
        <f>IFERROR(INDEX(Combined_Data!$S:$S,$O63+1),"")</f>
        <v/>
      </c>
      <c r="K63" s="44" t="str">
        <f>IFERROR(INDEX(Combined_Data!$AF:$AF,$O63+1),"")</f>
        <v/>
      </c>
      <c r="L63" s="41" t="str">
        <f>IFERROR(INDEX(Combined_Data!$AG:$AG,$O63+1),"")</f>
        <v/>
      </c>
      <c r="M63" s="41" t="str">
        <f>IFERROR(INDEX(Combined_Data!$AH:$AH,$O63+1),"")</f>
        <v/>
      </c>
      <c r="O63" t="str">
        <f>IFERROR(_xlfn.AGGREGATE(15,6,(ROW(Combined_Data!$AI$2:$AI$3001)-1)/(Combined_Data!$AI$2:$AI$3001),29),"")</f>
        <v/>
      </c>
    </row>
    <row r="64" spans="1:15" ht="15" customHeight="1" x14ac:dyDescent="0.3">
      <c r="A64" s="41" t="str">
        <f>IFERROR(INDEX(Combined_Data!$C:$C,$O64+1),"")</f>
        <v/>
      </c>
      <c r="B64" s="41" t="str">
        <f>IFERROR(INDEX(Combined_Data!$E:$E,$O64+1),"")</f>
        <v/>
      </c>
      <c r="C64" s="41" t="str">
        <f>IFERROR(INDEX(Combined_Data!$B:$B,$O64+1),"")</f>
        <v/>
      </c>
      <c r="D64" s="41" t="str">
        <f>IFERROR(INDEX(Combined_Data!$D:$D,$O64+1),"")</f>
        <v/>
      </c>
      <c r="E64" s="41" t="str">
        <f>IFERROR(INDEX(Combined_Data!$G:$G,$O64+1),"")</f>
        <v/>
      </c>
      <c r="F64" s="42" t="str">
        <f>IFERROR(INDEX(Combined_Data!$I:$I,$O64+1),"")</f>
        <v/>
      </c>
      <c r="G64" s="41" t="str">
        <f>IFERROR(INDEX(Combined_Data!$K:$K,$O64+1),"")</f>
        <v/>
      </c>
      <c r="H64" s="41" t="str">
        <f>IFERROR(INDEX(Combined_Data!$M:$M,$O64+1),"")</f>
        <v/>
      </c>
      <c r="I64" s="41" t="str">
        <f>IFERROR(INDEX(Combined_Data!$N:$N,$O64+1),"")</f>
        <v/>
      </c>
      <c r="J64" s="43" t="str">
        <f>IFERROR(INDEX(Combined_Data!$S:$S,$O64+1),"")</f>
        <v/>
      </c>
      <c r="K64" s="44" t="str">
        <f>IFERROR(INDEX(Combined_Data!$AF:$AF,$O64+1),"")</f>
        <v/>
      </c>
      <c r="L64" s="41" t="str">
        <f>IFERROR(INDEX(Combined_Data!$AG:$AG,$O64+1),"")</f>
        <v/>
      </c>
      <c r="M64" s="41" t="str">
        <f>IFERROR(INDEX(Combined_Data!$AH:$AH,$O64+1),"")</f>
        <v/>
      </c>
      <c r="O64" t="str">
        <f>IFERROR(_xlfn.AGGREGATE(15,6,(ROW(Combined_Data!$AI$2:$AI$3001)-1)/(Combined_Data!$AI$2:$AI$3001),30),"")</f>
        <v/>
      </c>
    </row>
    <row r="65" spans="1:15" ht="15" customHeight="1" x14ac:dyDescent="0.3">
      <c r="A65" s="41" t="str">
        <f>IFERROR(INDEX(Combined_Data!$C:$C,$O65+1),"")</f>
        <v/>
      </c>
      <c r="B65" s="41" t="str">
        <f>IFERROR(INDEX(Combined_Data!$E:$E,$O65+1),"")</f>
        <v/>
      </c>
      <c r="C65" s="41" t="str">
        <f>IFERROR(INDEX(Combined_Data!$B:$B,$O65+1),"")</f>
        <v/>
      </c>
      <c r="D65" s="41" t="str">
        <f>IFERROR(INDEX(Combined_Data!$D:$D,$O65+1),"")</f>
        <v/>
      </c>
      <c r="E65" s="41" t="str">
        <f>IFERROR(INDEX(Combined_Data!$G:$G,$O65+1),"")</f>
        <v/>
      </c>
      <c r="F65" s="42" t="str">
        <f>IFERROR(INDEX(Combined_Data!$I:$I,$O65+1),"")</f>
        <v/>
      </c>
      <c r="G65" s="41" t="str">
        <f>IFERROR(INDEX(Combined_Data!$K:$K,$O65+1),"")</f>
        <v/>
      </c>
      <c r="H65" s="41" t="str">
        <f>IFERROR(INDEX(Combined_Data!$M:$M,$O65+1),"")</f>
        <v/>
      </c>
      <c r="I65" s="41" t="str">
        <f>IFERROR(INDEX(Combined_Data!$N:$N,$O65+1),"")</f>
        <v/>
      </c>
      <c r="J65" s="43" t="str">
        <f>IFERROR(INDEX(Combined_Data!$S:$S,$O65+1),"")</f>
        <v/>
      </c>
      <c r="K65" s="44" t="str">
        <f>IFERROR(INDEX(Combined_Data!$AF:$AF,$O65+1),"")</f>
        <v/>
      </c>
      <c r="L65" s="41" t="str">
        <f>IFERROR(INDEX(Combined_Data!$AG:$AG,$O65+1),"")</f>
        <v/>
      </c>
      <c r="M65" s="41" t="str">
        <f>IFERROR(INDEX(Combined_Data!$AH:$AH,$O65+1),"")</f>
        <v/>
      </c>
      <c r="O65" t="str">
        <f>IFERROR(_xlfn.AGGREGATE(15,6,(ROW(Combined_Data!$AI$2:$AI$3001)-1)/(Combined_Data!$AI$2:$AI$3001),31),"")</f>
        <v/>
      </c>
    </row>
    <row r="66" spans="1:15" ht="15" customHeight="1" x14ac:dyDescent="0.3">
      <c r="A66" s="41" t="str">
        <f>IFERROR(INDEX(Combined_Data!$C:$C,$O66+1),"")</f>
        <v/>
      </c>
      <c r="B66" s="41" t="str">
        <f>IFERROR(INDEX(Combined_Data!$E:$E,$O66+1),"")</f>
        <v/>
      </c>
      <c r="C66" s="41" t="str">
        <f>IFERROR(INDEX(Combined_Data!$B:$B,$O66+1),"")</f>
        <v/>
      </c>
      <c r="D66" s="41" t="str">
        <f>IFERROR(INDEX(Combined_Data!$D:$D,$O66+1),"")</f>
        <v/>
      </c>
      <c r="E66" s="41" t="str">
        <f>IFERROR(INDEX(Combined_Data!$G:$G,$O66+1),"")</f>
        <v/>
      </c>
      <c r="F66" s="42" t="str">
        <f>IFERROR(INDEX(Combined_Data!$I:$I,$O66+1),"")</f>
        <v/>
      </c>
      <c r="G66" s="41" t="str">
        <f>IFERROR(INDEX(Combined_Data!$K:$K,$O66+1),"")</f>
        <v/>
      </c>
      <c r="H66" s="41" t="str">
        <f>IFERROR(INDEX(Combined_Data!$M:$M,$O66+1),"")</f>
        <v/>
      </c>
      <c r="I66" s="41" t="str">
        <f>IFERROR(INDEX(Combined_Data!$N:$N,$O66+1),"")</f>
        <v/>
      </c>
      <c r="J66" s="43" t="str">
        <f>IFERROR(INDEX(Combined_Data!$S:$S,$O66+1),"")</f>
        <v/>
      </c>
      <c r="K66" s="44" t="str">
        <f>IFERROR(INDEX(Combined_Data!$AF:$AF,$O66+1),"")</f>
        <v/>
      </c>
      <c r="L66" s="41" t="str">
        <f>IFERROR(INDEX(Combined_Data!$AG:$AG,$O66+1),"")</f>
        <v/>
      </c>
      <c r="M66" s="41" t="str">
        <f>IFERROR(INDEX(Combined_Data!$AH:$AH,$O66+1),"")</f>
        <v/>
      </c>
      <c r="O66" t="str">
        <f>IFERROR(_xlfn.AGGREGATE(15,6,(ROW(Combined_Data!$AI$2:$AI$3001)-1)/(Combined_Data!$AI$2:$AI$3001),32),"")</f>
        <v/>
      </c>
    </row>
    <row r="67" spans="1:15" ht="15" customHeight="1" x14ac:dyDescent="0.3">
      <c r="A67" s="41" t="str">
        <f>IFERROR(INDEX(Combined_Data!$C:$C,$O67+1),"")</f>
        <v/>
      </c>
      <c r="B67" s="41" t="str">
        <f>IFERROR(INDEX(Combined_Data!$E:$E,$O67+1),"")</f>
        <v/>
      </c>
      <c r="C67" s="41" t="str">
        <f>IFERROR(INDEX(Combined_Data!$B:$B,$O67+1),"")</f>
        <v/>
      </c>
      <c r="D67" s="41" t="str">
        <f>IFERROR(INDEX(Combined_Data!$D:$D,$O67+1),"")</f>
        <v/>
      </c>
      <c r="E67" s="41" t="str">
        <f>IFERROR(INDEX(Combined_Data!$G:$G,$O67+1),"")</f>
        <v/>
      </c>
      <c r="F67" s="42" t="str">
        <f>IFERROR(INDEX(Combined_Data!$I:$I,$O67+1),"")</f>
        <v/>
      </c>
      <c r="G67" s="41" t="str">
        <f>IFERROR(INDEX(Combined_Data!$K:$K,$O67+1),"")</f>
        <v/>
      </c>
      <c r="H67" s="41" t="str">
        <f>IFERROR(INDEX(Combined_Data!$M:$M,$O67+1),"")</f>
        <v/>
      </c>
      <c r="I67" s="41" t="str">
        <f>IFERROR(INDEX(Combined_Data!$N:$N,$O67+1),"")</f>
        <v/>
      </c>
      <c r="J67" s="43" t="str">
        <f>IFERROR(INDEX(Combined_Data!$S:$S,$O67+1),"")</f>
        <v/>
      </c>
      <c r="K67" s="44" t="str">
        <f>IFERROR(INDEX(Combined_Data!$AF:$AF,$O67+1),"")</f>
        <v/>
      </c>
      <c r="L67" s="41" t="str">
        <f>IFERROR(INDEX(Combined_Data!$AG:$AG,$O67+1),"")</f>
        <v/>
      </c>
      <c r="M67" s="41" t="str">
        <f>IFERROR(INDEX(Combined_Data!$AH:$AH,$O67+1),"")</f>
        <v/>
      </c>
      <c r="O67" t="str">
        <f>IFERROR(_xlfn.AGGREGATE(15,6,(ROW(Combined_Data!$AI$2:$AI$3001)-1)/(Combined_Data!$AI$2:$AI$3001),33),"")</f>
        <v/>
      </c>
    </row>
    <row r="68" spans="1:15" ht="15" customHeight="1" x14ac:dyDescent="0.3">
      <c r="A68" s="41" t="str">
        <f>IFERROR(INDEX(Combined_Data!$C:$C,$O68+1),"")</f>
        <v/>
      </c>
      <c r="B68" s="41" t="str">
        <f>IFERROR(INDEX(Combined_Data!$E:$E,$O68+1),"")</f>
        <v/>
      </c>
      <c r="C68" s="41" t="str">
        <f>IFERROR(INDEX(Combined_Data!$B:$B,$O68+1),"")</f>
        <v/>
      </c>
      <c r="D68" s="41" t="str">
        <f>IFERROR(INDEX(Combined_Data!$D:$D,$O68+1),"")</f>
        <v/>
      </c>
      <c r="E68" s="41" t="str">
        <f>IFERROR(INDEX(Combined_Data!$G:$G,$O68+1),"")</f>
        <v/>
      </c>
      <c r="F68" s="42" t="str">
        <f>IFERROR(INDEX(Combined_Data!$I:$I,$O68+1),"")</f>
        <v/>
      </c>
      <c r="G68" s="41" t="str">
        <f>IFERROR(INDEX(Combined_Data!$K:$K,$O68+1),"")</f>
        <v/>
      </c>
      <c r="H68" s="41" t="str">
        <f>IFERROR(INDEX(Combined_Data!$M:$M,$O68+1),"")</f>
        <v/>
      </c>
      <c r="I68" s="41" t="str">
        <f>IFERROR(INDEX(Combined_Data!$N:$N,$O68+1),"")</f>
        <v/>
      </c>
      <c r="J68" s="43" t="str">
        <f>IFERROR(INDEX(Combined_Data!$S:$S,$O68+1),"")</f>
        <v/>
      </c>
      <c r="K68" s="44" t="str">
        <f>IFERROR(INDEX(Combined_Data!$AF:$AF,$O68+1),"")</f>
        <v/>
      </c>
      <c r="L68" s="41" t="str">
        <f>IFERROR(INDEX(Combined_Data!$AG:$AG,$O68+1),"")</f>
        <v/>
      </c>
      <c r="M68" s="41" t="str">
        <f>IFERROR(INDEX(Combined_Data!$AH:$AH,$O68+1),"")</f>
        <v/>
      </c>
      <c r="O68" t="str">
        <f>IFERROR(_xlfn.AGGREGATE(15,6,(ROW(Combined_Data!$AI$2:$AI$3001)-1)/(Combined_Data!$AI$2:$AI$3001),34),"")</f>
        <v/>
      </c>
    </row>
    <row r="69" spans="1:15" ht="15" customHeight="1" x14ac:dyDescent="0.3">
      <c r="A69" s="41" t="str">
        <f>IFERROR(INDEX(Combined_Data!$C:$C,$O69+1),"")</f>
        <v/>
      </c>
      <c r="B69" s="41" t="str">
        <f>IFERROR(INDEX(Combined_Data!$E:$E,$O69+1),"")</f>
        <v/>
      </c>
      <c r="C69" s="41" t="str">
        <f>IFERROR(INDEX(Combined_Data!$B:$B,$O69+1),"")</f>
        <v/>
      </c>
      <c r="D69" s="41" t="str">
        <f>IFERROR(INDEX(Combined_Data!$D:$D,$O69+1),"")</f>
        <v/>
      </c>
      <c r="E69" s="41" t="str">
        <f>IFERROR(INDEX(Combined_Data!$G:$G,$O69+1),"")</f>
        <v/>
      </c>
      <c r="F69" s="42" t="str">
        <f>IFERROR(INDEX(Combined_Data!$I:$I,$O69+1),"")</f>
        <v/>
      </c>
      <c r="G69" s="41" t="str">
        <f>IFERROR(INDEX(Combined_Data!$K:$K,$O69+1),"")</f>
        <v/>
      </c>
      <c r="H69" s="41" t="str">
        <f>IFERROR(INDEX(Combined_Data!$M:$M,$O69+1),"")</f>
        <v/>
      </c>
      <c r="I69" s="41" t="str">
        <f>IFERROR(INDEX(Combined_Data!$N:$N,$O69+1),"")</f>
        <v/>
      </c>
      <c r="J69" s="43" t="str">
        <f>IFERROR(INDEX(Combined_Data!$S:$S,$O69+1),"")</f>
        <v/>
      </c>
      <c r="K69" s="44" t="str">
        <f>IFERROR(INDEX(Combined_Data!$AF:$AF,$O69+1),"")</f>
        <v/>
      </c>
      <c r="L69" s="41" t="str">
        <f>IFERROR(INDEX(Combined_Data!$AG:$AG,$O69+1),"")</f>
        <v/>
      </c>
      <c r="M69" s="41" t="str">
        <f>IFERROR(INDEX(Combined_Data!$AH:$AH,$O69+1),"")</f>
        <v/>
      </c>
      <c r="O69" t="str">
        <f>IFERROR(_xlfn.AGGREGATE(15,6,(ROW(Combined_Data!$AI$2:$AI$3001)-1)/(Combined_Data!$AI$2:$AI$3001),35),"")</f>
        <v/>
      </c>
    </row>
    <row r="70" spans="1:15" ht="15" customHeight="1" x14ac:dyDescent="0.3">
      <c r="A70" s="41" t="str">
        <f>IFERROR(INDEX(Combined_Data!$C:$C,$O70+1),"")</f>
        <v/>
      </c>
      <c r="B70" s="41" t="str">
        <f>IFERROR(INDEX(Combined_Data!$E:$E,$O70+1),"")</f>
        <v/>
      </c>
      <c r="C70" s="41" t="str">
        <f>IFERROR(INDEX(Combined_Data!$B:$B,$O70+1),"")</f>
        <v/>
      </c>
      <c r="D70" s="41" t="str">
        <f>IFERROR(INDEX(Combined_Data!$D:$D,$O70+1),"")</f>
        <v/>
      </c>
      <c r="E70" s="41" t="str">
        <f>IFERROR(INDEX(Combined_Data!$G:$G,$O70+1),"")</f>
        <v/>
      </c>
      <c r="F70" s="42" t="str">
        <f>IFERROR(INDEX(Combined_Data!$I:$I,$O70+1),"")</f>
        <v/>
      </c>
      <c r="G70" s="41" t="str">
        <f>IFERROR(INDEX(Combined_Data!$K:$K,$O70+1),"")</f>
        <v/>
      </c>
      <c r="H70" s="41" t="str">
        <f>IFERROR(INDEX(Combined_Data!$M:$M,$O70+1),"")</f>
        <v/>
      </c>
      <c r="I70" s="41" t="str">
        <f>IFERROR(INDEX(Combined_Data!$N:$N,$O70+1),"")</f>
        <v/>
      </c>
      <c r="J70" s="43" t="str">
        <f>IFERROR(INDEX(Combined_Data!$S:$S,$O70+1),"")</f>
        <v/>
      </c>
      <c r="K70" s="44" t="str">
        <f>IFERROR(INDEX(Combined_Data!$AF:$AF,$O70+1),"")</f>
        <v/>
      </c>
      <c r="L70" s="41" t="str">
        <f>IFERROR(INDEX(Combined_Data!$AG:$AG,$O70+1),"")</f>
        <v/>
      </c>
      <c r="M70" s="41" t="str">
        <f>IFERROR(INDEX(Combined_Data!$AH:$AH,$O70+1),"")</f>
        <v/>
      </c>
      <c r="O70" t="str">
        <f>IFERROR(_xlfn.AGGREGATE(15,6,(ROW(Combined_Data!$AI$2:$AI$3001)-1)/(Combined_Data!$AI$2:$AI$3001),36),"")</f>
        <v/>
      </c>
    </row>
    <row r="71" spans="1:15" ht="15" customHeight="1" x14ac:dyDescent="0.3">
      <c r="A71" s="41" t="str">
        <f>IFERROR(INDEX(Combined_Data!$C:$C,$O71+1),"")</f>
        <v/>
      </c>
      <c r="B71" s="41" t="str">
        <f>IFERROR(INDEX(Combined_Data!$E:$E,$O71+1),"")</f>
        <v/>
      </c>
      <c r="C71" s="41" t="str">
        <f>IFERROR(INDEX(Combined_Data!$B:$B,$O71+1),"")</f>
        <v/>
      </c>
      <c r="D71" s="41" t="str">
        <f>IFERROR(INDEX(Combined_Data!$D:$D,$O71+1),"")</f>
        <v/>
      </c>
      <c r="E71" s="41" t="str">
        <f>IFERROR(INDEX(Combined_Data!$G:$G,$O71+1),"")</f>
        <v/>
      </c>
      <c r="F71" s="42" t="str">
        <f>IFERROR(INDEX(Combined_Data!$I:$I,$O71+1),"")</f>
        <v/>
      </c>
      <c r="G71" s="41" t="str">
        <f>IFERROR(INDEX(Combined_Data!$K:$K,$O71+1),"")</f>
        <v/>
      </c>
      <c r="H71" s="41" t="str">
        <f>IFERROR(INDEX(Combined_Data!$M:$M,$O71+1),"")</f>
        <v/>
      </c>
      <c r="I71" s="41" t="str">
        <f>IFERROR(INDEX(Combined_Data!$N:$N,$O71+1),"")</f>
        <v/>
      </c>
      <c r="J71" s="43" t="str">
        <f>IFERROR(INDEX(Combined_Data!$S:$S,$O71+1),"")</f>
        <v/>
      </c>
      <c r="K71" s="44" t="str">
        <f>IFERROR(INDEX(Combined_Data!$AF:$AF,$O71+1),"")</f>
        <v/>
      </c>
      <c r="L71" s="41" t="str">
        <f>IFERROR(INDEX(Combined_Data!$AG:$AG,$O71+1),"")</f>
        <v/>
      </c>
      <c r="M71" s="41" t="str">
        <f>IFERROR(INDEX(Combined_Data!$AH:$AH,$O71+1),"")</f>
        <v/>
      </c>
      <c r="O71" t="str">
        <f>IFERROR(_xlfn.AGGREGATE(15,6,(ROW(Combined_Data!$AI$2:$AI$3001)-1)/(Combined_Data!$AI$2:$AI$3001),37),"")</f>
        <v/>
      </c>
    </row>
    <row r="72" spans="1:15" ht="15" customHeight="1" x14ac:dyDescent="0.3">
      <c r="A72" s="41" t="str">
        <f>IFERROR(INDEX(Combined_Data!$C:$C,$O72+1),"")</f>
        <v/>
      </c>
      <c r="B72" s="41" t="str">
        <f>IFERROR(INDEX(Combined_Data!$E:$E,$O72+1),"")</f>
        <v/>
      </c>
      <c r="C72" s="41" t="str">
        <f>IFERROR(INDEX(Combined_Data!$B:$B,$O72+1),"")</f>
        <v/>
      </c>
      <c r="D72" s="41" t="str">
        <f>IFERROR(INDEX(Combined_Data!$D:$D,$O72+1),"")</f>
        <v/>
      </c>
      <c r="E72" s="41" t="str">
        <f>IFERROR(INDEX(Combined_Data!$G:$G,$O72+1),"")</f>
        <v/>
      </c>
      <c r="F72" s="42" t="str">
        <f>IFERROR(INDEX(Combined_Data!$I:$I,$O72+1),"")</f>
        <v/>
      </c>
      <c r="G72" s="41" t="str">
        <f>IFERROR(INDEX(Combined_Data!$K:$K,$O72+1),"")</f>
        <v/>
      </c>
      <c r="H72" s="41" t="str">
        <f>IFERROR(INDEX(Combined_Data!$M:$M,$O72+1),"")</f>
        <v/>
      </c>
      <c r="I72" s="41" t="str">
        <f>IFERROR(INDEX(Combined_Data!$N:$N,$O72+1),"")</f>
        <v/>
      </c>
      <c r="J72" s="43" t="str">
        <f>IFERROR(INDEX(Combined_Data!$S:$S,$O72+1),"")</f>
        <v/>
      </c>
      <c r="K72" s="44" t="str">
        <f>IFERROR(INDEX(Combined_Data!$AF:$AF,$O72+1),"")</f>
        <v/>
      </c>
      <c r="L72" s="41" t="str">
        <f>IFERROR(INDEX(Combined_Data!$AG:$AG,$O72+1),"")</f>
        <v/>
      </c>
      <c r="M72" s="41" t="str">
        <f>IFERROR(INDEX(Combined_Data!$AH:$AH,$O72+1),"")</f>
        <v/>
      </c>
      <c r="O72" t="str">
        <f>IFERROR(_xlfn.AGGREGATE(15,6,(ROW(Combined_Data!$AI$2:$AI$3001)-1)/(Combined_Data!$AI$2:$AI$3001),38),"")</f>
        <v/>
      </c>
    </row>
    <row r="73" spans="1:15" ht="15" customHeight="1" x14ac:dyDescent="0.3">
      <c r="A73" s="41" t="str">
        <f>IFERROR(INDEX(Combined_Data!$C:$C,$O73+1),"")</f>
        <v/>
      </c>
      <c r="B73" s="41" t="str">
        <f>IFERROR(INDEX(Combined_Data!$E:$E,$O73+1),"")</f>
        <v/>
      </c>
      <c r="C73" s="41" t="str">
        <f>IFERROR(INDEX(Combined_Data!$B:$B,$O73+1),"")</f>
        <v/>
      </c>
      <c r="D73" s="41" t="str">
        <f>IFERROR(INDEX(Combined_Data!$D:$D,$O73+1),"")</f>
        <v/>
      </c>
      <c r="E73" s="41" t="str">
        <f>IFERROR(INDEX(Combined_Data!$G:$G,$O73+1),"")</f>
        <v/>
      </c>
      <c r="F73" s="42" t="str">
        <f>IFERROR(INDEX(Combined_Data!$I:$I,$O73+1),"")</f>
        <v/>
      </c>
      <c r="G73" s="41" t="str">
        <f>IFERROR(INDEX(Combined_Data!$K:$K,$O73+1),"")</f>
        <v/>
      </c>
      <c r="H73" s="41" t="str">
        <f>IFERROR(INDEX(Combined_Data!$M:$M,$O73+1),"")</f>
        <v/>
      </c>
      <c r="I73" s="41" t="str">
        <f>IFERROR(INDEX(Combined_Data!$N:$N,$O73+1),"")</f>
        <v/>
      </c>
      <c r="J73" s="43" t="str">
        <f>IFERROR(INDEX(Combined_Data!$S:$S,$O73+1),"")</f>
        <v/>
      </c>
      <c r="K73" s="44" t="str">
        <f>IFERROR(INDEX(Combined_Data!$AF:$AF,$O73+1),"")</f>
        <v/>
      </c>
      <c r="L73" s="41" t="str">
        <f>IFERROR(INDEX(Combined_Data!$AG:$AG,$O73+1),"")</f>
        <v/>
      </c>
      <c r="M73" s="41" t="str">
        <f>IFERROR(INDEX(Combined_Data!$AH:$AH,$O73+1),"")</f>
        <v/>
      </c>
      <c r="O73" t="str">
        <f>IFERROR(_xlfn.AGGREGATE(15,6,(ROW(Combined_Data!$AI$2:$AI$3001)-1)/(Combined_Data!$AI$2:$AI$3001),39),"")</f>
        <v/>
      </c>
    </row>
    <row r="74" spans="1:15" ht="15" customHeight="1" x14ac:dyDescent="0.3">
      <c r="A74" s="41" t="str">
        <f>IFERROR(INDEX(Combined_Data!$C:$C,$O74+1),"")</f>
        <v/>
      </c>
      <c r="B74" s="41" t="str">
        <f>IFERROR(INDEX(Combined_Data!$E:$E,$O74+1),"")</f>
        <v/>
      </c>
      <c r="C74" s="41" t="str">
        <f>IFERROR(INDEX(Combined_Data!$B:$B,$O74+1),"")</f>
        <v/>
      </c>
      <c r="D74" s="41" t="str">
        <f>IFERROR(INDEX(Combined_Data!$D:$D,$O74+1),"")</f>
        <v/>
      </c>
      <c r="E74" s="41" t="str">
        <f>IFERROR(INDEX(Combined_Data!$G:$G,$O74+1),"")</f>
        <v/>
      </c>
      <c r="F74" s="42" t="str">
        <f>IFERROR(INDEX(Combined_Data!$I:$I,$O74+1),"")</f>
        <v/>
      </c>
      <c r="G74" s="41" t="str">
        <f>IFERROR(INDEX(Combined_Data!$K:$K,$O74+1),"")</f>
        <v/>
      </c>
      <c r="H74" s="41" t="str">
        <f>IFERROR(INDEX(Combined_Data!$M:$M,$O74+1),"")</f>
        <v/>
      </c>
      <c r="I74" s="41" t="str">
        <f>IFERROR(INDEX(Combined_Data!$N:$N,$O74+1),"")</f>
        <v/>
      </c>
      <c r="J74" s="43" t="str">
        <f>IFERROR(INDEX(Combined_Data!$S:$S,$O74+1),"")</f>
        <v/>
      </c>
      <c r="K74" s="44" t="str">
        <f>IFERROR(INDEX(Combined_Data!$AF:$AF,$O74+1),"")</f>
        <v/>
      </c>
      <c r="L74" s="41" t="str">
        <f>IFERROR(INDEX(Combined_Data!$AG:$AG,$O74+1),"")</f>
        <v/>
      </c>
      <c r="M74" s="41" t="str">
        <f>IFERROR(INDEX(Combined_Data!$AH:$AH,$O74+1),"")</f>
        <v/>
      </c>
      <c r="O74" t="str">
        <f>IFERROR(_xlfn.AGGREGATE(15,6,(ROW(Combined_Data!$AI$2:$AI$3001)-1)/(Combined_Data!$AI$2:$AI$3001),40),"")</f>
        <v/>
      </c>
    </row>
    <row r="75" spans="1:15" ht="15" customHeight="1" x14ac:dyDescent="0.3">
      <c r="A75" s="41" t="str">
        <f>IFERROR(INDEX(Combined_Data!$C:$C,$O75+1),"")</f>
        <v/>
      </c>
      <c r="B75" s="41" t="str">
        <f>IFERROR(INDEX(Combined_Data!$E:$E,$O75+1),"")</f>
        <v/>
      </c>
      <c r="C75" s="41" t="str">
        <f>IFERROR(INDEX(Combined_Data!$B:$B,$O75+1),"")</f>
        <v/>
      </c>
      <c r="D75" s="41" t="str">
        <f>IFERROR(INDEX(Combined_Data!$D:$D,$O75+1),"")</f>
        <v/>
      </c>
      <c r="E75" s="41" t="str">
        <f>IFERROR(INDEX(Combined_Data!$G:$G,$O75+1),"")</f>
        <v/>
      </c>
      <c r="F75" s="42" t="str">
        <f>IFERROR(INDEX(Combined_Data!$I:$I,$O75+1),"")</f>
        <v/>
      </c>
      <c r="G75" s="41" t="str">
        <f>IFERROR(INDEX(Combined_Data!$K:$K,$O75+1),"")</f>
        <v/>
      </c>
      <c r="H75" s="41" t="str">
        <f>IFERROR(INDEX(Combined_Data!$M:$M,$O75+1),"")</f>
        <v/>
      </c>
      <c r="I75" s="41" t="str">
        <f>IFERROR(INDEX(Combined_Data!$N:$N,$O75+1),"")</f>
        <v/>
      </c>
      <c r="J75" s="43" t="str">
        <f>IFERROR(INDEX(Combined_Data!$S:$S,$O75+1),"")</f>
        <v/>
      </c>
      <c r="K75" s="44" t="str">
        <f>IFERROR(INDEX(Combined_Data!$AF:$AF,$O75+1),"")</f>
        <v/>
      </c>
      <c r="L75" s="41" t="str">
        <f>IFERROR(INDEX(Combined_Data!$AG:$AG,$O75+1),"")</f>
        <v/>
      </c>
      <c r="M75" s="41" t="str">
        <f>IFERROR(INDEX(Combined_Data!$AH:$AH,$O75+1),"")</f>
        <v/>
      </c>
      <c r="O75" t="str">
        <f>IFERROR(_xlfn.AGGREGATE(15,6,(ROW(Combined_Data!$AI$2:$AI$3001)-1)/(Combined_Data!$AI$2:$AI$3001),41),"")</f>
        <v/>
      </c>
    </row>
    <row r="76" spans="1:15" ht="15" customHeight="1" x14ac:dyDescent="0.3">
      <c r="A76" s="41" t="str">
        <f>IFERROR(INDEX(Combined_Data!$C:$C,$O76+1),"")</f>
        <v/>
      </c>
      <c r="B76" s="41" t="str">
        <f>IFERROR(INDEX(Combined_Data!$E:$E,$O76+1),"")</f>
        <v/>
      </c>
      <c r="C76" s="41" t="str">
        <f>IFERROR(INDEX(Combined_Data!$B:$B,$O76+1),"")</f>
        <v/>
      </c>
      <c r="D76" s="41" t="str">
        <f>IFERROR(INDEX(Combined_Data!$D:$D,$O76+1),"")</f>
        <v/>
      </c>
      <c r="E76" s="41" t="str">
        <f>IFERROR(INDEX(Combined_Data!$G:$G,$O76+1),"")</f>
        <v/>
      </c>
      <c r="F76" s="42" t="str">
        <f>IFERROR(INDEX(Combined_Data!$I:$I,$O76+1),"")</f>
        <v/>
      </c>
      <c r="G76" s="41" t="str">
        <f>IFERROR(INDEX(Combined_Data!$K:$K,$O76+1),"")</f>
        <v/>
      </c>
      <c r="H76" s="41" t="str">
        <f>IFERROR(INDEX(Combined_Data!$M:$M,$O76+1),"")</f>
        <v/>
      </c>
      <c r="I76" s="41" t="str">
        <f>IFERROR(INDEX(Combined_Data!$N:$N,$O76+1),"")</f>
        <v/>
      </c>
      <c r="J76" s="43" t="str">
        <f>IFERROR(INDEX(Combined_Data!$S:$S,$O76+1),"")</f>
        <v/>
      </c>
      <c r="K76" s="44" t="str">
        <f>IFERROR(INDEX(Combined_Data!$AF:$AF,$O76+1),"")</f>
        <v/>
      </c>
      <c r="L76" s="41" t="str">
        <f>IFERROR(INDEX(Combined_Data!$AG:$AG,$O76+1),"")</f>
        <v/>
      </c>
      <c r="M76" s="41" t="str">
        <f>IFERROR(INDEX(Combined_Data!$AH:$AH,$O76+1),"")</f>
        <v/>
      </c>
      <c r="O76" t="str">
        <f>IFERROR(_xlfn.AGGREGATE(15,6,(ROW(Combined_Data!$AI$2:$AI$3001)-1)/(Combined_Data!$AI$2:$AI$3001),42),"")</f>
        <v/>
      </c>
    </row>
    <row r="77" spans="1:15" ht="15" customHeight="1" x14ac:dyDescent="0.3">
      <c r="A77" s="41" t="str">
        <f>IFERROR(INDEX(Combined_Data!$C:$C,$O77+1),"")</f>
        <v/>
      </c>
      <c r="B77" s="41" t="str">
        <f>IFERROR(INDEX(Combined_Data!$E:$E,$O77+1),"")</f>
        <v/>
      </c>
      <c r="C77" s="41" t="str">
        <f>IFERROR(INDEX(Combined_Data!$B:$B,$O77+1),"")</f>
        <v/>
      </c>
      <c r="D77" s="41" t="str">
        <f>IFERROR(INDEX(Combined_Data!$D:$D,$O77+1),"")</f>
        <v/>
      </c>
      <c r="E77" s="41" t="str">
        <f>IFERROR(INDEX(Combined_Data!$G:$G,$O77+1),"")</f>
        <v/>
      </c>
      <c r="F77" s="42" t="str">
        <f>IFERROR(INDEX(Combined_Data!$I:$I,$O77+1),"")</f>
        <v/>
      </c>
      <c r="G77" s="41" t="str">
        <f>IFERROR(INDEX(Combined_Data!$K:$K,$O77+1),"")</f>
        <v/>
      </c>
      <c r="H77" s="41" t="str">
        <f>IFERROR(INDEX(Combined_Data!$M:$M,$O77+1),"")</f>
        <v/>
      </c>
      <c r="I77" s="41" t="str">
        <f>IFERROR(INDEX(Combined_Data!$N:$N,$O77+1),"")</f>
        <v/>
      </c>
      <c r="J77" s="43" t="str">
        <f>IFERROR(INDEX(Combined_Data!$S:$S,$O77+1),"")</f>
        <v/>
      </c>
      <c r="K77" s="44" t="str">
        <f>IFERROR(INDEX(Combined_Data!$AF:$AF,$O77+1),"")</f>
        <v/>
      </c>
      <c r="L77" s="41" t="str">
        <f>IFERROR(INDEX(Combined_Data!$AG:$AG,$O77+1),"")</f>
        <v/>
      </c>
      <c r="M77" s="41" t="str">
        <f>IFERROR(INDEX(Combined_Data!$AH:$AH,$O77+1),"")</f>
        <v/>
      </c>
      <c r="O77" t="str">
        <f>IFERROR(_xlfn.AGGREGATE(15,6,(ROW(Combined_Data!$AI$2:$AI$3001)-1)/(Combined_Data!$AI$2:$AI$3001),43),"")</f>
        <v/>
      </c>
    </row>
    <row r="78" spans="1:15" ht="15" customHeight="1" x14ac:dyDescent="0.3">
      <c r="A78" s="41" t="str">
        <f>IFERROR(INDEX(Combined_Data!$C:$C,$O78+1),"")</f>
        <v/>
      </c>
      <c r="B78" s="41" t="str">
        <f>IFERROR(INDEX(Combined_Data!$E:$E,$O78+1),"")</f>
        <v/>
      </c>
      <c r="C78" s="41" t="str">
        <f>IFERROR(INDEX(Combined_Data!$B:$B,$O78+1),"")</f>
        <v/>
      </c>
      <c r="D78" s="41" t="str">
        <f>IFERROR(INDEX(Combined_Data!$D:$D,$O78+1),"")</f>
        <v/>
      </c>
      <c r="E78" s="41" t="str">
        <f>IFERROR(INDEX(Combined_Data!$G:$G,$O78+1),"")</f>
        <v/>
      </c>
      <c r="F78" s="42" t="str">
        <f>IFERROR(INDEX(Combined_Data!$I:$I,$O78+1),"")</f>
        <v/>
      </c>
      <c r="G78" s="41" t="str">
        <f>IFERROR(INDEX(Combined_Data!$K:$K,$O78+1),"")</f>
        <v/>
      </c>
      <c r="H78" s="41" t="str">
        <f>IFERROR(INDEX(Combined_Data!$M:$M,$O78+1),"")</f>
        <v/>
      </c>
      <c r="I78" s="41" t="str">
        <f>IFERROR(INDEX(Combined_Data!$N:$N,$O78+1),"")</f>
        <v/>
      </c>
      <c r="J78" s="43" t="str">
        <f>IFERROR(INDEX(Combined_Data!$S:$S,$O78+1),"")</f>
        <v/>
      </c>
      <c r="K78" s="44" t="str">
        <f>IFERROR(INDEX(Combined_Data!$AF:$AF,$O78+1),"")</f>
        <v/>
      </c>
      <c r="L78" s="41" t="str">
        <f>IFERROR(INDEX(Combined_Data!$AG:$AG,$O78+1),"")</f>
        <v/>
      </c>
      <c r="M78" s="41" t="str">
        <f>IFERROR(INDEX(Combined_Data!$AH:$AH,$O78+1),"")</f>
        <v/>
      </c>
      <c r="O78" t="str">
        <f>IFERROR(_xlfn.AGGREGATE(15,6,(ROW(Combined_Data!$AI$2:$AI$3001)-1)/(Combined_Data!$AI$2:$AI$3001),44),"")</f>
        <v/>
      </c>
    </row>
    <row r="79" spans="1:15" ht="15" customHeight="1" x14ac:dyDescent="0.3">
      <c r="A79" s="41" t="str">
        <f>IFERROR(INDEX(Combined_Data!$C:$C,$O79+1),"")</f>
        <v/>
      </c>
      <c r="B79" s="41" t="str">
        <f>IFERROR(INDEX(Combined_Data!$E:$E,$O79+1),"")</f>
        <v/>
      </c>
      <c r="C79" s="41" t="str">
        <f>IFERROR(INDEX(Combined_Data!$B:$B,$O79+1),"")</f>
        <v/>
      </c>
      <c r="D79" s="41" t="str">
        <f>IFERROR(INDEX(Combined_Data!$D:$D,$O79+1),"")</f>
        <v/>
      </c>
      <c r="E79" s="41" t="str">
        <f>IFERROR(INDEX(Combined_Data!$G:$G,$O79+1),"")</f>
        <v/>
      </c>
      <c r="F79" s="42" t="str">
        <f>IFERROR(INDEX(Combined_Data!$I:$I,$O79+1),"")</f>
        <v/>
      </c>
      <c r="G79" s="41" t="str">
        <f>IFERROR(INDEX(Combined_Data!$K:$K,$O79+1),"")</f>
        <v/>
      </c>
      <c r="H79" s="41" t="str">
        <f>IFERROR(INDEX(Combined_Data!$M:$M,$O79+1),"")</f>
        <v/>
      </c>
      <c r="I79" s="41" t="str">
        <f>IFERROR(INDEX(Combined_Data!$N:$N,$O79+1),"")</f>
        <v/>
      </c>
      <c r="J79" s="43" t="str">
        <f>IFERROR(INDEX(Combined_Data!$S:$S,$O79+1),"")</f>
        <v/>
      </c>
      <c r="K79" s="44" t="str">
        <f>IFERROR(INDEX(Combined_Data!$AF:$AF,$O79+1),"")</f>
        <v/>
      </c>
      <c r="L79" s="41" t="str">
        <f>IFERROR(INDEX(Combined_Data!$AG:$AG,$O79+1),"")</f>
        <v/>
      </c>
      <c r="M79" s="41" t="str">
        <f>IFERROR(INDEX(Combined_Data!$AH:$AH,$O79+1),"")</f>
        <v/>
      </c>
      <c r="O79" t="str">
        <f>IFERROR(_xlfn.AGGREGATE(15,6,(ROW(Combined_Data!$AI$2:$AI$3001)-1)/(Combined_Data!$AI$2:$AI$3001),45),"")</f>
        <v/>
      </c>
    </row>
    <row r="80" spans="1:15" ht="15" customHeight="1" x14ac:dyDescent="0.3">
      <c r="A80" s="41" t="str">
        <f>IFERROR(INDEX(Combined_Data!$C:$C,$O80+1),"")</f>
        <v/>
      </c>
      <c r="B80" s="41" t="str">
        <f>IFERROR(INDEX(Combined_Data!$E:$E,$O80+1),"")</f>
        <v/>
      </c>
      <c r="C80" s="41" t="str">
        <f>IFERROR(INDEX(Combined_Data!$B:$B,$O80+1),"")</f>
        <v/>
      </c>
      <c r="D80" s="41" t="str">
        <f>IFERROR(INDEX(Combined_Data!$D:$D,$O80+1),"")</f>
        <v/>
      </c>
      <c r="E80" s="41" t="str">
        <f>IFERROR(INDEX(Combined_Data!$G:$G,$O80+1),"")</f>
        <v/>
      </c>
      <c r="F80" s="42" t="str">
        <f>IFERROR(INDEX(Combined_Data!$I:$I,$O80+1),"")</f>
        <v/>
      </c>
      <c r="G80" s="41" t="str">
        <f>IFERROR(INDEX(Combined_Data!$K:$K,$O80+1),"")</f>
        <v/>
      </c>
      <c r="H80" s="41" t="str">
        <f>IFERROR(INDEX(Combined_Data!$M:$M,$O80+1),"")</f>
        <v/>
      </c>
      <c r="I80" s="41" t="str">
        <f>IFERROR(INDEX(Combined_Data!$N:$N,$O80+1),"")</f>
        <v/>
      </c>
      <c r="J80" s="43" t="str">
        <f>IFERROR(INDEX(Combined_Data!$S:$S,$O80+1),"")</f>
        <v/>
      </c>
      <c r="K80" s="44" t="str">
        <f>IFERROR(INDEX(Combined_Data!$AF:$AF,$O80+1),"")</f>
        <v/>
      </c>
      <c r="L80" s="41" t="str">
        <f>IFERROR(INDEX(Combined_Data!$AG:$AG,$O80+1),"")</f>
        <v/>
      </c>
      <c r="M80" s="41" t="str">
        <f>IFERROR(INDEX(Combined_Data!$AH:$AH,$O80+1),"")</f>
        <v/>
      </c>
      <c r="O80" t="str">
        <f>IFERROR(_xlfn.AGGREGATE(15,6,(ROW(Combined_Data!$AI$2:$AI$3001)-1)/(Combined_Data!$AI$2:$AI$3001),46),"")</f>
        <v/>
      </c>
    </row>
    <row r="81" spans="1:15" ht="15" customHeight="1" x14ac:dyDescent="0.3">
      <c r="A81" s="41" t="str">
        <f>IFERROR(INDEX(Combined_Data!$C:$C,$O81+1),"")</f>
        <v/>
      </c>
      <c r="B81" s="41" t="str">
        <f>IFERROR(INDEX(Combined_Data!$E:$E,$O81+1),"")</f>
        <v/>
      </c>
      <c r="C81" s="41" t="str">
        <f>IFERROR(INDEX(Combined_Data!$B:$B,$O81+1),"")</f>
        <v/>
      </c>
      <c r="D81" s="41" t="str">
        <f>IFERROR(INDEX(Combined_Data!$D:$D,$O81+1),"")</f>
        <v/>
      </c>
      <c r="E81" s="41" t="str">
        <f>IFERROR(INDEX(Combined_Data!$G:$G,$O81+1),"")</f>
        <v/>
      </c>
      <c r="F81" s="42" t="str">
        <f>IFERROR(INDEX(Combined_Data!$I:$I,$O81+1),"")</f>
        <v/>
      </c>
      <c r="G81" s="41" t="str">
        <f>IFERROR(INDEX(Combined_Data!$K:$K,$O81+1),"")</f>
        <v/>
      </c>
      <c r="H81" s="41" t="str">
        <f>IFERROR(INDEX(Combined_Data!$M:$M,$O81+1),"")</f>
        <v/>
      </c>
      <c r="I81" s="41" t="str">
        <f>IFERROR(INDEX(Combined_Data!$N:$N,$O81+1),"")</f>
        <v/>
      </c>
      <c r="J81" s="43" t="str">
        <f>IFERROR(INDEX(Combined_Data!$S:$S,$O81+1),"")</f>
        <v/>
      </c>
      <c r="K81" s="44" t="str">
        <f>IFERROR(INDEX(Combined_Data!$AF:$AF,$O81+1),"")</f>
        <v/>
      </c>
      <c r="L81" s="41" t="str">
        <f>IFERROR(INDEX(Combined_Data!$AG:$AG,$O81+1),"")</f>
        <v/>
      </c>
      <c r="M81" s="41" t="str">
        <f>IFERROR(INDEX(Combined_Data!$AH:$AH,$O81+1),"")</f>
        <v/>
      </c>
      <c r="O81" t="str">
        <f>IFERROR(_xlfn.AGGREGATE(15,6,(ROW(Combined_Data!$AI$2:$AI$3001)-1)/(Combined_Data!$AI$2:$AI$3001),47),"")</f>
        <v/>
      </c>
    </row>
    <row r="82" spans="1:15" ht="15" customHeight="1" x14ac:dyDescent="0.3">
      <c r="A82" s="41" t="str">
        <f>IFERROR(INDEX(Combined_Data!$C:$C,$O82+1),"")</f>
        <v/>
      </c>
      <c r="B82" s="41" t="str">
        <f>IFERROR(INDEX(Combined_Data!$E:$E,$O82+1),"")</f>
        <v/>
      </c>
      <c r="C82" s="41" t="str">
        <f>IFERROR(INDEX(Combined_Data!$B:$B,$O82+1),"")</f>
        <v/>
      </c>
      <c r="D82" s="41" t="str">
        <f>IFERROR(INDEX(Combined_Data!$D:$D,$O82+1),"")</f>
        <v/>
      </c>
      <c r="E82" s="41" t="str">
        <f>IFERROR(INDEX(Combined_Data!$G:$G,$O82+1),"")</f>
        <v/>
      </c>
      <c r="F82" s="42" t="str">
        <f>IFERROR(INDEX(Combined_Data!$I:$I,$O82+1),"")</f>
        <v/>
      </c>
      <c r="G82" s="41" t="str">
        <f>IFERROR(INDEX(Combined_Data!$K:$K,$O82+1),"")</f>
        <v/>
      </c>
      <c r="H82" s="41" t="str">
        <f>IFERROR(INDEX(Combined_Data!$M:$M,$O82+1),"")</f>
        <v/>
      </c>
      <c r="I82" s="41" t="str">
        <f>IFERROR(INDEX(Combined_Data!$N:$N,$O82+1),"")</f>
        <v/>
      </c>
      <c r="J82" s="43" t="str">
        <f>IFERROR(INDEX(Combined_Data!$S:$S,$O82+1),"")</f>
        <v/>
      </c>
      <c r="K82" s="44" t="str">
        <f>IFERROR(INDEX(Combined_Data!$AF:$AF,$O82+1),"")</f>
        <v/>
      </c>
      <c r="L82" s="41" t="str">
        <f>IFERROR(INDEX(Combined_Data!$AG:$AG,$O82+1),"")</f>
        <v/>
      </c>
      <c r="M82" s="41" t="str">
        <f>IFERROR(INDEX(Combined_Data!$AH:$AH,$O82+1),"")</f>
        <v/>
      </c>
      <c r="O82" t="str">
        <f>IFERROR(_xlfn.AGGREGATE(15,6,(ROW(Combined_Data!$AI$2:$AI$3001)-1)/(Combined_Data!$AI$2:$AI$3001),48),"")</f>
        <v/>
      </c>
    </row>
    <row r="83" spans="1:15" ht="15" customHeight="1" x14ac:dyDescent="0.3">
      <c r="A83" s="41" t="str">
        <f>IFERROR(INDEX(Combined_Data!$C:$C,$O83+1),"")</f>
        <v/>
      </c>
      <c r="B83" s="41" t="str">
        <f>IFERROR(INDEX(Combined_Data!$E:$E,$O83+1),"")</f>
        <v/>
      </c>
      <c r="C83" s="41" t="str">
        <f>IFERROR(INDEX(Combined_Data!$B:$B,$O83+1),"")</f>
        <v/>
      </c>
      <c r="D83" s="41" t="str">
        <f>IFERROR(INDEX(Combined_Data!$D:$D,$O83+1),"")</f>
        <v/>
      </c>
      <c r="E83" s="41" t="str">
        <f>IFERROR(INDEX(Combined_Data!$G:$G,$O83+1),"")</f>
        <v/>
      </c>
      <c r="F83" s="42" t="str">
        <f>IFERROR(INDEX(Combined_Data!$I:$I,$O83+1),"")</f>
        <v/>
      </c>
      <c r="G83" s="41" t="str">
        <f>IFERROR(INDEX(Combined_Data!$K:$K,$O83+1),"")</f>
        <v/>
      </c>
      <c r="H83" s="41" t="str">
        <f>IFERROR(INDEX(Combined_Data!$M:$M,$O83+1),"")</f>
        <v/>
      </c>
      <c r="I83" s="41" t="str">
        <f>IFERROR(INDEX(Combined_Data!$N:$N,$O83+1),"")</f>
        <v/>
      </c>
      <c r="J83" s="43" t="str">
        <f>IFERROR(INDEX(Combined_Data!$S:$S,$O83+1),"")</f>
        <v/>
      </c>
      <c r="K83" s="44" t="str">
        <f>IFERROR(INDEX(Combined_Data!$AF:$AF,$O83+1),"")</f>
        <v/>
      </c>
      <c r="L83" s="41" t="str">
        <f>IFERROR(INDEX(Combined_Data!$AG:$AG,$O83+1),"")</f>
        <v/>
      </c>
      <c r="M83" s="41" t="str">
        <f>IFERROR(INDEX(Combined_Data!$AH:$AH,$O83+1),"")</f>
        <v/>
      </c>
      <c r="O83" t="str">
        <f>IFERROR(_xlfn.AGGREGATE(15,6,(ROW(Combined_Data!$AI$2:$AI$3001)-1)/(Combined_Data!$AI$2:$AI$3001),49),"")</f>
        <v/>
      </c>
    </row>
    <row r="84" spans="1:15" ht="15" customHeight="1" x14ac:dyDescent="0.3">
      <c r="A84" s="41" t="str">
        <f>IFERROR(INDEX(Combined_Data!$C:$C,$O84+1),"")</f>
        <v/>
      </c>
      <c r="B84" s="41" t="str">
        <f>IFERROR(INDEX(Combined_Data!$E:$E,$O84+1),"")</f>
        <v/>
      </c>
      <c r="C84" s="41" t="str">
        <f>IFERROR(INDEX(Combined_Data!$B:$B,$O84+1),"")</f>
        <v/>
      </c>
      <c r="D84" s="41" t="str">
        <f>IFERROR(INDEX(Combined_Data!$D:$D,$O84+1),"")</f>
        <v/>
      </c>
      <c r="E84" s="41" t="str">
        <f>IFERROR(INDEX(Combined_Data!$G:$G,$O84+1),"")</f>
        <v/>
      </c>
      <c r="F84" s="42" t="str">
        <f>IFERROR(INDEX(Combined_Data!$I:$I,$O84+1),"")</f>
        <v/>
      </c>
      <c r="G84" s="41" t="str">
        <f>IFERROR(INDEX(Combined_Data!$K:$K,$O84+1),"")</f>
        <v/>
      </c>
      <c r="H84" s="41" t="str">
        <f>IFERROR(INDEX(Combined_Data!$M:$M,$O84+1),"")</f>
        <v/>
      </c>
      <c r="I84" s="41" t="str">
        <f>IFERROR(INDEX(Combined_Data!$N:$N,$O84+1),"")</f>
        <v/>
      </c>
      <c r="J84" s="43" t="str">
        <f>IFERROR(INDEX(Combined_Data!$S:$S,$O84+1),"")</f>
        <v/>
      </c>
      <c r="K84" s="44" t="str">
        <f>IFERROR(INDEX(Combined_Data!$AF:$AF,$O84+1),"")</f>
        <v/>
      </c>
      <c r="L84" s="41" t="str">
        <f>IFERROR(INDEX(Combined_Data!$AG:$AG,$O84+1),"")</f>
        <v/>
      </c>
      <c r="M84" s="41" t="str">
        <f>IFERROR(INDEX(Combined_Data!$AH:$AH,$O84+1),"")</f>
        <v/>
      </c>
      <c r="O84" t="str">
        <f>IFERROR(_xlfn.AGGREGATE(15,6,(ROW(Combined_Data!$AI$2:$AI$3001)-1)/(Combined_Data!$AI$2:$AI$3001),50),"")</f>
        <v/>
      </c>
    </row>
    <row r="85" spans="1:15" ht="15" customHeight="1" x14ac:dyDescent="0.3">
      <c r="A85" s="41" t="str">
        <f>IFERROR(INDEX(Combined_Data!$C:$C,$O85+1),"")</f>
        <v/>
      </c>
      <c r="B85" s="41" t="str">
        <f>IFERROR(INDEX(Combined_Data!$E:$E,$O85+1),"")</f>
        <v/>
      </c>
      <c r="C85" s="41" t="str">
        <f>IFERROR(INDEX(Combined_Data!$B:$B,$O85+1),"")</f>
        <v/>
      </c>
      <c r="D85" s="41" t="str">
        <f>IFERROR(INDEX(Combined_Data!$D:$D,$O85+1),"")</f>
        <v/>
      </c>
      <c r="E85" s="41" t="str">
        <f>IFERROR(INDEX(Combined_Data!$G:$G,$O85+1),"")</f>
        <v/>
      </c>
      <c r="F85" s="42" t="str">
        <f>IFERROR(INDEX(Combined_Data!$I:$I,$O85+1),"")</f>
        <v/>
      </c>
      <c r="G85" s="41" t="str">
        <f>IFERROR(INDEX(Combined_Data!$K:$K,$O85+1),"")</f>
        <v/>
      </c>
      <c r="H85" s="41" t="str">
        <f>IFERROR(INDEX(Combined_Data!$M:$M,$O85+1),"")</f>
        <v/>
      </c>
      <c r="I85" s="41" t="str">
        <f>IFERROR(INDEX(Combined_Data!$N:$N,$O85+1),"")</f>
        <v/>
      </c>
      <c r="J85" s="43" t="str">
        <f>IFERROR(INDEX(Combined_Data!$S:$S,$O85+1),"")</f>
        <v/>
      </c>
      <c r="K85" s="44" t="str">
        <f>IFERROR(INDEX(Combined_Data!$AF:$AF,$O85+1),"")</f>
        <v/>
      </c>
      <c r="L85" s="41" t="str">
        <f>IFERROR(INDEX(Combined_Data!$AG:$AG,$O85+1),"")</f>
        <v/>
      </c>
      <c r="M85" s="41" t="str">
        <f>IFERROR(INDEX(Combined_Data!$AH:$AH,$O85+1),"")</f>
        <v/>
      </c>
      <c r="O85" t="str">
        <f>IFERROR(_xlfn.AGGREGATE(15,6,(ROW(Combined_Data!$AI$2:$AI$3001)-1)/(Combined_Data!$AI$2:$AI$3001),51),"")</f>
        <v/>
      </c>
    </row>
    <row r="86" spans="1:15" ht="15" customHeight="1" x14ac:dyDescent="0.3">
      <c r="A86" s="41" t="str">
        <f>IFERROR(INDEX(Combined_Data!$C:$C,$O86+1),"")</f>
        <v/>
      </c>
      <c r="B86" s="41" t="str">
        <f>IFERROR(INDEX(Combined_Data!$E:$E,$O86+1),"")</f>
        <v/>
      </c>
      <c r="C86" s="41" t="str">
        <f>IFERROR(INDEX(Combined_Data!$B:$B,$O86+1),"")</f>
        <v/>
      </c>
      <c r="D86" s="41" t="str">
        <f>IFERROR(INDEX(Combined_Data!$D:$D,$O86+1),"")</f>
        <v/>
      </c>
      <c r="E86" s="41" t="str">
        <f>IFERROR(INDEX(Combined_Data!$G:$G,$O86+1),"")</f>
        <v/>
      </c>
      <c r="F86" s="42" t="str">
        <f>IFERROR(INDEX(Combined_Data!$I:$I,$O86+1),"")</f>
        <v/>
      </c>
      <c r="G86" s="41" t="str">
        <f>IFERROR(INDEX(Combined_Data!$K:$K,$O86+1),"")</f>
        <v/>
      </c>
      <c r="H86" s="41" t="str">
        <f>IFERROR(INDEX(Combined_Data!$M:$M,$O86+1),"")</f>
        <v/>
      </c>
      <c r="I86" s="41" t="str">
        <f>IFERROR(INDEX(Combined_Data!$N:$N,$O86+1),"")</f>
        <v/>
      </c>
      <c r="J86" s="43" t="str">
        <f>IFERROR(INDEX(Combined_Data!$S:$S,$O86+1),"")</f>
        <v/>
      </c>
      <c r="K86" s="44" t="str">
        <f>IFERROR(INDEX(Combined_Data!$AF:$AF,$O86+1),"")</f>
        <v/>
      </c>
      <c r="L86" s="41" t="str">
        <f>IFERROR(INDEX(Combined_Data!$AG:$AG,$O86+1),"")</f>
        <v/>
      </c>
      <c r="M86" s="41" t="str">
        <f>IFERROR(INDEX(Combined_Data!$AH:$AH,$O86+1),"")</f>
        <v/>
      </c>
      <c r="O86" t="str">
        <f>IFERROR(_xlfn.AGGREGATE(15,6,(ROW(Combined_Data!$AI$2:$AI$3001)-1)/(Combined_Data!$AI$2:$AI$3001),52),"")</f>
        <v/>
      </c>
    </row>
    <row r="87" spans="1:15" ht="15" customHeight="1" x14ac:dyDescent="0.3">
      <c r="A87" s="41" t="str">
        <f>IFERROR(INDEX(Combined_Data!$C:$C,$O87+1),"")</f>
        <v/>
      </c>
      <c r="B87" s="41" t="str">
        <f>IFERROR(INDEX(Combined_Data!$E:$E,$O87+1),"")</f>
        <v/>
      </c>
      <c r="C87" s="41" t="str">
        <f>IFERROR(INDEX(Combined_Data!$B:$B,$O87+1),"")</f>
        <v/>
      </c>
      <c r="D87" s="41" t="str">
        <f>IFERROR(INDEX(Combined_Data!$D:$D,$O87+1),"")</f>
        <v/>
      </c>
      <c r="E87" s="41" t="str">
        <f>IFERROR(INDEX(Combined_Data!$G:$G,$O87+1),"")</f>
        <v/>
      </c>
      <c r="F87" s="42" t="str">
        <f>IFERROR(INDEX(Combined_Data!$I:$I,$O87+1),"")</f>
        <v/>
      </c>
      <c r="G87" s="41" t="str">
        <f>IFERROR(INDEX(Combined_Data!$K:$K,$O87+1),"")</f>
        <v/>
      </c>
      <c r="H87" s="41" t="str">
        <f>IFERROR(INDEX(Combined_Data!$M:$M,$O87+1),"")</f>
        <v/>
      </c>
      <c r="I87" s="41" t="str">
        <f>IFERROR(INDEX(Combined_Data!$N:$N,$O87+1),"")</f>
        <v/>
      </c>
      <c r="J87" s="43" t="str">
        <f>IFERROR(INDEX(Combined_Data!$S:$S,$O87+1),"")</f>
        <v/>
      </c>
      <c r="K87" s="44" t="str">
        <f>IFERROR(INDEX(Combined_Data!$AF:$AF,$O87+1),"")</f>
        <v/>
      </c>
      <c r="L87" s="41" t="str">
        <f>IFERROR(INDEX(Combined_Data!$AG:$AG,$O87+1),"")</f>
        <v/>
      </c>
      <c r="M87" s="41" t="str">
        <f>IFERROR(INDEX(Combined_Data!$AH:$AH,$O87+1),"")</f>
        <v/>
      </c>
      <c r="O87" t="str">
        <f>IFERROR(_xlfn.AGGREGATE(15,6,(ROW(Combined_Data!$AI$2:$AI$3001)-1)/(Combined_Data!$AI$2:$AI$3001),53),"")</f>
        <v/>
      </c>
    </row>
    <row r="88" spans="1:15" ht="15" customHeight="1" x14ac:dyDescent="0.3">
      <c r="A88" s="41" t="str">
        <f>IFERROR(INDEX(Combined_Data!$C:$C,$O88+1),"")</f>
        <v/>
      </c>
      <c r="B88" s="41" t="str">
        <f>IFERROR(INDEX(Combined_Data!$E:$E,$O88+1),"")</f>
        <v/>
      </c>
      <c r="C88" s="41" t="str">
        <f>IFERROR(INDEX(Combined_Data!$B:$B,$O88+1),"")</f>
        <v/>
      </c>
      <c r="D88" s="41" t="str">
        <f>IFERROR(INDEX(Combined_Data!$D:$D,$O88+1),"")</f>
        <v/>
      </c>
      <c r="E88" s="41" t="str">
        <f>IFERROR(INDEX(Combined_Data!$G:$G,$O88+1),"")</f>
        <v/>
      </c>
      <c r="F88" s="42" t="str">
        <f>IFERROR(INDEX(Combined_Data!$I:$I,$O88+1),"")</f>
        <v/>
      </c>
      <c r="G88" s="41" t="str">
        <f>IFERROR(INDEX(Combined_Data!$K:$K,$O88+1),"")</f>
        <v/>
      </c>
      <c r="H88" s="41" t="str">
        <f>IFERROR(INDEX(Combined_Data!$M:$M,$O88+1),"")</f>
        <v/>
      </c>
      <c r="I88" s="41" t="str">
        <f>IFERROR(INDEX(Combined_Data!$N:$N,$O88+1),"")</f>
        <v/>
      </c>
      <c r="J88" s="43" t="str">
        <f>IFERROR(INDEX(Combined_Data!$S:$S,$O88+1),"")</f>
        <v/>
      </c>
      <c r="K88" s="44" t="str">
        <f>IFERROR(INDEX(Combined_Data!$AF:$AF,$O88+1),"")</f>
        <v/>
      </c>
      <c r="L88" s="41" t="str">
        <f>IFERROR(INDEX(Combined_Data!$AG:$AG,$O88+1),"")</f>
        <v/>
      </c>
      <c r="M88" s="41" t="str">
        <f>IFERROR(INDEX(Combined_Data!$AH:$AH,$O88+1),"")</f>
        <v/>
      </c>
      <c r="O88" t="str">
        <f>IFERROR(_xlfn.AGGREGATE(15,6,(ROW(Combined_Data!$AI$2:$AI$3001)-1)/(Combined_Data!$AI$2:$AI$3001),54),"")</f>
        <v/>
      </c>
    </row>
    <row r="89" spans="1:15" ht="15" customHeight="1" x14ac:dyDescent="0.3">
      <c r="A89" s="41" t="str">
        <f>IFERROR(INDEX(Combined_Data!$C:$C,$O89+1),"")</f>
        <v/>
      </c>
      <c r="B89" s="41" t="str">
        <f>IFERROR(INDEX(Combined_Data!$E:$E,$O89+1),"")</f>
        <v/>
      </c>
      <c r="C89" s="41" t="str">
        <f>IFERROR(INDEX(Combined_Data!$B:$B,$O89+1),"")</f>
        <v/>
      </c>
      <c r="D89" s="41" t="str">
        <f>IFERROR(INDEX(Combined_Data!$D:$D,$O89+1),"")</f>
        <v/>
      </c>
      <c r="E89" s="41" t="str">
        <f>IFERROR(INDEX(Combined_Data!$G:$G,$O89+1),"")</f>
        <v/>
      </c>
      <c r="F89" s="42" t="str">
        <f>IFERROR(INDEX(Combined_Data!$I:$I,$O89+1),"")</f>
        <v/>
      </c>
      <c r="G89" s="41" t="str">
        <f>IFERROR(INDEX(Combined_Data!$K:$K,$O89+1),"")</f>
        <v/>
      </c>
      <c r="H89" s="41" t="str">
        <f>IFERROR(INDEX(Combined_Data!$M:$M,$O89+1),"")</f>
        <v/>
      </c>
      <c r="I89" s="41" t="str">
        <f>IFERROR(INDEX(Combined_Data!$N:$N,$O89+1),"")</f>
        <v/>
      </c>
      <c r="J89" s="43" t="str">
        <f>IFERROR(INDEX(Combined_Data!$S:$S,$O89+1),"")</f>
        <v/>
      </c>
      <c r="K89" s="44" t="str">
        <f>IFERROR(INDEX(Combined_Data!$AF:$AF,$O89+1),"")</f>
        <v/>
      </c>
      <c r="L89" s="41" t="str">
        <f>IFERROR(INDEX(Combined_Data!$AG:$AG,$O89+1),"")</f>
        <v/>
      </c>
      <c r="M89" s="41" t="str">
        <f>IFERROR(INDEX(Combined_Data!$AH:$AH,$O89+1),"")</f>
        <v/>
      </c>
      <c r="O89" t="str">
        <f>IFERROR(_xlfn.AGGREGATE(15,6,(ROW(Combined_Data!$AI$2:$AI$3001)-1)/(Combined_Data!$AI$2:$AI$3001),55),"")</f>
        <v/>
      </c>
    </row>
    <row r="90" spans="1:15" ht="15" customHeight="1" x14ac:dyDescent="0.3">
      <c r="A90" s="41" t="str">
        <f>IFERROR(INDEX(Combined_Data!$C:$C,$O90+1),"")</f>
        <v/>
      </c>
      <c r="B90" s="41" t="str">
        <f>IFERROR(INDEX(Combined_Data!$E:$E,$O90+1),"")</f>
        <v/>
      </c>
      <c r="C90" s="41" t="str">
        <f>IFERROR(INDEX(Combined_Data!$B:$B,$O90+1),"")</f>
        <v/>
      </c>
      <c r="D90" s="41" t="str">
        <f>IFERROR(INDEX(Combined_Data!$D:$D,$O90+1),"")</f>
        <v/>
      </c>
      <c r="E90" s="41" t="str">
        <f>IFERROR(INDEX(Combined_Data!$G:$G,$O90+1),"")</f>
        <v/>
      </c>
      <c r="F90" s="42" t="str">
        <f>IFERROR(INDEX(Combined_Data!$I:$I,$O90+1),"")</f>
        <v/>
      </c>
      <c r="G90" s="41" t="str">
        <f>IFERROR(INDEX(Combined_Data!$K:$K,$O90+1),"")</f>
        <v/>
      </c>
      <c r="H90" s="41" t="str">
        <f>IFERROR(INDEX(Combined_Data!$M:$M,$O90+1),"")</f>
        <v/>
      </c>
      <c r="I90" s="41" t="str">
        <f>IFERROR(INDEX(Combined_Data!$N:$N,$O90+1),"")</f>
        <v/>
      </c>
      <c r="J90" s="43" t="str">
        <f>IFERROR(INDEX(Combined_Data!$S:$S,$O90+1),"")</f>
        <v/>
      </c>
      <c r="K90" s="44" t="str">
        <f>IFERROR(INDEX(Combined_Data!$AF:$AF,$O90+1),"")</f>
        <v/>
      </c>
      <c r="L90" s="41" t="str">
        <f>IFERROR(INDEX(Combined_Data!$AG:$AG,$O90+1),"")</f>
        <v/>
      </c>
      <c r="M90" s="41" t="str">
        <f>IFERROR(INDEX(Combined_Data!$AH:$AH,$O90+1),"")</f>
        <v/>
      </c>
      <c r="O90" t="str">
        <f>IFERROR(_xlfn.AGGREGATE(15,6,(ROW(Combined_Data!$AI$2:$AI$3001)-1)/(Combined_Data!$AI$2:$AI$3001),56),"")</f>
        <v/>
      </c>
    </row>
    <row r="91" spans="1:15" ht="15" customHeight="1" x14ac:dyDescent="0.3">
      <c r="A91" s="41" t="str">
        <f>IFERROR(INDEX(Combined_Data!$C:$C,$O91+1),"")</f>
        <v/>
      </c>
      <c r="B91" s="41" t="str">
        <f>IFERROR(INDEX(Combined_Data!$E:$E,$O91+1),"")</f>
        <v/>
      </c>
      <c r="C91" s="41" t="str">
        <f>IFERROR(INDEX(Combined_Data!$B:$B,$O91+1),"")</f>
        <v/>
      </c>
      <c r="D91" s="41" t="str">
        <f>IFERROR(INDEX(Combined_Data!$D:$D,$O91+1),"")</f>
        <v/>
      </c>
      <c r="E91" s="41" t="str">
        <f>IFERROR(INDEX(Combined_Data!$G:$G,$O91+1),"")</f>
        <v/>
      </c>
      <c r="F91" s="42" t="str">
        <f>IFERROR(INDEX(Combined_Data!$I:$I,$O91+1),"")</f>
        <v/>
      </c>
      <c r="G91" s="41" t="str">
        <f>IFERROR(INDEX(Combined_Data!$K:$K,$O91+1),"")</f>
        <v/>
      </c>
      <c r="H91" s="41" t="str">
        <f>IFERROR(INDEX(Combined_Data!$M:$M,$O91+1),"")</f>
        <v/>
      </c>
      <c r="I91" s="41" t="str">
        <f>IFERROR(INDEX(Combined_Data!$N:$N,$O91+1),"")</f>
        <v/>
      </c>
      <c r="J91" s="43" t="str">
        <f>IFERROR(INDEX(Combined_Data!$S:$S,$O91+1),"")</f>
        <v/>
      </c>
      <c r="K91" s="44" t="str">
        <f>IFERROR(INDEX(Combined_Data!$AF:$AF,$O91+1),"")</f>
        <v/>
      </c>
      <c r="L91" s="41" t="str">
        <f>IFERROR(INDEX(Combined_Data!$AG:$AG,$O91+1),"")</f>
        <v/>
      </c>
      <c r="M91" s="41" t="str">
        <f>IFERROR(INDEX(Combined_Data!$AH:$AH,$O91+1),"")</f>
        <v/>
      </c>
      <c r="O91" t="str">
        <f>IFERROR(_xlfn.AGGREGATE(15,6,(ROW(Combined_Data!$AI$2:$AI$3001)-1)/(Combined_Data!$AI$2:$AI$3001),57),"")</f>
        <v/>
      </c>
    </row>
    <row r="92" spans="1:15" ht="15" customHeight="1" x14ac:dyDescent="0.3">
      <c r="A92" s="41" t="str">
        <f>IFERROR(INDEX(Combined_Data!$C:$C,$O92+1),"")</f>
        <v/>
      </c>
      <c r="B92" s="41" t="str">
        <f>IFERROR(INDEX(Combined_Data!$E:$E,$O92+1),"")</f>
        <v/>
      </c>
      <c r="C92" s="41" t="str">
        <f>IFERROR(INDEX(Combined_Data!$B:$B,$O92+1),"")</f>
        <v/>
      </c>
      <c r="D92" s="41" t="str">
        <f>IFERROR(INDEX(Combined_Data!$D:$D,$O92+1),"")</f>
        <v/>
      </c>
      <c r="E92" s="41" t="str">
        <f>IFERROR(INDEX(Combined_Data!$G:$G,$O92+1),"")</f>
        <v/>
      </c>
      <c r="F92" s="42" t="str">
        <f>IFERROR(INDEX(Combined_Data!$I:$I,$O92+1),"")</f>
        <v/>
      </c>
      <c r="G92" s="41" t="str">
        <f>IFERROR(INDEX(Combined_Data!$K:$K,$O92+1),"")</f>
        <v/>
      </c>
      <c r="H92" s="41" t="str">
        <f>IFERROR(INDEX(Combined_Data!$M:$M,$O92+1),"")</f>
        <v/>
      </c>
      <c r="I92" s="41" t="str">
        <f>IFERROR(INDEX(Combined_Data!$N:$N,$O92+1),"")</f>
        <v/>
      </c>
      <c r="J92" s="43" t="str">
        <f>IFERROR(INDEX(Combined_Data!$S:$S,$O92+1),"")</f>
        <v/>
      </c>
      <c r="K92" s="44" t="str">
        <f>IFERROR(INDEX(Combined_Data!$AF:$AF,$O92+1),"")</f>
        <v/>
      </c>
      <c r="L92" s="41" t="str">
        <f>IFERROR(INDEX(Combined_Data!$AG:$AG,$O92+1),"")</f>
        <v/>
      </c>
      <c r="M92" s="41" t="str">
        <f>IFERROR(INDEX(Combined_Data!$AH:$AH,$O92+1),"")</f>
        <v/>
      </c>
      <c r="O92" t="str">
        <f>IFERROR(_xlfn.AGGREGATE(15,6,(ROW(Combined_Data!$AI$2:$AI$3001)-1)/(Combined_Data!$AI$2:$AI$3001),58),"")</f>
        <v/>
      </c>
    </row>
    <row r="93" spans="1:15" ht="15" customHeight="1" x14ac:dyDescent="0.3">
      <c r="A93" s="41" t="str">
        <f>IFERROR(INDEX(Combined_Data!$C:$C,$O93+1),"")</f>
        <v/>
      </c>
      <c r="B93" s="41" t="str">
        <f>IFERROR(INDEX(Combined_Data!$E:$E,$O93+1),"")</f>
        <v/>
      </c>
      <c r="C93" s="41" t="str">
        <f>IFERROR(INDEX(Combined_Data!$B:$B,$O93+1),"")</f>
        <v/>
      </c>
      <c r="D93" s="41" t="str">
        <f>IFERROR(INDEX(Combined_Data!$D:$D,$O93+1),"")</f>
        <v/>
      </c>
      <c r="E93" s="41" t="str">
        <f>IFERROR(INDEX(Combined_Data!$G:$G,$O93+1),"")</f>
        <v/>
      </c>
      <c r="F93" s="42" t="str">
        <f>IFERROR(INDEX(Combined_Data!$I:$I,$O93+1),"")</f>
        <v/>
      </c>
      <c r="G93" s="41" t="str">
        <f>IFERROR(INDEX(Combined_Data!$K:$K,$O93+1),"")</f>
        <v/>
      </c>
      <c r="H93" s="41" t="str">
        <f>IFERROR(INDEX(Combined_Data!$M:$M,$O93+1),"")</f>
        <v/>
      </c>
      <c r="I93" s="41" t="str">
        <f>IFERROR(INDEX(Combined_Data!$N:$N,$O93+1),"")</f>
        <v/>
      </c>
      <c r="J93" s="43" t="str">
        <f>IFERROR(INDEX(Combined_Data!$S:$S,$O93+1),"")</f>
        <v/>
      </c>
      <c r="K93" s="44" t="str">
        <f>IFERROR(INDEX(Combined_Data!$AF:$AF,$O93+1),"")</f>
        <v/>
      </c>
      <c r="L93" s="41" t="str">
        <f>IFERROR(INDEX(Combined_Data!$AG:$AG,$O93+1),"")</f>
        <v/>
      </c>
      <c r="M93" s="41" t="str">
        <f>IFERROR(INDEX(Combined_Data!$AH:$AH,$O93+1),"")</f>
        <v/>
      </c>
      <c r="O93" t="str">
        <f>IFERROR(_xlfn.AGGREGATE(15,6,(ROW(Combined_Data!$AI$2:$AI$3001)-1)/(Combined_Data!$AI$2:$AI$3001),59),"")</f>
        <v/>
      </c>
    </row>
    <row r="94" spans="1:15" ht="15" customHeight="1" x14ac:dyDescent="0.3">
      <c r="A94" s="41" t="str">
        <f>IFERROR(INDEX(Combined_Data!$C:$C,$O94+1),"")</f>
        <v/>
      </c>
      <c r="B94" s="41" t="str">
        <f>IFERROR(INDEX(Combined_Data!$E:$E,$O94+1),"")</f>
        <v/>
      </c>
      <c r="C94" s="41" t="str">
        <f>IFERROR(INDEX(Combined_Data!$B:$B,$O94+1),"")</f>
        <v/>
      </c>
      <c r="D94" s="41" t="str">
        <f>IFERROR(INDEX(Combined_Data!$D:$D,$O94+1),"")</f>
        <v/>
      </c>
      <c r="E94" s="41" t="str">
        <f>IFERROR(INDEX(Combined_Data!$G:$G,$O94+1),"")</f>
        <v/>
      </c>
      <c r="F94" s="42" t="str">
        <f>IFERROR(INDEX(Combined_Data!$I:$I,$O94+1),"")</f>
        <v/>
      </c>
      <c r="G94" s="41" t="str">
        <f>IFERROR(INDEX(Combined_Data!$K:$K,$O94+1),"")</f>
        <v/>
      </c>
      <c r="H94" s="41" t="str">
        <f>IFERROR(INDEX(Combined_Data!$M:$M,$O94+1),"")</f>
        <v/>
      </c>
      <c r="I94" s="41" t="str">
        <f>IFERROR(INDEX(Combined_Data!$N:$N,$O94+1),"")</f>
        <v/>
      </c>
      <c r="J94" s="43" t="str">
        <f>IFERROR(INDEX(Combined_Data!$S:$S,$O94+1),"")</f>
        <v/>
      </c>
      <c r="K94" s="44" t="str">
        <f>IFERROR(INDEX(Combined_Data!$AF:$AF,$O94+1),"")</f>
        <v/>
      </c>
      <c r="L94" s="41" t="str">
        <f>IFERROR(INDEX(Combined_Data!$AG:$AG,$O94+1),"")</f>
        <v/>
      </c>
      <c r="M94" s="41" t="str">
        <f>IFERROR(INDEX(Combined_Data!$AH:$AH,$O94+1),"")</f>
        <v/>
      </c>
      <c r="O94" t="str">
        <f>IFERROR(_xlfn.AGGREGATE(15,6,(ROW(Combined_Data!$AI$2:$AI$3001)-1)/(Combined_Data!$AI$2:$AI$3001),60),"")</f>
        <v/>
      </c>
    </row>
    <row r="95" spans="1:15" ht="15" customHeight="1" x14ac:dyDescent="0.3">
      <c r="A95" s="41" t="str">
        <f>IFERROR(INDEX(Combined_Data!$C:$C,$O95+1),"")</f>
        <v/>
      </c>
      <c r="B95" s="41" t="str">
        <f>IFERROR(INDEX(Combined_Data!$E:$E,$O95+1),"")</f>
        <v/>
      </c>
      <c r="C95" s="41" t="str">
        <f>IFERROR(INDEX(Combined_Data!$B:$B,$O95+1),"")</f>
        <v/>
      </c>
      <c r="D95" s="41" t="str">
        <f>IFERROR(INDEX(Combined_Data!$D:$D,$O95+1),"")</f>
        <v/>
      </c>
      <c r="E95" s="41" t="str">
        <f>IFERROR(INDEX(Combined_Data!$G:$G,$O95+1),"")</f>
        <v/>
      </c>
      <c r="F95" s="42" t="str">
        <f>IFERROR(INDEX(Combined_Data!$I:$I,$O95+1),"")</f>
        <v/>
      </c>
      <c r="G95" s="41" t="str">
        <f>IFERROR(INDEX(Combined_Data!$K:$K,$O95+1),"")</f>
        <v/>
      </c>
      <c r="H95" s="41" t="str">
        <f>IFERROR(INDEX(Combined_Data!$M:$M,$O95+1),"")</f>
        <v/>
      </c>
      <c r="I95" s="41" t="str">
        <f>IFERROR(INDEX(Combined_Data!$N:$N,$O95+1),"")</f>
        <v/>
      </c>
      <c r="J95" s="43" t="str">
        <f>IFERROR(INDEX(Combined_Data!$S:$S,$O95+1),"")</f>
        <v/>
      </c>
      <c r="K95" s="44" t="str">
        <f>IFERROR(INDEX(Combined_Data!$AF:$AF,$O95+1),"")</f>
        <v/>
      </c>
      <c r="L95" s="41" t="str">
        <f>IFERROR(INDEX(Combined_Data!$AG:$AG,$O95+1),"")</f>
        <v/>
      </c>
      <c r="M95" s="41" t="str">
        <f>IFERROR(INDEX(Combined_Data!$AH:$AH,$O95+1),"")</f>
        <v/>
      </c>
      <c r="O95" t="str">
        <f>IFERROR(_xlfn.AGGREGATE(15,6,(ROW(Combined_Data!$AI$2:$AI$3001)-1)/(Combined_Data!$AI$2:$AI$3001),61),"")</f>
        <v/>
      </c>
    </row>
    <row r="96" spans="1:15" ht="15" customHeight="1" x14ac:dyDescent="0.3">
      <c r="A96" s="41" t="str">
        <f>IFERROR(INDEX(Combined_Data!$C:$C,$O96+1),"")</f>
        <v/>
      </c>
      <c r="B96" s="41" t="str">
        <f>IFERROR(INDEX(Combined_Data!$E:$E,$O96+1),"")</f>
        <v/>
      </c>
      <c r="C96" s="41" t="str">
        <f>IFERROR(INDEX(Combined_Data!$B:$B,$O96+1),"")</f>
        <v/>
      </c>
      <c r="D96" s="41" t="str">
        <f>IFERROR(INDEX(Combined_Data!$D:$D,$O96+1),"")</f>
        <v/>
      </c>
      <c r="E96" s="41" t="str">
        <f>IFERROR(INDEX(Combined_Data!$G:$G,$O96+1),"")</f>
        <v/>
      </c>
      <c r="F96" s="42" t="str">
        <f>IFERROR(INDEX(Combined_Data!$I:$I,$O96+1),"")</f>
        <v/>
      </c>
      <c r="G96" s="41" t="str">
        <f>IFERROR(INDEX(Combined_Data!$K:$K,$O96+1),"")</f>
        <v/>
      </c>
      <c r="H96" s="41" t="str">
        <f>IFERROR(INDEX(Combined_Data!$M:$M,$O96+1),"")</f>
        <v/>
      </c>
      <c r="I96" s="41" t="str">
        <f>IFERROR(INDEX(Combined_Data!$N:$N,$O96+1),"")</f>
        <v/>
      </c>
      <c r="J96" s="43" t="str">
        <f>IFERROR(INDEX(Combined_Data!$S:$S,$O96+1),"")</f>
        <v/>
      </c>
      <c r="K96" s="44" t="str">
        <f>IFERROR(INDEX(Combined_Data!$AF:$AF,$O96+1),"")</f>
        <v/>
      </c>
      <c r="L96" s="41" t="str">
        <f>IFERROR(INDEX(Combined_Data!$AG:$AG,$O96+1),"")</f>
        <v/>
      </c>
      <c r="M96" s="41" t="str">
        <f>IFERROR(INDEX(Combined_Data!$AH:$AH,$O96+1),"")</f>
        <v/>
      </c>
      <c r="O96" t="str">
        <f>IFERROR(_xlfn.AGGREGATE(15,6,(ROW(Combined_Data!$AI$2:$AI$3001)-1)/(Combined_Data!$AI$2:$AI$3001),62),"")</f>
        <v/>
      </c>
    </row>
    <row r="97" spans="1:15" ht="15" customHeight="1" x14ac:dyDescent="0.3">
      <c r="A97" s="41" t="str">
        <f>IFERROR(INDEX(Combined_Data!$C:$C,$O97+1),"")</f>
        <v/>
      </c>
      <c r="B97" s="41" t="str">
        <f>IFERROR(INDEX(Combined_Data!$E:$E,$O97+1),"")</f>
        <v/>
      </c>
      <c r="C97" s="41" t="str">
        <f>IFERROR(INDEX(Combined_Data!$B:$B,$O97+1),"")</f>
        <v/>
      </c>
      <c r="D97" s="41" t="str">
        <f>IFERROR(INDEX(Combined_Data!$D:$D,$O97+1),"")</f>
        <v/>
      </c>
      <c r="E97" s="41" t="str">
        <f>IFERROR(INDEX(Combined_Data!$G:$G,$O97+1),"")</f>
        <v/>
      </c>
      <c r="F97" s="42" t="str">
        <f>IFERROR(INDEX(Combined_Data!$I:$I,$O97+1),"")</f>
        <v/>
      </c>
      <c r="G97" s="41" t="str">
        <f>IFERROR(INDEX(Combined_Data!$K:$K,$O97+1),"")</f>
        <v/>
      </c>
      <c r="H97" s="41" t="str">
        <f>IFERROR(INDEX(Combined_Data!$M:$M,$O97+1),"")</f>
        <v/>
      </c>
      <c r="I97" s="41" t="str">
        <f>IFERROR(INDEX(Combined_Data!$N:$N,$O97+1),"")</f>
        <v/>
      </c>
      <c r="J97" s="43" t="str">
        <f>IFERROR(INDEX(Combined_Data!$S:$S,$O97+1),"")</f>
        <v/>
      </c>
      <c r="K97" s="44" t="str">
        <f>IFERROR(INDEX(Combined_Data!$AF:$AF,$O97+1),"")</f>
        <v/>
      </c>
      <c r="L97" s="41" t="str">
        <f>IFERROR(INDEX(Combined_Data!$AG:$AG,$O97+1),"")</f>
        <v/>
      </c>
      <c r="M97" s="41" t="str">
        <f>IFERROR(INDEX(Combined_Data!$AH:$AH,$O97+1),"")</f>
        <v/>
      </c>
      <c r="O97" t="str">
        <f>IFERROR(_xlfn.AGGREGATE(15,6,(ROW(Combined_Data!$AI$2:$AI$3001)-1)/(Combined_Data!$AI$2:$AI$3001),63),"")</f>
        <v/>
      </c>
    </row>
    <row r="98" spans="1:15" ht="15" customHeight="1" x14ac:dyDescent="0.3">
      <c r="A98" s="41" t="str">
        <f>IFERROR(INDEX(Combined_Data!$C:$C,$O98+1),"")</f>
        <v/>
      </c>
      <c r="B98" s="41" t="str">
        <f>IFERROR(INDEX(Combined_Data!$E:$E,$O98+1),"")</f>
        <v/>
      </c>
      <c r="C98" s="41" t="str">
        <f>IFERROR(INDEX(Combined_Data!$B:$B,$O98+1),"")</f>
        <v/>
      </c>
      <c r="D98" s="41" t="str">
        <f>IFERROR(INDEX(Combined_Data!$D:$D,$O98+1),"")</f>
        <v/>
      </c>
      <c r="E98" s="41" t="str">
        <f>IFERROR(INDEX(Combined_Data!$G:$G,$O98+1),"")</f>
        <v/>
      </c>
      <c r="F98" s="42" t="str">
        <f>IFERROR(INDEX(Combined_Data!$I:$I,$O98+1),"")</f>
        <v/>
      </c>
      <c r="G98" s="41" t="str">
        <f>IFERROR(INDEX(Combined_Data!$K:$K,$O98+1),"")</f>
        <v/>
      </c>
      <c r="H98" s="41" t="str">
        <f>IFERROR(INDEX(Combined_Data!$M:$M,$O98+1),"")</f>
        <v/>
      </c>
      <c r="I98" s="41" t="str">
        <f>IFERROR(INDEX(Combined_Data!$N:$N,$O98+1),"")</f>
        <v/>
      </c>
      <c r="J98" s="43" t="str">
        <f>IFERROR(INDEX(Combined_Data!$S:$S,$O98+1),"")</f>
        <v/>
      </c>
      <c r="K98" s="44" t="str">
        <f>IFERROR(INDEX(Combined_Data!$AF:$AF,$O98+1),"")</f>
        <v/>
      </c>
      <c r="L98" s="41" t="str">
        <f>IFERROR(INDEX(Combined_Data!$AG:$AG,$O98+1),"")</f>
        <v/>
      </c>
      <c r="M98" s="41" t="str">
        <f>IFERROR(INDEX(Combined_Data!$AH:$AH,$O98+1),"")</f>
        <v/>
      </c>
      <c r="O98" t="str">
        <f>IFERROR(_xlfn.AGGREGATE(15,6,(ROW(Combined_Data!$AI$2:$AI$3001)-1)/(Combined_Data!$AI$2:$AI$3001),64),"")</f>
        <v/>
      </c>
    </row>
    <row r="99" spans="1:15" ht="15" customHeight="1" x14ac:dyDescent="0.3">
      <c r="A99" s="41" t="str">
        <f>IFERROR(INDEX(Combined_Data!$C:$C,$O99+1),"")</f>
        <v/>
      </c>
      <c r="B99" s="41" t="str">
        <f>IFERROR(INDEX(Combined_Data!$E:$E,$O99+1),"")</f>
        <v/>
      </c>
      <c r="C99" s="41" t="str">
        <f>IFERROR(INDEX(Combined_Data!$B:$B,$O99+1),"")</f>
        <v/>
      </c>
      <c r="D99" s="41" t="str">
        <f>IFERROR(INDEX(Combined_Data!$D:$D,$O99+1),"")</f>
        <v/>
      </c>
      <c r="E99" s="41" t="str">
        <f>IFERROR(INDEX(Combined_Data!$G:$G,$O99+1),"")</f>
        <v/>
      </c>
      <c r="F99" s="42" t="str">
        <f>IFERROR(INDEX(Combined_Data!$I:$I,$O99+1),"")</f>
        <v/>
      </c>
      <c r="G99" s="41" t="str">
        <f>IFERROR(INDEX(Combined_Data!$K:$K,$O99+1),"")</f>
        <v/>
      </c>
      <c r="H99" s="41" t="str">
        <f>IFERROR(INDEX(Combined_Data!$M:$M,$O99+1),"")</f>
        <v/>
      </c>
      <c r="I99" s="41" t="str">
        <f>IFERROR(INDEX(Combined_Data!$N:$N,$O99+1),"")</f>
        <v/>
      </c>
      <c r="J99" s="43" t="str">
        <f>IFERROR(INDEX(Combined_Data!$S:$S,$O99+1),"")</f>
        <v/>
      </c>
      <c r="K99" s="44" t="str">
        <f>IFERROR(INDEX(Combined_Data!$AF:$AF,$O99+1),"")</f>
        <v/>
      </c>
      <c r="L99" s="41" t="str">
        <f>IFERROR(INDEX(Combined_Data!$AG:$AG,$O99+1),"")</f>
        <v/>
      </c>
      <c r="M99" s="41" t="str">
        <f>IFERROR(INDEX(Combined_Data!$AH:$AH,$O99+1),"")</f>
        <v/>
      </c>
      <c r="O99" t="str">
        <f>IFERROR(_xlfn.AGGREGATE(15,6,(ROW(Combined_Data!$AI$2:$AI$3001)-1)/(Combined_Data!$AI$2:$AI$3001),65),"")</f>
        <v/>
      </c>
    </row>
    <row r="100" spans="1:15" ht="15" customHeight="1" x14ac:dyDescent="0.3">
      <c r="A100" s="41" t="str">
        <f>IFERROR(INDEX(Combined_Data!$C:$C,$O100+1),"")</f>
        <v/>
      </c>
      <c r="B100" s="41" t="str">
        <f>IFERROR(INDEX(Combined_Data!$E:$E,$O100+1),"")</f>
        <v/>
      </c>
      <c r="C100" s="41" t="str">
        <f>IFERROR(INDEX(Combined_Data!$B:$B,$O100+1),"")</f>
        <v/>
      </c>
      <c r="D100" s="41" t="str">
        <f>IFERROR(INDEX(Combined_Data!$D:$D,$O100+1),"")</f>
        <v/>
      </c>
      <c r="E100" s="41" t="str">
        <f>IFERROR(INDEX(Combined_Data!$G:$G,$O100+1),"")</f>
        <v/>
      </c>
      <c r="F100" s="42" t="str">
        <f>IFERROR(INDEX(Combined_Data!$I:$I,$O100+1),"")</f>
        <v/>
      </c>
      <c r="G100" s="41" t="str">
        <f>IFERROR(INDEX(Combined_Data!$K:$K,$O100+1),"")</f>
        <v/>
      </c>
      <c r="H100" s="41" t="str">
        <f>IFERROR(INDEX(Combined_Data!$M:$M,$O100+1),"")</f>
        <v/>
      </c>
      <c r="I100" s="41" t="str">
        <f>IFERROR(INDEX(Combined_Data!$N:$N,$O100+1),"")</f>
        <v/>
      </c>
      <c r="J100" s="43" t="str">
        <f>IFERROR(INDEX(Combined_Data!$S:$S,$O100+1),"")</f>
        <v/>
      </c>
      <c r="K100" s="44" t="str">
        <f>IFERROR(INDEX(Combined_Data!$AF:$AF,$O100+1),"")</f>
        <v/>
      </c>
      <c r="L100" s="41" t="str">
        <f>IFERROR(INDEX(Combined_Data!$AG:$AG,$O100+1),"")</f>
        <v/>
      </c>
      <c r="M100" s="41" t="str">
        <f>IFERROR(INDEX(Combined_Data!$AH:$AH,$O100+1),"")</f>
        <v/>
      </c>
      <c r="O100" t="str">
        <f>IFERROR(_xlfn.AGGREGATE(15,6,(ROW(Combined_Data!$AI$2:$AI$3001)-1)/(Combined_Data!$AI$2:$AI$3001),66),"")</f>
        <v/>
      </c>
    </row>
    <row r="101" spans="1:15" ht="15" customHeight="1" x14ac:dyDescent="0.3">
      <c r="A101" s="41" t="str">
        <f>IFERROR(INDEX(Combined_Data!$C:$C,$O101+1),"")</f>
        <v/>
      </c>
      <c r="B101" s="41" t="str">
        <f>IFERROR(INDEX(Combined_Data!$E:$E,$O101+1),"")</f>
        <v/>
      </c>
      <c r="C101" s="41" t="str">
        <f>IFERROR(INDEX(Combined_Data!$B:$B,$O101+1),"")</f>
        <v/>
      </c>
      <c r="D101" s="41" t="str">
        <f>IFERROR(INDEX(Combined_Data!$D:$D,$O101+1),"")</f>
        <v/>
      </c>
      <c r="E101" s="41" t="str">
        <f>IFERROR(INDEX(Combined_Data!$G:$G,$O101+1),"")</f>
        <v/>
      </c>
      <c r="F101" s="42" t="str">
        <f>IFERROR(INDEX(Combined_Data!$I:$I,$O101+1),"")</f>
        <v/>
      </c>
      <c r="G101" s="41" t="str">
        <f>IFERROR(INDEX(Combined_Data!$K:$K,$O101+1),"")</f>
        <v/>
      </c>
      <c r="H101" s="41" t="str">
        <f>IFERROR(INDEX(Combined_Data!$M:$M,$O101+1),"")</f>
        <v/>
      </c>
      <c r="I101" s="41" t="str">
        <f>IFERROR(INDEX(Combined_Data!$N:$N,$O101+1),"")</f>
        <v/>
      </c>
      <c r="J101" s="43" t="str">
        <f>IFERROR(INDEX(Combined_Data!$S:$S,$O101+1),"")</f>
        <v/>
      </c>
      <c r="K101" s="44" t="str">
        <f>IFERROR(INDEX(Combined_Data!$AF:$AF,$O101+1),"")</f>
        <v/>
      </c>
      <c r="L101" s="41" t="str">
        <f>IFERROR(INDEX(Combined_Data!$AG:$AG,$O101+1),"")</f>
        <v/>
      </c>
      <c r="M101" s="41" t="str">
        <f>IFERROR(INDEX(Combined_Data!$AH:$AH,$O101+1),"")</f>
        <v/>
      </c>
      <c r="O101" t="str">
        <f>IFERROR(_xlfn.AGGREGATE(15,6,(ROW(Combined_Data!$AI$2:$AI$3001)-1)/(Combined_Data!$AI$2:$AI$3001),67),"")</f>
        <v/>
      </c>
    </row>
    <row r="102" spans="1:15" ht="15" customHeight="1" x14ac:dyDescent="0.3">
      <c r="A102" s="41" t="str">
        <f>IFERROR(INDEX(Combined_Data!$C:$C,$O102+1),"")</f>
        <v/>
      </c>
      <c r="B102" s="41" t="str">
        <f>IFERROR(INDEX(Combined_Data!$E:$E,$O102+1),"")</f>
        <v/>
      </c>
      <c r="C102" s="41" t="str">
        <f>IFERROR(INDEX(Combined_Data!$B:$B,$O102+1),"")</f>
        <v/>
      </c>
      <c r="D102" s="41" t="str">
        <f>IFERROR(INDEX(Combined_Data!$D:$D,$O102+1),"")</f>
        <v/>
      </c>
      <c r="E102" s="41" t="str">
        <f>IFERROR(INDEX(Combined_Data!$G:$G,$O102+1),"")</f>
        <v/>
      </c>
      <c r="F102" s="42" t="str">
        <f>IFERROR(INDEX(Combined_Data!$I:$I,$O102+1),"")</f>
        <v/>
      </c>
      <c r="G102" s="41" t="str">
        <f>IFERROR(INDEX(Combined_Data!$K:$K,$O102+1),"")</f>
        <v/>
      </c>
      <c r="H102" s="41" t="str">
        <f>IFERROR(INDEX(Combined_Data!$M:$M,$O102+1),"")</f>
        <v/>
      </c>
      <c r="I102" s="41" t="str">
        <f>IFERROR(INDEX(Combined_Data!$N:$N,$O102+1),"")</f>
        <v/>
      </c>
      <c r="J102" s="43" t="str">
        <f>IFERROR(INDEX(Combined_Data!$S:$S,$O102+1),"")</f>
        <v/>
      </c>
      <c r="K102" s="44" t="str">
        <f>IFERROR(INDEX(Combined_Data!$AF:$AF,$O102+1),"")</f>
        <v/>
      </c>
      <c r="L102" s="41" t="str">
        <f>IFERROR(INDEX(Combined_Data!$AG:$AG,$O102+1),"")</f>
        <v/>
      </c>
      <c r="M102" s="41" t="str">
        <f>IFERROR(INDEX(Combined_Data!$AH:$AH,$O102+1),"")</f>
        <v/>
      </c>
      <c r="O102" t="str">
        <f>IFERROR(_xlfn.AGGREGATE(15,6,(ROW(Combined_Data!$AI$2:$AI$3001)-1)/(Combined_Data!$AI$2:$AI$3001),68),"")</f>
        <v/>
      </c>
    </row>
    <row r="103" spans="1:15" ht="15" customHeight="1" x14ac:dyDescent="0.3">
      <c r="A103" s="41" t="str">
        <f>IFERROR(INDEX(Combined_Data!$C:$C,$O103+1),"")</f>
        <v/>
      </c>
      <c r="B103" s="41" t="str">
        <f>IFERROR(INDEX(Combined_Data!$E:$E,$O103+1),"")</f>
        <v/>
      </c>
      <c r="C103" s="41" t="str">
        <f>IFERROR(INDEX(Combined_Data!$B:$B,$O103+1),"")</f>
        <v/>
      </c>
      <c r="D103" s="41" t="str">
        <f>IFERROR(INDEX(Combined_Data!$D:$D,$O103+1),"")</f>
        <v/>
      </c>
      <c r="E103" s="41" t="str">
        <f>IFERROR(INDEX(Combined_Data!$G:$G,$O103+1),"")</f>
        <v/>
      </c>
      <c r="F103" s="42" t="str">
        <f>IFERROR(INDEX(Combined_Data!$I:$I,$O103+1),"")</f>
        <v/>
      </c>
      <c r="G103" s="41" t="str">
        <f>IFERROR(INDEX(Combined_Data!$K:$K,$O103+1),"")</f>
        <v/>
      </c>
      <c r="H103" s="41" t="str">
        <f>IFERROR(INDEX(Combined_Data!$M:$M,$O103+1),"")</f>
        <v/>
      </c>
      <c r="I103" s="41" t="str">
        <f>IFERROR(INDEX(Combined_Data!$N:$N,$O103+1),"")</f>
        <v/>
      </c>
      <c r="J103" s="43" t="str">
        <f>IFERROR(INDEX(Combined_Data!$S:$S,$O103+1),"")</f>
        <v/>
      </c>
      <c r="K103" s="44" t="str">
        <f>IFERROR(INDEX(Combined_Data!$AF:$AF,$O103+1),"")</f>
        <v/>
      </c>
      <c r="L103" s="41" t="str">
        <f>IFERROR(INDEX(Combined_Data!$AG:$AG,$O103+1),"")</f>
        <v/>
      </c>
      <c r="M103" s="41" t="str">
        <f>IFERROR(INDEX(Combined_Data!$AH:$AH,$O103+1),"")</f>
        <v/>
      </c>
      <c r="O103" t="str">
        <f>IFERROR(_xlfn.AGGREGATE(15,6,(ROW(Combined_Data!$AI$2:$AI$3001)-1)/(Combined_Data!$AI$2:$AI$3001),69),"")</f>
        <v/>
      </c>
    </row>
    <row r="104" spans="1:15" ht="15" customHeight="1" x14ac:dyDescent="0.3">
      <c r="A104" s="41" t="str">
        <f>IFERROR(INDEX(Combined_Data!$C:$C,$O104+1),"")</f>
        <v/>
      </c>
      <c r="B104" s="41" t="str">
        <f>IFERROR(INDEX(Combined_Data!$E:$E,$O104+1),"")</f>
        <v/>
      </c>
      <c r="C104" s="41" t="str">
        <f>IFERROR(INDEX(Combined_Data!$B:$B,$O104+1),"")</f>
        <v/>
      </c>
      <c r="D104" s="41" t="str">
        <f>IFERROR(INDEX(Combined_Data!$D:$D,$O104+1),"")</f>
        <v/>
      </c>
      <c r="E104" s="41" t="str">
        <f>IFERROR(INDEX(Combined_Data!$G:$G,$O104+1),"")</f>
        <v/>
      </c>
      <c r="F104" s="42" t="str">
        <f>IFERROR(INDEX(Combined_Data!$I:$I,$O104+1),"")</f>
        <v/>
      </c>
      <c r="G104" s="41" t="str">
        <f>IFERROR(INDEX(Combined_Data!$K:$K,$O104+1),"")</f>
        <v/>
      </c>
      <c r="H104" s="41" t="str">
        <f>IFERROR(INDEX(Combined_Data!$M:$M,$O104+1),"")</f>
        <v/>
      </c>
      <c r="I104" s="41" t="str">
        <f>IFERROR(INDEX(Combined_Data!$N:$N,$O104+1),"")</f>
        <v/>
      </c>
      <c r="J104" s="43" t="str">
        <f>IFERROR(INDEX(Combined_Data!$S:$S,$O104+1),"")</f>
        <v/>
      </c>
      <c r="K104" s="44" t="str">
        <f>IFERROR(INDEX(Combined_Data!$AF:$AF,$O104+1),"")</f>
        <v/>
      </c>
      <c r="L104" s="41" t="str">
        <f>IFERROR(INDEX(Combined_Data!$AG:$AG,$O104+1),"")</f>
        <v/>
      </c>
      <c r="M104" s="41" t="str">
        <f>IFERROR(INDEX(Combined_Data!$AH:$AH,$O104+1),"")</f>
        <v/>
      </c>
      <c r="O104" t="str">
        <f>IFERROR(_xlfn.AGGREGATE(15,6,(ROW(Combined_Data!$AI$2:$AI$3001)-1)/(Combined_Data!$AI$2:$AI$3001),70),"")</f>
        <v/>
      </c>
    </row>
    <row r="105" spans="1:15" ht="15" customHeight="1" x14ac:dyDescent="0.3">
      <c r="A105" s="41" t="str">
        <f>IFERROR(INDEX(Combined_Data!$C:$C,$O105+1),"")</f>
        <v/>
      </c>
      <c r="B105" s="41" t="str">
        <f>IFERROR(INDEX(Combined_Data!$E:$E,$O105+1),"")</f>
        <v/>
      </c>
      <c r="C105" s="41" t="str">
        <f>IFERROR(INDEX(Combined_Data!$B:$B,$O105+1),"")</f>
        <v/>
      </c>
      <c r="D105" s="41" t="str">
        <f>IFERROR(INDEX(Combined_Data!$D:$D,$O105+1),"")</f>
        <v/>
      </c>
      <c r="E105" s="41" t="str">
        <f>IFERROR(INDEX(Combined_Data!$G:$G,$O105+1),"")</f>
        <v/>
      </c>
      <c r="F105" s="42" t="str">
        <f>IFERROR(INDEX(Combined_Data!$I:$I,$O105+1),"")</f>
        <v/>
      </c>
      <c r="G105" s="41" t="str">
        <f>IFERROR(INDEX(Combined_Data!$K:$K,$O105+1),"")</f>
        <v/>
      </c>
      <c r="H105" s="41" t="str">
        <f>IFERROR(INDEX(Combined_Data!$M:$M,$O105+1),"")</f>
        <v/>
      </c>
      <c r="I105" s="41" t="str">
        <f>IFERROR(INDEX(Combined_Data!$N:$N,$O105+1),"")</f>
        <v/>
      </c>
      <c r="J105" s="43" t="str">
        <f>IFERROR(INDEX(Combined_Data!$S:$S,$O105+1),"")</f>
        <v/>
      </c>
      <c r="K105" s="44" t="str">
        <f>IFERROR(INDEX(Combined_Data!$AF:$AF,$O105+1),"")</f>
        <v/>
      </c>
      <c r="L105" s="41" t="str">
        <f>IFERROR(INDEX(Combined_Data!$AG:$AG,$O105+1),"")</f>
        <v/>
      </c>
      <c r="M105" s="41" t="str">
        <f>IFERROR(INDEX(Combined_Data!$AH:$AH,$O105+1),"")</f>
        <v/>
      </c>
      <c r="O105" t="str">
        <f>IFERROR(_xlfn.AGGREGATE(15,6,(ROW(Combined_Data!$AI$2:$AI$3001)-1)/(Combined_Data!$AI$2:$AI$3001),71),"")</f>
        <v/>
      </c>
    </row>
    <row r="106" spans="1:15" ht="15" customHeight="1" x14ac:dyDescent="0.3">
      <c r="A106" s="41" t="str">
        <f>IFERROR(INDEX(Combined_Data!$C:$C,$O106+1),"")</f>
        <v/>
      </c>
      <c r="B106" s="41" t="str">
        <f>IFERROR(INDEX(Combined_Data!$E:$E,$O106+1),"")</f>
        <v/>
      </c>
      <c r="C106" s="41" t="str">
        <f>IFERROR(INDEX(Combined_Data!$B:$B,$O106+1),"")</f>
        <v/>
      </c>
      <c r="D106" s="41" t="str">
        <f>IFERROR(INDEX(Combined_Data!$D:$D,$O106+1),"")</f>
        <v/>
      </c>
      <c r="E106" s="41" t="str">
        <f>IFERROR(INDEX(Combined_Data!$G:$G,$O106+1),"")</f>
        <v/>
      </c>
      <c r="F106" s="42" t="str">
        <f>IFERROR(INDEX(Combined_Data!$I:$I,$O106+1),"")</f>
        <v/>
      </c>
      <c r="G106" s="41" t="str">
        <f>IFERROR(INDEX(Combined_Data!$K:$K,$O106+1),"")</f>
        <v/>
      </c>
      <c r="H106" s="41" t="str">
        <f>IFERROR(INDEX(Combined_Data!$M:$M,$O106+1),"")</f>
        <v/>
      </c>
      <c r="I106" s="41" t="str">
        <f>IFERROR(INDEX(Combined_Data!$N:$N,$O106+1),"")</f>
        <v/>
      </c>
      <c r="J106" s="43" t="str">
        <f>IFERROR(INDEX(Combined_Data!$S:$S,$O106+1),"")</f>
        <v/>
      </c>
      <c r="K106" s="44" t="str">
        <f>IFERROR(INDEX(Combined_Data!$AF:$AF,$O106+1),"")</f>
        <v/>
      </c>
      <c r="L106" s="41" t="str">
        <f>IFERROR(INDEX(Combined_Data!$AG:$AG,$O106+1),"")</f>
        <v/>
      </c>
      <c r="M106" s="41" t="str">
        <f>IFERROR(INDEX(Combined_Data!$AH:$AH,$O106+1),"")</f>
        <v/>
      </c>
      <c r="O106" t="str">
        <f>IFERROR(_xlfn.AGGREGATE(15,6,(ROW(Combined_Data!$AI$2:$AI$3001)-1)/(Combined_Data!$AI$2:$AI$3001),72),"")</f>
        <v/>
      </c>
    </row>
    <row r="107" spans="1:15" ht="15" customHeight="1" x14ac:dyDescent="0.3">
      <c r="A107" s="41" t="str">
        <f>IFERROR(INDEX(Combined_Data!$C:$C,$O107+1),"")</f>
        <v/>
      </c>
      <c r="B107" s="41" t="str">
        <f>IFERROR(INDEX(Combined_Data!$E:$E,$O107+1),"")</f>
        <v/>
      </c>
      <c r="C107" s="41" t="str">
        <f>IFERROR(INDEX(Combined_Data!$B:$B,$O107+1),"")</f>
        <v/>
      </c>
      <c r="D107" s="41" t="str">
        <f>IFERROR(INDEX(Combined_Data!$D:$D,$O107+1),"")</f>
        <v/>
      </c>
      <c r="E107" s="41" t="str">
        <f>IFERROR(INDEX(Combined_Data!$G:$G,$O107+1),"")</f>
        <v/>
      </c>
      <c r="F107" s="42" t="str">
        <f>IFERROR(INDEX(Combined_Data!$I:$I,$O107+1),"")</f>
        <v/>
      </c>
      <c r="G107" s="41" t="str">
        <f>IFERROR(INDEX(Combined_Data!$K:$K,$O107+1),"")</f>
        <v/>
      </c>
      <c r="H107" s="41" t="str">
        <f>IFERROR(INDEX(Combined_Data!$M:$M,$O107+1),"")</f>
        <v/>
      </c>
      <c r="I107" s="41" t="str">
        <f>IFERROR(INDEX(Combined_Data!$N:$N,$O107+1),"")</f>
        <v/>
      </c>
      <c r="J107" s="43" t="str">
        <f>IFERROR(INDEX(Combined_Data!$S:$S,$O107+1),"")</f>
        <v/>
      </c>
      <c r="K107" s="44" t="str">
        <f>IFERROR(INDEX(Combined_Data!$AF:$AF,$O107+1),"")</f>
        <v/>
      </c>
      <c r="L107" s="41" t="str">
        <f>IFERROR(INDEX(Combined_Data!$AG:$AG,$O107+1),"")</f>
        <v/>
      </c>
      <c r="M107" s="41" t="str">
        <f>IFERROR(INDEX(Combined_Data!$AH:$AH,$O107+1),"")</f>
        <v/>
      </c>
      <c r="O107" t="str">
        <f>IFERROR(_xlfn.AGGREGATE(15,6,(ROW(Combined_Data!$AI$2:$AI$3001)-1)/(Combined_Data!$AI$2:$AI$3001),73),"")</f>
        <v/>
      </c>
    </row>
    <row r="108" spans="1:15" ht="15" customHeight="1" x14ac:dyDescent="0.3">
      <c r="A108" s="41" t="str">
        <f>IFERROR(INDEX(Combined_Data!$C:$C,$O108+1),"")</f>
        <v/>
      </c>
      <c r="B108" s="41" t="str">
        <f>IFERROR(INDEX(Combined_Data!$E:$E,$O108+1),"")</f>
        <v/>
      </c>
      <c r="C108" s="41" t="str">
        <f>IFERROR(INDEX(Combined_Data!$B:$B,$O108+1),"")</f>
        <v/>
      </c>
      <c r="D108" s="41" t="str">
        <f>IFERROR(INDEX(Combined_Data!$D:$D,$O108+1),"")</f>
        <v/>
      </c>
      <c r="E108" s="41" t="str">
        <f>IFERROR(INDEX(Combined_Data!$G:$G,$O108+1),"")</f>
        <v/>
      </c>
      <c r="F108" s="42" t="str">
        <f>IFERROR(INDEX(Combined_Data!$I:$I,$O108+1),"")</f>
        <v/>
      </c>
      <c r="G108" s="41" t="str">
        <f>IFERROR(INDEX(Combined_Data!$K:$K,$O108+1),"")</f>
        <v/>
      </c>
      <c r="H108" s="41" t="str">
        <f>IFERROR(INDEX(Combined_Data!$M:$M,$O108+1),"")</f>
        <v/>
      </c>
      <c r="I108" s="41" t="str">
        <f>IFERROR(INDEX(Combined_Data!$N:$N,$O108+1),"")</f>
        <v/>
      </c>
      <c r="J108" s="43" t="str">
        <f>IFERROR(INDEX(Combined_Data!$S:$S,$O108+1),"")</f>
        <v/>
      </c>
      <c r="K108" s="44" t="str">
        <f>IFERROR(INDEX(Combined_Data!$AF:$AF,$O108+1),"")</f>
        <v/>
      </c>
      <c r="L108" s="41" t="str">
        <f>IFERROR(INDEX(Combined_Data!$AG:$AG,$O108+1),"")</f>
        <v/>
      </c>
      <c r="M108" s="41" t="str">
        <f>IFERROR(INDEX(Combined_Data!$AH:$AH,$O108+1),"")</f>
        <v/>
      </c>
      <c r="O108" t="str">
        <f>IFERROR(_xlfn.AGGREGATE(15,6,(ROW(Combined_Data!$AI$2:$AI$3001)-1)/(Combined_Data!$AI$2:$AI$3001),74),"")</f>
        <v/>
      </c>
    </row>
    <row r="109" spans="1:15" ht="15" customHeight="1" x14ac:dyDescent="0.3">
      <c r="A109" s="41" t="str">
        <f>IFERROR(INDEX(Combined_Data!$C:$C,$O109+1),"")</f>
        <v/>
      </c>
      <c r="B109" s="41" t="str">
        <f>IFERROR(INDEX(Combined_Data!$E:$E,$O109+1),"")</f>
        <v/>
      </c>
      <c r="C109" s="41" t="str">
        <f>IFERROR(INDEX(Combined_Data!$B:$B,$O109+1),"")</f>
        <v/>
      </c>
      <c r="D109" s="41" t="str">
        <f>IFERROR(INDEX(Combined_Data!$D:$D,$O109+1),"")</f>
        <v/>
      </c>
      <c r="E109" s="41" t="str">
        <f>IFERROR(INDEX(Combined_Data!$G:$G,$O109+1),"")</f>
        <v/>
      </c>
      <c r="F109" s="42" t="str">
        <f>IFERROR(INDEX(Combined_Data!$I:$I,$O109+1),"")</f>
        <v/>
      </c>
      <c r="G109" s="41" t="str">
        <f>IFERROR(INDEX(Combined_Data!$K:$K,$O109+1),"")</f>
        <v/>
      </c>
      <c r="H109" s="41" t="str">
        <f>IFERROR(INDEX(Combined_Data!$M:$M,$O109+1),"")</f>
        <v/>
      </c>
      <c r="I109" s="41" t="str">
        <f>IFERROR(INDEX(Combined_Data!$N:$N,$O109+1),"")</f>
        <v/>
      </c>
      <c r="J109" s="43" t="str">
        <f>IFERROR(INDEX(Combined_Data!$S:$S,$O109+1),"")</f>
        <v/>
      </c>
      <c r="K109" s="44" t="str">
        <f>IFERROR(INDEX(Combined_Data!$AF:$AF,$O109+1),"")</f>
        <v/>
      </c>
      <c r="L109" s="41" t="str">
        <f>IFERROR(INDEX(Combined_Data!$AG:$AG,$O109+1),"")</f>
        <v/>
      </c>
      <c r="M109" s="41" t="str">
        <f>IFERROR(INDEX(Combined_Data!$AH:$AH,$O109+1),"")</f>
        <v/>
      </c>
      <c r="O109" t="str">
        <f>IFERROR(_xlfn.AGGREGATE(15,6,(ROW(Combined_Data!$AI$2:$AI$3001)-1)/(Combined_Data!$AI$2:$AI$3001),75),"")</f>
        <v/>
      </c>
    </row>
    <row r="110" spans="1:15" ht="15" customHeight="1" x14ac:dyDescent="0.3">
      <c r="A110" s="41" t="str">
        <f>IFERROR(INDEX(Combined_Data!$C:$C,$O110+1),"")</f>
        <v/>
      </c>
      <c r="B110" s="41" t="str">
        <f>IFERROR(INDEX(Combined_Data!$E:$E,$O110+1),"")</f>
        <v/>
      </c>
      <c r="C110" s="41" t="str">
        <f>IFERROR(INDEX(Combined_Data!$B:$B,$O110+1),"")</f>
        <v/>
      </c>
      <c r="D110" s="41" t="str">
        <f>IFERROR(INDEX(Combined_Data!$D:$D,$O110+1),"")</f>
        <v/>
      </c>
      <c r="E110" s="41" t="str">
        <f>IFERROR(INDEX(Combined_Data!$G:$G,$O110+1),"")</f>
        <v/>
      </c>
      <c r="F110" s="42" t="str">
        <f>IFERROR(INDEX(Combined_Data!$I:$I,$O110+1),"")</f>
        <v/>
      </c>
      <c r="G110" s="41" t="str">
        <f>IFERROR(INDEX(Combined_Data!$K:$K,$O110+1),"")</f>
        <v/>
      </c>
      <c r="H110" s="41" t="str">
        <f>IFERROR(INDEX(Combined_Data!$M:$M,$O110+1),"")</f>
        <v/>
      </c>
      <c r="I110" s="41" t="str">
        <f>IFERROR(INDEX(Combined_Data!$N:$N,$O110+1),"")</f>
        <v/>
      </c>
      <c r="J110" s="43" t="str">
        <f>IFERROR(INDEX(Combined_Data!$S:$S,$O110+1),"")</f>
        <v/>
      </c>
      <c r="K110" s="44" t="str">
        <f>IFERROR(INDEX(Combined_Data!$AF:$AF,$O110+1),"")</f>
        <v/>
      </c>
      <c r="L110" s="41" t="str">
        <f>IFERROR(INDEX(Combined_Data!$AG:$AG,$O110+1),"")</f>
        <v/>
      </c>
      <c r="M110" s="41" t="str">
        <f>IFERROR(INDEX(Combined_Data!$AH:$AH,$O110+1),"")</f>
        <v/>
      </c>
      <c r="O110" t="str">
        <f>IFERROR(_xlfn.AGGREGATE(15,6,(ROW(Combined_Data!$AI$2:$AI$3001)-1)/(Combined_Data!$AI$2:$AI$3001),76),"")</f>
        <v/>
      </c>
    </row>
    <row r="111" spans="1:15" ht="15" customHeight="1" x14ac:dyDescent="0.3">
      <c r="A111" s="41" t="str">
        <f>IFERROR(INDEX(Combined_Data!$C:$C,$O111+1),"")</f>
        <v/>
      </c>
      <c r="B111" s="41" t="str">
        <f>IFERROR(INDEX(Combined_Data!$E:$E,$O111+1),"")</f>
        <v/>
      </c>
      <c r="C111" s="41" t="str">
        <f>IFERROR(INDEX(Combined_Data!$B:$B,$O111+1),"")</f>
        <v/>
      </c>
      <c r="D111" s="41" t="str">
        <f>IFERROR(INDEX(Combined_Data!$D:$D,$O111+1),"")</f>
        <v/>
      </c>
      <c r="E111" s="41" t="str">
        <f>IFERROR(INDEX(Combined_Data!$G:$G,$O111+1),"")</f>
        <v/>
      </c>
      <c r="F111" s="42" t="str">
        <f>IFERROR(INDEX(Combined_Data!$I:$I,$O111+1),"")</f>
        <v/>
      </c>
      <c r="G111" s="41" t="str">
        <f>IFERROR(INDEX(Combined_Data!$K:$K,$O111+1),"")</f>
        <v/>
      </c>
      <c r="H111" s="41" t="str">
        <f>IFERROR(INDEX(Combined_Data!$M:$M,$O111+1),"")</f>
        <v/>
      </c>
      <c r="I111" s="41" t="str">
        <f>IFERROR(INDEX(Combined_Data!$N:$N,$O111+1),"")</f>
        <v/>
      </c>
      <c r="J111" s="43" t="str">
        <f>IFERROR(INDEX(Combined_Data!$S:$S,$O111+1),"")</f>
        <v/>
      </c>
      <c r="K111" s="44" t="str">
        <f>IFERROR(INDEX(Combined_Data!$AF:$AF,$O111+1),"")</f>
        <v/>
      </c>
      <c r="L111" s="41" t="str">
        <f>IFERROR(INDEX(Combined_Data!$AG:$AG,$O111+1),"")</f>
        <v/>
      </c>
      <c r="M111" s="41" t="str">
        <f>IFERROR(INDEX(Combined_Data!$AH:$AH,$O111+1),"")</f>
        <v/>
      </c>
      <c r="O111" t="str">
        <f>IFERROR(_xlfn.AGGREGATE(15,6,(ROW(Combined_Data!$AI$2:$AI$3001)-1)/(Combined_Data!$AI$2:$AI$3001),77),"")</f>
        <v/>
      </c>
    </row>
    <row r="112" spans="1:15" ht="15" customHeight="1" x14ac:dyDescent="0.3">
      <c r="A112" s="41" t="str">
        <f>IFERROR(INDEX(Combined_Data!$C:$C,$O112+1),"")</f>
        <v/>
      </c>
      <c r="B112" s="41" t="str">
        <f>IFERROR(INDEX(Combined_Data!$E:$E,$O112+1),"")</f>
        <v/>
      </c>
      <c r="C112" s="41" t="str">
        <f>IFERROR(INDEX(Combined_Data!$B:$B,$O112+1),"")</f>
        <v/>
      </c>
      <c r="D112" s="41" t="str">
        <f>IFERROR(INDEX(Combined_Data!$D:$D,$O112+1),"")</f>
        <v/>
      </c>
      <c r="E112" s="41" t="str">
        <f>IFERROR(INDEX(Combined_Data!$G:$G,$O112+1),"")</f>
        <v/>
      </c>
      <c r="F112" s="42" t="str">
        <f>IFERROR(INDEX(Combined_Data!$I:$I,$O112+1),"")</f>
        <v/>
      </c>
      <c r="G112" s="41" t="str">
        <f>IFERROR(INDEX(Combined_Data!$K:$K,$O112+1),"")</f>
        <v/>
      </c>
      <c r="H112" s="41" t="str">
        <f>IFERROR(INDEX(Combined_Data!$M:$M,$O112+1),"")</f>
        <v/>
      </c>
      <c r="I112" s="41" t="str">
        <f>IFERROR(INDEX(Combined_Data!$N:$N,$O112+1),"")</f>
        <v/>
      </c>
      <c r="J112" s="43" t="str">
        <f>IFERROR(INDEX(Combined_Data!$S:$S,$O112+1),"")</f>
        <v/>
      </c>
      <c r="K112" s="44" t="str">
        <f>IFERROR(INDEX(Combined_Data!$AF:$AF,$O112+1),"")</f>
        <v/>
      </c>
      <c r="L112" s="41" t="str">
        <f>IFERROR(INDEX(Combined_Data!$AG:$AG,$O112+1),"")</f>
        <v/>
      </c>
      <c r="M112" s="41" t="str">
        <f>IFERROR(INDEX(Combined_Data!$AH:$AH,$O112+1),"")</f>
        <v/>
      </c>
      <c r="O112" t="str">
        <f>IFERROR(_xlfn.AGGREGATE(15,6,(ROW(Combined_Data!$AI$2:$AI$3001)-1)/(Combined_Data!$AI$2:$AI$3001),78),"")</f>
        <v/>
      </c>
    </row>
    <row r="113" spans="1:15" ht="15" customHeight="1" x14ac:dyDescent="0.3">
      <c r="A113" s="41" t="str">
        <f>IFERROR(INDEX(Combined_Data!$C:$C,$O113+1),"")</f>
        <v/>
      </c>
      <c r="B113" s="41" t="str">
        <f>IFERROR(INDEX(Combined_Data!$E:$E,$O113+1),"")</f>
        <v/>
      </c>
      <c r="C113" s="41" t="str">
        <f>IFERROR(INDEX(Combined_Data!$B:$B,$O113+1),"")</f>
        <v/>
      </c>
      <c r="D113" s="41" t="str">
        <f>IFERROR(INDEX(Combined_Data!$D:$D,$O113+1),"")</f>
        <v/>
      </c>
      <c r="E113" s="41" t="str">
        <f>IFERROR(INDEX(Combined_Data!$G:$G,$O113+1),"")</f>
        <v/>
      </c>
      <c r="F113" s="42" t="str">
        <f>IFERROR(INDEX(Combined_Data!$I:$I,$O113+1),"")</f>
        <v/>
      </c>
      <c r="G113" s="41" t="str">
        <f>IFERROR(INDEX(Combined_Data!$K:$K,$O113+1),"")</f>
        <v/>
      </c>
      <c r="H113" s="41" t="str">
        <f>IFERROR(INDEX(Combined_Data!$M:$M,$O113+1),"")</f>
        <v/>
      </c>
      <c r="I113" s="41" t="str">
        <f>IFERROR(INDEX(Combined_Data!$N:$N,$O113+1),"")</f>
        <v/>
      </c>
      <c r="J113" s="43" t="str">
        <f>IFERROR(INDEX(Combined_Data!$S:$S,$O113+1),"")</f>
        <v/>
      </c>
      <c r="K113" s="44" t="str">
        <f>IFERROR(INDEX(Combined_Data!$AF:$AF,$O113+1),"")</f>
        <v/>
      </c>
      <c r="L113" s="41" t="str">
        <f>IFERROR(INDEX(Combined_Data!$AG:$AG,$O113+1),"")</f>
        <v/>
      </c>
      <c r="M113" s="41" t="str">
        <f>IFERROR(INDEX(Combined_Data!$AH:$AH,$O113+1),"")</f>
        <v/>
      </c>
      <c r="O113" t="str">
        <f>IFERROR(_xlfn.AGGREGATE(15,6,(ROW(Combined_Data!$AI$2:$AI$3001)-1)/(Combined_Data!$AI$2:$AI$3001),79),"")</f>
        <v/>
      </c>
    </row>
    <row r="114" spans="1:15" ht="15" customHeight="1" x14ac:dyDescent="0.3">
      <c r="A114" s="41" t="str">
        <f>IFERROR(INDEX(Combined_Data!$C:$C,$O114+1),"")</f>
        <v/>
      </c>
      <c r="B114" s="41" t="str">
        <f>IFERROR(INDEX(Combined_Data!$E:$E,$O114+1),"")</f>
        <v/>
      </c>
      <c r="C114" s="41" t="str">
        <f>IFERROR(INDEX(Combined_Data!$B:$B,$O114+1),"")</f>
        <v/>
      </c>
      <c r="D114" s="41" t="str">
        <f>IFERROR(INDEX(Combined_Data!$D:$D,$O114+1),"")</f>
        <v/>
      </c>
      <c r="E114" s="41" t="str">
        <f>IFERROR(INDEX(Combined_Data!$G:$G,$O114+1),"")</f>
        <v/>
      </c>
      <c r="F114" s="42" t="str">
        <f>IFERROR(INDEX(Combined_Data!$I:$I,$O114+1),"")</f>
        <v/>
      </c>
      <c r="G114" s="41" t="str">
        <f>IFERROR(INDEX(Combined_Data!$K:$K,$O114+1),"")</f>
        <v/>
      </c>
      <c r="H114" s="41" t="str">
        <f>IFERROR(INDEX(Combined_Data!$M:$M,$O114+1),"")</f>
        <v/>
      </c>
      <c r="I114" s="41" t="str">
        <f>IFERROR(INDEX(Combined_Data!$N:$N,$O114+1),"")</f>
        <v/>
      </c>
      <c r="J114" s="43" t="str">
        <f>IFERROR(INDEX(Combined_Data!$S:$S,$O114+1),"")</f>
        <v/>
      </c>
      <c r="K114" s="44" t="str">
        <f>IFERROR(INDEX(Combined_Data!$AF:$AF,$O114+1),"")</f>
        <v/>
      </c>
      <c r="L114" s="41" t="str">
        <f>IFERROR(INDEX(Combined_Data!$AG:$AG,$O114+1),"")</f>
        <v/>
      </c>
      <c r="M114" s="41" t="str">
        <f>IFERROR(INDEX(Combined_Data!$AH:$AH,$O114+1),"")</f>
        <v/>
      </c>
      <c r="O114" t="str">
        <f>IFERROR(_xlfn.AGGREGATE(15,6,(ROW(Combined_Data!$AI$2:$AI$3001)-1)/(Combined_Data!$AI$2:$AI$3001),80),"")</f>
        <v/>
      </c>
    </row>
    <row r="115" spans="1:15" ht="15" customHeight="1" x14ac:dyDescent="0.3">
      <c r="A115" s="41" t="str">
        <f>IFERROR(INDEX(Combined_Data!$C:$C,$O115+1),"")</f>
        <v/>
      </c>
      <c r="B115" s="41" t="str">
        <f>IFERROR(INDEX(Combined_Data!$E:$E,$O115+1),"")</f>
        <v/>
      </c>
      <c r="C115" s="41" t="str">
        <f>IFERROR(INDEX(Combined_Data!$B:$B,$O115+1),"")</f>
        <v/>
      </c>
      <c r="D115" s="41" t="str">
        <f>IFERROR(INDEX(Combined_Data!$D:$D,$O115+1),"")</f>
        <v/>
      </c>
      <c r="E115" s="41" t="str">
        <f>IFERROR(INDEX(Combined_Data!$G:$G,$O115+1),"")</f>
        <v/>
      </c>
      <c r="F115" s="42" t="str">
        <f>IFERROR(INDEX(Combined_Data!$I:$I,$O115+1),"")</f>
        <v/>
      </c>
      <c r="G115" s="41" t="str">
        <f>IFERROR(INDEX(Combined_Data!$K:$K,$O115+1),"")</f>
        <v/>
      </c>
      <c r="H115" s="41" t="str">
        <f>IFERROR(INDEX(Combined_Data!$M:$M,$O115+1),"")</f>
        <v/>
      </c>
      <c r="I115" s="41" t="str">
        <f>IFERROR(INDEX(Combined_Data!$N:$N,$O115+1),"")</f>
        <v/>
      </c>
      <c r="J115" s="43" t="str">
        <f>IFERROR(INDEX(Combined_Data!$S:$S,$O115+1),"")</f>
        <v/>
      </c>
      <c r="K115" s="44" t="str">
        <f>IFERROR(INDEX(Combined_Data!$AF:$AF,$O115+1),"")</f>
        <v/>
      </c>
      <c r="L115" s="41" t="str">
        <f>IFERROR(INDEX(Combined_Data!$AG:$AG,$O115+1),"")</f>
        <v/>
      </c>
      <c r="M115" s="41" t="str">
        <f>IFERROR(INDEX(Combined_Data!$AH:$AH,$O115+1),"")</f>
        <v/>
      </c>
      <c r="O115" t="str">
        <f>IFERROR(_xlfn.AGGREGATE(15,6,(ROW(Combined_Data!$AI$2:$AI$3001)-1)/(Combined_Data!$AI$2:$AI$3001),81),"")</f>
        <v/>
      </c>
    </row>
    <row r="116" spans="1:15" ht="15" customHeight="1" x14ac:dyDescent="0.3">
      <c r="A116" s="41" t="str">
        <f>IFERROR(INDEX(Combined_Data!$C:$C,$O116+1),"")</f>
        <v/>
      </c>
      <c r="B116" s="41" t="str">
        <f>IFERROR(INDEX(Combined_Data!$E:$E,$O116+1),"")</f>
        <v/>
      </c>
      <c r="C116" s="41" t="str">
        <f>IFERROR(INDEX(Combined_Data!$B:$B,$O116+1),"")</f>
        <v/>
      </c>
      <c r="D116" s="41" t="str">
        <f>IFERROR(INDEX(Combined_Data!$D:$D,$O116+1),"")</f>
        <v/>
      </c>
      <c r="E116" s="41" t="str">
        <f>IFERROR(INDEX(Combined_Data!$G:$G,$O116+1),"")</f>
        <v/>
      </c>
      <c r="F116" s="42" t="str">
        <f>IFERROR(INDEX(Combined_Data!$I:$I,$O116+1),"")</f>
        <v/>
      </c>
      <c r="G116" s="41" t="str">
        <f>IFERROR(INDEX(Combined_Data!$K:$K,$O116+1),"")</f>
        <v/>
      </c>
      <c r="H116" s="41" t="str">
        <f>IFERROR(INDEX(Combined_Data!$M:$M,$O116+1),"")</f>
        <v/>
      </c>
      <c r="I116" s="41" t="str">
        <f>IFERROR(INDEX(Combined_Data!$N:$N,$O116+1),"")</f>
        <v/>
      </c>
      <c r="J116" s="43" t="str">
        <f>IFERROR(INDEX(Combined_Data!$S:$S,$O116+1),"")</f>
        <v/>
      </c>
      <c r="K116" s="44" t="str">
        <f>IFERROR(INDEX(Combined_Data!$AF:$AF,$O116+1),"")</f>
        <v/>
      </c>
      <c r="L116" s="41" t="str">
        <f>IFERROR(INDEX(Combined_Data!$AG:$AG,$O116+1),"")</f>
        <v/>
      </c>
      <c r="M116" s="41" t="str">
        <f>IFERROR(INDEX(Combined_Data!$AH:$AH,$O116+1),"")</f>
        <v/>
      </c>
      <c r="O116" t="str">
        <f>IFERROR(_xlfn.AGGREGATE(15,6,(ROW(Combined_Data!$AI$2:$AI$3001)-1)/(Combined_Data!$AI$2:$AI$3001),82),"")</f>
        <v/>
      </c>
    </row>
    <row r="117" spans="1:15" ht="15" customHeight="1" x14ac:dyDescent="0.3">
      <c r="A117" s="41" t="str">
        <f>IFERROR(INDEX(Combined_Data!$C:$C,$O117+1),"")</f>
        <v/>
      </c>
      <c r="B117" s="41" t="str">
        <f>IFERROR(INDEX(Combined_Data!$E:$E,$O117+1),"")</f>
        <v/>
      </c>
      <c r="C117" s="41" t="str">
        <f>IFERROR(INDEX(Combined_Data!$B:$B,$O117+1),"")</f>
        <v/>
      </c>
      <c r="D117" s="41" t="str">
        <f>IFERROR(INDEX(Combined_Data!$D:$D,$O117+1),"")</f>
        <v/>
      </c>
      <c r="E117" s="41" t="str">
        <f>IFERROR(INDEX(Combined_Data!$G:$G,$O117+1),"")</f>
        <v/>
      </c>
      <c r="F117" s="42" t="str">
        <f>IFERROR(INDEX(Combined_Data!$I:$I,$O117+1),"")</f>
        <v/>
      </c>
      <c r="G117" s="41" t="str">
        <f>IFERROR(INDEX(Combined_Data!$K:$K,$O117+1),"")</f>
        <v/>
      </c>
      <c r="H117" s="41" t="str">
        <f>IFERROR(INDEX(Combined_Data!$M:$M,$O117+1),"")</f>
        <v/>
      </c>
      <c r="I117" s="41" t="str">
        <f>IFERROR(INDEX(Combined_Data!$N:$N,$O117+1),"")</f>
        <v/>
      </c>
      <c r="J117" s="43" t="str">
        <f>IFERROR(INDEX(Combined_Data!$S:$S,$O117+1),"")</f>
        <v/>
      </c>
      <c r="K117" s="44" t="str">
        <f>IFERROR(INDEX(Combined_Data!$AF:$AF,$O117+1),"")</f>
        <v/>
      </c>
      <c r="L117" s="41" t="str">
        <f>IFERROR(INDEX(Combined_Data!$AG:$AG,$O117+1),"")</f>
        <v/>
      </c>
      <c r="M117" s="41" t="str">
        <f>IFERROR(INDEX(Combined_Data!$AH:$AH,$O117+1),"")</f>
        <v/>
      </c>
      <c r="O117" t="str">
        <f>IFERROR(_xlfn.AGGREGATE(15,6,(ROW(Combined_Data!$AI$2:$AI$3001)-1)/(Combined_Data!$AI$2:$AI$3001),83),"")</f>
        <v/>
      </c>
    </row>
    <row r="118" spans="1:15" ht="15" customHeight="1" x14ac:dyDescent="0.3">
      <c r="A118" s="41" t="str">
        <f>IFERROR(INDEX(Combined_Data!$C:$C,$O118+1),"")</f>
        <v/>
      </c>
      <c r="B118" s="41" t="str">
        <f>IFERROR(INDEX(Combined_Data!$E:$E,$O118+1),"")</f>
        <v/>
      </c>
      <c r="C118" s="41" t="str">
        <f>IFERROR(INDEX(Combined_Data!$B:$B,$O118+1),"")</f>
        <v/>
      </c>
      <c r="D118" s="41" t="str">
        <f>IFERROR(INDEX(Combined_Data!$D:$D,$O118+1),"")</f>
        <v/>
      </c>
      <c r="E118" s="41" t="str">
        <f>IFERROR(INDEX(Combined_Data!$G:$G,$O118+1),"")</f>
        <v/>
      </c>
      <c r="F118" s="42" t="str">
        <f>IFERROR(INDEX(Combined_Data!$I:$I,$O118+1),"")</f>
        <v/>
      </c>
      <c r="G118" s="41" t="str">
        <f>IFERROR(INDEX(Combined_Data!$K:$K,$O118+1),"")</f>
        <v/>
      </c>
      <c r="H118" s="41" t="str">
        <f>IFERROR(INDEX(Combined_Data!$M:$M,$O118+1),"")</f>
        <v/>
      </c>
      <c r="I118" s="41" t="str">
        <f>IFERROR(INDEX(Combined_Data!$N:$N,$O118+1),"")</f>
        <v/>
      </c>
      <c r="J118" s="43" t="str">
        <f>IFERROR(INDEX(Combined_Data!$S:$S,$O118+1),"")</f>
        <v/>
      </c>
      <c r="K118" s="44" t="str">
        <f>IFERROR(INDEX(Combined_Data!$AF:$AF,$O118+1),"")</f>
        <v/>
      </c>
      <c r="L118" s="41" t="str">
        <f>IFERROR(INDEX(Combined_Data!$AG:$AG,$O118+1),"")</f>
        <v/>
      </c>
      <c r="M118" s="41" t="str">
        <f>IFERROR(INDEX(Combined_Data!$AH:$AH,$O118+1),"")</f>
        <v/>
      </c>
      <c r="O118" t="str">
        <f>IFERROR(_xlfn.AGGREGATE(15,6,(ROW(Combined_Data!$AI$2:$AI$3001)-1)/(Combined_Data!$AI$2:$AI$3001),84),"")</f>
        <v/>
      </c>
    </row>
    <row r="119" spans="1:15" ht="15" customHeight="1" x14ac:dyDescent="0.3">
      <c r="A119" s="41" t="str">
        <f>IFERROR(INDEX(Combined_Data!$C:$C,$O119+1),"")</f>
        <v/>
      </c>
      <c r="B119" s="41" t="str">
        <f>IFERROR(INDEX(Combined_Data!$E:$E,$O119+1),"")</f>
        <v/>
      </c>
      <c r="C119" s="41" t="str">
        <f>IFERROR(INDEX(Combined_Data!$B:$B,$O119+1),"")</f>
        <v/>
      </c>
      <c r="D119" s="41" t="str">
        <f>IFERROR(INDEX(Combined_Data!$D:$D,$O119+1),"")</f>
        <v/>
      </c>
      <c r="E119" s="41" t="str">
        <f>IFERROR(INDEX(Combined_Data!$G:$G,$O119+1),"")</f>
        <v/>
      </c>
      <c r="F119" s="42" t="str">
        <f>IFERROR(INDEX(Combined_Data!$I:$I,$O119+1),"")</f>
        <v/>
      </c>
      <c r="G119" s="41" t="str">
        <f>IFERROR(INDEX(Combined_Data!$K:$K,$O119+1),"")</f>
        <v/>
      </c>
      <c r="H119" s="41" t="str">
        <f>IFERROR(INDEX(Combined_Data!$M:$M,$O119+1),"")</f>
        <v/>
      </c>
      <c r="I119" s="41" t="str">
        <f>IFERROR(INDEX(Combined_Data!$N:$N,$O119+1),"")</f>
        <v/>
      </c>
      <c r="J119" s="43" t="str">
        <f>IFERROR(INDEX(Combined_Data!$S:$S,$O119+1),"")</f>
        <v/>
      </c>
      <c r="K119" s="44" t="str">
        <f>IFERROR(INDEX(Combined_Data!$AF:$AF,$O119+1),"")</f>
        <v/>
      </c>
      <c r="L119" s="41" t="str">
        <f>IFERROR(INDEX(Combined_Data!$AG:$AG,$O119+1),"")</f>
        <v/>
      </c>
      <c r="M119" s="41" t="str">
        <f>IFERROR(INDEX(Combined_Data!$AH:$AH,$O119+1),"")</f>
        <v/>
      </c>
      <c r="O119" t="str">
        <f>IFERROR(_xlfn.AGGREGATE(15,6,(ROW(Combined_Data!$AI$2:$AI$3001)-1)/(Combined_Data!$AI$2:$AI$3001),85),"")</f>
        <v/>
      </c>
    </row>
    <row r="120" spans="1:15" ht="15" customHeight="1" x14ac:dyDescent="0.3">
      <c r="A120" s="41" t="str">
        <f>IFERROR(INDEX(Combined_Data!$C:$C,$O120+1),"")</f>
        <v/>
      </c>
      <c r="B120" s="41" t="str">
        <f>IFERROR(INDEX(Combined_Data!$E:$E,$O120+1),"")</f>
        <v/>
      </c>
      <c r="C120" s="41" t="str">
        <f>IFERROR(INDEX(Combined_Data!$B:$B,$O120+1),"")</f>
        <v/>
      </c>
      <c r="D120" s="41" t="str">
        <f>IFERROR(INDEX(Combined_Data!$D:$D,$O120+1),"")</f>
        <v/>
      </c>
      <c r="E120" s="41" t="str">
        <f>IFERROR(INDEX(Combined_Data!$G:$G,$O120+1),"")</f>
        <v/>
      </c>
      <c r="F120" s="42" t="str">
        <f>IFERROR(INDEX(Combined_Data!$I:$I,$O120+1),"")</f>
        <v/>
      </c>
      <c r="G120" s="41" t="str">
        <f>IFERROR(INDEX(Combined_Data!$K:$K,$O120+1),"")</f>
        <v/>
      </c>
      <c r="H120" s="41" t="str">
        <f>IFERROR(INDEX(Combined_Data!$M:$M,$O120+1),"")</f>
        <v/>
      </c>
      <c r="I120" s="41" t="str">
        <f>IFERROR(INDEX(Combined_Data!$N:$N,$O120+1),"")</f>
        <v/>
      </c>
      <c r="J120" s="43" t="str">
        <f>IFERROR(INDEX(Combined_Data!$S:$S,$O120+1),"")</f>
        <v/>
      </c>
      <c r="K120" s="44" t="str">
        <f>IFERROR(INDEX(Combined_Data!$AF:$AF,$O120+1),"")</f>
        <v/>
      </c>
      <c r="L120" s="41" t="str">
        <f>IFERROR(INDEX(Combined_Data!$AG:$AG,$O120+1),"")</f>
        <v/>
      </c>
      <c r="M120" s="41" t="str">
        <f>IFERROR(INDEX(Combined_Data!$AH:$AH,$O120+1),"")</f>
        <v/>
      </c>
      <c r="O120" t="str">
        <f>IFERROR(_xlfn.AGGREGATE(15,6,(ROW(Combined_Data!$AI$2:$AI$3001)-1)/(Combined_Data!$AI$2:$AI$3001),86),"")</f>
        <v/>
      </c>
    </row>
    <row r="121" spans="1:15" ht="15" customHeight="1" x14ac:dyDescent="0.3">
      <c r="A121" s="41" t="str">
        <f>IFERROR(INDEX(Combined_Data!$C:$C,$O121+1),"")</f>
        <v/>
      </c>
      <c r="B121" s="41" t="str">
        <f>IFERROR(INDEX(Combined_Data!$E:$E,$O121+1),"")</f>
        <v/>
      </c>
      <c r="C121" s="41" t="str">
        <f>IFERROR(INDEX(Combined_Data!$B:$B,$O121+1),"")</f>
        <v/>
      </c>
      <c r="D121" s="41" t="str">
        <f>IFERROR(INDEX(Combined_Data!$D:$D,$O121+1),"")</f>
        <v/>
      </c>
      <c r="E121" s="41" t="str">
        <f>IFERROR(INDEX(Combined_Data!$G:$G,$O121+1),"")</f>
        <v/>
      </c>
      <c r="F121" s="42" t="str">
        <f>IFERROR(INDEX(Combined_Data!$I:$I,$O121+1),"")</f>
        <v/>
      </c>
      <c r="G121" s="41" t="str">
        <f>IFERROR(INDEX(Combined_Data!$K:$K,$O121+1),"")</f>
        <v/>
      </c>
      <c r="H121" s="41" t="str">
        <f>IFERROR(INDEX(Combined_Data!$M:$M,$O121+1),"")</f>
        <v/>
      </c>
      <c r="I121" s="41" t="str">
        <f>IFERROR(INDEX(Combined_Data!$N:$N,$O121+1),"")</f>
        <v/>
      </c>
      <c r="J121" s="43" t="str">
        <f>IFERROR(INDEX(Combined_Data!$S:$S,$O121+1),"")</f>
        <v/>
      </c>
      <c r="K121" s="44" t="str">
        <f>IFERROR(INDEX(Combined_Data!$AF:$AF,$O121+1),"")</f>
        <v/>
      </c>
      <c r="L121" s="41" t="str">
        <f>IFERROR(INDEX(Combined_Data!$AG:$AG,$O121+1),"")</f>
        <v/>
      </c>
      <c r="M121" s="41" t="str">
        <f>IFERROR(INDEX(Combined_Data!$AH:$AH,$O121+1),"")</f>
        <v/>
      </c>
      <c r="O121" t="str">
        <f>IFERROR(_xlfn.AGGREGATE(15,6,(ROW(Combined_Data!$AI$2:$AI$3001)-1)/(Combined_Data!$AI$2:$AI$3001),87),"")</f>
        <v/>
      </c>
    </row>
    <row r="122" spans="1:15" ht="15" customHeight="1" x14ac:dyDescent="0.3">
      <c r="A122" s="41" t="str">
        <f>IFERROR(INDEX(Combined_Data!$C:$C,$O122+1),"")</f>
        <v/>
      </c>
      <c r="B122" s="41" t="str">
        <f>IFERROR(INDEX(Combined_Data!$E:$E,$O122+1),"")</f>
        <v/>
      </c>
      <c r="C122" s="41" t="str">
        <f>IFERROR(INDEX(Combined_Data!$B:$B,$O122+1),"")</f>
        <v/>
      </c>
      <c r="D122" s="41" t="str">
        <f>IFERROR(INDEX(Combined_Data!$D:$D,$O122+1),"")</f>
        <v/>
      </c>
      <c r="E122" s="41" t="str">
        <f>IFERROR(INDEX(Combined_Data!$G:$G,$O122+1),"")</f>
        <v/>
      </c>
      <c r="F122" s="42" t="str">
        <f>IFERROR(INDEX(Combined_Data!$I:$I,$O122+1),"")</f>
        <v/>
      </c>
      <c r="G122" s="41" t="str">
        <f>IFERROR(INDEX(Combined_Data!$K:$K,$O122+1),"")</f>
        <v/>
      </c>
      <c r="H122" s="41" t="str">
        <f>IFERROR(INDEX(Combined_Data!$M:$M,$O122+1),"")</f>
        <v/>
      </c>
      <c r="I122" s="41" t="str">
        <f>IFERROR(INDEX(Combined_Data!$N:$N,$O122+1),"")</f>
        <v/>
      </c>
      <c r="J122" s="43" t="str">
        <f>IFERROR(INDEX(Combined_Data!$S:$S,$O122+1),"")</f>
        <v/>
      </c>
      <c r="K122" s="44" t="str">
        <f>IFERROR(INDEX(Combined_Data!$AF:$AF,$O122+1),"")</f>
        <v/>
      </c>
      <c r="L122" s="41" t="str">
        <f>IFERROR(INDEX(Combined_Data!$AG:$AG,$O122+1),"")</f>
        <v/>
      </c>
      <c r="M122" s="41" t="str">
        <f>IFERROR(INDEX(Combined_Data!$AH:$AH,$O122+1),"")</f>
        <v/>
      </c>
      <c r="O122" t="str">
        <f>IFERROR(_xlfn.AGGREGATE(15,6,(ROW(Combined_Data!$AI$2:$AI$3001)-1)/(Combined_Data!$AI$2:$AI$3001),88),"")</f>
        <v/>
      </c>
    </row>
    <row r="123" spans="1:15" ht="15" customHeight="1" x14ac:dyDescent="0.3">
      <c r="A123" s="41" t="str">
        <f>IFERROR(INDEX(Combined_Data!$C:$C,$O123+1),"")</f>
        <v/>
      </c>
      <c r="B123" s="41" t="str">
        <f>IFERROR(INDEX(Combined_Data!$E:$E,$O123+1),"")</f>
        <v/>
      </c>
      <c r="C123" s="41" t="str">
        <f>IFERROR(INDEX(Combined_Data!$B:$B,$O123+1),"")</f>
        <v/>
      </c>
      <c r="D123" s="41" t="str">
        <f>IFERROR(INDEX(Combined_Data!$D:$D,$O123+1),"")</f>
        <v/>
      </c>
      <c r="E123" s="41" t="str">
        <f>IFERROR(INDEX(Combined_Data!$G:$G,$O123+1),"")</f>
        <v/>
      </c>
      <c r="F123" s="42" t="str">
        <f>IFERROR(INDEX(Combined_Data!$I:$I,$O123+1),"")</f>
        <v/>
      </c>
      <c r="G123" s="41" t="str">
        <f>IFERROR(INDEX(Combined_Data!$K:$K,$O123+1),"")</f>
        <v/>
      </c>
      <c r="H123" s="41" t="str">
        <f>IFERROR(INDEX(Combined_Data!$M:$M,$O123+1),"")</f>
        <v/>
      </c>
      <c r="I123" s="41" t="str">
        <f>IFERROR(INDEX(Combined_Data!$N:$N,$O123+1),"")</f>
        <v/>
      </c>
      <c r="J123" s="43" t="str">
        <f>IFERROR(INDEX(Combined_Data!$S:$S,$O123+1),"")</f>
        <v/>
      </c>
      <c r="K123" s="44" t="str">
        <f>IFERROR(INDEX(Combined_Data!$AF:$AF,$O123+1),"")</f>
        <v/>
      </c>
      <c r="L123" s="41" t="str">
        <f>IFERROR(INDEX(Combined_Data!$AG:$AG,$O123+1),"")</f>
        <v/>
      </c>
      <c r="M123" s="41" t="str">
        <f>IFERROR(INDEX(Combined_Data!$AH:$AH,$O123+1),"")</f>
        <v/>
      </c>
      <c r="O123" t="str">
        <f>IFERROR(_xlfn.AGGREGATE(15,6,(ROW(Combined_Data!$AI$2:$AI$3001)-1)/(Combined_Data!$AI$2:$AI$3001),89),"")</f>
        <v/>
      </c>
    </row>
    <row r="124" spans="1:15" ht="15" customHeight="1" x14ac:dyDescent="0.3">
      <c r="A124" s="41" t="str">
        <f>IFERROR(INDEX(Combined_Data!$C:$C,$O124+1),"")</f>
        <v/>
      </c>
      <c r="B124" s="41" t="str">
        <f>IFERROR(INDEX(Combined_Data!$E:$E,$O124+1),"")</f>
        <v/>
      </c>
      <c r="C124" s="41" t="str">
        <f>IFERROR(INDEX(Combined_Data!$B:$B,$O124+1),"")</f>
        <v/>
      </c>
      <c r="D124" s="41" t="str">
        <f>IFERROR(INDEX(Combined_Data!$D:$D,$O124+1),"")</f>
        <v/>
      </c>
      <c r="E124" s="41" t="str">
        <f>IFERROR(INDEX(Combined_Data!$G:$G,$O124+1),"")</f>
        <v/>
      </c>
      <c r="F124" s="42" t="str">
        <f>IFERROR(INDEX(Combined_Data!$I:$I,$O124+1),"")</f>
        <v/>
      </c>
      <c r="G124" s="41" t="str">
        <f>IFERROR(INDEX(Combined_Data!$K:$K,$O124+1),"")</f>
        <v/>
      </c>
      <c r="H124" s="41" t="str">
        <f>IFERROR(INDEX(Combined_Data!$M:$M,$O124+1),"")</f>
        <v/>
      </c>
      <c r="I124" s="41" t="str">
        <f>IFERROR(INDEX(Combined_Data!$N:$N,$O124+1),"")</f>
        <v/>
      </c>
      <c r="J124" s="43" t="str">
        <f>IFERROR(INDEX(Combined_Data!$S:$S,$O124+1),"")</f>
        <v/>
      </c>
      <c r="K124" s="44" t="str">
        <f>IFERROR(INDEX(Combined_Data!$AF:$AF,$O124+1),"")</f>
        <v/>
      </c>
      <c r="L124" s="41" t="str">
        <f>IFERROR(INDEX(Combined_Data!$AG:$AG,$O124+1),"")</f>
        <v/>
      </c>
      <c r="M124" s="41" t="str">
        <f>IFERROR(INDEX(Combined_Data!$AH:$AH,$O124+1),"")</f>
        <v/>
      </c>
      <c r="O124" t="str">
        <f>IFERROR(_xlfn.AGGREGATE(15,6,(ROW(Combined_Data!$AI$2:$AI$3001)-1)/(Combined_Data!$AI$2:$AI$3001),90),"")</f>
        <v/>
      </c>
    </row>
    <row r="125" spans="1:15" ht="15" customHeight="1" x14ac:dyDescent="0.3">
      <c r="A125" s="41" t="str">
        <f>IFERROR(INDEX(Combined_Data!$C:$C,$O125+1),"")</f>
        <v/>
      </c>
      <c r="B125" s="41" t="str">
        <f>IFERROR(INDEX(Combined_Data!$E:$E,$O125+1),"")</f>
        <v/>
      </c>
      <c r="C125" s="41" t="str">
        <f>IFERROR(INDEX(Combined_Data!$B:$B,$O125+1),"")</f>
        <v/>
      </c>
      <c r="D125" s="41" t="str">
        <f>IFERROR(INDEX(Combined_Data!$D:$D,$O125+1),"")</f>
        <v/>
      </c>
      <c r="E125" s="41" t="str">
        <f>IFERROR(INDEX(Combined_Data!$G:$G,$O125+1),"")</f>
        <v/>
      </c>
      <c r="F125" s="42" t="str">
        <f>IFERROR(INDEX(Combined_Data!$I:$I,$O125+1),"")</f>
        <v/>
      </c>
      <c r="G125" s="41" t="str">
        <f>IFERROR(INDEX(Combined_Data!$K:$K,$O125+1),"")</f>
        <v/>
      </c>
      <c r="H125" s="41" t="str">
        <f>IFERROR(INDEX(Combined_Data!$M:$M,$O125+1),"")</f>
        <v/>
      </c>
      <c r="I125" s="41" t="str">
        <f>IFERROR(INDEX(Combined_Data!$N:$N,$O125+1),"")</f>
        <v/>
      </c>
      <c r="J125" s="43" t="str">
        <f>IFERROR(INDEX(Combined_Data!$S:$S,$O125+1),"")</f>
        <v/>
      </c>
      <c r="K125" s="44" t="str">
        <f>IFERROR(INDEX(Combined_Data!$AF:$AF,$O125+1),"")</f>
        <v/>
      </c>
      <c r="L125" s="41" t="str">
        <f>IFERROR(INDEX(Combined_Data!$AG:$AG,$O125+1),"")</f>
        <v/>
      </c>
      <c r="M125" s="41" t="str">
        <f>IFERROR(INDEX(Combined_Data!$AH:$AH,$O125+1),"")</f>
        <v/>
      </c>
      <c r="O125" t="str">
        <f>IFERROR(_xlfn.AGGREGATE(15,6,(ROW(Combined_Data!$AI$2:$AI$3001)-1)/(Combined_Data!$AI$2:$AI$3001),91),"")</f>
        <v/>
      </c>
    </row>
    <row r="126" spans="1:15" ht="15" customHeight="1" x14ac:dyDescent="0.3">
      <c r="A126" s="41" t="str">
        <f>IFERROR(INDEX(Combined_Data!$C:$C,$O126+1),"")</f>
        <v/>
      </c>
      <c r="B126" s="41" t="str">
        <f>IFERROR(INDEX(Combined_Data!$E:$E,$O126+1),"")</f>
        <v/>
      </c>
      <c r="C126" s="41" t="str">
        <f>IFERROR(INDEX(Combined_Data!$B:$B,$O126+1),"")</f>
        <v/>
      </c>
      <c r="D126" s="41" t="str">
        <f>IFERROR(INDEX(Combined_Data!$D:$D,$O126+1),"")</f>
        <v/>
      </c>
      <c r="E126" s="41" t="str">
        <f>IFERROR(INDEX(Combined_Data!$G:$G,$O126+1),"")</f>
        <v/>
      </c>
      <c r="F126" s="42" t="str">
        <f>IFERROR(INDEX(Combined_Data!$I:$I,$O126+1),"")</f>
        <v/>
      </c>
      <c r="G126" s="41" t="str">
        <f>IFERROR(INDEX(Combined_Data!$K:$K,$O126+1),"")</f>
        <v/>
      </c>
      <c r="H126" s="41" t="str">
        <f>IFERROR(INDEX(Combined_Data!$M:$M,$O126+1),"")</f>
        <v/>
      </c>
      <c r="I126" s="41" t="str">
        <f>IFERROR(INDEX(Combined_Data!$N:$N,$O126+1),"")</f>
        <v/>
      </c>
      <c r="J126" s="43" t="str">
        <f>IFERROR(INDEX(Combined_Data!$S:$S,$O126+1),"")</f>
        <v/>
      </c>
      <c r="K126" s="44" t="str">
        <f>IFERROR(INDEX(Combined_Data!$AF:$AF,$O126+1),"")</f>
        <v/>
      </c>
      <c r="L126" s="41" t="str">
        <f>IFERROR(INDEX(Combined_Data!$AG:$AG,$O126+1),"")</f>
        <v/>
      </c>
      <c r="M126" s="41" t="str">
        <f>IFERROR(INDEX(Combined_Data!$AH:$AH,$O126+1),"")</f>
        <v/>
      </c>
      <c r="O126" t="str">
        <f>IFERROR(_xlfn.AGGREGATE(15,6,(ROW(Combined_Data!$AI$2:$AI$3001)-1)/(Combined_Data!$AI$2:$AI$3001),92),"")</f>
        <v/>
      </c>
    </row>
    <row r="127" spans="1:15" ht="15" customHeight="1" x14ac:dyDescent="0.3">
      <c r="A127" s="41" t="str">
        <f>IFERROR(INDEX(Combined_Data!$C:$C,$O127+1),"")</f>
        <v/>
      </c>
      <c r="B127" s="41" t="str">
        <f>IFERROR(INDEX(Combined_Data!$E:$E,$O127+1),"")</f>
        <v/>
      </c>
      <c r="C127" s="41" t="str">
        <f>IFERROR(INDEX(Combined_Data!$B:$B,$O127+1),"")</f>
        <v/>
      </c>
      <c r="D127" s="41" t="str">
        <f>IFERROR(INDEX(Combined_Data!$D:$D,$O127+1),"")</f>
        <v/>
      </c>
      <c r="E127" s="41" t="str">
        <f>IFERROR(INDEX(Combined_Data!$G:$G,$O127+1),"")</f>
        <v/>
      </c>
      <c r="F127" s="42" t="str">
        <f>IFERROR(INDEX(Combined_Data!$I:$I,$O127+1),"")</f>
        <v/>
      </c>
      <c r="G127" s="41" t="str">
        <f>IFERROR(INDEX(Combined_Data!$K:$K,$O127+1),"")</f>
        <v/>
      </c>
      <c r="H127" s="41" t="str">
        <f>IFERROR(INDEX(Combined_Data!$M:$M,$O127+1),"")</f>
        <v/>
      </c>
      <c r="I127" s="41" t="str">
        <f>IFERROR(INDEX(Combined_Data!$N:$N,$O127+1),"")</f>
        <v/>
      </c>
      <c r="J127" s="43" t="str">
        <f>IFERROR(INDEX(Combined_Data!$S:$S,$O127+1),"")</f>
        <v/>
      </c>
      <c r="K127" s="44" t="str">
        <f>IFERROR(INDEX(Combined_Data!$AF:$AF,$O127+1),"")</f>
        <v/>
      </c>
      <c r="L127" s="41" t="str">
        <f>IFERROR(INDEX(Combined_Data!$AG:$AG,$O127+1),"")</f>
        <v/>
      </c>
      <c r="M127" s="41" t="str">
        <f>IFERROR(INDEX(Combined_Data!$AH:$AH,$O127+1),"")</f>
        <v/>
      </c>
      <c r="O127" t="str">
        <f>IFERROR(_xlfn.AGGREGATE(15,6,(ROW(Combined_Data!$AI$2:$AI$3001)-1)/(Combined_Data!$AI$2:$AI$3001),93),"")</f>
        <v/>
      </c>
    </row>
    <row r="128" spans="1:15" ht="15" customHeight="1" x14ac:dyDescent="0.3">
      <c r="A128" s="41" t="str">
        <f>IFERROR(INDEX(Combined_Data!$C:$C,$O128+1),"")</f>
        <v/>
      </c>
      <c r="B128" s="41" t="str">
        <f>IFERROR(INDEX(Combined_Data!$E:$E,$O128+1),"")</f>
        <v/>
      </c>
      <c r="C128" s="41" t="str">
        <f>IFERROR(INDEX(Combined_Data!$B:$B,$O128+1),"")</f>
        <v/>
      </c>
      <c r="D128" s="41" t="str">
        <f>IFERROR(INDEX(Combined_Data!$D:$D,$O128+1),"")</f>
        <v/>
      </c>
      <c r="E128" s="41" t="str">
        <f>IFERROR(INDEX(Combined_Data!$G:$G,$O128+1),"")</f>
        <v/>
      </c>
      <c r="F128" s="42" t="str">
        <f>IFERROR(INDEX(Combined_Data!$I:$I,$O128+1),"")</f>
        <v/>
      </c>
      <c r="G128" s="41" t="str">
        <f>IFERROR(INDEX(Combined_Data!$K:$K,$O128+1),"")</f>
        <v/>
      </c>
      <c r="H128" s="41" t="str">
        <f>IFERROR(INDEX(Combined_Data!$M:$M,$O128+1),"")</f>
        <v/>
      </c>
      <c r="I128" s="41" t="str">
        <f>IFERROR(INDEX(Combined_Data!$N:$N,$O128+1),"")</f>
        <v/>
      </c>
      <c r="J128" s="43" t="str">
        <f>IFERROR(INDEX(Combined_Data!$S:$S,$O128+1),"")</f>
        <v/>
      </c>
      <c r="K128" s="44" t="str">
        <f>IFERROR(INDEX(Combined_Data!$AF:$AF,$O128+1),"")</f>
        <v/>
      </c>
      <c r="L128" s="41" t="str">
        <f>IFERROR(INDEX(Combined_Data!$AG:$AG,$O128+1),"")</f>
        <v/>
      </c>
      <c r="M128" s="41" t="str">
        <f>IFERROR(INDEX(Combined_Data!$AH:$AH,$O128+1),"")</f>
        <v/>
      </c>
      <c r="O128" t="str">
        <f>IFERROR(_xlfn.AGGREGATE(15,6,(ROW(Combined_Data!$AI$2:$AI$3001)-1)/(Combined_Data!$AI$2:$AI$3001),94),"")</f>
        <v/>
      </c>
    </row>
    <row r="129" spans="1:15" ht="15" customHeight="1" x14ac:dyDescent="0.3">
      <c r="A129" s="41" t="str">
        <f>IFERROR(INDEX(Combined_Data!$C:$C,$O129+1),"")</f>
        <v/>
      </c>
      <c r="B129" s="41" t="str">
        <f>IFERROR(INDEX(Combined_Data!$E:$E,$O129+1),"")</f>
        <v/>
      </c>
      <c r="C129" s="41" t="str">
        <f>IFERROR(INDEX(Combined_Data!$B:$B,$O129+1),"")</f>
        <v/>
      </c>
      <c r="D129" s="41" t="str">
        <f>IFERROR(INDEX(Combined_Data!$D:$D,$O129+1),"")</f>
        <v/>
      </c>
      <c r="E129" s="41" t="str">
        <f>IFERROR(INDEX(Combined_Data!$G:$G,$O129+1),"")</f>
        <v/>
      </c>
      <c r="F129" s="42" t="str">
        <f>IFERROR(INDEX(Combined_Data!$I:$I,$O129+1),"")</f>
        <v/>
      </c>
      <c r="G129" s="41" t="str">
        <f>IFERROR(INDEX(Combined_Data!$K:$K,$O129+1),"")</f>
        <v/>
      </c>
      <c r="H129" s="41" t="str">
        <f>IFERROR(INDEX(Combined_Data!$M:$M,$O129+1),"")</f>
        <v/>
      </c>
      <c r="I129" s="41" t="str">
        <f>IFERROR(INDEX(Combined_Data!$N:$N,$O129+1),"")</f>
        <v/>
      </c>
      <c r="J129" s="43" t="str">
        <f>IFERROR(INDEX(Combined_Data!$S:$S,$O129+1),"")</f>
        <v/>
      </c>
      <c r="K129" s="44" t="str">
        <f>IFERROR(INDEX(Combined_Data!$AF:$AF,$O129+1),"")</f>
        <v/>
      </c>
      <c r="L129" s="41" t="str">
        <f>IFERROR(INDEX(Combined_Data!$AG:$AG,$O129+1),"")</f>
        <v/>
      </c>
      <c r="M129" s="41" t="str">
        <f>IFERROR(INDEX(Combined_Data!$AH:$AH,$O129+1),"")</f>
        <v/>
      </c>
      <c r="O129" t="str">
        <f>IFERROR(_xlfn.AGGREGATE(15,6,(ROW(Combined_Data!$AI$2:$AI$3001)-1)/(Combined_Data!$AI$2:$AI$3001),95),"")</f>
        <v/>
      </c>
    </row>
    <row r="130" spans="1:15" ht="15" customHeight="1" x14ac:dyDescent="0.3">
      <c r="A130" s="41" t="str">
        <f>IFERROR(INDEX(Combined_Data!$C:$C,$O130+1),"")</f>
        <v/>
      </c>
      <c r="B130" s="41" t="str">
        <f>IFERROR(INDEX(Combined_Data!$E:$E,$O130+1),"")</f>
        <v/>
      </c>
      <c r="C130" s="41" t="str">
        <f>IFERROR(INDEX(Combined_Data!$B:$B,$O130+1),"")</f>
        <v/>
      </c>
      <c r="D130" s="41" t="str">
        <f>IFERROR(INDEX(Combined_Data!$D:$D,$O130+1),"")</f>
        <v/>
      </c>
      <c r="E130" s="41" t="str">
        <f>IFERROR(INDEX(Combined_Data!$G:$G,$O130+1),"")</f>
        <v/>
      </c>
      <c r="F130" s="42" t="str">
        <f>IFERROR(INDEX(Combined_Data!$I:$I,$O130+1),"")</f>
        <v/>
      </c>
      <c r="G130" s="41" t="str">
        <f>IFERROR(INDEX(Combined_Data!$K:$K,$O130+1),"")</f>
        <v/>
      </c>
      <c r="H130" s="41" t="str">
        <f>IFERROR(INDEX(Combined_Data!$M:$M,$O130+1),"")</f>
        <v/>
      </c>
      <c r="I130" s="41" t="str">
        <f>IFERROR(INDEX(Combined_Data!$N:$N,$O130+1),"")</f>
        <v/>
      </c>
      <c r="J130" s="43" t="str">
        <f>IFERROR(INDEX(Combined_Data!$S:$S,$O130+1),"")</f>
        <v/>
      </c>
      <c r="K130" s="44" t="str">
        <f>IFERROR(INDEX(Combined_Data!$AF:$AF,$O130+1),"")</f>
        <v/>
      </c>
      <c r="L130" s="41" t="str">
        <f>IFERROR(INDEX(Combined_Data!$AG:$AG,$O130+1),"")</f>
        <v/>
      </c>
      <c r="M130" s="41" t="str">
        <f>IFERROR(INDEX(Combined_Data!$AH:$AH,$O130+1),"")</f>
        <v/>
      </c>
      <c r="O130" t="str">
        <f>IFERROR(_xlfn.AGGREGATE(15,6,(ROW(Combined_Data!$AI$2:$AI$3001)-1)/(Combined_Data!$AI$2:$AI$3001),96),"")</f>
        <v/>
      </c>
    </row>
    <row r="131" spans="1:15" ht="15" customHeight="1" x14ac:dyDescent="0.3">
      <c r="A131" s="41" t="str">
        <f>IFERROR(INDEX(Combined_Data!$C:$C,$O131+1),"")</f>
        <v/>
      </c>
      <c r="B131" s="41" t="str">
        <f>IFERROR(INDEX(Combined_Data!$E:$E,$O131+1),"")</f>
        <v/>
      </c>
      <c r="C131" s="41" t="str">
        <f>IFERROR(INDEX(Combined_Data!$B:$B,$O131+1),"")</f>
        <v/>
      </c>
      <c r="D131" s="41" t="str">
        <f>IFERROR(INDEX(Combined_Data!$D:$D,$O131+1),"")</f>
        <v/>
      </c>
      <c r="E131" s="41" t="str">
        <f>IFERROR(INDEX(Combined_Data!$G:$G,$O131+1),"")</f>
        <v/>
      </c>
      <c r="F131" s="42" t="str">
        <f>IFERROR(INDEX(Combined_Data!$I:$I,$O131+1),"")</f>
        <v/>
      </c>
      <c r="G131" s="41" t="str">
        <f>IFERROR(INDEX(Combined_Data!$K:$K,$O131+1),"")</f>
        <v/>
      </c>
      <c r="H131" s="41" t="str">
        <f>IFERROR(INDEX(Combined_Data!$M:$M,$O131+1),"")</f>
        <v/>
      </c>
      <c r="I131" s="41" t="str">
        <f>IFERROR(INDEX(Combined_Data!$N:$N,$O131+1),"")</f>
        <v/>
      </c>
      <c r="J131" s="43" t="str">
        <f>IFERROR(INDEX(Combined_Data!$S:$S,$O131+1),"")</f>
        <v/>
      </c>
      <c r="K131" s="44" t="str">
        <f>IFERROR(INDEX(Combined_Data!$AF:$AF,$O131+1),"")</f>
        <v/>
      </c>
      <c r="L131" s="41" t="str">
        <f>IFERROR(INDEX(Combined_Data!$AG:$AG,$O131+1),"")</f>
        <v/>
      </c>
      <c r="M131" s="41" t="str">
        <f>IFERROR(INDEX(Combined_Data!$AH:$AH,$O131+1),"")</f>
        <v/>
      </c>
      <c r="O131" t="str">
        <f>IFERROR(_xlfn.AGGREGATE(15,6,(ROW(Combined_Data!$AI$2:$AI$3001)-1)/(Combined_Data!$AI$2:$AI$3001),97),"")</f>
        <v/>
      </c>
    </row>
    <row r="132" spans="1:15" ht="15" customHeight="1" x14ac:dyDescent="0.3">
      <c r="A132" s="41" t="str">
        <f>IFERROR(INDEX(Combined_Data!$C:$C,$O132+1),"")</f>
        <v/>
      </c>
      <c r="B132" s="41" t="str">
        <f>IFERROR(INDEX(Combined_Data!$E:$E,$O132+1),"")</f>
        <v/>
      </c>
      <c r="C132" s="41" t="str">
        <f>IFERROR(INDEX(Combined_Data!$B:$B,$O132+1),"")</f>
        <v/>
      </c>
      <c r="D132" s="41" t="str">
        <f>IFERROR(INDEX(Combined_Data!$D:$D,$O132+1),"")</f>
        <v/>
      </c>
      <c r="E132" s="41" t="str">
        <f>IFERROR(INDEX(Combined_Data!$G:$G,$O132+1),"")</f>
        <v/>
      </c>
      <c r="F132" s="42" t="str">
        <f>IFERROR(INDEX(Combined_Data!$I:$I,$O132+1),"")</f>
        <v/>
      </c>
      <c r="G132" s="41" t="str">
        <f>IFERROR(INDEX(Combined_Data!$K:$K,$O132+1),"")</f>
        <v/>
      </c>
      <c r="H132" s="41" t="str">
        <f>IFERROR(INDEX(Combined_Data!$M:$M,$O132+1),"")</f>
        <v/>
      </c>
      <c r="I132" s="41" t="str">
        <f>IFERROR(INDEX(Combined_Data!$N:$N,$O132+1),"")</f>
        <v/>
      </c>
      <c r="J132" s="43" t="str">
        <f>IFERROR(INDEX(Combined_Data!$S:$S,$O132+1),"")</f>
        <v/>
      </c>
      <c r="K132" s="44" t="str">
        <f>IFERROR(INDEX(Combined_Data!$AF:$AF,$O132+1),"")</f>
        <v/>
      </c>
      <c r="L132" s="41" t="str">
        <f>IFERROR(INDEX(Combined_Data!$AG:$AG,$O132+1),"")</f>
        <v/>
      </c>
      <c r="M132" s="41" t="str">
        <f>IFERROR(INDEX(Combined_Data!$AH:$AH,$O132+1),"")</f>
        <v/>
      </c>
      <c r="O132" t="str">
        <f>IFERROR(_xlfn.AGGREGATE(15,6,(ROW(Combined_Data!$AI$2:$AI$3001)-1)/(Combined_Data!$AI$2:$AI$3001),98),"")</f>
        <v/>
      </c>
    </row>
    <row r="133" spans="1:15" ht="15" customHeight="1" x14ac:dyDescent="0.3">
      <c r="A133" s="41" t="str">
        <f>IFERROR(INDEX(Combined_Data!$C:$C,$O133+1),"")</f>
        <v/>
      </c>
      <c r="B133" s="41" t="str">
        <f>IFERROR(INDEX(Combined_Data!$E:$E,$O133+1),"")</f>
        <v/>
      </c>
      <c r="C133" s="41" t="str">
        <f>IFERROR(INDEX(Combined_Data!$B:$B,$O133+1),"")</f>
        <v/>
      </c>
      <c r="D133" s="41" t="str">
        <f>IFERROR(INDEX(Combined_Data!$D:$D,$O133+1),"")</f>
        <v/>
      </c>
      <c r="E133" s="41" t="str">
        <f>IFERROR(INDEX(Combined_Data!$G:$G,$O133+1),"")</f>
        <v/>
      </c>
      <c r="F133" s="42" t="str">
        <f>IFERROR(INDEX(Combined_Data!$I:$I,$O133+1),"")</f>
        <v/>
      </c>
      <c r="G133" s="41" t="str">
        <f>IFERROR(INDEX(Combined_Data!$K:$K,$O133+1),"")</f>
        <v/>
      </c>
      <c r="H133" s="41" t="str">
        <f>IFERROR(INDEX(Combined_Data!$M:$M,$O133+1),"")</f>
        <v/>
      </c>
      <c r="I133" s="41" t="str">
        <f>IFERROR(INDEX(Combined_Data!$N:$N,$O133+1),"")</f>
        <v/>
      </c>
      <c r="J133" s="43" t="str">
        <f>IFERROR(INDEX(Combined_Data!$S:$S,$O133+1),"")</f>
        <v/>
      </c>
      <c r="K133" s="44" t="str">
        <f>IFERROR(INDEX(Combined_Data!$AF:$AF,$O133+1),"")</f>
        <v/>
      </c>
      <c r="L133" s="41" t="str">
        <f>IFERROR(INDEX(Combined_Data!$AG:$AG,$O133+1),"")</f>
        <v/>
      </c>
      <c r="M133" s="41" t="str">
        <f>IFERROR(INDEX(Combined_Data!$AH:$AH,$O133+1),"")</f>
        <v/>
      </c>
      <c r="O133" t="str">
        <f>IFERROR(_xlfn.AGGREGATE(15,6,(ROW(Combined_Data!$AI$2:$AI$3001)-1)/(Combined_Data!$AI$2:$AI$3001),99),"")</f>
        <v/>
      </c>
    </row>
    <row r="134" spans="1:15" ht="15" customHeight="1" x14ac:dyDescent="0.3">
      <c r="A134" s="41" t="str">
        <f>IFERROR(INDEX(Combined_Data!$C:$C,$O134+1),"")</f>
        <v/>
      </c>
      <c r="B134" s="41" t="str">
        <f>IFERROR(INDEX(Combined_Data!$E:$E,$O134+1),"")</f>
        <v/>
      </c>
      <c r="C134" s="41" t="str">
        <f>IFERROR(INDEX(Combined_Data!$B:$B,$O134+1),"")</f>
        <v/>
      </c>
      <c r="D134" s="41" t="str">
        <f>IFERROR(INDEX(Combined_Data!$D:$D,$O134+1),"")</f>
        <v/>
      </c>
      <c r="E134" s="41" t="str">
        <f>IFERROR(INDEX(Combined_Data!$G:$G,$O134+1),"")</f>
        <v/>
      </c>
      <c r="F134" s="42" t="str">
        <f>IFERROR(INDEX(Combined_Data!$I:$I,$O134+1),"")</f>
        <v/>
      </c>
      <c r="G134" s="41" t="str">
        <f>IFERROR(INDEX(Combined_Data!$K:$K,$O134+1),"")</f>
        <v/>
      </c>
      <c r="H134" s="41" t="str">
        <f>IFERROR(INDEX(Combined_Data!$M:$M,$O134+1),"")</f>
        <v/>
      </c>
      <c r="I134" s="41" t="str">
        <f>IFERROR(INDEX(Combined_Data!$N:$N,$O134+1),"")</f>
        <v/>
      </c>
      <c r="J134" s="43" t="str">
        <f>IFERROR(INDEX(Combined_Data!$S:$S,$O134+1),"")</f>
        <v/>
      </c>
      <c r="K134" s="44" t="str">
        <f>IFERROR(INDEX(Combined_Data!$AF:$AF,$O134+1),"")</f>
        <v/>
      </c>
      <c r="L134" s="41" t="str">
        <f>IFERROR(INDEX(Combined_Data!$AG:$AG,$O134+1),"")</f>
        <v/>
      </c>
      <c r="M134" s="41" t="str">
        <f>IFERROR(INDEX(Combined_Data!$AH:$AH,$O134+1),"")</f>
        <v/>
      </c>
      <c r="O134" t="str">
        <f>IFERROR(_xlfn.AGGREGATE(15,6,(ROW(Combined_Data!$AI$2:$AI$3001)-1)/(Combined_Data!$AI$2:$AI$3001),100),"")</f>
        <v/>
      </c>
    </row>
    <row r="135" spans="1:15" ht="15" customHeight="1" x14ac:dyDescent="0.3">
      <c r="A135" s="41" t="str">
        <f>IFERROR(INDEX(Combined_Data!$C:$C,$O135+1),"")</f>
        <v/>
      </c>
      <c r="B135" s="41" t="str">
        <f>IFERROR(INDEX(Combined_Data!$E:$E,$O135+1),"")</f>
        <v/>
      </c>
      <c r="C135" s="41" t="str">
        <f>IFERROR(INDEX(Combined_Data!$B:$B,$O135+1),"")</f>
        <v/>
      </c>
      <c r="D135" s="41" t="str">
        <f>IFERROR(INDEX(Combined_Data!$D:$D,$O135+1),"")</f>
        <v/>
      </c>
      <c r="E135" s="41" t="str">
        <f>IFERROR(INDEX(Combined_Data!$G:$G,$O135+1),"")</f>
        <v/>
      </c>
      <c r="F135" s="42" t="str">
        <f>IFERROR(INDEX(Combined_Data!$I:$I,$O135+1),"")</f>
        <v/>
      </c>
      <c r="G135" s="41" t="str">
        <f>IFERROR(INDEX(Combined_Data!$K:$K,$O135+1),"")</f>
        <v/>
      </c>
      <c r="H135" s="41" t="str">
        <f>IFERROR(INDEX(Combined_Data!$M:$M,$O135+1),"")</f>
        <v/>
      </c>
      <c r="I135" s="41" t="str">
        <f>IFERROR(INDEX(Combined_Data!$N:$N,$O135+1),"")</f>
        <v/>
      </c>
      <c r="J135" s="43" t="str">
        <f>IFERROR(INDEX(Combined_Data!$S:$S,$O135+1),"")</f>
        <v/>
      </c>
      <c r="K135" s="44" t="str">
        <f>IFERROR(INDEX(Combined_Data!$AF:$AF,$O135+1),"")</f>
        <v/>
      </c>
      <c r="L135" s="41" t="str">
        <f>IFERROR(INDEX(Combined_Data!$AG:$AG,$O135+1),"")</f>
        <v/>
      </c>
      <c r="M135" s="41" t="str">
        <f>IFERROR(INDEX(Combined_Data!$AH:$AH,$O135+1),"")</f>
        <v/>
      </c>
      <c r="O135" t="str">
        <f>IFERROR(_xlfn.AGGREGATE(15,6,(ROW(Combined_Data!$AI$2:$AI$3001)-1)/(Combined_Data!$AI$2:$AI$3001),101),"")</f>
        <v/>
      </c>
    </row>
    <row r="136" spans="1:15" ht="15" customHeight="1" x14ac:dyDescent="0.3">
      <c r="A136" s="41" t="str">
        <f>IFERROR(INDEX(Combined_Data!$C:$C,$O136+1),"")</f>
        <v/>
      </c>
      <c r="B136" s="41" t="str">
        <f>IFERROR(INDEX(Combined_Data!$E:$E,$O136+1),"")</f>
        <v/>
      </c>
      <c r="C136" s="41" t="str">
        <f>IFERROR(INDEX(Combined_Data!$B:$B,$O136+1),"")</f>
        <v/>
      </c>
      <c r="D136" s="41" t="str">
        <f>IFERROR(INDEX(Combined_Data!$D:$D,$O136+1),"")</f>
        <v/>
      </c>
      <c r="E136" s="41" t="str">
        <f>IFERROR(INDEX(Combined_Data!$G:$G,$O136+1),"")</f>
        <v/>
      </c>
      <c r="F136" s="42" t="str">
        <f>IFERROR(INDEX(Combined_Data!$I:$I,$O136+1),"")</f>
        <v/>
      </c>
      <c r="G136" s="41" t="str">
        <f>IFERROR(INDEX(Combined_Data!$K:$K,$O136+1),"")</f>
        <v/>
      </c>
      <c r="H136" s="41" t="str">
        <f>IFERROR(INDEX(Combined_Data!$M:$M,$O136+1),"")</f>
        <v/>
      </c>
      <c r="I136" s="41" t="str">
        <f>IFERROR(INDEX(Combined_Data!$N:$N,$O136+1),"")</f>
        <v/>
      </c>
      <c r="J136" s="43" t="str">
        <f>IFERROR(INDEX(Combined_Data!$S:$S,$O136+1),"")</f>
        <v/>
      </c>
      <c r="K136" s="44" t="str">
        <f>IFERROR(INDEX(Combined_Data!$AF:$AF,$O136+1),"")</f>
        <v/>
      </c>
      <c r="L136" s="41" t="str">
        <f>IFERROR(INDEX(Combined_Data!$AG:$AG,$O136+1),"")</f>
        <v/>
      </c>
      <c r="M136" s="41" t="str">
        <f>IFERROR(INDEX(Combined_Data!$AH:$AH,$O136+1),"")</f>
        <v/>
      </c>
      <c r="O136" t="str">
        <f>IFERROR(_xlfn.AGGREGATE(15,6,(ROW(Combined_Data!$AI$2:$AI$3001)-1)/(Combined_Data!$AI$2:$AI$3001),102),"")</f>
        <v/>
      </c>
    </row>
    <row r="137" spans="1:15" ht="15" customHeight="1" x14ac:dyDescent="0.3">
      <c r="A137" s="41" t="str">
        <f>IFERROR(INDEX(Combined_Data!$C:$C,$O137+1),"")</f>
        <v/>
      </c>
      <c r="B137" s="41" t="str">
        <f>IFERROR(INDEX(Combined_Data!$E:$E,$O137+1),"")</f>
        <v/>
      </c>
      <c r="C137" s="41" t="str">
        <f>IFERROR(INDEX(Combined_Data!$B:$B,$O137+1),"")</f>
        <v/>
      </c>
      <c r="D137" s="41" t="str">
        <f>IFERROR(INDEX(Combined_Data!$D:$D,$O137+1),"")</f>
        <v/>
      </c>
      <c r="E137" s="41" t="str">
        <f>IFERROR(INDEX(Combined_Data!$G:$G,$O137+1),"")</f>
        <v/>
      </c>
      <c r="F137" s="42" t="str">
        <f>IFERROR(INDEX(Combined_Data!$I:$I,$O137+1),"")</f>
        <v/>
      </c>
      <c r="G137" s="41" t="str">
        <f>IFERROR(INDEX(Combined_Data!$K:$K,$O137+1),"")</f>
        <v/>
      </c>
      <c r="H137" s="41" t="str">
        <f>IFERROR(INDEX(Combined_Data!$M:$M,$O137+1),"")</f>
        <v/>
      </c>
      <c r="I137" s="41" t="str">
        <f>IFERROR(INDEX(Combined_Data!$N:$N,$O137+1),"")</f>
        <v/>
      </c>
      <c r="J137" s="43" t="str">
        <f>IFERROR(INDEX(Combined_Data!$S:$S,$O137+1),"")</f>
        <v/>
      </c>
      <c r="K137" s="44" t="str">
        <f>IFERROR(INDEX(Combined_Data!$AF:$AF,$O137+1),"")</f>
        <v/>
      </c>
      <c r="L137" s="41" t="str">
        <f>IFERROR(INDEX(Combined_Data!$AG:$AG,$O137+1),"")</f>
        <v/>
      </c>
      <c r="M137" s="41" t="str">
        <f>IFERROR(INDEX(Combined_Data!$AH:$AH,$O137+1),"")</f>
        <v/>
      </c>
      <c r="O137" t="str">
        <f>IFERROR(_xlfn.AGGREGATE(15,6,(ROW(Combined_Data!$AI$2:$AI$3001)-1)/(Combined_Data!$AI$2:$AI$3001),103),"")</f>
        <v/>
      </c>
    </row>
    <row r="138" spans="1:15" ht="15" customHeight="1" x14ac:dyDescent="0.3">
      <c r="A138" s="41" t="str">
        <f>IFERROR(INDEX(Combined_Data!$C:$C,$O138+1),"")</f>
        <v/>
      </c>
      <c r="B138" s="41" t="str">
        <f>IFERROR(INDEX(Combined_Data!$E:$E,$O138+1),"")</f>
        <v/>
      </c>
      <c r="C138" s="41" t="str">
        <f>IFERROR(INDEX(Combined_Data!$B:$B,$O138+1),"")</f>
        <v/>
      </c>
      <c r="D138" s="41" t="str">
        <f>IFERROR(INDEX(Combined_Data!$D:$D,$O138+1),"")</f>
        <v/>
      </c>
      <c r="E138" s="41" t="str">
        <f>IFERROR(INDEX(Combined_Data!$G:$G,$O138+1),"")</f>
        <v/>
      </c>
      <c r="F138" s="42" t="str">
        <f>IFERROR(INDEX(Combined_Data!$I:$I,$O138+1),"")</f>
        <v/>
      </c>
      <c r="G138" s="41" t="str">
        <f>IFERROR(INDEX(Combined_Data!$K:$K,$O138+1),"")</f>
        <v/>
      </c>
      <c r="H138" s="41" t="str">
        <f>IFERROR(INDEX(Combined_Data!$M:$M,$O138+1),"")</f>
        <v/>
      </c>
      <c r="I138" s="41" t="str">
        <f>IFERROR(INDEX(Combined_Data!$N:$N,$O138+1),"")</f>
        <v/>
      </c>
      <c r="J138" s="43" t="str">
        <f>IFERROR(INDEX(Combined_Data!$S:$S,$O138+1),"")</f>
        <v/>
      </c>
      <c r="K138" s="44" t="str">
        <f>IFERROR(INDEX(Combined_Data!$AF:$AF,$O138+1),"")</f>
        <v/>
      </c>
      <c r="L138" s="41" t="str">
        <f>IFERROR(INDEX(Combined_Data!$AG:$AG,$O138+1),"")</f>
        <v/>
      </c>
      <c r="M138" s="41" t="str">
        <f>IFERROR(INDEX(Combined_Data!$AH:$AH,$O138+1),"")</f>
        <v/>
      </c>
      <c r="O138" t="str">
        <f>IFERROR(_xlfn.AGGREGATE(15,6,(ROW(Combined_Data!$AI$2:$AI$3001)-1)/(Combined_Data!$AI$2:$AI$3001),104),"")</f>
        <v/>
      </c>
    </row>
    <row r="139" spans="1:15" ht="15" customHeight="1" x14ac:dyDescent="0.3">
      <c r="A139" s="41" t="str">
        <f>IFERROR(INDEX(Combined_Data!$C:$C,$O139+1),"")</f>
        <v/>
      </c>
      <c r="B139" s="41" t="str">
        <f>IFERROR(INDEX(Combined_Data!$E:$E,$O139+1),"")</f>
        <v/>
      </c>
      <c r="C139" s="41" t="str">
        <f>IFERROR(INDEX(Combined_Data!$B:$B,$O139+1),"")</f>
        <v/>
      </c>
      <c r="D139" s="41" t="str">
        <f>IFERROR(INDEX(Combined_Data!$D:$D,$O139+1),"")</f>
        <v/>
      </c>
      <c r="E139" s="41" t="str">
        <f>IFERROR(INDEX(Combined_Data!$G:$G,$O139+1),"")</f>
        <v/>
      </c>
      <c r="F139" s="42" t="str">
        <f>IFERROR(INDEX(Combined_Data!$I:$I,$O139+1),"")</f>
        <v/>
      </c>
      <c r="G139" s="41" t="str">
        <f>IFERROR(INDEX(Combined_Data!$K:$K,$O139+1),"")</f>
        <v/>
      </c>
      <c r="H139" s="41" t="str">
        <f>IFERROR(INDEX(Combined_Data!$M:$M,$O139+1),"")</f>
        <v/>
      </c>
      <c r="I139" s="41" t="str">
        <f>IFERROR(INDEX(Combined_Data!$N:$N,$O139+1),"")</f>
        <v/>
      </c>
      <c r="J139" s="43" t="str">
        <f>IFERROR(INDEX(Combined_Data!$S:$S,$O139+1),"")</f>
        <v/>
      </c>
      <c r="K139" s="44" t="str">
        <f>IFERROR(INDEX(Combined_Data!$AF:$AF,$O139+1),"")</f>
        <v/>
      </c>
      <c r="L139" s="41" t="str">
        <f>IFERROR(INDEX(Combined_Data!$AG:$AG,$O139+1),"")</f>
        <v/>
      </c>
      <c r="M139" s="41" t="str">
        <f>IFERROR(INDEX(Combined_Data!$AH:$AH,$O139+1),"")</f>
        <v/>
      </c>
      <c r="O139" t="str">
        <f>IFERROR(_xlfn.AGGREGATE(15,6,(ROW(Combined_Data!$AI$2:$AI$3001)-1)/(Combined_Data!$AI$2:$AI$3001),105),"")</f>
        <v/>
      </c>
    </row>
    <row r="140" spans="1:15" ht="15" customHeight="1" x14ac:dyDescent="0.3">
      <c r="A140" s="41" t="str">
        <f>IFERROR(INDEX(Combined_Data!$C:$C,$O140+1),"")</f>
        <v/>
      </c>
      <c r="B140" s="41" t="str">
        <f>IFERROR(INDEX(Combined_Data!$E:$E,$O140+1),"")</f>
        <v/>
      </c>
      <c r="C140" s="41" t="str">
        <f>IFERROR(INDEX(Combined_Data!$B:$B,$O140+1),"")</f>
        <v/>
      </c>
      <c r="D140" s="41" t="str">
        <f>IFERROR(INDEX(Combined_Data!$D:$D,$O140+1),"")</f>
        <v/>
      </c>
      <c r="E140" s="41" t="str">
        <f>IFERROR(INDEX(Combined_Data!$G:$G,$O140+1),"")</f>
        <v/>
      </c>
      <c r="F140" s="42" t="str">
        <f>IFERROR(INDEX(Combined_Data!$I:$I,$O140+1),"")</f>
        <v/>
      </c>
      <c r="G140" s="41" t="str">
        <f>IFERROR(INDEX(Combined_Data!$K:$K,$O140+1),"")</f>
        <v/>
      </c>
      <c r="H140" s="41" t="str">
        <f>IFERROR(INDEX(Combined_Data!$M:$M,$O140+1),"")</f>
        <v/>
      </c>
      <c r="I140" s="41" t="str">
        <f>IFERROR(INDEX(Combined_Data!$N:$N,$O140+1),"")</f>
        <v/>
      </c>
      <c r="J140" s="43" t="str">
        <f>IFERROR(INDEX(Combined_Data!$S:$S,$O140+1),"")</f>
        <v/>
      </c>
      <c r="K140" s="44" t="str">
        <f>IFERROR(INDEX(Combined_Data!$AF:$AF,$O140+1),"")</f>
        <v/>
      </c>
      <c r="L140" s="41" t="str">
        <f>IFERROR(INDEX(Combined_Data!$AG:$AG,$O140+1),"")</f>
        <v/>
      </c>
      <c r="M140" s="41" t="str">
        <f>IFERROR(INDEX(Combined_Data!$AH:$AH,$O140+1),"")</f>
        <v/>
      </c>
      <c r="O140" t="str">
        <f>IFERROR(_xlfn.AGGREGATE(15,6,(ROW(Combined_Data!$AI$2:$AI$3001)-1)/(Combined_Data!$AI$2:$AI$3001),106),"")</f>
        <v/>
      </c>
    </row>
    <row r="141" spans="1:15" ht="15" customHeight="1" x14ac:dyDescent="0.3">
      <c r="A141" s="41" t="str">
        <f>IFERROR(INDEX(Combined_Data!$C:$C,$O141+1),"")</f>
        <v/>
      </c>
      <c r="B141" s="41" t="str">
        <f>IFERROR(INDEX(Combined_Data!$E:$E,$O141+1),"")</f>
        <v/>
      </c>
      <c r="C141" s="41" t="str">
        <f>IFERROR(INDEX(Combined_Data!$B:$B,$O141+1),"")</f>
        <v/>
      </c>
      <c r="D141" s="41" t="str">
        <f>IFERROR(INDEX(Combined_Data!$D:$D,$O141+1),"")</f>
        <v/>
      </c>
      <c r="E141" s="41" t="str">
        <f>IFERROR(INDEX(Combined_Data!$G:$G,$O141+1),"")</f>
        <v/>
      </c>
      <c r="F141" s="42" t="str">
        <f>IFERROR(INDEX(Combined_Data!$I:$I,$O141+1),"")</f>
        <v/>
      </c>
      <c r="G141" s="41" t="str">
        <f>IFERROR(INDEX(Combined_Data!$K:$K,$O141+1),"")</f>
        <v/>
      </c>
      <c r="H141" s="41" t="str">
        <f>IFERROR(INDEX(Combined_Data!$M:$M,$O141+1),"")</f>
        <v/>
      </c>
      <c r="I141" s="41" t="str">
        <f>IFERROR(INDEX(Combined_Data!$N:$N,$O141+1),"")</f>
        <v/>
      </c>
      <c r="J141" s="43" t="str">
        <f>IFERROR(INDEX(Combined_Data!$S:$S,$O141+1),"")</f>
        <v/>
      </c>
      <c r="K141" s="44" t="str">
        <f>IFERROR(INDEX(Combined_Data!$AF:$AF,$O141+1),"")</f>
        <v/>
      </c>
      <c r="L141" s="41" t="str">
        <f>IFERROR(INDEX(Combined_Data!$AG:$AG,$O141+1),"")</f>
        <v/>
      </c>
      <c r="M141" s="41" t="str">
        <f>IFERROR(INDEX(Combined_Data!$AH:$AH,$O141+1),"")</f>
        <v/>
      </c>
      <c r="O141" t="str">
        <f>IFERROR(_xlfn.AGGREGATE(15,6,(ROW(Combined_Data!$AI$2:$AI$3001)-1)/(Combined_Data!$AI$2:$AI$3001),107),"")</f>
        <v/>
      </c>
    </row>
    <row r="142" spans="1:15" ht="15" customHeight="1" x14ac:dyDescent="0.3">
      <c r="A142" s="41" t="str">
        <f>IFERROR(INDEX(Combined_Data!$C:$C,$O142+1),"")</f>
        <v/>
      </c>
      <c r="B142" s="41" t="str">
        <f>IFERROR(INDEX(Combined_Data!$E:$E,$O142+1),"")</f>
        <v/>
      </c>
      <c r="C142" s="41" t="str">
        <f>IFERROR(INDEX(Combined_Data!$B:$B,$O142+1),"")</f>
        <v/>
      </c>
      <c r="D142" s="41" t="str">
        <f>IFERROR(INDEX(Combined_Data!$D:$D,$O142+1),"")</f>
        <v/>
      </c>
      <c r="E142" s="41" t="str">
        <f>IFERROR(INDEX(Combined_Data!$G:$G,$O142+1),"")</f>
        <v/>
      </c>
      <c r="F142" s="42" t="str">
        <f>IFERROR(INDEX(Combined_Data!$I:$I,$O142+1),"")</f>
        <v/>
      </c>
      <c r="G142" s="41" t="str">
        <f>IFERROR(INDEX(Combined_Data!$K:$K,$O142+1),"")</f>
        <v/>
      </c>
      <c r="H142" s="41" t="str">
        <f>IFERROR(INDEX(Combined_Data!$M:$M,$O142+1),"")</f>
        <v/>
      </c>
      <c r="I142" s="41" t="str">
        <f>IFERROR(INDEX(Combined_Data!$N:$N,$O142+1),"")</f>
        <v/>
      </c>
      <c r="J142" s="43" t="str">
        <f>IFERROR(INDEX(Combined_Data!$S:$S,$O142+1),"")</f>
        <v/>
      </c>
      <c r="K142" s="44" t="str">
        <f>IFERROR(INDEX(Combined_Data!$AF:$AF,$O142+1),"")</f>
        <v/>
      </c>
      <c r="L142" s="41" t="str">
        <f>IFERROR(INDEX(Combined_Data!$AG:$AG,$O142+1),"")</f>
        <v/>
      </c>
      <c r="M142" s="41" t="str">
        <f>IFERROR(INDEX(Combined_Data!$AH:$AH,$O142+1),"")</f>
        <v/>
      </c>
      <c r="O142" t="str">
        <f>IFERROR(_xlfn.AGGREGATE(15,6,(ROW(Combined_Data!$AI$2:$AI$3001)-1)/(Combined_Data!$AI$2:$AI$3001),108),"")</f>
        <v/>
      </c>
    </row>
    <row r="143" spans="1:15" ht="15" customHeight="1" x14ac:dyDescent="0.3">
      <c r="A143" s="41" t="str">
        <f>IFERROR(INDEX(Combined_Data!$C:$C,$O143+1),"")</f>
        <v/>
      </c>
      <c r="B143" s="41" t="str">
        <f>IFERROR(INDEX(Combined_Data!$E:$E,$O143+1),"")</f>
        <v/>
      </c>
      <c r="C143" s="41" t="str">
        <f>IFERROR(INDEX(Combined_Data!$B:$B,$O143+1),"")</f>
        <v/>
      </c>
      <c r="D143" s="41" t="str">
        <f>IFERROR(INDEX(Combined_Data!$D:$D,$O143+1),"")</f>
        <v/>
      </c>
      <c r="E143" s="41" t="str">
        <f>IFERROR(INDEX(Combined_Data!$G:$G,$O143+1),"")</f>
        <v/>
      </c>
      <c r="F143" s="42" t="str">
        <f>IFERROR(INDEX(Combined_Data!$I:$I,$O143+1),"")</f>
        <v/>
      </c>
      <c r="G143" s="41" t="str">
        <f>IFERROR(INDEX(Combined_Data!$K:$K,$O143+1),"")</f>
        <v/>
      </c>
      <c r="H143" s="41" t="str">
        <f>IFERROR(INDEX(Combined_Data!$M:$M,$O143+1),"")</f>
        <v/>
      </c>
      <c r="I143" s="41" t="str">
        <f>IFERROR(INDEX(Combined_Data!$N:$N,$O143+1),"")</f>
        <v/>
      </c>
      <c r="J143" s="43" t="str">
        <f>IFERROR(INDEX(Combined_Data!$S:$S,$O143+1),"")</f>
        <v/>
      </c>
      <c r="K143" s="44" t="str">
        <f>IFERROR(INDEX(Combined_Data!$AF:$AF,$O143+1),"")</f>
        <v/>
      </c>
      <c r="L143" s="41" t="str">
        <f>IFERROR(INDEX(Combined_Data!$AG:$AG,$O143+1),"")</f>
        <v/>
      </c>
      <c r="M143" s="41" t="str">
        <f>IFERROR(INDEX(Combined_Data!$AH:$AH,$O143+1),"")</f>
        <v/>
      </c>
      <c r="O143" t="str">
        <f>IFERROR(_xlfn.AGGREGATE(15,6,(ROW(Combined_Data!$AI$2:$AI$3001)-1)/(Combined_Data!$AI$2:$AI$3001),109),"")</f>
        <v/>
      </c>
    </row>
    <row r="144" spans="1:15" ht="15" customHeight="1" x14ac:dyDescent="0.3">
      <c r="A144" s="41" t="str">
        <f>IFERROR(INDEX(Combined_Data!$C:$C,$O144+1),"")</f>
        <v/>
      </c>
      <c r="B144" s="41" t="str">
        <f>IFERROR(INDEX(Combined_Data!$E:$E,$O144+1),"")</f>
        <v/>
      </c>
      <c r="C144" s="41" t="str">
        <f>IFERROR(INDEX(Combined_Data!$B:$B,$O144+1),"")</f>
        <v/>
      </c>
      <c r="D144" s="41" t="str">
        <f>IFERROR(INDEX(Combined_Data!$D:$D,$O144+1),"")</f>
        <v/>
      </c>
      <c r="E144" s="41" t="str">
        <f>IFERROR(INDEX(Combined_Data!$G:$G,$O144+1),"")</f>
        <v/>
      </c>
      <c r="F144" s="42" t="str">
        <f>IFERROR(INDEX(Combined_Data!$I:$I,$O144+1),"")</f>
        <v/>
      </c>
      <c r="G144" s="41" t="str">
        <f>IFERROR(INDEX(Combined_Data!$K:$K,$O144+1),"")</f>
        <v/>
      </c>
      <c r="H144" s="41" t="str">
        <f>IFERROR(INDEX(Combined_Data!$M:$M,$O144+1),"")</f>
        <v/>
      </c>
      <c r="I144" s="41" t="str">
        <f>IFERROR(INDEX(Combined_Data!$N:$N,$O144+1),"")</f>
        <v/>
      </c>
      <c r="J144" s="43" t="str">
        <f>IFERROR(INDEX(Combined_Data!$S:$S,$O144+1),"")</f>
        <v/>
      </c>
      <c r="K144" s="44" t="str">
        <f>IFERROR(INDEX(Combined_Data!$AF:$AF,$O144+1),"")</f>
        <v/>
      </c>
      <c r="L144" s="41" t="str">
        <f>IFERROR(INDEX(Combined_Data!$AG:$AG,$O144+1),"")</f>
        <v/>
      </c>
      <c r="M144" s="41" t="str">
        <f>IFERROR(INDEX(Combined_Data!$AH:$AH,$O144+1),"")</f>
        <v/>
      </c>
      <c r="O144" t="str">
        <f>IFERROR(_xlfn.AGGREGATE(15,6,(ROW(Combined_Data!$AI$2:$AI$3001)-1)/(Combined_Data!$AI$2:$AI$3001),110),"")</f>
        <v/>
      </c>
    </row>
    <row r="145" spans="1:15" ht="15" customHeight="1" x14ac:dyDescent="0.3">
      <c r="A145" s="41" t="str">
        <f>IFERROR(INDEX(Combined_Data!$C:$C,$O145+1),"")</f>
        <v/>
      </c>
      <c r="B145" s="41" t="str">
        <f>IFERROR(INDEX(Combined_Data!$E:$E,$O145+1),"")</f>
        <v/>
      </c>
      <c r="C145" s="41" t="str">
        <f>IFERROR(INDEX(Combined_Data!$B:$B,$O145+1),"")</f>
        <v/>
      </c>
      <c r="D145" s="41" t="str">
        <f>IFERROR(INDEX(Combined_Data!$D:$D,$O145+1),"")</f>
        <v/>
      </c>
      <c r="E145" s="41" t="str">
        <f>IFERROR(INDEX(Combined_Data!$G:$G,$O145+1),"")</f>
        <v/>
      </c>
      <c r="F145" s="42" t="str">
        <f>IFERROR(INDEX(Combined_Data!$I:$I,$O145+1),"")</f>
        <v/>
      </c>
      <c r="G145" s="41" t="str">
        <f>IFERROR(INDEX(Combined_Data!$K:$K,$O145+1),"")</f>
        <v/>
      </c>
      <c r="H145" s="41" t="str">
        <f>IFERROR(INDEX(Combined_Data!$M:$M,$O145+1),"")</f>
        <v/>
      </c>
      <c r="I145" s="41" t="str">
        <f>IFERROR(INDEX(Combined_Data!$N:$N,$O145+1),"")</f>
        <v/>
      </c>
      <c r="J145" s="43" t="str">
        <f>IFERROR(INDEX(Combined_Data!$S:$S,$O145+1),"")</f>
        <v/>
      </c>
      <c r="K145" s="44" t="str">
        <f>IFERROR(INDEX(Combined_Data!$AF:$AF,$O145+1),"")</f>
        <v/>
      </c>
      <c r="L145" s="41" t="str">
        <f>IFERROR(INDEX(Combined_Data!$AG:$AG,$O145+1),"")</f>
        <v/>
      </c>
      <c r="M145" s="41" t="str">
        <f>IFERROR(INDEX(Combined_Data!$AH:$AH,$O145+1),"")</f>
        <v/>
      </c>
      <c r="O145" t="str">
        <f>IFERROR(_xlfn.AGGREGATE(15,6,(ROW(Combined_Data!$AI$2:$AI$3001)-1)/(Combined_Data!$AI$2:$AI$3001),111),"")</f>
        <v/>
      </c>
    </row>
    <row r="146" spans="1:15" ht="15" customHeight="1" x14ac:dyDescent="0.3">
      <c r="A146" s="41" t="str">
        <f>IFERROR(INDEX(Combined_Data!$C:$C,$O146+1),"")</f>
        <v/>
      </c>
      <c r="B146" s="41" t="str">
        <f>IFERROR(INDEX(Combined_Data!$E:$E,$O146+1),"")</f>
        <v/>
      </c>
      <c r="C146" s="41" t="str">
        <f>IFERROR(INDEX(Combined_Data!$B:$B,$O146+1),"")</f>
        <v/>
      </c>
      <c r="D146" s="41" t="str">
        <f>IFERROR(INDEX(Combined_Data!$D:$D,$O146+1),"")</f>
        <v/>
      </c>
      <c r="E146" s="41" t="str">
        <f>IFERROR(INDEX(Combined_Data!$G:$G,$O146+1),"")</f>
        <v/>
      </c>
      <c r="F146" s="42" t="str">
        <f>IFERROR(INDEX(Combined_Data!$I:$I,$O146+1),"")</f>
        <v/>
      </c>
      <c r="G146" s="41" t="str">
        <f>IFERROR(INDEX(Combined_Data!$K:$K,$O146+1),"")</f>
        <v/>
      </c>
      <c r="H146" s="41" t="str">
        <f>IFERROR(INDEX(Combined_Data!$M:$M,$O146+1),"")</f>
        <v/>
      </c>
      <c r="I146" s="41" t="str">
        <f>IFERROR(INDEX(Combined_Data!$N:$N,$O146+1),"")</f>
        <v/>
      </c>
      <c r="J146" s="43" t="str">
        <f>IFERROR(INDEX(Combined_Data!$S:$S,$O146+1),"")</f>
        <v/>
      </c>
      <c r="K146" s="44" t="str">
        <f>IFERROR(INDEX(Combined_Data!$AF:$AF,$O146+1),"")</f>
        <v/>
      </c>
      <c r="L146" s="41" t="str">
        <f>IFERROR(INDEX(Combined_Data!$AG:$AG,$O146+1),"")</f>
        <v/>
      </c>
      <c r="M146" s="41" t="str">
        <f>IFERROR(INDEX(Combined_Data!$AH:$AH,$O146+1),"")</f>
        <v/>
      </c>
      <c r="O146" t="str">
        <f>IFERROR(_xlfn.AGGREGATE(15,6,(ROW(Combined_Data!$AI$2:$AI$3001)-1)/(Combined_Data!$AI$2:$AI$3001),112),"")</f>
        <v/>
      </c>
    </row>
    <row r="147" spans="1:15" ht="15" customHeight="1" x14ac:dyDescent="0.3">
      <c r="A147" s="41" t="str">
        <f>IFERROR(INDEX(Combined_Data!$C:$C,$O147+1),"")</f>
        <v/>
      </c>
      <c r="B147" s="41" t="str">
        <f>IFERROR(INDEX(Combined_Data!$E:$E,$O147+1),"")</f>
        <v/>
      </c>
      <c r="C147" s="41" t="str">
        <f>IFERROR(INDEX(Combined_Data!$B:$B,$O147+1),"")</f>
        <v/>
      </c>
      <c r="D147" s="41" t="str">
        <f>IFERROR(INDEX(Combined_Data!$D:$D,$O147+1),"")</f>
        <v/>
      </c>
      <c r="E147" s="41" t="str">
        <f>IFERROR(INDEX(Combined_Data!$G:$G,$O147+1),"")</f>
        <v/>
      </c>
      <c r="F147" s="42" t="str">
        <f>IFERROR(INDEX(Combined_Data!$I:$I,$O147+1),"")</f>
        <v/>
      </c>
      <c r="G147" s="41" t="str">
        <f>IFERROR(INDEX(Combined_Data!$K:$K,$O147+1),"")</f>
        <v/>
      </c>
      <c r="H147" s="41" t="str">
        <f>IFERROR(INDEX(Combined_Data!$M:$M,$O147+1),"")</f>
        <v/>
      </c>
      <c r="I147" s="41" t="str">
        <f>IFERROR(INDEX(Combined_Data!$N:$N,$O147+1),"")</f>
        <v/>
      </c>
      <c r="J147" s="43" t="str">
        <f>IFERROR(INDEX(Combined_Data!$S:$S,$O147+1),"")</f>
        <v/>
      </c>
      <c r="K147" s="44" t="str">
        <f>IFERROR(INDEX(Combined_Data!$AF:$AF,$O147+1),"")</f>
        <v/>
      </c>
      <c r="L147" s="41" t="str">
        <f>IFERROR(INDEX(Combined_Data!$AG:$AG,$O147+1),"")</f>
        <v/>
      </c>
      <c r="M147" s="41" t="str">
        <f>IFERROR(INDEX(Combined_Data!$AH:$AH,$O147+1),"")</f>
        <v/>
      </c>
      <c r="O147" t="str">
        <f>IFERROR(_xlfn.AGGREGATE(15,6,(ROW(Combined_Data!$AI$2:$AI$3001)-1)/(Combined_Data!$AI$2:$AI$3001),113),"")</f>
        <v/>
      </c>
    </row>
    <row r="148" spans="1:15" ht="15" customHeight="1" x14ac:dyDescent="0.3">
      <c r="A148" s="41" t="str">
        <f>IFERROR(INDEX(Combined_Data!$C:$C,$O148+1),"")</f>
        <v/>
      </c>
      <c r="B148" s="41" t="str">
        <f>IFERROR(INDEX(Combined_Data!$E:$E,$O148+1),"")</f>
        <v/>
      </c>
      <c r="C148" s="41" t="str">
        <f>IFERROR(INDEX(Combined_Data!$B:$B,$O148+1),"")</f>
        <v/>
      </c>
      <c r="D148" s="41" t="str">
        <f>IFERROR(INDEX(Combined_Data!$D:$D,$O148+1),"")</f>
        <v/>
      </c>
      <c r="E148" s="41" t="str">
        <f>IFERROR(INDEX(Combined_Data!$G:$G,$O148+1),"")</f>
        <v/>
      </c>
      <c r="F148" s="42" t="str">
        <f>IFERROR(INDEX(Combined_Data!$I:$I,$O148+1),"")</f>
        <v/>
      </c>
      <c r="G148" s="41" t="str">
        <f>IFERROR(INDEX(Combined_Data!$K:$K,$O148+1),"")</f>
        <v/>
      </c>
      <c r="H148" s="41" t="str">
        <f>IFERROR(INDEX(Combined_Data!$M:$M,$O148+1),"")</f>
        <v/>
      </c>
      <c r="I148" s="41" t="str">
        <f>IFERROR(INDEX(Combined_Data!$N:$N,$O148+1),"")</f>
        <v/>
      </c>
      <c r="J148" s="43" t="str">
        <f>IFERROR(INDEX(Combined_Data!$S:$S,$O148+1),"")</f>
        <v/>
      </c>
      <c r="K148" s="44" t="str">
        <f>IFERROR(INDEX(Combined_Data!$AF:$AF,$O148+1),"")</f>
        <v/>
      </c>
      <c r="L148" s="41" t="str">
        <f>IFERROR(INDEX(Combined_Data!$AG:$AG,$O148+1),"")</f>
        <v/>
      </c>
      <c r="M148" s="41" t="str">
        <f>IFERROR(INDEX(Combined_Data!$AH:$AH,$O148+1),"")</f>
        <v/>
      </c>
      <c r="O148" t="str">
        <f>IFERROR(_xlfn.AGGREGATE(15,6,(ROW(Combined_Data!$AI$2:$AI$3001)-1)/(Combined_Data!$AI$2:$AI$3001),114),"")</f>
        <v/>
      </c>
    </row>
    <row r="149" spans="1:15" ht="15" customHeight="1" x14ac:dyDescent="0.3">
      <c r="A149" s="41" t="str">
        <f>IFERROR(INDEX(Combined_Data!$C:$C,$O149+1),"")</f>
        <v/>
      </c>
      <c r="B149" s="41" t="str">
        <f>IFERROR(INDEX(Combined_Data!$E:$E,$O149+1),"")</f>
        <v/>
      </c>
      <c r="C149" s="41" t="str">
        <f>IFERROR(INDEX(Combined_Data!$B:$B,$O149+1),"")</f>
        <v/>
      </c>
      <c r="D149" s="41" t="str">
        <f>IFERROR(INDEX(Combined_Data!$D:$D,$O149+1),"")</f>
        <v/>
      </c>
      <c r="E149" s="41" t="str">
        <f>IFERROR(INDEX(Combined_Data!$G:$G,$O149+1),"")</f>
        <v/>
      </c>
      <c r="F149" s="42" t="str">
        <f>IFERROR(INDEX(Combined_Data!$I:$I,$O149+1),"")</f>
        <v/>
      </c>
      <c r="G149" s="41" t="str">
        <f>IFERROR(INDEX(Combined_Data!$K:$K,$O149+1),"")</f>
        <v/>
      </c>
      <c r="H149" s="41" t="str">
        <f>IFERROR(INDEX(Combined_Data!$M:$M,$O149+1),"")</f>
        <v/>
      </c>
      <c r="I149" s="41" t="str">
        <f>IFERROR(INDEX(Combined_Data!$N:$N,$O149+1),"")</f>
        <v/>
      </c>
      <c r="J149" s="43" t="str">
        <f>IFERROR(INDEX(Combined_Data!$S:$S,$O149+1),"")</f>
        <v/>
      </c>
      <c r="K149" s="44" t="str">
        <f>IFERROR(INDEX(Combined_Data!$AF:$AF,$O149+1),"")</f>
        <v/>
      </c>
      <c r="L149" s="41" t="str">
        <f>IFERROR(INDEX(Combined_Data!$AG:$AG,$O149+1),"")</f>
        <v/>
      </c>
      <c r="M149" s="41" t="str">
        <f>IFERROR(INDEX(Combined_Data!$AH:$AH,$O149+1),"")</f>
        <v/>
      </c>
      <c r="O149" t="str">
        <f>IFERROR(_xlfn.AGGREGATE(15,6,(ROW(Combined_Data!$AI$2:$AI$3001)-1)/(Combined_Data!$AI$2:$AI$3001),115),"")</f>
        <v/>
      </c>
    </row>
    <row r="150" spans="1:15" ht="15" customHeight="1" x14ac:dyDescent="0.3">
      <c r="A150" s="41" t="str">
        <f>IFERROR(INDEX(Combined_Data!$C:$C,$O150+1),"")</f>
        <v/>
      </c>
      <c r="B150" s="41" t="str">
        <f>IFERROR(INDEX(Combined_Data!$E:$E,$O150+1),"")</f>
        <v/>
      </c>
      <c r="C150" s="41" t="str">
        <f>IFERROR(INDEX(Combined_Data!$B:$B,$O150+1),"")</f>
        <v/>
      </c>
      <c r="D150" s="41" t="str">
        <f>IFERROR(INDEX(Combined_Data!$D:$D,$O150+1),"")</f>
        <v/>
      </c>
      <c r="E150" s="41" t="str">
        <f>IFERROR(INDEX(Combined_Data!$G:$G,$O150+1),"")</f>
        <v/>
      </c>
      <c r="F150" s="42" t="str">
        <f>IFERROR(INDEX(Combined_Data!$I:$I,$O150+1),"")</f>
        <v/>
      </c>
      <c r="G150" s="41" t="str">
        <f>IFERROR(INDEX(Combined_Data!$K:$K,$O150+1),"")</f>
        <v/>
      </c>
      <c r="H150" s="41" t="str">
        <f>IFERROR(INDEX(Combined_Data!$M:$M,$O150+1),"")</f>
        <v/>
      </c>
      <c r="I150" s="41" t="str">
        <f>IFERROR(INDEX(Combined_Data!$N:$N,$O150+1),"")</f>
        <v/>
      </c>
      <c r="J150" s="43" t="str">
        <f>IFERROR(INDEX(Combined_Data!$S:$S,$O150+1),"")</f>
        <v/>
      </c>
      <c r="K150" s="44" t="str">
        <f>IFERROR(INDEX(Combined_Data!$AF:$AF,$O150+1),"")</f>
        <v/>
      </c>
      <c r="L150" s="41" t="str">
        <f>IFERROR(INDEX(Combined_Data!$AG:$AG,$O150+1),"")</f>
        <v/>
      </c>
      <c r="M150" s="41" t="str">
        <f>IFERROR(INDEX(Combined_Data!$AH:$AH,$O150+1),"")</f>
        <v/>
      </c>
      <c r="O150" t="str">
        <f>IFERROR(_xlfn.AGGREGATE(15,6,(ROW(Combined_Data!$AI$2:$AI$3001)-1)/(Combined_Data!$AI$2:$AI$3001),116),"")</f>
        <v/>
      </c>
    </row>
    <row r="151" spans="1:15" ht="15" customHeight="1" x14ac:dyDescent="0.3">
      <c r="A151" s="41" t="str">
        <f>IFERROR(INDEX(Combined_Data!$C:$C,$O151+1),"")</f>
        <v/>
      </c>
      <c r="B151" s="41" t="str">
        <f>IFERROR(INDEX(Combined_Data!$E:$E,$O151+1),"")</f>
        <v/>
      </c>
      <c r="C151" s="41" t="str">
        <f>IFERROR(INDEX(Combined_Data!$B:$B,$O151+1),"")</f>
        <v/>
      </c>
      <c r="D151" s="41" t="str">
        <f>IFERROR(INDEX(Combined_Data!$D:$D,$O151+1),"")</f>
        <v/>
      </c>
      <c r="E151" s="41" t="str">
        <f>IFERROR(INDEX(Combined_Data!$G:$G,$O151+1),"")</f>
        <v/>
      </c>
      <c r="F151" s="42" t="str">
        <f>IFERROR(INDEX(Combined_Data!$I:$I,$O151+1),"")</f>
        <v/>
      </c>
      <c r="G151" s="41" t="str">
        <f>IFERROR(INDEX(Combined_Data!$K:$K,$O151+1),"")</f>
        <v/>
      </c>
      <c r="H151" s="41" t="str">
        <f>IFERROR(INDEX(Combined_Data!$M:$M,$O151+1),"")</f>
        <v/>
      </c>
      <c r="I151" s="41" t="str">
        <f>IFERROR(INDEX(Combined_Data!$N:$N,$O151+1),"")</f>
        <v/>
      </c>
      <c r="J151" s="43" t="str">
        <f>IFERROR(INDEX(Combined_Data!$S:$S,$O151+1),"")</f>
        <v/>
      </c>
      <c r="K151" s="44" t="str">
        <f>IFERROR(INDEX(Combined_Data!$AF:$AF,$O151+1),"")</f>
        <v/>
      </c>
      <c r="L151" s="41" t="str">
        <f>IFERROR(INDEX(Combined_Data!$AG:$AG,$O151+1),"")</f>
        <v/>
      </c>
      <c r="M151" s="41" t="str">
        <f>IFERROR(INDEX(Combined_Data!$AH:$AH,$O151+1),"")</f>
        <v/>
      </c>
      <c r="O151" t="str">
        <f>IFERROR(_xlfn.AGGREGATE(15,6,(ROW(Combined_Data!$AI$2:$AI$3001)-1)/(Combined_Data!$AI$2:$AI$3001),117),"")</f>
        <v/>
      </c>
    </row>
    <row r="152" spans="1:15" ht="15" customHeight="1" x14ac:dyDescent="0.3">
      <c r="A152" s="41" t="str">
        <f>IFERROR(INDEX(Combined_Data!$C:$C,$O152+1),"")</f>
        <v/>
      </c>
      <c r="B152" s="41" t="str">
        <f>IFERROR(INDEX(Combined_Data!$E:$E,$O152+1),"")</f>
        <v/>
      </c>
      <c r="C152" s="41" t="str">
        <f>IFERROR(INDEX(Combined_Data!$B:$B,$O152+1),"")</f>
        <v/>
      </c>
      <c r="D152" s="41" t="str">
        <f>IFERROR(INDEX(Combined_Data!$D:$D,$O152+1),"")</f>
        <v/>
      </c>
      <c r="E152" s="41" t="str">
        <f>IFERROR(INDEX(Combined_Data!$G:$G,$O152+1),"")</f>
        <v/>
      </c>
      <c r="F152" s="42" t="str">
        <f>IFERROR(INDEX(Combined_Data!$I:$I,$O152+1),"")</f>
        <v/>
      </c>
      <c r="G152" s="41" t="str">
        <f>IFERROR(INDEX(Combined_Data!$K:$K,$O152+1),"")</f>
        <v/>
      </c>
      <c r="H152" s="41" t="str">
        <f>IFERROR(INDEX(Combined_Data!$M:$M,$O152+1),"")</f>
        <v/>
      </c>
      <c r="I152" s="41" t="str">
        <f>IFERROR(INDEX(Combined_Data!$N:$N,$O152+1),"")</f>
        <v/>
      </c>
      <c r="J152" s="43" t="str">
        <f>IFERROR(INDEX(Combined_Data!$S:$S,$O152+1),"")</f>
        <v/>
      </c>
      <c r="K152" s="44" t="str">
        <f>IFERROR(INDEX(Combined_Data!$AF:$AF,$O152+1),"")</f>
        <v/>
      </c>
      <c r="L152" s="41" t="str">
        <f>IFERROR(INDEX(Combined_Data!$AG:$AG,$O152+1),"")</f>
        <v/>
      </c>
      <c r="M152" s="41" t="str">
        <f>IFERROR(INDEX(Combined_Data!$AH:$AH,$O152+1),"")</f>
        <v/>
      </c>
      <c r="O152" t="str">
        <f>IFERROR(_xlfn.AGGREGATE(15,6,(ROW(Combined_Data!$AI$2:$AI$3001)-1)/(Combined_Data!$AI$2:$AI$3001),118),"")</f>
        <v/>
      </c>
    </row>
    <row r="153" spans="1:15" ht="15" customHeight="1" x14ac:dyDescent="0.3">
      <c r="A153" s="41" t="str">
        <f>IFERROR(INDEX(Combined_Data!$C:$C,$O153+1),"")</f>
        <v/>
      </c>
      <c r="B153" s="41" t="str">
        <f>IFERROR(INDEX(Combined_Data!$E:$E,$O153+1),"")</f>
        <v/>
      </c>
      <c r="C153" s="41" t="str">
        <f>IFERROR(INDEX(Combined_Data!$B:$B,$O153+1),"")</f>
        <v/>
      </c>
      <c r="D153" s="41" t="str">
        <f>IFERROR(INDEX(Combined_Data!$D:$D,$O153+1),"")</f>
        <v/>
      </c>
      <c r="E153" s="41" t="str">
        <f>IFERROR(INDEX(Combined_Data!$G:$G,$O153+1),"")</f>
        <v/>
      </c>
      <c r="F153" s="42" t="str">
        <f>IFERROR(INDEX(Combined_Data!$I:$I,$O153+1),"")</f>
        <v/>
      </c>
      <c r="G153" s="41" t="str">
        <f>IFERROR(INDEX(Combined_Data!$K:$K,$O153+1),"")</f>
        <v/>
      </c>
      <c r="H153" s="41" t="str">
        <f>IFERROR(INDEX(Combined_Data!$M:$M,$O153+1),"")</f>
        <v/>
      </c>
      <c r="I153" s="41" t="str">
        <f>IFERROR(INDEX(Combined_Data!$N:$N,$O153+1),"")</f>
        <v/>
      </c>
      <c r="J153" s="43" t="str">
        <f>IFERROR(INDEX(Combined_Data!$S:$S,$O153+1),"")</f>
        <v/>
      </c>
      <c r="K153" s="44" t="str">
        <f>IFERROR(INDEX(Combined_Data!$AF:$AF,$O153+1),"")</f>
        <v/>
      </c>
      <c r="L153" s="41" t="str">
        <f>IFERROR(INDEX(Combined_Data!$AG:$AG,$O153+1),"")</f>
        <v/>
      </c>
      <c r="M153" s="41" t="str">
        <f>IFERROR(INDEX(Combined_Data!$AH:$AH,$O153+1),"")</f>
        <v/>
      </c>
      <c r="O153" t="str">
        <f>IFERROR(_xlfn.AGGREGATE(15,6,(ROW(Combined_Data!$AI$2:$AI$3001)-1)/(Combined_Data!$AI$2:$AI$3001),119),"")</f>
        <v/>
      </c>
    </row>
    <row r="154" spans="1:15" ht="15" customHeight="1" x14ac:dyDescent="0.3">
      <c r="A154" s="41" t="str">
        <f>IFERROR(INDEX(Combined_Data!$C:$C,$O154+1),"")</f>
        <v/>
      </c>
      <c r="B154" s="41" t="str">
        <f>IFERROR(INDEX(Combined_Data!$E:$E,$O154+1),"")</f>
        <v/>
      </c>
      <c r="C154" s="41" t="str">
        <f>IFERROR(INDEX(Combined_Data!$B:$B,$O154+1),"")</f>
        <v/>
      </c>
      <c r="D154" s="41" t="str">
        <f>IFERROR(INDEX(Combined_Data!$D:$D,$O154+1),"")</f>
        <v/>
      </c>
      <c r="E154" s="41" t="str">
        <f>IFERROR(INDEX(Combined_Data!$G:$G,$O154+1),"")</f>
        <v/>
      </c>
      <c r="F154" s="42" t="str">
        <f>IFERROR(INDEX(Combined_Data!$I:$I,$O154+1),"")</f>
        <v/>
      </c>
      <c r="G154" s="41" t="str">
        <f>IFERROR(INDEX(Combined_Data!$K:$K,$O154+1),"")</f>
        <v/>
      </c>
      <c r="H154" s="41" t="str">
        <f>IFERROR(INDEX(Combined_Data!$M:$M,$O154+1),"")</f>
        <v/>
      </c>
      <c r="I154" s="41" t="str">
        <f>IFERROR(INDEX(Combined_Data!$N:$N,$O154+1),"")</f>
        <v/>
      </c>
      <c r="J154" s="43" t="str">
        <f>IFERROR(INDEX(Combined_Data!$S:$S,$O154+1),"")</f>
        <v/>
      </c>
      <c r="K154" s="44" t="str">
        <f>IFERROR(INDEX(Combined_Data!$AF:$AF,$O154+1),"")</f>
        <v/>
      </c>
      <c r="L154" s="41" t="str">
        <f>IFERROR(INDEX(Combined_Data!$AG:$AG,$O154+1),"")</f>
        <v/>
      </c>
      <c r="M154" s="41" t="str">
        <f>IFERROR(INDEX(Combined_Data!$AH:$AH,$O154+1),"")</f>
        <v/>
      </c>
      <c r="O154" t="str">
        <f>IFERROR(_xlfn.AGGREGATE(15,6,(ROW(Combined_Data!$AI$2:$AI$3001)-1)/(Combined_Data!$AI$2:$AI$3001),120),"")</f>
        <v/>
      </c>
    </row>
    <row r="155" spans="1:15" ht="15" customHeight="1" x14ac:dyDescent="0.3">
      <c r="A155" s="41" t="str">
        <f>IFERROR(INDEX(Combined_Data!$C:$C,$O155+1),"")</f>
        <v/>
      </c>
      <c r="B155" s="41" t="str">
        <f>IFERROR(INDEX(Combined_Data!$E:$E,$O155+1),"")</f>
        <v/>
      </c>
      <c r="C155" s="41" t="str">
        <f>IFERROR(INDEX(Combined_Data!$B:$B,$O155+1),"")</f>
        <v/>
      </c>
      <c r="D155" s="41" t="str">
        <f>IFERROR(INDEX(Combined_Data!$D:$D,$O155+1),"")</f>
        <v/>
      </c>
      <c r="E155" s="41" t="str">
        <f>IFERROR(INDEX(Combined_Data!$G:$G,$O155+1),"")</f>
        <v/>
      </c>
      <c r="F155" s="42" t="str">
        <f>IFERROR(INDEX(Combined_Data!$I:$I,$O155+1),"")</f>
        <v/>
      </c>
      <c r="G155" s="41" t="str">
        <f>IFERROR(INDEX(Combined_Data!$K:$K,$O155+1),"")</f>
        <v/>
      </c>
      <c r="H155" s="41" t="str">
        <f>IFERROR(INDEX(Combined_Data!$M:$M,$O155+1),"")</f>
        <v/>
      </c>
      <c r="I155" s="41" t="str">
        <f>IFERROR(INDEX(Combined_Data!$N:$N,$O155+1),"")</f>
        <v/>
      </c>
      <c r="J155" s="43" t="str">
        <f>IFERROR(INDEX(Combined_Data!$S:$S,$O155+1),"")</f>
        <v/>
      </c>
      <c r="K155" s="44" t="str">
        <f>IFERROR(INDEX(Combined_Data!$AF:$AF,$O155+1),"")</f>
        <v/>
      </c>
      <c r="L155" s="41" t="str">
        <f>IFERROR(INDEX(Combined_Data!$AG:$AG,$O155+1),"")</f>
        <v/>
      </c>
      <c r="M155" s="41" t="str">
        <f>IFERROR(INDEX(Combined_Data!$AH:$AH,$O155+1),"")</f>
        <v/>
      </c>
      <c r="O155" t="str">
        <f>IFERROR(_xlfn.AGGREGATE(15,6,(ROW(Combined_Data!$AI$2:$AI$3001)-1)/(Combined_Data!$AI$2:$AI$3001),121),"")</f>
        <v/>
      </c>
    </row>
    <row r="156" spans="1:15" ht="15" customHeight="1" x14ac:dyDescent="0.3">
      <c r="A156" s="41" t="str">
        <f>IFERROR(INDEX(Combined_Data!$C:$C,$O156+1),"")</f>
        <v/>
      </c>
      <c r="B156" s="41" t="str">
        <f>IFERROR(INDEX(Combined_Data!$E:$E,$O156+1),"")</f>
        <v/>
      </c>
      <c r="C156" s="41" t="str">
        <f>IFERROR(INDEX(Combined_Data!$B:$B,$O156+1),"")</f>
        <v/>
      </c>
      <c r="D156" s="41" t="str">
        <f>IFERROR(INDEX(Combined_Data!$D:$D,$O156+1),"")</f>
        <v/>
      </c>
      <c r="E156" s="41" t="str">
        <f>IFERROR(INDEX(Combined_Data!$G:$G,$O156+1),"")</f>
        <v/>
      </c>
      <c r="F156" s="42" t="str">
        <f>IFERROR(INDEX(Combined_Data!$I:$I,$O156+1),"")</f>
        <v/>
      </c>
      <c r="G156" s="41" t="str">
        <f>IFERROR(INDEX(Combined_Data!$K:$K,$O156+1),"")</f>
        <v/>
      </c>
      <c r="H156" s="41" t="str">
        <f>IFERROR(INDEX(Combined_Data!$M:$M,$O156+1),"")</f>
        <v/>
      </c>
      <c r="I156" s="41" t="str">
        <f>IFERROR(INDEX(Combined_Data!$N:$N,$O156+1),"")</f>
        <v/>
      </c>
      <c r="J156" s="43" t="str">
        <f>IFERROR(INDEX(Combined_Data!$S:$S,$O156+1),"")</f>
        <v/>
      </c>
      <c r="K156" s="44" t="str">
        <f>IFERROR(INDEX(Combined_Data!$AF:$AF,$O156+1),"")</f>
        <v/>
      </c>
      <c r="L156" s="41" t="str">
        <f>IFERROR(INDEX(Combined_Data!$AG:$AG,$O156+1),"")</f>
        <v/>
      </c>
      <c r="M156" s="41" t="str">
        <f>IFERROR(INDEX(Combined_Data!$AH:$AH,$O156+1),"")</f>
        <v/>
      </c>
      <c r="O156" t="str">
        <f>IFERROR(_xlfn.AGGREGATE(15,6,(ROW(Combined_Data!$AI$2:$AI$3001)-1)/(Combined_Data!$AI$2:$AI$3001),122),"")</f>
        <v/>
      </c>
    </row>
    <row r="157" spans="1:15" ht="15" customHeight="1" x14ac:dyDescent="0.3">
      <c r="A157" s="41" t="str">
        <f>IFERROR(INDEX(Combined_Data!$C:$C,$O157+1),"")</f>
        <v/>
      </c>
      <c r="B157" s="41" t="str">
        <f>IFERROR(INDEX(Combined_Data!$E:$E,$O157+1),"")</f>
        <v/>
      </c>
      <c r="C157" s="41" t="str">
        <f>IFERROR(INDEX(Combined_Data!$B:$B,$O157+1),"")</f>
        <v/>
      </c>
      <c r="D157" s="41" t="str">
        <f>IFERROR(INDEX(Combined_Data!$D:$D,$O157+1),"")</f>
        <v/>
      </c>
      <c r="E157" s="41" t="str">
        <f>IFERROR(INDEX(Combined_Data!$G:$G,$O157+1),"")</f>
        <v/>
      </c>
      <c r="F157" s="42" t="str">
        <f>IFERROR(INDEX(Combined_Data!$I:$I,$O157+1),"")</f>
        <v/>
      </c>
      <c r="G157" s="41" t="str">
        <f>IFERROR(INDEX(Combined_Data!$K:$K,$O157+1),"")</f>
        <v/>
      </c>
      <c r="H157" s="41" t="str">
        <f>IFERROR(INDEX(Combined_Data!$M:$M,$O157+1),"")</f>
        <v/>
      </c>
      <c r="I157" s="41" t="str">
        <f>IFERROR(INDEX(Combined_Data!$N:$N,$O157+1),"")</f>
        <v/>
      </c>
      <c r="J157" s="43" t="str">
        <f>IFERROR(INDEX(Combined_Data!$S:$S,$O157+1),"")</f>
        <v/>
      </c>
      <c r="K157" s="44" t="str">
        <f>IFERROR(INDEX(Combined_Data!$AF:$AF,$O157+1),"")</f>
        <v/>
      </c>
      <c r="L157" s="41" t="str">
        <f>IFERROR(INDEX(Combined_Data!$AG:$AG,$O157+1),"")</f>
        <v/>
      </c>
      <c r="M157" s="41" t="str">
        <f>IFERROR(INDEX(Combined_Data!$AH:$AH,$O157+1),"")</f>
        <v/>
      </c>
      <c r="O157" t="str">
        <f>IFERROR(_xlfn.AGGREGATE(15,6,(ROW(Combined_Data!$AI$2:$AI$3001)-1)/(Combined_Data!$AI$2:$AI$3001),123),"")</f>
        <v/>
      </c>
    </row>
    <row r="158" spans="1:15" ht="15" customHeight="1" x14ac:dyDescent="0.3">
      <c r="A158" s="41" t="str">
        <f>IFERROR(INDEX(Combined_Data!$C:$C,$O158+1),"")</f>
        <v/>
      </c>
      <c r="B158" s="41" t="str">
        <f>IFERROR(INDEX(Combined_Data!$E:$E,$O158+1),"")</f>
        <v/>
      </c>
      <c r="C158" s="41" t="str">
        <f>IFERROR(INDEX(Combined_Data!$B:$B,$O158+1),"")</f>
        <v/>
      </c>
      <c r="D158" s="41" t="str">
        <f>IFERROR(INDEX(Combined_Data!$D:$D,$O158+1),"")</f>
        <v/>
      </c>
      <c r="E158" s="41" t="str">
        <f>IFERROR(INDEX(Combined_Data!$G:$G,$O158+1),"")</f>
        <v/>
      </c>
      <c r="F158" s="42" t="str">
        <f>IFERROR(INDEX(Combined_Data!$I:$I,$O158+1),"")</f>
        <v/>
      </c>
      <c r="G158" s="41" t="str">
        <f>IFERROR(INDEX(Combined_Data!$K:$K,$O158+1),"")</f>
        <v/>
      </c>
      <c r="H158" s="41" t="str">
        <f>IFERROR(INDEX(Combined_Data!$M:$M,$O158+1),"")</f>
        <v/>
      </c>
      <c r="I158" s="41" t="str">
        <f>IFERROR(INDEX(Combined_Data!$N:$N,$O158+1),"")</f>
        <v/>
      </c>
      <c r="J158" s="43" t="str">
        <f>IFERROR(INDEX(Combined_Data!$S:$S,$O158+1),"")</f>
        <v/>
      </c>
      <c r="K158" s="44" t="str">
        <f>IFERROR(INDEX(Combined_Data!$AF:$AF,$O158+1),"")</f>
        <v/>
      </c>
      <c r="L158" s="41" t="str">
        <f>IFERROR(INDEX(Combined_Data!$AG:$AG,$O158+1),"")</f>
        <v/>
      </c>
      <c r="M158" s="41" t="str">
        <f>IFERROR(INDEX(Combined_Data!$AH:$AH,$O158+1),"")</f>
        <v/>
      </c>
      <c r="O158" t="str">
        <f>IFERROR(_xlfn.AGGREGATE(15,6,(ROW(Combined_Data!$AI$2:$AI$3001)-1)/(Combined_Data!$AI$2:$AI$3001),124),"")</f>
        <v/>
      </c>
    </row>
    <row r="159" spans="1:15" ht="15" customHeight="1" x14ac:dyDescent="0.3">
      <c r="A159" s="41" t="str">
        <f>IFERROR(INDEX(Combined_Data!$C:$C,$O159+1),"")</f>
        <v/>
      </c>
      <c r="B159" s="41" t="str">
        <f>IFERROR(INDEX(Combined_Data!$E:$E,$O159+1),"")</f>
        <v/>
      </c>
      <c r="C159" s="41" t="str">
        <f>IFERROR(INDEX(Combined_Data!$B:$B,$O159+1),"")</f>
        <v/>
      </c>
      <c r="D159" s="41" t="str">
        <f>IFERROR(INDEX(Combined_Data!$D:$D,$O159+1),"")</f>
        <v/>
      </c>
      <c r="E159" s="41" t="str">
        <f>IFERROR(INDEX(Combined_Data!$G:$G,$O159+1),"")</f>
        <v/>
      </c>
      <c r="F159" s="42" t="str">
        <f>IFERROR(INDEX(Combined_Data!$I:$I,$O159+1),"")</f>
        <v/>
      </c>
      <c r="G159" s="41" t="str">
        <f>IFERROR(INDEX(Combined_Data!$K:$K,$O159+1),"")</f>
        <v/>
      </c>
      <c r="H159" s="41" t="str">
        <f>IFERROR(INDEX(Combined_Data!$M:$M,$O159+1),"")</f>
        <v/>
      </c>
      <c r="I159" s="41" t="str">
        <f>IFERROR(INDEX(Combined_Data!$N:$N,$O159+1),"")</f>
        <v/>
      </c>
      <c r="J159" s="43" t="str">
        <f>IFERROR(INDEX(Combined_Data!$S:$S,$O159+1),"")</f>
        <v/>
      </c>
      <c r="K159" s="44" t="str">
        <f>IFERROR(INDEX(Combined_Data!$AF:$AF,$O159+1),"")</f>
        <v/>
      </c>
      <c r="L159" s="41" t="str">
        <f>IFERROR(INDEX(Combined_Data!$AG:$AG,$O159+1),"")</f>
        <v/>
      </c>
      <c r="M159" s="41" t="str">
        <f>IFERROR(INDEX(Combined_Data!$AH:$AH,$O159+1),"")</f>
        <v/>
      </c>
      <c r="O159" t="str">
        <f>IFERROR(_xlfn.AGGREGATE(15,6,(ROW(Combined_Data!$AI$2:$AI$3001)-1)/(Combined_Data!$AI$2:$AI$3001),125),"")</f>
        <v/>
      </c>
    </row>
    <row r="160" spans="1:15" ht="15" customHeight="1" x14ac:dyDescent="0.3">
      <c r="A160" s="41" t="str">
        <f>IFERROR(INDEX(Combined_Data!$C:$C,$O160+1),"")</f>
        <v/>
      </c>
      <c r="B160" s="41" t="str">
        <f>IFERROR(INDEX(Combined_Data!$E:$E,$O160+1),"")</f>
        <v/>
      </c>
      <c r="C160" s="41" t="str">
        <f>IFERROR(INDEX(Combined_Data!$B:$B,$O160+1),"")</f>
        <v/>
      </c>
      <c r="D160" s="41" t="str">
        <f>IFERROR(INDEX(Combined_Data!$D:$D,$O160+1),"")</f>
        <v/>
      </c>
      <c r="E160" s="41" t="str">
        <f>IFERROR(INDEX(Combined_Data!$G:$G,$O160+1),"")</f>
        <v/>
      </c>
      <c r="F160" s="42" t="str">
        <f>IFERROR(INDEX(Combined_Data!$I:$I,$O160+1),"")</f>
        <v/>
      </c>
      <c r="G160" s="41" t="str">
        <f>IFERROR(INDEX(Combined_Data!$K:$K,$O160+1),"")</f>
        <v/>
      </c>
      <c r="H160" s="41" t="str">
        <f>IFERROR(INDEX(Combined_Data!$M:$M,$O160+1),"")</f>
        <v/>
      </c>
      <c r="I160" s="41" t="str">
        <f>IFERROR(INDEX(Combined_Data!$N:$N,$O160+1),"")</f>
        <v/>
      </c>
      <c r="J160" s="43" t="str">
        <f>IFERROR(INDEX(Combined_Data!$S:$S,$O160+1),"")</f>
        <v/>
      </c>
      <c r="K160" s="44" t="str">
        <f>IFERROR(INDEX(Combined_Data!$AF:$AF,$O160+1),"")</f>
        <v/>
      </c>
      <c r="L160" s="41" t="str">
        <f>IFERROR(INDEX(Combined_Data!$AG:$AG,$O160+1),"")</f>
        <v/>
      </c>
      <c r="M160" s="41" t="str">
        <f>IFERROR(INDEX(Combined_Data!$AH:$AH,$O160+1),"")</f>
        <v/>
      </c>
      <c r="O160" t="str">
        <f>IFERROR(_xlfn.AGGREGATE(15,6,(ROW(Combined_Data!$AI$2:$AI$3001)-1)/(Combined_Data!$AI$2:$AI$3001),126),"")</f>
        <v/>
      </c>
    </row>
    <row r="161" spans="1:15" ht="15" customHeight="1" x14ac:dyDescent="0.3">
      <c r="A161" s="41" t="str">
        <f>IFERROR(INDEX(Combined_Data!$C:$C,$O161+1),"")</f>
        <v/>
      </c>
      <c r="B161" s="41" t="str">
        <f>IFERROR(INDEX(Combined_Data!$E:$E,$O161+1),"")</f>
        <v/>
      </c>
      <c r="C161" s="41" t="str">
        <f>IFERROR(INDEX(Combined_Data!$B:$B,$O161+1),"")</f>
        <v/>
      </c>
      <c r="D161" s="41" t="str">
        <f>IFERROR(INDEX(Combined_Data!$D:$D,$O161+1),"")</f>
        <v/>
      </c>
      <c r="E161" s="41" t="str">
        <f>IFERROR(INDEX(Combined_Data!$G:$G,$O161+1),"")</f>
        <v/>
      </c>
      <c r="F161" s="42" t="str">
        <f>IFERROR(INDEX(Combined_Data!$I:$I,$O161+1),"")</f>
        <v/>
      </c>
      <c r="G161" s="41" t="str">
        <f>IFERROR(INDEX(Combined_Data!$K:$K,$O161+1),"")</f>
        <v/>
      </c>
      <c r="H161" s="41" t="str">
        <f>IFERROR(INDEX(Combined_Data!$M:$M,$O161+1),"")</f>
        <v/>
      </c>
      <c r="I161" s="41" t="str">
        <f>IFERROR(INDEX(Combined_Data!$N:$N,$O161+1),"")</f>
        <v/>
      </c>
      <c r="J161" s="43" t="str">
        <f>IFERROR(INDEX(Combined_Data!$S:$S,$O161+1),"")</f>
        <v/>
      </c>
      <c r="K161" s="44" t="str">
        <f>IFERROR(INDEX(Combined_Data!$AF:$AF,$O161+1),"")</f>
        <v/>
      </c>
      <c r="L161" s="41" t="str">
        <f>IFERROR(INDEX(Combined_Data!$AG:$AG,$O161+1),"")</f>
        <v/>
      </c>
      <c r="M161" s="41" t="str">
        <f>IFERROR(INDEX(Combined_Data!$AH:$AH,$O161+1),"")</f>
        <v/>
      </c>
      <c r="O161" t="str">
        <f>IFERROR(_xlfn.AGGREGATE(15,6,(ROW(Combined_Data!$AI$2:$AI$3001)-1)/(Combined_Data!$AI$2:$AI$3001),127),"")</f>
        <v/>
      </c>
    </row>
    <row r="162" spans="1:15" ht="15" customHeight="1" x14ac:dyDescent="0.3">
      <c r="A162" s="41" t="str">
        <f>IFERROR(INDEX(Combined_Data!$C:$C,$O162+1),"")</f>
        <v/>
      </c>
      <c r="B162" s="41" t="str">
        <f>IFERROR(INDEX(Combined_Data!$E:$E,$O162+1),"")</f>
        <v/>
      </c>
      <c r="C162" s="41" t="str">
        <f>IFERROR(INDEX(Combined_Data!$B:$B,$O162+1),"")</f>
        <v/>
      </c>
      <c r="D162" s="41" t="str">
        <f>IFERROR(INDEX(Combined_Data!$D:$D,$O162+1),"")</f>
        <v/>
      </c>
      <c r="E162" s="41" t="str">
        <f>IFERROR(INDEX(Combined_Data!$G:$G,$O162+1),"")</f>
        <v/>
      </c>
      <c r="F162" s="42" t="str">
        <f>IFERROR(INDEX(Combined_Data!$I:$I,$O162+1),"")</f>
        <v/>
      </c>
      <c r="G162" s="41" t="str">
        <f>IFERROR(INDEX(Combined_Data!$K:$K,$O162+1),"")</f>
        <v/>
      </c>
      <c r="H162" s="41" t="str">
        <f>IFERROR(INDEX(Combined_Data!$M:$M,$O162+1),"")</f>
        <v/>
      </c>
      <c r="I162" s="41" t="str">
        <f>IFERROR(INDEX(Combined_Data!$N:$N,$O162+1),"")</f>
        <v/>
      </c>
      <c r="J162" s="43" t="str">
        <f>IFERROR(INDEX(Combined_Data!$S:$S,$O162+1),"")</f>
        <v/>
      </c>
      <c r="K162" s="44" t="str">
        <f>IFERROR(INDEX(Combined_Data!$AF:$AF,$O162+1),"")</f>
        <v/>
      </c>
      <c r="L162" s="41" t="str">
        <f>IFERROR(INDEX(Combined_Data!$AG:$AG,$O162+1),"")</f>
        <v/>
      </c>
      <c r="M162" s="41" t="str">
        <f>IFERROR(INDEX(Combined_Data!$AH:$AH,$O162+1),"")</f>
        <v/>
      </c>
      <c r="O162" t="str">
        <f>IFERROR(_xlfn.AGGREGATE(15,6,(ROW(Combined_Data!$AI$2:$AI$3001)-1)/(Combined_Data!$AI$2:$AI$3001),128),"")</f>
        <v/>
      </c>
    </row>
    <row r="163" spans="1:15" ht="15" customHeight="1" x14ac:dyDescent="0.3">
      <c r="A163" s="41" t="str">
        <f>IFERROR(INDEX(Combined_Data!$C:$C,$O163+1),"")</f>
        <v/>
      </c>
      <c r="B163" s="41" t="str">
        <f>IFERROR(INDEX(Combined_Data!$E:$E,$O163+1),"")</f>
        <v/>
      </c>
      <c r="C163" s="41" t="str">
        <f>IFERROR(INDEX(Combined_Data!$B:$B,$O163+1),"")</f>
        <v/>
      </c>
      <c r="D163" s="41" t="str">
        <f>IFERROR(INDEX(Combined_Data!$D:$D,$O163+1),"")</f>
        <v/>
      </c>
      <c r="E163" s="41" t="str">
        <f>IFERROR(INDEX(Combined_Data!$G:$G,$O163+1),"")</f>
        <v/>
      </c>
      <c r="F163" s="42" t="str">
        <f>IFERROR(INDEX(Combined_Data!$I:$I,$O163+1),"")</f>
        <v/>
      </c>
      <c r="G163" s="41" t="str">
        <f>IFERROR(INDEX(Combined_Data!$K:$K,$O163+1),"")</f>
        <v/>
      </c>
      <c r="H163" s="41" t="str">
        <f>IFERROR(INDEX(Combined_Data!$M:$M,$O163+1),"")</f>
        <v/>
      </c>
      <c r="I163" s="41" t="str">
        <f>IFERROR(INDEX(Combined_Data!$N:$N,$O163+1),"")</f>
        <v/>
      </c>
      <c r="J163" s="43" t="str">
        <f>IFERROR(INDEX(Combined_Data!$S:$S,$O163+1),"")</f>
        <v/>
      </c>
      <c r="K163" s="44" t="str">
        <f>IFERROR(INDEX(Combined_Data!$AF:$AF,$O163+1),"")</f>
        <v/>
      </c>
      <c r="L163" s="41" t="str">
        <f>IFERROR(INDEX(Combined_Data!$AG:$AG,$O163+1),"")</f>
        <v/>
      </c>
      <c r="M163" s="41" t="str">
        <f>IFERROR(INDEX(Combined_Data!$AH:$AH,$O163+1),"")</f>
        <v/>
      </c>
      <c r="O163" t="str">
        <f>IFERROR(_xlfn.AGGREGATE(15,6,(ROW(Combined_Data!$AI$2:$AI$3001)-1)/(Combined_Data!$AI$2:$AI$3001),129),"")</f>
        <v/>
      </c>
    </row>
    <row r="164" spans="1:15" ht="15" customHeight="1" x14ac:dyDescent="0.3">
      <c r="A164" s="41" t="str">
        <f>IFERROR(INDEX(Combined_Data!$C:$C,$O164+1),"")</f>
        <v/>
      </c>
      <c r="B164" s="41" t="str">
        <f>IFERROR(INDEX(Combined_Data!$E:$E,$O164+1),"")</f>
        <v/>
      </c>
      <c r="C164" s="41" t="str">
        <f>IFERROR(INDEX(Combined_Data!$B:$B,$O164+1),"")</f>
        <v/>
      </c>
      <c r="D164" s="41" t="str">
        <f>IFERROR(INDEX(Combined_Data!$D:$D,$O164+1),"")</f>
        <v/>
      </c>
      <c r="E164" s="41" t="str">
        <f>IFERROR(INDEX(Combined_Data!$G:$G,$O164+1),"")</f>
        <v/>
      </c>
      <c r="F164" s="42" t="str">
        <f>IFERROR(INDEX(Combined_Data!$I:$I,$O164+1),"")</f>
        <v/>
      </c>
      <c r="G164" s="41" t="str">
        <f>IFERROR(INDEX(Combined_Data!$K:$K,$O164+1),"")</f>
        <v/>
      </c>
      <c r="H164" s="41" t="str">
        <f>IFERROR(INDEX(Combined_Data!$M:$M,$O164+1),"")</f>
        <v/>
      </c>
      <c r="I164" s="41" t="str">
        <f>IFERROR(INDEX(Combined_Data!$N:$N,$O164+1),"")</f>
        <v/>
      </c>
      <c r="J164" s="43" t="str">
        <f>IFERROR(INDEX(Combined_Data!$S:$S,$O164+1),"")</f>
        <v/>
      </c>
      <c r="K164" s="44" t="str">
        <f>IFERROR(INDEX(Combined_Data!$AF:$AF,$O164+1),"")</f>
        <v/>
      </c>
      <c r="L164" s="41" t="str">
        <f>IFERROR(INDEX(Combined_Data!$AG:$AG,$O164+1),"")</f>
        <v/>
      </c>
      <c r="M164" s="41" t="str">
        <f>IFERROR(INDEX(Combined_Data!$AH:$AH,$O164+1),"")</f>
        <v/>
      </c>
      <c r="O164" t="str">
        <f>IFERROR(_xlfn.AGGREGATE(15,6,(ROW(Combined_Data!$AI$2:$AI$3001)-1)/(Combined_Data!$AI$2:$AI$3001),130),"")</f>
        <v/>
      </c>
    </row>
    <row r="165" spans="1:15" ht="15" customHeight="1" x14ac:dyDescent="0.3">
      <c r="A165" s="41" t="str">
        <f>IFERROR(INDEX(Combined_Data!$C:$C,$O165+1),"")</f>
        <v/>
      </c>
      <c r="B165" s="41" t="str">
        <f>IFERROR(INDEX(Combined_Data!$E:$E,$O165+1),"")</f>
        <v/>
      </c>
      <c r="C165" s="41" t="str">
        <f>IFERROR(INDEX(Combined_Data!$B:$B,$O165+1),"")</f>
        <v/>
      </c>
      <c r="D165" s="41" t="str">
        <f>IFERROR(INDEX(Combined_Data!$D:$D,$O165+1),"")</f>
        <v/>
      </c>
      <c r="E165" s="41" t="str">
        <f>IFERROR(INDEX(Combined_Data!$G:$G,$O165+1),"")</f>
        <v/>
      </c>
      <c r="F165" s="42" t="str">
        <f>IFERROR(INDEX(Combined_Data!$I:$I,$O165+1),"")</f>
        <v/>
      </c>
      <c r="G165" s="41" t="str">
        <f>IFERROR(INDEX(Combined_Data!$K:$K,$O165+1),"")</f>
        <v/>
      </c>
      <c r="H165" s="41" t="str">
        <f>IFERROR(INDEX(Combined_Data!$M:$M,$O165+1),"")</f>
        <v/>
      </c>
      <c r="I165" s="41" t="str">
        <f>IFERROR(INDEX(Combined_Data!$N:$N,$O165+1),"")</f>
        <v/>
      </c>
      <c r="J165" s="43" t="str">
        <f>IFERROR(INDEX(Combined_Data!$S:$S,$O165+1),"")</f>
        <v/>
      </c>
      <c r="K165" s="44" t="str">
        <f>IFERROR(INDEX(Combined_Data!$AF:$AF,$O165+1),"")</f>
        <v/>
      </c>
      <c r="L165" s="41" t="str">
        <f>IFERROR(INDEX(Combined_Data!$AG:$AG,$O165+1),"")</f>
        <v/>
      </c>
      <c r="M165" s="41" t="str">
        <f>IFERROR(INDEX(Combined_Data!$AH:$AH,$O165+1),"")</f>
        <v/>
      </c>
      <c r="O165" t="str">
        <f>IFERROR(_xlfn.AGGREGATE(15,6,(ROW(Combined_Data!$AI$2:$AI$3001)-1)/(Combined_Data!$AI$2:$AI$3001),131),"")</f>
        <v/>
      </c>
    </row>
    <row r="166" spans="1:15" ht="15" customHeight="1" x14ac:dyDescent="0.3">
      <c r="A166" s="41" t="str">
        <f>IFERROR(INDEX(Combined_Data!$C:$C,$O166+1),"")</f>
        <v/>
      </c>
      <c r="B166" s="41" t="str">
        <f>IFERROR(INDEX(Combined_Data!$E:$E,$O166+1),"")</f>
        <v/>
      </c>
      <c r="C166" s="41" t="str">
        <f>IFERROR(INDEX(Combined_Data!$B:$B,$O166+1),"")</f>
        <v/>
      </c>
      <c r="D166" s="41" t="str">
        <f>IFERROR(INDEX(Combined_Data!$D:$D,$O166+1),"")</f>
        <v/>
      </c>
      <c r="E166" s="41" t="str">
        <f>IFERROR(INDEX(Combined_Data!$G:$G,$O166+1),"")</f>
        <v/>
      </c>
      <c r="F166" s="42" t="str">
        <f>IFERROR(INDEX(Combined_Data!$I:$I,$O166+1),"")</f>
        <v/>
      </c>
      <c r="G166" s="41" t="str">
        <f>IFERROR(INDEX(Combined_Data!$K:$K,$O166+1),"")</f>
        <v/>
      </c>
      <c r="H166" s="41" t="str">
        <f>IFERROR(INDEX(Combined_Data!$M:$M,$O166+1),"")</f>
        <v/>
      </c>
      <c r="I166" s="41" t="str">
        <f>IFERROR(INDEX(Combined_Data!$N:$N,$O166+1),"")</f>
        <v/>
      </c>
      <c r="J166" s="43" t="str">
        <f>IFERROR(INDEX(Combined_Data!$S:$S,$O166+1),"")</f>
        <v/>
      </c>
      <c r="K166" s="44" t="str">
        <f>IFERROR(INDEX(Combined_Data!$AF:$AF,$O166+1),"")</f>
        <v/>
      </c>
      <c r="L166" s="41" t="str">
        <f>IFERROR(INDEX(Combined_Data!$AG:$AG,$O166+1),"")</f>
        <v/>
      </c>
      <c r="M166" s="41" t="str">
        <f>IFERROR(INDEX(Combined_Data!$AH:$AH,$O166+1),"")</f>
        <v/>
      </c>
      <c r="O166" t="str">
        <f>IFERROR(_xlfn.AGGREGATE(15,6,(ROW(Combined_Data!$AI$2:$AI$3001)-1)/(Combined_Data!$AI$2:$AI$3001),132),"")</f>
        <v/>
      </c>
    </row>
    <row r="167" spans="1:15" ht="15" customHeight="1" x14ac:dyDescent="0.3">
      <c r="A167" s="41" t="str">
        <f>IFERROR(INDEX(Combined_Data!$C:$C,$O167+1),"")</f>
        <v/>
      </c>
      <c r="B167" s="41" t="str">
        <f>IFERROR(INDEX(Combined_Data!$E:$E,$O167+1),"")</f>
        <v/>
      </c>
      <c r="C167" s="41" t="str">
        <f>IFERROR(INDEX(Combined_Data!$B:$B,$O167+1),"")</f>
        <v/>
      </c>
      <c r="D167" s="41" t="str">
        <f>IFERROR(INDEX(Combined_Data!$D:$D,$O167+1),"")</f>
        <v/>
      </c>
      <c r="E167" s="41" t="str">
        <f>IFERROR(INDEX(Combined_Data!$G:$G,$O167+1),"")</f>
        <v/>
      </c>
      <c r="F167" s="42" t="str">
        <f>IFERROR(INDEX(Combined_Data!$I:$I,$O167+1),"")</f>
        <v/>
      </c>
      <c r="G167" s="41" t="str">
        <f>IFERROR(INDEX(Combined_Data!$K:$K,$O167+1),"")</f>
        <v/>
      </c>
      <c r="H167" s="41" t="str">
        <f>IFERROR(INDEX(Combined_Data!$M:$M,$O167+1),"")</f>
        <v/>
      </c>
      <c r="I167" s="41" t="str">
        <f>IFERROR(INDEX(Combined_Data!$N:$N,$O167+1),"")</f>
        <v/>
      </c>
      <c r="J167" s="43" t="str">
        <f>IFERROR(INDEX(Combined_Data!$S:$S,$O167+1),"")</f>
        <v/>
      </c>
      <c r="K167" s="44" t="str">
        <f>IFERROR(INDEX(Combined_Data!$AF:$AF,$O167+1),"")</f>
        <v/>
      </c>
      <c r="L167" s="41" t="str">
        <f>IFERROR(INDEX(Combined_Data!$AG:$AG,$O167+1),"")</f>
        <v/>
      </c>
      <c r="M167" s="41" t="str">
        <f>IFERROR(INDEX(Combined_Data!$AH:$AH,$O167+1),"")</f>
        <v/>
      </c>
      <c r="O167" t="str">
        <f>IFERROR(_xlfn.AGGREGATE(15,6,(ROW(Combined_Data!$AI$2:$AI$3001)-1)/(Combined_Data!$AI$2:$AI$3001),133),"")</f>
        <v/>
      </c>
    </row>
    <row r="168" spans="1:15" ht="15" customHeight="1" x14ac:dyDescent="0.3">
      <c r="A168" s="41" t="str">
        <f>IFERROR(INDEX(Combined_Data!$C:$C,$O168+1),"")</f>
        <v/>
      </c>
      <c r="B168" s="41" t="str">
        <f>IFERROR(INDEX(Combined_Data!$E:$E,$O168+1),"")</f>
        <v/>
      </c>
      <c r="C168" s="41" t="str">
        <f>IFERROR(INDEX(Combined_Data!$B:$B,$O168+1),"")</f>
        <v/>
      </c>
      <c r="D168" s="41" t="str">
        <f>IFERROR(INDEX(Combined_Data!$D:$D,$O168+1),"")</f>
        <v/>
      </c>
      <c r="E168" s="41" t="str">
        <f>IFERROR(INDEX(Combined_Data!$G:$G,$O168+1),"")</f>
        <v/>
      </c>
      <c r="F168" s="42" t="str">
        <f>IFERROR(INDEX(Combined_Data!$I:$I,$O168+1),"")</f>
        <v/>
      </c>
      <c r="G168" s="41" t="str">
        <f>IFERROR(INDEX(Combined_Data!$K:$K,$O168+1),"")</f>
        <v/>
      </c>
      <c r="H168" s="41" t="str">
        <f>IFERROR(INDEX(Combined_Data!$M:$M,$O168+1),"")</f>
        <v/>
      </c>
      <c r="I168" s="41" t="str">
        <f>IFERROR(INDEX(Combined_Data!$N:$N,$O168+1),"")</f>
        <v/>
      </c>
      <c r="J168" s="43" t="str">
        <f>IFERROR(INDEX(Combined_Data!$S:$S,$O168+1),"")</f>
        <v/>
      </c>
      <c r="K168" s="44" t="str">
        <f>IFERROR(INDEX(Combined_Data!$AF:$AF,$O168+1),"")</f>
        <v/>
      </c>
      <c r="L168" s="41" t="str">
        <f>IFERROR(INDEX(Combined_Data!$AG:$AG,$O168+1),"")</f>
        <v/>
      </c>
      <c r="M168" s="41" t="str">
        <f>IFERROR(INDEX(Combined_Data!$AH:$AH,$O168+1),"")</f>
        <v/>
      </c>
      <c r="O168" t="str">
        <f>IFERROR(_xlfn.AGGREGATE(15,6,(ROW(Combined_Data!$AI$2:$AI$3001)-1)/(Combined_Data!$AI$2:$AI$3001),134),"")</f>
        <v/>
      </c>
    </row>
    <row r="169" spans="1:15" ht="15" customHeight="1" x14ac:dyDescent="0.3">
      <c r="A169" s="41" t="str">
        <f>IFERROR(INDEX(Combined_Data!$C:$C,$O169+1),"")</f>
        <v/>
      </c>
      <c r="B169" s="41" t="str">
        <f>IFERROR(INDEX(Combined_Data!$E:$E,$O169+1),"")</f>
        <v/>
      </c>
      <c r="C169" s="41" t="str">
        <f>IFERROR(INDEX(Combined_Data!$B:$B,$O169+1),"")</f>
        <v/>
      </c>
      <c r="D169" s="41" t="str">
        <f>IFERROR(INDEX(Combined_Data!$D:$D,$O169+1),"")</f>
        <v/>
      </c>
      <c r="E169" s="41" t="str">
        <f>IFERROR(INDEX(Combined_Data!$G:$G,$O169+1),"")</f>
        <v/>
      </c>
      <c r="F169" s="42" t="str">
        <f>IFERROR(INDEX(Combined_Data!$I:$I,$O169+1),"")</f>
        <v/>
      </c>
      <c r="G169" s="41" t="str">
        <f>IFERROR(INDEX(Combined_Data!$K:$K,$O169+1),"")</f>
        <v/>
      </c>
      <c r="H169" s="41" t="str">
        <f>IFERROR(INDEX(Combined_Data!$M:$M,$O169+1),"")</f>
        <v/>
      </c>
      <c r="I169" s="41" t="str">
        <f>IFERROR(INDEX(Combined_Data!$N:$N,$O169+1),"")</f>
        <v/>
      </c>
      <c r="J169" s="43" t="str">
        <f>IFERROR(INDEX(Combined_Data!$S:$S,$O169+1),"")</f>
        <v/>
      </c>
      <c r="K169" s="44" t="str">
        <f>IFERROR(INDEX(Combined_Data!$AF:$AF,$O169+1),"")</f>
        <v/>
      </c>
      <c r="L169" s="41" t="str">
        <f>IFERROR(INDEX(Combined_Data!$AG:$AG,$O169+1),"")</f>
        <v/>
      </c>
      <c r="M169" s="41" t="str">
        <f>IFERROR(INDEX(Combined_Data!$AH:$AH,$O169+1),"")</f>
        <v/>
      </c>
      <c r="O169" t="str">
        <f>IFERROR(_xlfn.AGGREGATE(15,6,(ROW(Combined_Data!$AI$2:$AI$3001)-1)/(Combined_Data!$AI$2:$AI$3001),135),"")</f>
        <v/>
      </c>
    </row>
    <row r="170" spans="1:15" ht="15" customHeight="1" x14ac:dyDescent="0.3">
      <c r="A170" s="41" t="str">
        <f>IFERROR(INDEX(Combined_Data!$C:$C,$O170+1),"")</f>
        <v/>
      </c>
      <c r="B170" s="41" t="str">
        <f>IFERROR(INDEX(Combined_Data!$E:$E,$O170+1),"")</f>
        <v/>
      </c>
      <c r="C170" s="41" t="str">
        <f>IFERROR(INDEX(Combined_Data!$B:$B,$O170+1),"")</f>
        <v/>
      </c>
      <c r="D170" s="41" t="str">
        <f>IFERROR(INDEX(Combined_Data!$D:$D,$O170+1),"")</f>
        <v/>
      </c>
      <c r="E170" s="41" t="str">
        <f>IFERROR(INDEX(Combined_Data!$G:$G,$O170+1),"")</f>
        <v/>
      </c>
      <c r="F170" s="42" t="str">
        <f>IFERROR(INDEX(Combined_Data!$I:$I,$O170+1),"")</f>
        <v/>
      </c>
      <c r="G170" s="41" t="str">
        <f>IFERROR(INDEX(Combined_Data!$K:$K,$O170+1),"")</f>
        <v/>
      </c>
      <c r="H170" s="41" t="str">
        <f>IFERROR(INDEX(Combined_Data!$M:$M,$O170+1),"")</f>
        <v/>
      </c>
      <c r="I170" s="41" t="str">
        <f>IFERROR(INDEX(Combined_Data!$N:$N,$O170+1),"")</f>
        <v/>
      </c>
      <c r="J170" s="43" t="str">
        <f>IFERROR(INDEX(Combined_Data!$S:$S,$O170+1),"")</f>
        <v/>
      </c>
      <c r="K170" s="44" t="str">
        <f>IFERROR(INDEX(Combined_Data!$AF:$AF,$O170+1),"")</f>
        <v/>
      </c>
      <c r="L170" s="41" t="str">
        <f>IFERROR(INDEX(Combined_Data!$AG:$AG,$O170+1),"")</f>
        <v/>
      </c>
      <c r="M170" s="41" t="str">
        <f>IFERROR(INDEX(Combined_Data!$AH:$AH,$O170+1),"")</f>
        <v/>
      </c>
      <c r="O170" t="str">
        <f>IFERROR(_xlfn.AGGREGATE(15,6,(ROW(Combined_Data!$AI$2:$AI$3001)-1)/(Combined_Data!$AI$2:$AI$3001),136),"")</f>
        <v/>
      </c>
    </row>
    <row r="171" spans="1:15" ht="15" customHeight="1" x14ac:dyDescent="0.3">
      <c r="A171" s="41" t="str">
        <f>IFERROR(INDEX(Combined_Data!$C:$C,$O171+1),"")</f>
        <v/>
      </c>
      <c r="B171" s="41" t="str">
        <f>IFERROR(INDEX(Combined_Data!$E:$E,$O171+1),"")</f>
        <v/>
      </c>
      <c r="C171" s="41" t="str">
        <f>IFERROR(INDEX(Combined_Data!$B:$B,$O171+1),"")</f>
        <v/>
      </c>
      <c r="D171" s="41" t="str">
        <f>IFERROR(INDEX(Combined_Data!$D:$D,$O171+1),"")</f>
        <v/>
      </c>
      <c r="E171" s="41" t="str">
        <f>IFERROR(INDEX(Combined_Data!$G:$G,$O171+1),"")</f>
        <v/>
      </c>
      <c r="F171" s="42" t="str">
        <f>IFERROR(INDEX(Combined_Data!$I:$I,$O171+1),"")</f>
        <v/>
      </c>
      <c r="G171" s="41" t="str">
        <f>IFERROR(INDEX(Combined_Data!$K:$K,$O171+1),"")</f>
        <v/>
      </c>
      <c r="H171" s="41" t="str">
        <f>IFERROR(INDEX(Combined_Data!$M:$M,$O171+1),"")</f>
        <v/>
      </c>
      <c r="I171" s="41" t="str">
        <f>IFERROR(INDEX(Combined_Data!$N:$N,$O171+1),"")</f>
        <v/>
      </c>
      <c r="J171" s="43" t="str">
        <f>IFERROR(INDEX(Combined_Data!$S:$S,$O171+1),"")</f>
        <v/>
      </c>
      <c r="K171" s="44" t="str">
        <f>IFERROR(INDEX(Combined_Data!$AF:$AF,$O171+1),"")</f>
        <v/>
      </c>
      <c r="L171" s="41" t="str">
        <f>IFERROR(INDEX(Combined_Data!$AG:$AG,$O171+1),"")</f>
        <v/>
      </c>
      <c r="M171" s="41" t="str">
        <f>IFERROR(INDEX(Combined_Data!$AH:$AH,$O171+1),"")</f>
        <v/>
      </c>
      <c r="O171" t="str">
        <f>IFERROR(_xlfn.AGGREGATE(15,6,(ROW(Combined_Data!$AI$2:$AI$3001)-1)/(Combined_Data!$AI$2:$AI$3001),137),"")</f>
        <v/>
      </c>
    </row>
    <row r="172" spans="1:15" ht="15" customHeight="1" x14ac:dyDescent="0.3">
      <c r="A172" s="41" t="str">
        <f>IFERROR(INDEX(Combined_Data!$C:$C,$O172+1),"")</f>
        <v/>
      </c>
      <c r="B172" s="41" t="str">
        <f>IFERROR(INDEX(Combined_Data!$E:$E,$O172+1),"")</f>
        <v/>
      </c>
      <c r="C172" s="41" t="str">
        <f>IFERROR(INDEX(Combined_Data!$B:$B,$O172+1),"")</f>
        <v/>
      </c>
      <c r="D172" s="41" t="str">
        <f>IFERROR(INDEX(Combined_Data!$D:$D,$O172+1),"")</f>
        <v/>
      </c>
      <c r="E172" s="41" t="str">
        <f>IFERROR(INDEX(Combined_Data!$G:$G,$O172+1),"")</f>
        <v/>
      </c>
      <c r="F172" s="42" t="str">
        <f>IFERROR(INDEX(Combined_Data!$I:$I,$O172+1),"")</f>
        <v/>
      </c>
      <c r="G172" s="41" t="str">
        <f>IFERROR(INDEX(Combined_Data!$K:$K,$O172+1),"")</f>
        <v/>
      </c>
      <c r="H172" s="41" t="str">
        <f>IFERROR(INDEX(Combined_Data!$M:$M,$O172+1),"")</f>
        <v/>
      </c>
      <c r="I172" s="41" t="str">
        <f>IFERROR(INDEX(Combined_Data!$N:$N,$O172+1),"")</f>
        <v/>
      </c>
      <c r="J172" s="43" t="str">
        <f>IFERROR(INDEX(Combined_Data!$S:$S,$O172+1),"")</f>
        <v/>
      </c>
      <c r="K172" s="44" t="str">
        <f>IFERROR(INDEX(Combined_Data!$AF:$AF,$O172+1),"")</f>
        <v/>
      </c>
      <c r="L172" s="41" t="str">
        <f>IFERROR(INDEX(Combined_Data!$AG:$AG,$O172+1),"")</f>
        <v/>
      </c>
      <c r="M172" s="41" t="str">
        <f>IFERROR(INDEX(Combined_Data!$AH:$AH,$O172+1),"")</f>
        <v/>
      </c>
      <c r="O172" t="str">
        <f>IFERROR(_xlfn.AGGREGATE(15,6,(ROW(Combined_Data!$AI$2:$AI$3001)-1)/(Combined_Data!$AI$2:$AI$3001),138),"")</f>
        <v/>
      </c>
    </row>
    <row r="173" spans="1:15" ht="15" customHeight="1" x14ac:dyDescent="0.3">
      <c r="A173" s="41" t="str">
        <f>IFERROR(INDEX(Combined_Data!$C:$C,$O173+1),"")</f>
        <v/>
      </c>
      <c r="B173" s="41" t="str">
        <f>IFERROR(INDEX(Combined_Data!$E:$E,$O173+1),"")</f>
        <v/>
      </c>
      <c r="C173" s="41" t="str">
        <f>IFERROR(INDEX(Combined_Data!$B:$B,$O173+1),"")</f>
        <v/>
      </c>
      <c r="D173" s="41" t="str">
        <f>IFERROR(INDEX(Combined_Data!$D:$D,$O173+1),"")</f>
        <v/>
      </c>
      <c r="E173" s="41" t="str">
        <f>IFERROR(INDEX(Combined_Data!$G:$G,$O173+1),"")</f>
        <v/>
      </c>
      <c r="F173" s="42" t="str">
        <f>IFERROR(INDEX(Combined_Data!$I:$I,$O173+1),"")</f>
        <v/>
      </c>
      <c r="G173" s="41" t="str">
        <f>IFERROR(INDEX(Combined_Data!$K:$K,$O173+1),"")</f>
        <v/>
      </c>
      <c r="H173" s="41" t="str">
        <f>IFERROR(INDEX(Combined_Data!$M:$M,$O173+1),"")</f>
        <v/>
      </c>
      <c r="I173" s="41" t="str">
        <f>IFERROR(INDEX(Combined_Data!$N:$N,$O173+1),"")</f>
        <v/>
      </c>
      <c r="J173" s="43" t="str">
        <f>IFERROR(INDEX(Combined_Data!$S:$S,$O173+1),"")</f>
        <v/>
      </c>
      <c r="K173" s="44" t="str">
        <f>IFERROR(INDEX(Combined_Data!$AF:$AF,$O173+1),"")</f>
        <v/>
      </c>
      <c r="L173" s="41" t="str">
        <f>IFERROR(INDEX(Combined_Data!$AG:$AG,$O173+1),"")</f>
        <v/>
      </c>
      <c r="M173" s="41" t="str">
        <f>IFERROR(INDEX(Combined_Data!$AH:$AH,$O173+1),"")</f>
        <v/>
      </c>
      <c r="O173" t="str">
        <f>IFERROR(_xlfn.AGGREGATE(15,6,(ROW(Combined_Data!$AI$2:$AI$3001)-1)/(Combined_Data!$AI$2:$AI$3001),139),"")</f>
        <v/>
      </c>
    </row>
    <row r="174" spans="1:15" ht="15" customHeight="1" x14ac:dyDescent="0.3">
      <c r="A174" s="41" t="str">
        <f>IFERROR(INDEX(Combined_Data!$C:$C,$O174+1),"")</f>
        <v/>
      </c>
      <c r="B174" s="41" t="str">
        <f>IFERROR(INDEX(Combined_Data!$E:$E,$O174+1),"")</f>
        <v/>
      </c>
      <c r="C174" s="41" t="str">
        <f>IFERROR(INDEX(Combined_Data!$B:$B,$O174+1),"")</f>
        <v/>
      </c>
      <c r="D174" s="41" t="str">
        <f>IFERROR(INDEX(Combined_Data!$D:$D,$O174+1),"")</f>
        <v/>
      </c>
      <c r="E174" s="41" t="str">
        <f>IFERROR(INDEX(Combined_Data!$G:$G,$O174+1),"")</f>
        <v/>
      </c>
      <c r="F174" s="42" t="str">
        <f>IFERROR(INDEX(Combined_Data!$I:$I,$O174+1),"")</f>
        <v/>
      </c>
      <c r="G174" s="41" t="str">
        <f>IFERROR(INDEX(Combined_Data!$K:$K,$O174+1),"")</f>
        <v/>
      </c>
      <c r="H174" s="41" t="str">
        <f>IFERROR(INDEX(Combined_Data!$M:$M,$O174+1),"")</f>
        <v/>
      </c>
      <c r="I174" s="41" t="str">
        <f>IFERROR(INDEX(Combined_Data!$N:$N,$O174+1),"")</f>
        <v/>
      </c>
      <c r="J174" s="43" t="str">
        <f>IFERROR(INDEX(Combined_Data!$S:$S,$O174+1),"")</f>
        <v/>
      </c>
      <c r="K174" s="44" t="str">
        <f>IFERROR(INDEX(Combined_Data!$AF:$AF,$O174+1),"")</f>
        <v/>
      </c>
      <c r="L174" s="41" t="str">
        <f>IFERROR(INDEX(Combined_Data!$AG:$AG,$O174+1),"")</f>
        <v/>
      </c>
      <c r="M174" s="41" t="str">
        <f>IFERROR(INDEX(Combined_Data!$AH:$AH,$O174+1),"")</f>
        <v/>
      </c>
      <c r="O174" t="str">
        <f>IFERROR(_xlfn.AGGREGATE(15,6,(ROW(Combined_Data!$AI$2:$AI$3001)-1)/(Combined_Data!$AI$2:$AI$3001),140),"")</f>
        <v/>
      </c>
    </row>
    <row r="175" spans="1:15" ht="15" customHeight="1" x14ac:dyDescent="0.3">
      <c r="A175" s="41" t="str">
        <f>IFERROR(INDEX(Combined_Data!$C:$C,$O175+1),"")</f>
        <v/>
      </c>
      <c r="B175" s="41" t="str">
        <f>IFERROR(INDEX(Combined_Data!$E:$E,$O175+1),"")</f>
        <v/>
      </c>
      <c r="C175" s="41" t="str">
        <f>IFERROR(INDEX(Combined_Data!$B:$B,$O175+1),"")</f>
        <v/>
      </c>
      <c r="D175" s="41" t="str">
        <f>IFERROR(INDEX(Combined_Data!$D:$D,$O175+1),"")</f>
        <v/>
      </c>
      <c r="E175" s="41" t="str">
        <f>IFERROR(INDEX(Combined_Data!$G:$G,$O175+1),"")</f>
        <v/>
      </c>
      <c r="F175" s="42" t="str">
        <f>IFERROR(INDEX(Combined_Data!$I:$I,$O175+1),"")</f>
        <v/>
      </c>
      <c r="G175" s="41" t="str">
        <f>IFERROR(INDEX(Combined_Data!$K:$K,$O175+1),"")</f>
        <v/>
      </c>
      <c r="H175" s="41" t="str">
        <f>IFERROR(INDEX(Combined_Data!$M:$M,$O175+1),"")</f>
        <v/>
      </c>
      <c r="I175" s="41" t="str">
        <f>IFERROR(INDEX(Combined_Data!$N:$N,$O175+1),"")</f>
        <v/>
      </c>
      <c r="J175" s="43" t="str">
        <f>IFERROR(INDEX(Combined_Data!$S:$S,$O175+1),"")</f>
        <v/>
      </c>
      <c r="K175" s="44" t="str">
        <f>IFERROR(INDEX(Combined_Data!$AF:$AF,$O175+1),"")</f>
        <v/>
      </c>
      <c r="L175" s="41" t="str">
        <f>IFERROR(INDEX(Combined_Data!$AG:$AG,$O175+1),"")</f>
        <v/>
      </c>
      <c r="M175" s="41" t="str">
        <f>IFERROR(INDEX(Combined_Data!$AH:$AH,$O175+1),"")</f>
        <v/>
      </c>
      <c r="O175" t="str">
        <f>IFERROR(_xlfn.AGGREGATE(15,6,(ROW(Combined_Data!$AI$2:$AI$3001)-1)/(Combined_Data!$AI$2:$AI$3001),141),"")</f>
        <v/>
      </c>
    </row>
    <row r="176" spans="1:15" ht="15" customHeight="1" x14ac:dyDescent="0.3">
      <c r="A176" s="41" t="str">
        <f>IFERROR(INDEX(Combined_Data!$C:$C,$O176+1),"")</f>
        <v/>
      </c>
      <c r="B176" s="41" t="str">
        <f>IFERROR(INDEX(Combined_Data!$E:$E,$O176+1),"")</f>
        <v/>
      </c>
      <c r="C176" s="41" t="str">
        <f>IFERROR(INDEX(Combined_Data!$B:$B,$O176+1),"")</f>
        <v/>
      </c>
      <c r="D176" s="41" t="str">
        <f>IFERROR(INDEX(Combined_Data!$D:$D,$O176+1),"")</f>
        <v/>
      </c>
      <c r="E176" s="41" t="str">
        <f>IFERROR(INDEX(Combined_Data!$G:$G,$O176+1),"")</f>
        <v/>
      </c>
      <c r="F176" s="42" t="str">
        <f>IFERROR(INDEX(Combined_Data!$I:$I,$O176+1),"")</f>
        <v/>
      </c>
      <c r="G176" s="41" t="str">
        <f>IFERROR(INDEX(Combined_Data!$K:$K,$O176+1),"")</f>
        <v/>
      </c>
      <c r="H176" s="41" t="str">
        <f>IFERROR(INDEX(Combined_Data!$M:$M,$O176+1),"")</f>
        <v/>
      </c>
      <c r="I176" s="41" t="str">
        <f>IFERROR(INDEX(Combined_Data!$N:$N,$O176+1),"")</f>
        <v/>
      </c>
      <c r="J176" s="43" t="str">
        <f>IFERROR(INDEX(Combined_Data!$S:$S,$O176+1),"")</f>
        <v/>
      </c>
      <c r="K176" s="44" t="str">
        <f>IFERROR(INDEX(Combined_Data!$AF:$AF,$O176+1),"")</f>
        <v/>
      </c>
      <c r="L176" s="41" t="str">
        <f>IFERROR(INDEX(Combined_Data!$AG:$AG,$O176+1),"")</f>
        <v/>
      </c>
      <c r="M176" s="41" t="str">
        <f>IFERROR(INDEX(Combined_Data!$AH:$AH,$O176+1),"")</f>
        <v/>
      </c>
      <c r="O176" t="str">
        <f>IFERROR(_xlfn.AGGREGATE(15,6,(ROW(Combined_Data!$AI$2:$AI$3001)-1)/(Combined_Data!$AI$2:$AI$3001),142),"")</f>
        <v/>
      </c>
    </row>
    <row r="177" spans="1:15" ht="15" customHeight="1" x14ac:dyDescent="0.3">
      <c r="A177" s="41" t="str">
        <f>IFERROR(INDEX(Combined_Data!$C:$C,$O177+1),"")</f>
        <v/>
      </c>
      <c r="B177" s="41" t="str">
        <f>IFERROR(INDEX(Combined_Data!$E:$E,$O177+1),"")</f>
        <v/>
      </c>
      <c r="C177" s="41" t="str">
        <f>IFERROR(INDEX(Combined_Data!$B:$B,$O177+1),"")</f>
        <v/>
      </c>
      <c r="D177" s="41" t="str">
        <f>IFERROR(INDEX(Combined_Data!$D:$D,$O177+1),"")</f>
        <v/>
      </c>
      <c r="E177" s="41" t="str">
        <f>IFERROR(INDEX(Combined_Data!$G:$G,$O177+1),"")</f>
        <v/>
      </c>
      <c r="F177" s="42" t="str">
        <f>IFERROR(INDEX(Combined_Data!$I:$I,$O177+1),"")</f>
        <v/>
      </c>
      <c r="G177" s="41" t="str">
        <f>IFERROR(INDEX(Combined_Data!$K:$K,$O177+1),"")</f>
        <v/>
      </c>
      <c r="H177" s="41" t="str">
        <f>IFERROR(INDEX(Combined_Data!$M:$M,$O177+1),"")</f>
        <v/>
      </c>
      <c r="I177" s="41" t="str">
        <f>IFERROR(INDEX(Combined_Data!$N:$N,$O177+1),"")</f>
        <v/>
      </c>
      <c r="J177" s="43" t="str">
        <f>IFERROR(INDEX(Combined_Data!$S:$S,$O177+1),"")</f>
        <v/>
      </c>
      <c r="K177" s="44" t="str">
        <f>IFERROR(INDEX(Combined_Data!$AF:$AF,$O177+1),"")</f>
        <v/>
      </c>
      <c r="L177" s="41" t="str">
        <f>IFERROR(INDEX(Combined_Data!$AG:$AG,$O177+1),"")</f>
        <v/>
      </c>
      <c r="M177" s="41" t="str">
        <f>IFERROR(INDEX(Combined_Data!$AH:$AH,$O177+1),"")</f>
        <v/>
      </c>
      <c r="O177" t="str">
        <f>IFERROR(_xlfn.AGGREGATE(15,6,(ROW(Combined_Data!$AI$2:$AI$3001)-1)/(Combined_Data!$AI$2:$AI$3001),143),"")</f>
        <v/>
      </c>
    </row>
    <row r="178" spans="1:15" ht="15" customHeight="1" x14ac:dyDescent="0.3">
      <c r="A178" s="41" t="str">
        <f>IFERROR(INDEX(Combined_Data!$C:$C,$O178+1),"")</f>
        <v/>
      </c>
      <c r="B178" s="41" t="str">
        <f>IFERROR(INDEX(Combined_Data!$E:$E,$O178+1),"")</f>
        <v/>
      </c>
      <c r="C178" s="41" t="str">
        <f>IFERROR(INDEX(Combined_Data!$B:$B,$O178+1),"")</f>
        <v/>
      </c>
      <c r="D178" s="41" t="str">
        <f>IFERROR(INDEX(Combined_Data!$D:$D,$O178+1),"")</f>
        <v/>
      </c>
      <c r="E178" s="41" t="str">
        <f>IFERROR(INDEX(Combined_Data!$G:$G,$O178+1),"")</f>
        <v/>
      </c>
      <c r="F178" s="42" t="str">
        <f>IFERROR(INDEX(Combined_Data!$I:$I,$O178+1),"")</f>
        <v/>
      </c>
      <c r="G178" s="41" t="str">
        <f>IFERROR(INDEX(Combined_Data!$K:$K,$O178+1),"")</f>
        <v/>
      </c>
      <c r="H178" s="41" t="str">
        <f>IFERROR(INDEX(Combined_Data!$M:$M,$O178+1),"")</f>
        <v/>
      </c>
      <c r="I178" s="41" t="str">
        <f>IFERROR(INDEX(Combined_Data!$N:$N,$O178+1),"")</f>
        <v/>
      </c>
      <c r="J178" s="43" t="str">
        <f>IFERROR(INDEX(Combined_Data!$S:$S,$O178+1),"")</f>
        <v/>
      </c>
      <c r="K178" s="44" t="str">
        <f>IFERROR(INDEX(Combined_Data!$AF:$AF,$O178+1),"")</f>
        <v/>
      </c>
      <c r="L178" s="41" t="str">
        <f>IFERROR(INDEX(Combined_Data!$AG:$AG,$O178+1),"")</f>
        <v/>
      </c>
      <c r="M178" s="41" t="str">
        <f>IFERROR(INDEX(Combined_Data!$AH:$AH,$O178+1),"")</f>
        <v/>
      </c>
      <c r="O178" t="str">
        <f>IFERROR(_xlfn.AGGREGATE(15,6,(ROW(Combined_Data!$AI$2:$AI$3001)-1)/(Combined_Data!$AI$2:$AI$3001),144),"")</f>
        <v/>
      </c>
    </row>
    <row r="179" spans="1:15" ht="15" customHeight="1" x14ac:dyDescent="0.3">
      <c r="A179" s="41" t="str">
        <f>IFERROR(INDEX(Combined_Data!$C:$C,$O179+1),"")</f>
        <v/>
      </c>
      <c r="B179" s="41" t="str">
        <f>IFERROR(INDEX(Combined_Data!$E:$E,$O179+1),"")</f>
        <v/>
      </c>
      <c r="C179" s="41" t="str">
        <f>IFERROR(INDEX(Combined_Data!$B:$B,$O179+1),"")</f>
        <v/>
      </c>
      <c r="D179" s="41" t="str">
        <f>IFERROR(INDEX(Combined_Data!$D:$D,$O179+1),"")</f>
        <v/>
      </c>
      <c r="E179" s="41" t="str">
        <f>IFERROR(INDEX(Combined_Data!$G:$G,$O179+1),"")</f>
        <v/>
      </c>
      <c r="F179" s="42" t="str">
        <f>IFERROR(INDEX(Combined_Data!$I:$I,$O179+1),"")</f>
        <v/>
      </c>
      <c r="G179" s="41" t="str">
        <f>IFERROR(INDEX(Combined_Data!$K:$K,$O179+1),"")</f>
        <v/>
      </c>
      <c r="H179" s="41" t="str">
        <f>IFERROR(INDEX(Combined_Data!$M:$M,$O179+1),"")</f>
        <v/>
      </c>
      <c r="I179" s="41" t="str">
        <f>IFERROR(INDEX(Combined_Data!$N:$N,$O179+1),"")</f>
        <v/>
      </c>
      <c r="J179" s="43" t="str">
        <f>IFERROR(INDEX(Combined_Data!$S:$S,$O179+1),"")</f>
        <v/>
      </c>
      <c r="K179" s="44" t="str">
        <f>IFERROR(INDEX(Combined_Data!$AF:$AF,$O179+1),"")</f>
        <v/>
      </c>
      <c r="L179" s="41" t="str">
        <f>IFERROR(INDEX(Combined_Data!$AG:$AG,$O179+1),"")</f>
        <v/>
      </c>
      <c r="M179" s="41" t="str">
        <f>IFERROR(INDEX(Combined_Data!$AH:$AH,$O179+1),"")</f>
        <v/>
      </c>
      <c r="O179" t="str">
        <f>IFERROR(_xlfn.AGGREGATE(15,6,(ROW(Combined_Data!$AI$2:$AI$3001)-1)/(Combined_Data!$AI$2:$AI$3001),145),"")</f>
        <v/>
      </c>
    </row>
    <row r="180" spans="1:15" ht="15" customHeight="1" x14ac:dyDescent="0.3">
      <c r="A180" s="41" t="str">
        <f>IFERROR(INDEX(Combined_Data!$C:$C,$O180+1),"")</f>
        <v/>
      </c>
      <c r="B180" s="41" t="str">
        <f>IFERROR(INDEX(Combined_Data!$E:$E,$O180+1),"")</f>
        <v/>
      </c>
      <c r="C180" s="41" t="str">
        <f>IFERROR(INDEX(Combined_Data!$B:$B,$O180+1),"")</f>
        <v/>
      </c>
      <c r="D180" s="41" t="str">
        <f>IFERROR(INDEX(Combined_Data!$D:$D,$O180+1),"")</f>
        <v/>
      </c>
      <c r="E180" s="41" t="str">
        <f>IFERROR(INDEX(Combined_Data!$G:$G,$O180+1),"")</f>
        <v/>
      </c>
      <c r="F180" s="42" t="str">
        <f>IFERROR(INDEX(Combined_Data!$I:$I,$O180+1),"")</f>
        <v/>
      </c>
      <c r="G180" s="41" t="str">
        <f>IFERROR(INDEX(Combined_Data!$K:$K,$O180+1),"")</f>
        <v/>
      </c>
      <c r="H180" s="41" t="str">
        <f>IFERROR(INDEX(Combined_Data!$M:$M,$O180+1),"")</f>
        <v/>
      </c>
      <c r="I180" s="41" t="str">
        <f>IFERROR(INDEX(Combined_Data!$N:$N,$O180+1),"")</f>
        <v/>
      </c>
      <c r="J180" s="43" t="str">
        <f>IFERROR(INDEX(Combined_Data!$S:$S,$O180+1),"")</f>
        <v/>
      </c>
      <c r="K180" s="44" t="str">
        <f>IFERROR(INDEX(Combined_Data!$AF:$AF,$O180+1),"")</f>
        <v/>
      </c>
      <c r="L180" s="41" t="str">
        <f>IFERROR(INDEX(Combined_Data!$AG:$AG,$O180+1),"")</f>
        <v/>
      </c>
      <c r="M180" s="41" t="str">
        <f>IFERROR(INDEX(Combined_Data!$AH:$AH,$O180+1),"")</f>
        <v/>
      </c>
      <c r="O180" t="str">
        <f>IFERROR(_xlfn.AGGREGATE(15,6,(ROW(Combined_Data!$AI$2:$AI$3001)-1)/(Combined_Data!$AI$2:$AI$3001),146),"")</f>
        <v/>
      </c>
    </row>
    <row r="181" spans="1:15" ht="15" customHeight="1" x14ac:dyDescent="0.3">
      <c r="A181" s="41" t="str">
        <f>IFERROR(INDEX(Combined_Data!$C:$C,$O181+1),"")</f>
        <v/>
      </c>
      <c r="B181" s="41" t="str">
        <f>IFERROR(INDEX(Combined_Data!$E:$E,$O181+1),"")</f>
        <v/>
      </c>
      <c r="C181" s="41" t="str">
        <f>IFERROR(INDEX(Combined_Data!$B:$B,$O181+1),"")</f>
        <v/>
      </c>
      <c r="D181" s="41" t="str">
        <f>IFERROR(INDEX(Combined_Data!$D:$D,$O181+1),"")</f>
        <v/>
      </c>
      <c r="E181" s="41" t="str">
        <f>IFERROR(INDEX(Combined_Data!$G:$G,$O181+1),"")</f>
        <v/>
      </c>
      <c r="F181" s="42" t="str">
        <f>IFERROR(INDEX(Combined_Data!$I:$I,$O181+1),"")</f>
        <v/>
      </c>
      <c r="G181" s="41" t="str">
        <f>IFERROR(INDEX(Combined_Data!$K:$K,$O181+1),"")</f>
        <v/>
      </c>
      <c r="H181" s="41" t="str">
        <f>IFERROR(INDEX(Combined_Data!$M:$M,$O181+1),"")</f>
        <v/>
      </c>
      <c r="I181" s="41" t="str">
        <f>IFERROR(INDEX(Combined_Data!$N:$N,$O181+1),"")</f>
        <v/>
      </c>
      <c r="J181" s="43" t="str">
        <f>IFERROR(INDEX(Combined_Data!$S:$S,$O181+1),"")</f>
        <v/>
      </c>
      <c r="K181" s="44" t="str">
        <f>IFERROR(INDEX(Combined_Data!$AF:$AF,$O181+1),"")</f>
        <v/>
      </c>
      <c r="L181" s="41" t="str">
        <f>IFERROR(INDEX(Combined_Data!$AG:$AG,$O181+1),"")</f>
        <v/>
      </c>
      <c r="M181" s="41" t="str">
        <f>IFERROR(INDEX(Combined_Data!$AH:$AH,$O181+1),"")</f>
        <v/>
      </c>
      <c r="O181" t="str">
        <f>IFERROR(_xlfn.AGGREGATE(15,6,(ROW(Combined_Data!$AI$2:$AI$3001)-1)/(Combined_Data!$AI$2:$AI$3001),147),"")</f>
        <v/>
      </c>
    </row>
    <row r="182" spans="1:15" ht="15" customHeight="1" x14ac:dyDescent="0.3">
      <c r="A182" s="41" t="str">
        <f>IFERROR(INDEX(Combined_Data!$C:$C,$O182+1),"")</f>
        <v/>
      </c>
      <c r="B182" s="41" t="str">
        <f>IFERROR(INDEX(Combined_Data!$E:$E,$O182+1),"")</f>
        <v/>
      </c>
      <c r="C182" s="41" t="str">
        <f>IFERROR(INDEX(Combined_Data!$B:$B,$O182+1),"")</f>
        <v/>
      </c>
      <c r="D182" s="41" t="str">
        <f>IFERROR(INDEX(Combined_Data!$D:$D,$O182+1),"")</f>
        <v/>
      </c>
      <c r="E182" s="41" t="str">
        <f>IFERROR(INDEX(Combined_Data!$G:$G,$O182+1),"")</f>
        <v/>
      </c>
      <c r="F182" s="42" t="str">
        <f>IFERROR(INDEX(Combined_Data!$I:$I,$O182+1),"")</f>
        <v/>
      </c>
      <c r="G182" s="41" t="str">
        <f>IFERROR(INDEX(Combined_Data!$K:$K,$O182+1),"")</f>
        <v/>
      </c>
      <c r="H182" s="41" t="str">
        <f>IFERROR(INDEX(Combined_Data!$M:$M,$O182+1),"")</f>
        <v/>
      </c>
      <c r="I182" s="41" t="str">
        <f>IFERROR(INDEX(Combined_Data!$N:$N,$O182+1),"")</f>
        <v/>
      </c>
      <c r="J182" s="43" t="str">
        <f>IFERROR(INDEX(Combined_Data!$S:$S,$O182+1),"")</f>
        <v/>
      </c>
      <c r="K182" s="44" t="str">
        <f>IFERROR(INDEX(Combined_Data!$AF:$AF,$O182+1),"")</f>
        <v/>
      </c>
      <c r="L182" s="41" t="str">
        <f>IFERROR(INDEX(Combined_Data!$AG:$AG,$O182+1),"")</f>
        <v/>
      </c>
      <c r="M182" s="41" t="str">
        <f>IFERROR(INDEX(Combined_Data!$AH:$AH,$O182+1),"")</f>
        <v/>
      </c>
      <c r="O182" t="str">
        <f>IFERROR(_xlfn.AGGREGATE(15,6,(ROW(Combined_Data!$AI$2:$AI$3001)-1)/(Combined_Data!$AI$2:$AI$3001),148),"")</f>
        <v/>
      </c>
    </row>
    <row r="183" spans="1:15" ht="15" customHeight="1" x14ac:dyDescent="0.3">
      <c r="A183" s="41" t="str">
        <f>IFERROR(INDEX(Combined_Data!$C:$C,$O183+1),"")</f>
        <v/>
      </c>
      <c r="B183" s="41" t="str">
        <f>IFERROR(INDEX(Combined_Data!$E:$E,$O183+1),"")</f>
        <v/>
      </c>
      <c r="C183" s="41" t="str">
        <f>IFERROR(INDEX(Combined_Data!$B:$B,$O183+1),"")</f>
        <v/>
      </c>
      <c r="D183" s="41" t="str">
        <f>IFERROR(INDEX(Combined_Data!$D:$D,$O183+1),"")</f>
        <v/>
      </c>
      <c r="E183" s="41" t="str">
        <f>IFERROR(INDEX(Combined_Data!$G:$G,$O183+1),"")</f>
        <v/>
      </c>
      <c r="F183" s="42" t="str">
        <f>IFERROR(INDEX(Combined_Data!$I:$I,$O183+1),"")</f>
        <v/>
      </c>
      <c r="G183" s="41" t="str">
        <f>IFERROR(INDEX(Combined_Data!$K:$K,$O183+1),"")</f>
        <v/>
      </c>
      <c r="H183" s="41" t="str">
        <f>IFERROR(INDEX(Combined_Data!$M:$M,$O183+1),"")</f>
        <v/>
      </c>
      <c r="I183" s="41" t="str">
        <f>IFERROR(INDEX(Combined_Data!$N:$N,$O183+1),"")</f>
        <v/>
      </c>
      <c r="J183" s="43" t="str">
        <f>IFERROR(INDEX(Combined_Data!$S:$S,$O183+1),"")</f>
        <v/>
      </c>
      <c r="K183" s="44" t="str">
        <f>IFERROR(INDEX(Combined_Data!$AF:$AF,$O183+1),"")</f>
        <v/>
      </c>
      <c r="L183" s="41" t="str">
        <f>IFERROR(INDEX(Combined_Data!$AG:$AG,$O183+1),"")</f>
        <v/>
      </c>
      <c r="M183" s="41" t="str">
        <f>IFERROR(INDEX(Combined_Data!$AH:$AH,$O183+1),"")</f>
        <v/>
      </c>
      <c r="O183" t="str">
        <f>IFERROR(_xlfn.AGGREGATE(15,6,(ROW(Combined_Data!$AI$2:$AI$3001)-1)/(Combined_Data!$AI$2:$AI$3001),149),"")</f>
        <v/>
      </c>
    </row>
    <row r="184" spans="1:15" ht="15" customHeight="1" x14ac:dyDescent="0.3">
      <c r="A184" s="41" t="str">
        <f>IFERROR(INDEX(Combined_Data!$C:$C,$O184+1),"")</f>
        <v/>
      </c>
      <c r="B184" s="41" t="str">
        <f>IFERROR(INDEX(Combined_Data!$E:$E,$O184+1),"")</f>
        <v/>
      </c>
      <c r="C184" s="41" t="str">
        <f>IFERROR(INDEX(Combined_Data!$B:$B,$O184+1),"")</f>
        <v/>
      </c>
      <c r="D184" s="41" t="str">
        <f>IFERROR(INDEX(Combined_Data!$D:$D,$O184+1),"")</f>
        <v/>
      </c>
      <c r="E184" s="41" t="str">
        <f>IFERROR(INDEX(Combined_Data!$G:$G,$O184+1),"")</f>
        <v/>
      </c>
      <c r="F184" s="42" t="str">
        <f>IFERROR(INDEX(Combined_Data!$I:$I,$O184+1),"")</f>
        <v/>
      </c>
      <c r="G184" s="41" t="str">
        <f>IFERROR(INDEX(Combined_Data!$K:$K,$O184+1),"")</f>
        <v/>
      </c>
      <c r="H184" s="41" t="str">
        <f>IFERROR(INDEX(Combined_Data!$M:$M,$O184+1),"")</f>
        <v/>
      </c>
      <c r="I184" s="41" t="str">
        <f>IFERROR(INDEX(Combined_Data!$N:$N,$O184+1),"")</f>
        <v/>
      </c>
      <c r="J184" s="43" t="str">
        <f>IFERROR(INDEX(Combined_Data!$S:$S,$O184+1),"")</f>
        <v/>
      </c>
      <c r="K184" s="44" t="str">
        <f>IFERROR(INDEX(Combined_Data!$AF:$AF,$O184+1),"")</f>
        <v/>
      </c>
      <c r="L184" s="41" t="str">
        <f>IFERROR(INDEX(Combined_Data!$AG:$AG,$O184+1),"")</f>
        <v/>
      </c>
      <c r="M184" s="41" t="str">
        <f>IFERROR(INDEX(Combined_Data!$AH:$AH,$O184+1),"")</f>
        <v/>
      </c>
      <c r="O184" t="str">
        <f>IFERROR(_xlfn.AGGREGATE(15,6,(ROW(Combined_Data!$AI$2:$AI$3001)-1)/(Combined_Data!$AI$2:$AI$3001),150),"")</f>
        <v/>
      </c>
    </row>
    <row r="185" spans="1:15" ht="15" customHeight="1" x14ac:dyDescent="0.3">
      <c r="A185" s="41" t="str">
        <f>IFERROR(INDEX(Combined_Data!$C:$C,$O185+1),"")</f>
        <v/>
      </c>
      <c r="B185" s="41" t="str">
        <f>IFERROR(INDEX(Combined_Data!$E:$E,$O185+1),"")</f>
        <v/>
      </c>
      <c r="C185" s="41" t="str">
        <f>IFERROR(INDEX(Combined_Data!$B:$B,$O185+1),"")</f>
        <v/>
      </c>
      <c r="D185" s="41" t="str">
        <f>IFERROR(INDEX(Combined_Data!$D:$D,$O185+1),"")</f>
        <v/>
      </c>
      <c r="E185" s="41" t="str">
        <f>IFERROR(INDEX(Combined_Data!$G:$G,$O185+1),"")</f>
        <v/>
      </c>
      <c r="F185" s="42" t="str">
        <f>IFERROR(INDEX(Combined_Data!$I:$I,$O185+1),"")</f>
        <v/>
      </c>
      <c r="G185" s="41" t="str">
        <f>IFERROR(INDEX(Combined_Data!$K:$K,$O185+1),"")</f>
        <v/>
      </c>
      <c r="H185" s="41" t="str">
        <f>IFERROR(INDEX(Combined_Data!$M:$M,$O185+1),"")</f>
        <v/>
      </c>
      <c r="I185" s="41" t="str">
        <f>IFERROR(INDEX(Combined_Data!$N:$N,$O185+1),"")</f>
        <v/>
      </c>
      <c r="J185" s="43" t="str">
        <f>IFERROR(INDEX(Combined_Data!$S:$S,$O185+1),"")</f>
        <v/>
      </c>
      <c r="K185" s="44" t="str">
        <f>IFERROR(INDEX(Combined_Data!$AF:$AF,$O185+1),"")</f>
        <v/>
      </c>
      <c r="L185" s="41" t="str">
        <f>IFERROR(INDEX(Combined_Data!$AG:$AG,$O185+1),"")</f>
        <v/>
      </c>
      <c r="M185" s="41" t="str">
        <f>IFERROR(INDEX(Combined_Data!$AH:$AH,$O185+1),"")</f>
        <v/>
      </c>
      <c r="O185" t="str">
        <f>IFERROR(_xlfn.AGGREGATE(15,6,(ROW(Combined_Data!$AI$2:$AI$3001)-1)/(Combined_Data!$AI$2:$AI$3001),151),"")</f>
        <v/>
      </c>
    </row>
    <row r="186" spans="1:15" ht="15" customHeight="1" x14ac:dyDescent="0.3">
      <c r="A186" s="41" t="str">
        <f>IFERROR(INDEX(Combined_Data!$C:$C,$O186+1),"")</f>
        <v/>
      </c>
      <c r="B186" s="41" t="str">
        <f>IFERROR(INDEX(Combined_Data!$E:$E,$O186+1),"")</f>
        <v/>
      </c>
      <c r="C186" s="41" t="str">
        <f>IFERROR(INDEX(Combined_Data!$B:$B,$O186+1),"")</f>
        <v/>
      </c>
      <c r="D186" s="41" t="str">
        <f>IFERROR(INDEX(Combined_Data!$D:$D,$O186+1),"")</f>
        <v/>
      </c>
      <c r="E186" s="41" t="str">
        <f>IFERROR(INDEX(Combined_Data!$G:$G,$O186+1),"")</f>
        <v/>
      </c>
      <c r="F186" s="42" t="str">
        <f>IFERROR(INDEX(Combined_Data!$I:$I,$O186+1),"")</f>
        <v/>
      </c>
      <c r="G186" s="41" t="str">
        <f>IFERROR(INDEX(Combined_Data!$K:$K,$O186+1),"")</f>
        <v/>
      </c>
      <c r="H186" s="41" t="str">
        <f>IFERROR(INDEX(Combined_Data!$M:$M,$O186+1),"")</f>
        <v/>
      </c>
      <c r="I186" s="41" t="str">
        <f>IFERROR(INDEX(Combined_Data!$N:$N,$O186+1),"")</f>
        <v/>
      </c>
      <c r="J186" s="43" t="str">
        <f>IFERROR(INDEX(Combined_Data!$S:$S,$O186+1),"")</f>
        <v/>
      </c>
      <c r="K186" s="44" t="str">
        <f>IFERROR(INDEX(Combined_Data!$AF:$AF,$O186+1),"")</f>
        <v/>
      </c>
      <c r="L186" s="41" t="str">
        <f>IFERROR(INDEX(Combined_Data!$AG:$AG,$O186+1),"")</f>
        <v/>
      </c>
      <c r="M186" s="41" t="str">
        <f>IFERROR(INDEX(Combined_Data!$AH:$AH,$O186+1),"")</f>
        <v/>
      </c>
      <c r="O186" t="str">
        <f>IFERROR(_xlfn.AGGREGATE(15,6,(ROW(Combined_Data!$AI$2:$AI$3001)-1)/(Combined_Data!$AI$2:$AI$3001),152),"")</f>
        <v/>
      </c>
    </row>
    <row r="187" spans="1:15" ht="15" customHeight="1" x14ac:dyDescent="0.3">
      <c r="A187" s="41" t="str">
        <f>IFERROR(INDEX(Combined_Data!$C:$C,$O187+1),"")</f>
        <v/>
      </c>
      <c r="B187" s="41" t="str">
        <f>IFERROR(INDEX(Combined_Data!$E:$E,$O187+1),"")</f>
        <v/>
      </c>
      <c r="C187" s="41" t="str">
        <f>IFERROR(INDEX(Combined_Data!$B:$B,$O187+1),"")</f>
        <v/>
      </c>
      <c r="D187" s="41" t="str">
        <f>IFERROR(INDEX(Combined_Data!$D:$D,$O187+1),"")</f>
        <v/>
      </c>
      <c r="E187" s="41" t="str">
        <f>IFERROR(INDEX(Combined_Data!$G:$G,$O187+1),"")</f>
        <v/>
      </c>
      <c r="F187" s="42" t="str">
        <f>IFERROR(INDEX(Combined_Data!$I:$I,$O187+1),"")</f>
        <v/>
      </c>
      <c r="G187" s="41" t="str">
        <f>IFERROR(INDEX(Combined_Data!$K:$K,$O187+1),"")</f>
        <v/>
      </c>
      <c r="H187" s="41" t="str">
        <f>IFERROR(INDEX(Combined_Data!$M:$M,$O187+1),"")</f>
        <v/>
      </c>
      <c r="I187" s="41" t="str">
        <f>IFERROR(INDEX(Combined_Data!$N:$N,$O187+1),"")</f>
        <v/>
      </c>
      <c r="J187" s="43" t="str">
        <f>IFERROR(INDEX(Combined_Data!$S:$S,$O187+1),"")</f>
        <v/>
      </c>
      <c r="K187" s="44" t="str">
        <f>IFERROR(INDEX(Combined_Data!$AF:$AF,$O187+1),"")</f>
        <v/>
      </c>
      <c r="L187" s="41" t="str">
        <f>IFERROR(INDEX(Combined_Data!$AG:$AG,$O187+1),"")</f>
        <v/>
      </c>
      <c r="M187" s="41" t="str">
        <f>IFERROR(INDEX(Combined_Data!$AH:$AH,$O187+1),"")</f>
        <v/>
      </c>
      <c r="O187" t="str">
        <f>IFERROR(_xlfn.AGGREGATE(15,6,(ROW(Combined_Data!$AI$2:$AI$3001)-1)/(Combined_Data!$AI$2:$AI$3001),153),"")</f>
        <v/>
      </c>
    </row>
    <row r="188" spans="1:15" ht="15" customHeight="1" x14ac:dyDescent="0.3">
      <c r="A188" s="41" t="str">
        <f>IFERROR(INDEX(Combined_Data!$C:$C,$O188+1),"")</f>
        <v/>
      </c>
      <c r="B188" s="41" t="str">
        <f>IFERROR(INDEX(Combined_Data!$E:$E,$O188+1),"")</f>
        <v/>
      </c>
      <c r="C188" s="41" t="str">
        <f>IFERROR(INDEX(Combined_Data!$B:$B,$O188+1),"")</f>
        <v/>
      </c>
      <c r="D188" s="41" t="str">
        <f>IFERROR(INDEX(Combined_Data!$D:$D,$O188+1),"")</f>
        <v/>
      </c>
      <c r="E188" s="41" t="str">
        <f>IFERROR(INDEX(Combined_Data!$G:$G,$O188+1),"")</f>
        <v/>
      </c>
      <c r="F188" s="42" t="str">
        <f>IFERROR(INDEX(Combined_Data!$I:$I,$O188+1),"")</f>
        <v/>
      </c>
      <c r="G188" s="41" t="str">
        <f>IFERROR(INDEX(Combined_Data!$K:$K,$O188+1),"")</f>
        <v/>
      </c>
      <c r="H188" s="41" t="str">
        <f>IFERROR(INDEX(Combined_Data!$M:$M,$O188+1),"")</f>
        <v/>
      </c>
      <c r="I188" s="41" t="str">
        <f>IFERROR(INDEX(Combined_Data!$N:$N,$O188+1),"")</f>
        <v/>
      </c>
      <c r="J188" s="43" t="str">
        <f>IFERROR(INDEX(Combined_Data!$S:$S,$O188+1),"")</f>
        <v/>
      </c>
      <c r="K188" s="44" t="str">
        <f>IFERROR(INDEX(Combined_Data!$AF:$AF,$O188+1),"")</f>
        <v/>
      </c>
      <c r="L188" s="41" t="str">
        <f>IFERROR(INDEX(Combined_Data!$AG:$AG,$O188+1),"")</f>
        <v/>
      </c>
      <c r="M188" s="41" t="str">
        <f>IFERROR(INDEX(Combined_Data!$AH:$AH,$O188+1),"")</f>
        <v/>
      </c>
      <c r="O188" t="str">
        <f>IFERROR(_xlfn.AGGREGATE(15,6,(ROW(Combined_Data!$AI$2:$AI$3001)-1)/(Combined_Data!$AI$2:$AI$3001),154),"")</f>
        <v/>
      </c>
    </row>
    <row r="189" spans="1:15" ht="15" customHeight="1" x14ac:dyDescent="0.3">
      <c r="A189" s="41" t="str">
        <f>IFERROR(INDEX(Combined_Data!$C:$C,$O189+1),"")</f>
        <v/>
      </c>
      <c r="B189" s="41" t="str">
        <f>IFERROR(INDEX(Combined_Data!$E:$E,$O189+1),"")</f>
        <v/>
      </c>
      <c r="C189" s="41" t="str">
        <f>IFERROR(INDEX(Combined_Data!$B:$B,$O189+1),"")</f>
        <v/>
      </c>
      <c r="D189" s="41" t="str">
        <f>IFERROR(INDEX(Combined_Data!$D:$D,$O189+1),"")</f>
        <v/>
      </c>
      <c r="E189" s="41" t="str">
        <f>IFERROR(INDEX(Combined_Data!$G:$G,$O189+1),"")</f>
        <v/>
      </c>
      <c r="F189" s="42" t="str">
        <f>IFERROR(INDEX(Combined_Data!$I:$I,$O189+1),"")</f>
        <v/>
      </c>
      <c r="G189" s="41" t="str">
        <f>IFERROR(INDEX(Combined_Data!$K:$K,$O189+1),"")</f>
        <v/>
      </c>
      <c r="H189" s="41" t="str">
        <f>IFERROR(INDEX(Combined_Data!$M:$M,$O189+1),"")</f>
        <v/>
      </c>
      <c r="I189" s="41" t="str">
        <f>IFERROR(INDEX(Combined_Data!$N:$N,$O189+1),"")</f>
        <v/>
      </c>
      <c r="J189" s="43" t="str">
        <f>IFERROR(INDEX(Combined_Data!$S:$S,$O189+1),"")</f>
        <v/>
      </c>
      <c r="K189" s="44" t="str">
        <f>IFERROR(INDEX(Combined_Data!$AF:$AF,$O189+1),"")</f>
        <v/>
      </c>
      <c r="L189" s="41" t="str">
        <f>IFERROR(INDEX(Combined_Data!$AG:$AG,$O189+1),"")</f>
        <v/>
      </c>
      <c r="M189" s="41" t="str">
        <f>IFERROR(INDEX(Combined_Data!$AH:$AH,$O189+1),"")</f>
        <v/>
      </c>
      <c r="O189" t="str">
        <f>IFERROR(_xlfn.AGGREGATE(15,6,(ROW(Combined_Data!$AI$2:$AI$3001)-1)/(Combined_Data!$AI$2:$AI$3001),155),"")</f>
        <v/>
      </c>
    </row>
    <row r="190" spans="1:15" ht="15" customHeight="1" x14ac:dyDescent="0.3">
      <c r="A190" s="41" t="str">
        <f>IFERROR(INDEX(Combined_Data!$C:$C,$O190+1),"")</f>
        <v/>
      </c>
      <c r="B190" s="41" t="str">
        <f>IFERROR(INDEX(Combined_Data!$E:$E,$O190+1),"")</f>
        <v/>
      </c>
      <c r="C190" s="41" t="str">
        <f>IFERROR(INDEX(Combined_Data!$B:$B,$O190+1),"")</f>
        <v/>
      </c>
      <c r="D190" s="41" t="str">
        <f>IFERROR(INDEX(Combined_Data!$D:$D,$O190+1),"")</f>
        <v/>
      </c>
      <c r="E190" s="41" t="str">
        <f>IFERROR(INDEX(Combined_Data!$G:$G,$O190+1),"")</f>
        <v/>
      </c>
      <c r="F190" s="42" t="str">
        <f>IFERROR(INDEX(Combined_Data!$I:$I,$O190+1),"")</f>
        <v/>
      </c>
      <c r="G190" s="41" t="str">
        <f>IFERROR(INDEX(Combined_Data!$K:$K,$O190+1),"")</f>
        <v/>
      </c>
      <c r="H190" s="41" t="str">
        <f>IFERROR(INDEX(Combined_Data!$M:$M,$O190+1),"")</f>
        <v/>
      </c>
      <c r="I190" s="41" t="str">
        <f>IFERROR(INDEX(Combined_Data!$N:$N,$O190+1),"")</f>
        <v/>
      </c>
      <c r="J190" s="43" t="str">
        <f>IFERROR(INDEX(Combined_Data!$S:$S,$O190+1),"")</f>
        <v/>
      </c>
      <c r="K190" s="44" t="str">
        <f>IFERROR(INDEX(Combined_Data!$AF:$AF,$O190+1),"")</f>
        <v/>
      </c>
      <c r="L190" s="41" t="str">
        <f>IFERROR(INDEX(Combined_Data!$AG:$AG,$O190+1),"")</f>
        <v/>
      </c>
      <c r="M190" s="41" t="str">
        <f>IFERROR(INDEX(Combined_Data!$AH:$AH,$O190+1),"")</f>
        <v/>
      </c>
      <c r="O190" t="str">
        <f>IFERROR(_xlfn.AGGREGATE(15,6,(ROW(Combined_Data!$AI$2:$AI$3001)-1)/(Combined_Data!$AI$2:$AI$3001),156),"")</f>
        <v/>
      </c>
    </row>
    <row r="191" spans="1:15" ht="15" customHeight="1" x14ac:dyDescent="0.3">
      <c r="A191" s="41" t="str">
        <f>IFERROR(INDEX(Combined_Data!$C:$C,$O191+1),"")</f>
        <v/>
      </c>
      <c r="B191" s="41" t="str">
        <f>IFERROR(INDEX(Combined_Data!$E:$E,$O191+1),"")</f>
        <v/>
      </c>
      <c r="C191" s="41" t="str">
        <f>IFERROR(INDEX(Combined_Data!$B:$B,$O191+1),"")</f>
        <v/>
      </c>
      <c r="D191" s="41" t="str">
        <f>IFERROR(INDEX(Combined_Data!$D:$D,$O191+1),"")</f>
        <v/>
      </c>
      <c r="E191" s="41" t="str">
        <f>IFERROR(INDEX(Combined_Data!$G:$G,$O191+1),"")</f>
        <v/>
      </c>
      <c r="F191" s="42" t="str">
        <f>IFERROR(INDEX(Combined_Data!$I:$I,$O191+1),"")</f>
        <v/>
      </c>
      <c r="G191" s="41" t="str">
        <f>IFERROR(INDEX(Combined_Data!$K:$K,$O191+1),"")</f>
        <v/>
      </c>
      <c r="H191" s="41" t="str">
        <f>IFERROR(INDEX(Combined_Data!$M:$M,$O191+1),"")</f>
        <v/>
      </c>
      <c r="I191" s="41" t="str">
        <f>IFERROR(INDEX(Combined_Data!$N:$N,$O191+1),"")</f>
        <v/>
      </c>
      <c r="J191" s="43" t="str">
        <f>IFERROR(INDEX(Combined_Data!$S:$S,$O191+1),"")</f>
        <v/>
      </c>
      <c r="K191" s="44" t="str">
        <f>IFERROR(INDEX(Combined_Data!$AF:$AF,$O191+1),"")</f>
        <v/>
      </c>
      <c r="L191" s="41" t="str">
        <f>IFERROR(INDEX(Combined_Data!$AG:$AG,$O191+1),"")</f>
        <v/>
      </c>
      <c r="M191" s="41" t="str">
        <f>IFERROR(INDEX(Combined_Data!$AH:$AH,$O191+1),"")</f>
        <v/>
      </c>
      <c r="O191" t="str">
        <f>IFERROR(_xlfn.AGGREGATE(15,6,(ROW(Combined_Data!$AI$2:$AI$3001)-1)/(Combined_Data!$AI$2:$AI$3001),157),"")</f>
        <v/>
      </c>
    </row>
    <row r="192" spans="1:15" ht="15" customHeight="1" x14ac:dyDescent="0.3">
      <c r="A192" s="41" t="str">
        <f>IFERROR(INDEX(Combined_Data!$C:$C,$O192+1),"")</f>
        <v/>
      </c>
      <c r="B192" s="41" t="str">
        <f>IFERROR(INDEX(Combined_Data!$E:$E,$O192+1),"")</f>
        <v/>
      </c>
      <c r="C192" s="41" t="str">
        <f>IFERROR(INDEX(Combined_Data!$B:$B,$O192+1),"")</f>
        <v/>
      </c>
      <c r="D192" s="41" t="str">
        <f>IFERROR(INDEX(Combined_Data!$D:$D,$O192+1),"")</f>
        <v/>
      </c>
      <c r="E192" s="41" t="str">
        <f>IFERROR(INDEX(Combined_Data!$G:$G,$O192+1),"")</f>
        <v/>
      </c>
      <c r="F192" s="42" t="str">
        <f>IFERROR(INDEX(Combined_Data!$I:$I,$O192+1),"")</f>
        <v/>
      </c>
      <c r="G192" s="41" t="str">
        <f>IFERROR(INDEX(Combined_Data!$K:$K,$O192+1),"")</f>
        <v/>
      </c>
      <c r="H192" s="41" t="str">
        <f>IFERROR(INDEX(Combined_Data!$M:$M,$O192+1),"")</f>
        <v/>
      </c>
      <c r="I192" s="41" t="str">
        <f>IFERROR(INDEX(Combined_Data!$N:$N,$O192+1),"")</f>
        <v/>
      </c>
      <c r="J192" s="43" t="str">
        <f>IFERROR(INDEX(Combined_Data!$S:$S,$O192+1),"")</f>
        <v/>
      </c>
      <c r="K192" s="44" t="str">
        <f>IFERROR(INDEX(Combined_Data!$AF:$AF,$O192+1),"")</f>
        <v/>
      </c>
      <c r="L192" s="41" t="str">
        <f>IFERROR(INDEX(Combined_Data!$AG:$AG,$O192+1),"")</f>
        <v/>
      </c>
      <c r="M192" s="41" t="str">
        <f>IFERROR(INDEX(Combined_Data!$AH:$AH,$O192+1),"")</f>
        <v/>
      </c>
      <c r="O192" t="str">
        <f>IFERROR(_xlfn.AGGREGATE(15,6,(ROW(Combined_Data!$AI$2:$AI$3001)-1)/(Combined_Data!$AI$2:$AI$3001),158),"")</f>
        <v/>
      </c>
    </row>
    <row r="193" spans="1:15" ht="15" customHeight="1" x14ac:dyDescent="0.3">
      <c r="A193" s="41" t="str">
        <f>IFERROR(INDEX(Combined_Data!$C:$C,$O193+1),"")</f>
        <v/>
      </c>
      <c r="B193" s="41" t="str">
        <f>IFERROR(INDEX(Combined_Data!$E:$E,$O193+1),"")</f>
        <v/>
      </c>
      <c r="C193" s="41" t="str">
        <f>IFERROR(INDEX(Combined_Data!$B:$B,$O193+1),"")</f>
        <v/>
      </c>
      <c r="D193" s="41" t="str">
        <f>IFERROR(INDEX(Combined_Data!$D:$D,$O193+1),"")</f>
        <v/>
      </c>
      <c r="E193" s="41" t="str">
        <f>IFERROR(INDEX(Combined_Data!$G:$G,$O193+1),"")</f>
        <v/>
      </c>
      <c r="F193" s="42" t="str">
        <f>IFERROR(INDEX(Combined_Data!$I:$I,$O193+1),"")</f>
        <v/>
      </c>
      <c r="G193" s="41" t="str">
        <f>IFERROR(INDEX(Combined_Data!$K:$K,$O193+1),"")</f>
        <v/>
      </c>
      <c r="H193" s="41" t="str">
        <f>IFERROR(INDEX(Combined_Data!$M:$M,$O193+1),"")</f>
        <v/>
      </c>
      <c r="I193" s="41" t="str">
        <f>IFERROR(INDEX(Combined_Data!$N:$N,$O193+1),"")</f>
        <v/>
      </c>
      <c r="J193" s="43" t="str">
        <f>IFERROR(INDEX(Combined_Data!$S:$S,$O193+1),"")</f>
        <v/>
      </c>
      <c r="K193" s="44" t="str">
        <f>IFERROR(INDEX(Combined_Data!$AF:$AF,$O193+1),"")</f>
        <v/>
      </c>
      <c r="L193" s="41" t="str">
        <f>IFERROR(INDEX(Combined_Data!$AG:$AG,$O193+1),"")</f>
        <v/>
      </c>
      <c r="M193" s="41" t="str">
        <f>IFERROR(INDEX(Combined_Data!$AH:$AH,$O193+1),"")</f>
        <v/>
      </c>
      <c r="O193" t="str">
        <f>IFERROR(_xlfn.AGGREGATE(15,6,(ROW(Combined_Data!$AI$2:$AI$3001)-1)/(Combined_Data!$AI$2:$AI$3001),159),"")</f>
        <v/>
      </c>
    </row>
    <row r="194" spans="1:15" ht="15" customHeight="1" x14ac:dyDescent="0.3">
      <c r="A194" s="41" t="str">
        <f>IFERROR(INDEX(Combined_Data!$C:$C,$O194+1),"")</f>
        <v/>
      </c>
      <c r="B194" s="41" t="str">
        <f>IFERROR(INDEX(Combined_Data!$E:$E,$O194+1),"")</f>
        <v/>
      </c>
      <c r="C194" s="41" t="str">
        <f>IFERROR(INDEX(Combined_Data!$B:$B,$O194+1),"")</f>
        <v/>
      </c>
      <c r="D194" s="41" t="str">
        <f>IFERROR(INDEX(Combined_Data!$D:$D,$O194+1),"")</f>
        <v/>
      </c>
      <c r="E194" s="41" t="str">
        <f>IFERROR(INDEX(Combined_Data!$G:$G,$O194+1),"")</f>
        <v/>
      </c>
      <c r="F194" s="42" t="str">
        <f>IFERROR(INDEX(Combined_Data!$I:$I,$O194+1),"")</f>
        <v/>
      </c>
      <c r="G194" s="41" t="str">
        <f>IFERROR(INDEX(Combined_Data!$K:$K,$O194+1),"")</f>
        <v/>
      </c>
      <c r="H194" s="41" t="str">
        <f>IFERROR(INDEX(Combined_Data!$M:$M,$O194+1),"")</f>
        <v/>
      </c>
      <c r="I194" s="41" t="str">
        <f>IFERROR(INDEX(Combined_Data!$N:$N,$O194+1),"")</f>
        <v/>
      </c>
      <c r="J194" s="43" t="str">
        <f>IFERROR(INDEX(Combined_Data!$S:$S,$O194+1),"")</f>
        <v/>
      </c>
      <c r="K194" s="44" t="str">
        <f>IFERROR(INDEX(Combined_Data!$AF:$AF,$O194+1),"")</f>
        <v/>
      </c>
      <c r="L194" s="41" t="str">
        <f>IFERROR(INDEX(Combined_Data!$AG:$AG,$O194+1),"")</f>
        <v/>
      </c>
      <c r="M194" s="41" t="str">
        <f>IFERROR(INDEX(Combined_Data!$AH:$AH,$O194+1),"")</f>
        <v/>
      </c>
      <c r="O194" t="str">
        <f>IFERROR(_xlfn.AGGREGATE(15,6,(ROW(Combined_Data!$AI$2:$AI$3001)-1)/(Combined_Data!$AI$2:$AI$3001),160),"")</f>
        <v/>
      </c>
    </row>
    <row r="195" spans="1:15" ht="15" customHeight="1" x14ac:dyDescent="0.3">
      <c r="A195" s="41" t="str">
        <f>IFERROR(INDEX(Combined_Data!$C:$C,$O195+1),"")</f>
        <v/>
      </c>
      <c r="B195" s="41" t="str">
        <f>IFERROR(INDEX(Combined_Data!$E:$E,$O195+1),"")</f>
        <v/>
      </c>
      <c r="C195" s="41" t="str">
        <f>IFERROR(INDEX(Combined_Data!$B:$B,$O195+1),"")</f>
        <v/>
      </c>
      <c r="D195" s="41" t="str">
        <f>IFERROR(INDEX(Combined_Data!$D:$D,$O195+1),"")</f>
        <v/>
      </c>
      <c r="E195" s="41" t="str">
        <f>IFERROR(INDEX(Combined_Data!$G:$G,$O195+1),"")</f>
        <v/>
      </c>
      <c r="F195" s="42" t="str">
        <f>IFERROR(INDEX(Combined_Data!$I:$I,$O195+1),"")</f>
        <v/>
      </c>
      <c r="G195" s="41" t="str">
        <f>IFERROR(INDEX(Combined_Data!$K:$K,$O195+1),"")</f>
        <v/>
      </c>
      <c r="H195" s="41" t="str">
        <f>IFERROR(INDEX(Combined_Data!$M:$M,$O195+1),"")</f>
        <v/>
      </c>
      <c r="I195" s="41" t="str">
        <f>IFERROR(INDEX(Combined_Data!$N:$N,$O195+1),"")</f>
        <v/>
      </c>
      <c r="J195" s="43" t="str">
        <f>IFERROR(INDEX(Combined_Data!$S:$S,$O195+1),"")</f>
        <v/>
      </c>
      <c r="K195" s="44" t="str">
        <f>IFERROR(INDEX(Combined_Data!$AF:$AF,$O195+1),"")</f>
        <v/>
      </c>
      <c r="L195" s="41" t="str">
        <f>IFERROR(INDEX(Combined_Data!$AG:$AG,$O195+1),"")</f>
        <v/>
      </c>
      <c r="M195" s="41" t="str">
        <f>IFERROR(INDEX(Combined_Data!$AH:$AH,$O195+1),"")</f>
        <v/>
      </c>
      <c r="O195" t="str">
        <f>IFERROR(_xlfn.AGGREGATE(15,6,(ROW(Combined_Data!$AI$2:$AI$3001)-1)/(Combined_Data!$AI$2:$AI$3001),161),"")</f>
        <v/>
      </c>
    </row>
    <row r="196" spans="1:15" ht="15" customHeight="1" x14ac:dyDescent="0.3">
      <c r="A196" s="41" t="str">
        <f>IFERROR(INDEX(Combined_Data!$C:$C,$O196+1),"")</f>
        <v/>
      </c>
      <c r="B196" s="41" t="str">
        <f>IFERROR(INDEX(Combined_Data!$E:$E,$O196+1),"")</f>
        <v/>
      </c>
      <c r="C196" s="41" t="str">
        <f>IFERROR(INDEX(Combined_Data!$B:$B,$O196+1),"")</f>
        <v/>
      </c>
      <c r="D196" s="41" t="str">
        <f>IFERROR(INDEX(Combined_Data!$D:$D,$O196+1),"")</f>
        <v/>
      </c>
      <c r="E196" s="41" t="str">
        <f>IFERROR(INDEX(Combined_Data!$G:$G,$O196+1),"")</f>
        <v/>
      </c>
      <c r="F196" s="42" t="str">
        <f>IFERROR(INDEX(Combined_Data!$I:$I,$O196+1),"")</f>
        <v/>
      </c>
      <c r="G196" s="41" t="str">
        <f>IFERROR(INDEX(Combined_Data!$K:$K,$O196+1),"")</f>
        <v/>
      </c>
      <c r="H196" s="41" t="str">
        <f>IFERROR(INDEX(Combined_Data!$M:$M,$O196+1),"")</f>
        <v/>
      </c>
      <c r="I196" s="41" t="str">
        <f>IFERROR(INDEX(Combined_Data!$N:$N,$O196+1),"")</f>
        <v/>
      </c>
      <c r="J196" s="43" t="str">
        <f>IFERROR(INDEX(Combined_Data!$S:$S,$O196+1),"")</f>
        <v/>
      </c>
      <c r="K196" s="44" t="str">
        <f>IFERROR(INDEX(Combined_Data!$AF:$AF,$O196+1),"")</f>
        <v/>
      </c>
      <c r="L196" s="41" t="str">
        <f>IFERROR(INDEX(Combined_Data!$AG:$AG,$O196+1),"")</f>
        <v/>
      </c>
      <c r="M196" s="41" t="str">
        <f>IFERROR(INDEX(Combined_Data!$AH:$AH,$O196+1),"")</f>
        <v/>
      </c>
      <c r="O196" t="str">
        <f>IFERROR(_xlfn.AGGREGATE(15,6,(ROW(Combined_Data!$AI$2:$AI$3001)-1)/(Combined_Data!$AI$2:$AI$3001),162),"")</f>
        <v/>
      </c>
    </row>
    <row r="197" spans="1:15" ht="15" customHeight="1" x14ac:dyDescent="0.3">
      <c r="A197" s="41" t="str">
        <f>IFERROR(INDEX(Combined_Data!$C:$C,$O197+1),"")</f>
        <v/>
      </c>
      <c r="B197" s="41" t="str">
        <f>IFERROR(INDEX(Combined_Data!$E:$E,$O197+1),"")</f>
        <v/>
      </c>
      <c r="C197" s="41" t="str">
        <f>IFERROR(INDEX(Combined_Data!$B:$B,$O197+1),"")</f>
        <v/>
      </c>
      <c r="D197" s="41" t="str">
        <f>IFERROR(INDEX(Combined_Data!$D:$D,$O197+1),"")</f>
        <v/>
      </c>
      <c r="E197" s="41" t="str">
        <f>IFERROR(INDEX(Combined_Data!$G:$G,$O197+1),"")</f>
        <v/>
      </c>
      <c r="F197" s="42" t="str">
        <f>IFERROR(INDEX(Combined_Data!$I:$I,$O197+1),"")</f>
        <v/>
      </c>
      <c r="G197" s="41" t="str">
        <f>IFERROR(INDEX(Combined_Data!$K:$K,$O197+1),"")</f>
        <v/>
      </c>
      <c r="H197" s="41" t="str">
        <f>IFERROR(INDEX(Combined_Data!$M:$M,$O197+1),"")</f>
        <v/>
      </c>
      <c r="I197" s="41" t="str">
        <f>IFERROR(INDEX(Combined_Data!$N:$N,$O197+1),"")</f>
        <v/>
      </c>
      <c r="J197" s="43" t="str">
        <f>IFERROR(INDEX(Combined_Data!$S:$S,$O197+1),"")</f>
        <v/>
      </c>
      <c r="K197" s="44" t="str">
        <f>IFERROR(INDEX(Combined_Data!$AF:$AF,$O197+1),"")</f>
        <v/>
      </c>
      <c r="L197" s="41" t="str">
        <f>IFERROR(INDEX(Combined_Data!$AG:$AG,$O197+1),"")</f>
        <v/>
      </c>
      <c r="M197" s="41" t="str">
        <f>IFERROR(INDEX(Combined_Data!$AH:$AH,$O197+1),"")</f>
        <v/>
      </c>
      <c r="O197" t="str">
        <f>IFERROR(_xlfn.AGGREGATE(15,6,(ROW(Combined_Data!$AI$2:$AI$3001)-1)/(Combined_Data!$AI$2:$AI$3001),163),"")</f>
        <v/>
      </c>
    </row>
    <row r="198" spans="1:15" ht="15" customHeight="1" x14ac:dyDescent="0.3">
      <c r="A198" s="41" t="str">
        <f>IFERROR(INDEX(Combined_Data!$C:$C,$O198+1),"")</f>
        <v/>
      </c>
      <c r="B198" s="41" t="str">
        <f>IFERROR(INDEX(Combined_Data!$E:$E,$O198+1),"")</f>
        <v/>
      </c>
      <c r="C198" s="41" t="str">
        <f>IFERROR(INDEX(Combined_Data!$B:$B,$O198+1),"")</f>
        <v/>
      </c>
      <c r="D198" s="41" t="str">
        <f>IFERROR(INDEX(Combined_Data!$D:$D,$O198+1),"")</f>
        <v/>
      </c>
      <c r="E198" s="41" t="str">
        <f>IFERROR(INDEX(Combined_Data!$G:$G,$O198+1),"")</f>
        <v/>
      </c>
      <c r="F198" s="42" t="str">
        <f>IFERROR(INDEX(Combined_Data!$I:$I,$O198+1),"")</f>
        <v/>
      </c>
      <c r="G198" s="41" t="str">
        <f>IFERROR(INDEX(Combined_Data!$K:$K,$O198+1),"")</f>
        <v/>
      </c>
      <c r="H198" s="41" t="str">
        <f>IFERROR(INDEX(Combined_Data!$M:$M,$O198+1),"")</f>
        <v/>
      </c>
      <c r="I198" s="41" t="str">
        <f>IFERROR(INDEX(Combined_Data!$N:$N,$O198+1),"")</f>
        <v/>
      </c>
      <c r="J198" s="43" t="str">
        <f>IFERROR(INDEX(Combined_Data!$S:$S,$O198+1),"")</f>
        <v/>
      </c>
      <c r="K198" s="44" t="str">
        <f>IFERROR(INDEX(Combined_Data!$AF:$AF,$O198+1),"")</f>
        <v/>
      </c>
      <c r="L198" s="41" t="str">
        <f>IFERROR(INDEX(Combined_Data!$AG:$AG,$O198+1),"")</f>
        <v/>
      </c>
      <c r="M198" s="41" t="str">
        <f>IFERROR(INDEX(Combined_Data!$AH:$AH,$O198+1),"")</f>
        <v/>
      </c>
      <c r="O198" t="str">
        <f>IFERROR(_xlfn.AGGREGATE(15,6,(ROW(Combined_Data!$AI$2:$AI$3001)-1)/(Combined_Data!$AI$2:$AI$3001),164),"")</f>
        <v/>
      </c>
    </row>
    <row r="199" spans="1:15" ht="15" customHeight="1" x14ac:dyDescent="0.3">
      <c r="A199" s="41" t="str">
        <f>IFERROR(INDEX(Combined_Data!$C:$C,$O199+1),"")</f>
        <v/>
      </c>
      <c r="B199" s="41" t="str">
        <f>IFERROR(INDEX(Combined_Data!$E:$E,$O199+1),"")</f>
        <v/>
      </c>
      <c r="C199" s="41" t="str">
        <f>IFERROR(INDEX(Combined_Data!$B:$B,$O199+1),"")</f>
        <v/>
      </c>
      <c r="D199" s="41" t="str">
        <f>IFERROR(INDEX(Combined_Data!$D:$D,$O199+1),"")</f>
        <v/>
      </c>
      <c r="E199" s="41" t="str">
        <f>IFERROR(INDEX(Combined_Data!$G:$G,$O199+1),"")</f>
        <v/>
      </c>
      <c r="F199" s="42" t="str">
        <f>IFERROR(INDEX(Combined_Data!$I:$I,$O199+1),"")</f>
        <v/>
      </c>
      <c r="G199" s="41" t="str">
        <f>IFERROR(INDEX(Combined_Data!$K:$K,$O199+1),"")</f>
        <v/>
      </c>
      <c r="H199" s="41" t="str">
        <f>IFERROR(INDEX(Combined_Data!$M:$M,$O199+1),"")</f>
        <v/>
      </c>
      <c r="I199" s="41" t="str">
        <f>IFERROR(INDEX(Combined_Data!$N:$N,$O199+1),"")</f>
        <v/>
      </c>
      <c r="J199" s="43" t="str">
        <f>IFERROR(INDEX(Combined_Data!$S:$S,$O199+1),"")</f>
        <v/>
      </c>
      <c r="K199" s="44" t="str">
        <f>IFERROR(INDEX(Combined_Data!$AF:$AF,$O199+1),"")</f>
        <v/>
      </c>
      <c r="L199" s="41" t="str">
        <f>IFERROR(INDEX(Combined_Data!$AG:$AG,$O199+1),"")</f>
        <v/>
      </c>
      <c r="M199" s="41" t="str">
        <f>IFERROR(INDEX(Combined_Data!$AH:$AH,$O199+1),"")</f>
        <v/>
      </c>
      <c r="O199" t="str">
        <f>IFERROR(_xlfn.AGGREGATE(15,6,(ROW(Combined_Data!$AI$2:$AI$3001)-1)/(Combined_Data!$AI$2:$AI$3001),165),"")</f>
        <v/>
      </c>
    </row>
    <row r="200" spans="1:15" ht="15" customHeight="1" x14ac:dyDescent="0.3">
      <c r="A200" s="41" t="str">
        <f>IFERROR(INDEX(Combined_Data!$C:$C,$O200+1),"")</f>
        <v/>
      </c>
      <c r="B200" s="41" t="str">
        <f>IFERROR(INDEX(Combined_Data!$E:$E,$O200+1),"")</f>
        <v/>
      </c>
      <c r="C200" s="41" t="str">
        <f>IFERROR(INDEX(Combined_Data!$B:$B,$O200+1),"")</f>
        <v/>
      </c>
      <c r="D200" s="41" t="str">
        <f>IFERROR(INDEX(Combined_Data!$D:$D,$O200+1),"")</f>
        <v/>
      </c>
      <c r="E200" s="41" t="str">
        <f>IFERROR(INDEX(Combined_Data!$G:$G,$O200+1),"")</f>
        <v/>
      </c>
      <c r="F200" s="42" t="str">
        <f>IFERROR(INDEX(Combined_Data!$I:$I,$O200+1),"")</f>
        <v/>
      </c>
      <c r="G200" s="41" t="str">
        <f>IFERROR(INDEX(Combined_Data!$K:$K,$O200+1),"")</f>
        <v/>
      </c>
      <c r="H200" s="41" t="str">
        <f>IFERROR(INDEX(Combined_Data!$M:$M,$O200+1),"")</f>
        <v/>
      </c>
      <c r="I200" s="41" t="str">
        <f>IFERROR(INDEX(Combined_Data!$N:$N,$O200+1),"")</f>
        <v/>
      </c>
      <c r="J200" s="43" t="str">
        <f>IFERROR(INDEX(Combined_Data!$S:$S,$O200+1),"")</f>
        <v/>
      </c>
      <c r="K200" s="44" t="str">
        <f>IFERROR(INDEX(Combined_Data!$AF:$AF,$O200+1),"")</f>
        <v/>
      </c>
      <c r="L200" s="41" t="str">
        <f>IFERROR(INDEX(Combined_Data!$AG:$AG,$O200+1),"")</f>
        <v/>
      </c>
      <c r="M200" s="41" t="str">
        <f>IFERROR(INDEX(Combined_Data!$AH:$AH,$O200+1),"")</f>
        <v/>
      </c>
      <c r="O200" t="str">
        <f>IFERROR(_xlfn.AGGREGATE(15,6,(ROW(Combined_Data!$AI$2:$AI$3001)-1)/(Combined_Data!$AI$2:$AI$3001),166),"")</f>
        <v/>
      </c>
    </row>
    <row r="201" spans="1:15" ht="15" customHeight="1" x14ac:dyDescent="0.3">
      <c r="A201" s="41" t="str">
        <f>IFERROR(INDEX(Combined_Data!$C:$C,$O201+1),"")</f>
        <v/>
      </c>
      <c r="B201" s="41" t="str">
        <f>IFERROR(INDEX(Combined_Data!$E:$E,$O201+1),"")</f>
        <v/>
      </c>
      <c r="C201" s="41" t="str">
        <f>IFERROR(INDEX(Combined_Data!$B:$B,$O201+1),"")</f>
        <v/>
      </c>
      <c r="D201" s="41" t="str">
        <f>IFERROR(INDEX(Combined_Data!$D:$D,$O201+1),"")</f>
        <v/>
      </c>
      <c r="E201" s="41" t="str">
        <f>IFERROR(INDEX(Combined_Data!$G:$G,$O201+1),"")</f>
        <v/>
      </c>
      <c r="F201" s="42" t="str">
        <f>IFERROR(INDEX(Combined_Data!$I:$I,$O201+1),"")</f>
        <v/>
      </c>
      <c r="G201" s="41" t="str">
        <f>IFERROR(INDEX(Combined_Data!$K:$K,$O201+1),"")</f>
        <v/>
      </c>
      <c r="H201" s="41" t="str">
        <f>IFERROR(INDEX(Combined_Data!$M:$M,$O201+1),"")</f>
        <v/>
      </c>
      <c r="I201" s="41" t="str">
        <f>IFERROR(INDEX(Combined_Data!$N:$N,$O201+1),"")</f>
        <v/>
      </c>
      <c r="J201" s="43" t="str">
        <f>IFERROR(INDEX(Combined_Data!$S:$S,$O201+1),"")</f>
        <v/>
      </c>
      <c r="K201" s="44" t="str">
        <f>IFERROR(INDEX(Combined_Data!$AF:$AF,$O201+1),"")</f>
        <v/>
      </c>
      <c r="L201" s="41" t="str">
        <f>IFERROR(INDEX(Combined_Data!$AG:$AG,$O201+1),"")</f>
        <v/>
      </c>
      <c r="M201" s="41" t="str">
        <f>IFERROR(INDEX(Combined_Data!$AH:$AH,$O201+1),"")</f>
        <v/>
      </c>
      <c r="O201" t="str">
        <f>IFERROR(_xlfn.AGGREGATE(15,6,(ROW(Combined_Data!$AI$2:$AI$3001)-1)/(Combined_Data!$AI$2:$AI$3001),167),"")</f>
        <v/>
      </c>
    </row>
    <row r="202" spans="1:15" ht="15" customHeight="1" x14ac:dyDescent="0.3">
      <c r="A202" s="41" t="str">
        <f>IFERROR(INDEX(Combined_Data!$C:$C,$O202+1),"")</f>
        <v/>
      </c>
      <c r="B202" s="41" t="str">
        <f>IFERROR(INDEX(Combined_Data!$E:$E,$O202+1),"")</f>
        <v/>
      </c>
      <c r="C202" s="41" t="str">
        <f>IFERROR(INDEX(Combined_Data!$B:$B,$O202+1),"")</f>
        <v/>
      </c>
      <c r="D202" s="41" t="str">
        <f>IFERROR(INDEX(Combined_Data!$D:$D,$O202+1),"")</f>
        <v/>
      </c>
      <c r="E202" s="41" t="str">
        <f>IFERROR(INDEX(Combined_Data!$G:$G,$O202+1),"")</f>
        <v/>
      </c>
      <c r="F202" s="42" t="str">
        <f>IFERROR(INDEX(Combined_Data!$I:$I,$O202+1),"")</f>
        <v/>
      </c>
      <c r="G202" s="41" t="str">
        <f>IFERROR(INDEX(Combined_Data!$K:$K,$O202+1),"")</f>
        <v/>
      </c>
      <c r="H202" s="41" t="str">
        <f>IFERROR(INDEX(Combined_Data!$M:$M,$O202+1),"")</f>
        <v/>
      </c>
      <c r="I202" s="41" t="str">
        <f>IFERROR(INDEX(Combined_Data!$N:$N,$O202+1),"")</f>
        <v/>
      </c>
      <c r="J202" s="43" t="str">
        <f>IFERROR(INDEX(Combined_Data!$S:$S,$O202+1),"")</f>
        <v/>
      </c>
      <c r="K202" s="44" t="str">
        <f>IFERROR(INDEX(Combined_Data!$AF:$AF,$O202+1),"")</f>
        <v/>
      </c>
      <c r="L202" s="41" t="str">
        <f>IFERROR(INDEX(Combined_Data!$AG:$AG,$O202+1),"")</f>
        <v/>
      </c>
      <c r="M202" s="41" t="str">
        <f>IFERROR(INDEX(Combined_Data!$AH:$AH,$O202+1),"")</f>
        <v/>
      </c>
      <c r="O202" t="str">
        <f>IFERROR(_xlfn.AGGREGATE(15,6,(ROW(Combined_Data!$AI$2:$AI$3001)-1)/(Combined_Data!$AI$2:$AI$3001),168),"")</f>
        <v/>
      </c>
    </row>
    <row r="203" spans="1:15" ht="15" customHeight="1" x14ac:dyDescent="0.3">
      <c r="A203" s="41" t="str">
        <f>IFERROR(INDEX(Combined_Data!$C:$C,$O203+1),"")</f>
        <v/>
      </c>
      <c r="B203" s="41" t="str">
        <f>IFERROR(INDEX(Combined_Data!$E:$E,$O203+1),"")</f>
        <v/>
      </c>
      <c r="C203" s="41" t="str">
        <f>IFERROR(INDEX(Combined_Data!$B:$B,$O203+1),"")</f>
        <v/>
      </c>
      <c r="D203" s="41" t="str">
        <f>IFERROR(INDEX(Combined_Data!$D:$D,$O203+1),"")</f>
        <v/>
      </c>
      <c r="E203" s="41" t="str">
        <f>IFERROR(INDEX(Combined_Data!$G:$G,$O203+1),"")</f>
        <v/>
      </c>
      <c r="F203" s="42" t="str">
        <f>IFERROR(INDEX(Combined_Data!$I:$I,$O203+1),"")</f>
        <v/>
      </c>
      <c r="G203" s="41" t="str">
        <f>IFERROR(INDEX(Combined_Data!$K:$K,$O203+1),"")</f>
        <v/>
      </c>
      <c r="H203" s="41" t="str">
        <f>IFERROR(INDEX(Combined_Data!$M:$M,$O203+1),"")</f>
        <v/>
      </c>
      <c r="I203" s="41" t="str">
        <f>IFERROR(INDEX(Combined_Data!$N:$N,$O203+1),"")</f>
        <v/>
      </c>
      <c r="J203" s="43" t="str">
        <f>IFERROR(INDEX(Combined_Data!$S:$S,$O203+1),"")</f>
        <v/>
      </c>
      <c r="K203" s="44" t="str">
        <f>IFERROR(INDEX(Combined_Data!$AF:$AF,$O203+1),"")</f>
        <v/>
      </c>
      <c r="L203" s="41" t="str">
        <f>IFERROR(INDEX(Combined_Data!$AG:$AG,$O203+1),"")</f>
        <v/>
      </c>
      <c r="M203" s="41" t="str">
        <f>IFERROR(INDEX(Combined_Data!$AH:$AH,$O203+1),"")</f>
        <v/>
      </c>
      <c r="O203" t="str">
        <f>IFERROR(_xlfn.AGGREGATE(15,6,(ROW(Combined_Data!$AI$2:$AI$3001)-1)/(Combined_Data!$AI$2:$AI$3001),169),"")</f>
        <v/>
      </c>
    </row>
    <row r="204" spans="1:15" ht="15" customHeight="1" x14ac:dyDescent="0.3">
      <c r="A204" s="41" t="str">
        <f>IFERROR(INDEX(Combined_Data!$C:$C,$O204+1),"")</f>
        <v/>
      </c>
      <c r="B204" s="41" t="str">
        <f>IFERROR(INDEX(Combined_Data!$E:$E,$O204+1),"")</f>
        <v/>
      </c>
      <c r="C204" s="41" t="str">
        <f>IFERROR(INDEX(Combined_Data!$B:$B,$O204+1),"")</f>
        <v/>
      </c>
      <c r="D204" s="41" t="str">
        <f>IFERROR(INDEX(Combined_Data!$D:$D,$O204+1),"")</f>
        <v/>
      </c>
      <c r="E204" s="41" t="str">
        <f>IFERROR(INDEX(Combined_Data!$G:$G,$O204+1),"")</f>
        <v/>
      </c>
      <c r="F204" s="42" t="str">
        <f>IFERROR(INDEX(Combined_Data!$I:$I,$O204+1),"")</f>
        <v/>
      </c>
      <c r="G204" s="41" t="str">
        <f>IFERROR(INDEX(Combined_Data!$K:$K,$O204+1),"")</f>
        <v/>
      </c>
      <c r="H204" s="41" t="str">
        <f>IFERROR(INDEX(Combined_Data!$M:$M,$O204+1),"")</f>
        <v/>
      </c>
      <c r="I204" s="41" t="str">
        <f>IFERROR(INDEX(Combined_Data!$N:$N,$O204+1),"")</f>
        <v/>
      </c>
      <c r="J204" s="43" t="str">
        <f>IFERROR(INDEX(Combined_Data!$S:$S,$O204+1),"")</f>
        <v/>
      </c>
      <c r="K204" s="44" t="str">
        <f>IFERROR(INDEX(Combined_Data!$AF:$AF,$O204+1),"")</f>
        <v/>
      </c>
      <c r="L204" s="41" t="str">
        <f>IFERROR(INDEX(Combined_Data!$AG:$AG,$O204+1),"")</f>
        <v/>
      </c>
      <c r="M204" s="41" t="str">
        <f>IFERROR(INDEX(Combined_Data!$AH:$AH,$O204+1),"")</f>
        <v/>
      </c>
      <c r="O204" t="str">
        <f>IFERROR(_xlfn.AGGREGATE(15,6,(ROW(Combined_Data!$AI$2:$AI$3001)-1)/(Combined_Data!$AI$2:$AI$3001),170),"")</f>
        <v/>
      </c>
    </row>
    <row r="205" spans="1:15" ht="15" customHeight="1" x14ac:dyDescent="0.3">
      <c r="A205" s="41" t="str">
        <f>IFERROR(INDEX(Combined_Data!$C:$C,$O205+1),"")</f>
        <v/>
      </c>
      <c r="B205" s="41" t="str">
        <f>IFERROR(INDEX(Combined_Data!$E:$E,$O205+1),"")</f>
        <v/>
      </c>
      <c r="C205" s="41" t="str">
        <f>IFERROR(INDEX(Combined_Data!$B:$B,$O205+1),"")</f>
        <v/>
      </c>
      <c r="D205" s="41" t="str">
        <f>IFERROR(INDEX(Combined_Data!$D:$D,$O205+1),"")</f>
        <v/>
      </c>
      <c r="E205" s="41" t="str">
        <f>IFERROR(INDEX(Combined_Data!$G:$G,$O205+1),"")</f>
        <v/>
      </c>
      <c r="F205" s="42" t="str">
        <f>IFERROR(INDEX(Combined_Data!$I:$I,$O205+1),"")</f>
        <v/>
      </c>
      <c r="G205" s="41" t="str">
        <f>IFERROR(INDEX(Combined_Data!$K:$K,$O205+1),"")</f>
        <v/>
      </c>
      <c r="H205" s="41" t="str">
        <f>IFERROR(INDEX(Combined_Data!$M:$M,$O205+1),"")</f>
        <v/>
      </c>
      <c r="I205" s="41" t="str">
        <f>IFERROR(INDEX(Combined_Data!$N:$N,$O205+1),"")</f>
        <v/>
      </c>
      <c r="J205" s="43" t="str">
        <f>IFERROR(INDEX(Combined_Data!$S:$S,$O205+1),"")</f>
        <v/>
      </c>
      <c r="K205" s="44" t="str">
        <f>IFERROR(INDEX(Combined_Data!$AF:$AF,$O205+1),"")</f>
        <v/>
      </c>
      <c r="L205" s="41" t="str">
        <f>IFERROR(INDEX(Combined_Data!$AG:$AG,$O205+1),"")</f>
        <v/>
      </c>
      <c r="M205" s="41" t="str">
        <f>IFERROR(INDEX(Combined_Data!$AH:$AH,$O205+1),"")</f>
        <v/>
      </c>
      <c r="O205" t="str">
        <f>IFERROR(_xlfn.AGGREGATE(15,6,(ROW(Combined_Data!$AI$2:$AI$3001)-1)/(Combined_Data!$AI$2:$AI$3001),171),"")</f>
        <v/>
      </c>
    </row>
    <row r="206" spans="1:15" ht="15" customHeight="1" x14ac:dyDescent="0.3">
      <c r="A206" s="41" t="str">
        <f>IFERROR(INDEX(Combined_Data!$C:$C,$O206+1),"")</f>
        <v/>
      </c>
      <c r="B206" s="41" t="str">
        <f>IFERROR(INDEX(Combined_Data!$E:$E,$O206+1),"")</f>
        <v/>
      </c>
      <c r="C206" s="41" t="str">
        <f>IFERROR(INDEX(Combined_Data!$B:$B,$O206+1),"")</f>
        <v/>
      </c>
      <c r="D206" s="41" t="str">
        <f>IFERROR(INDEX(Combined_Data!$D:$D,$O206+1),"")</f>
        <v/>
      </c>
      <c r="E206" s="41" t="str">
        <f>IFERROR(INDEX(Combined_Data!$G:$G,$O206+1),"")</f>
        <v/>
      </c>
      <c r="F206" s="42" t="str">
        <f>IFERROR(INDEX(Combined_Data!$I:$I,$O206+1),"")</f>
        <v/>
      </c>
      <c r="G206" s="41" t="str">
        <f>IFERROR(INDEX(Combined_Data!$K:$K,$O206+1),"")</f>
        <v/>
      </c>
      <c r="H206" s="41" t="str">
        <f>IFERROR(INDEX(Combined_Data!$M:$M,$O206+1),"")</f>
        <v/>
      </c>
      <c r="I206" s="41" t="str">
        <f>IFERROR(INDEX(Combined_Data!$N:$N,$O206+1),"")</f>
        <v/>
      </c>
      <c r="J206" s="43" t="str">
        <f>IFERROR(INDEX(Combined_Data!$S:$S,$O206+1),"")</f>
        <v/>
      </c>
      <c r="K206" s="44" t="str">
        <f>IFERROR(INDEX(Combined_Data!$AF:$AF,$O206+1),"")</f>
        <v/>
      </c>
      <c r="L206" s="41" t="str">
        <f>IFERROR(INDEX(Combined_Data!$AG:$AG,$O206+1),"")</f>
        <v/>
      </c>
      <c r="M206" s="41" t="str">
        <f>IFERROR(INDEX(Combined_Data!$AH:$AH,$O206+1),"")</f>
        <v/>
      </c>
      <c r="O206" t="str">
        <f>IFERROR(_xlfn.AGGREGATE(15,6,(ROW(Combined_Data!$AI$2:$AI$3001)-1)/(Combined_Data!$AI$2:$AI$3001),172),"")</f>
        <v/>
      </c>
    </row>
    <row r="207" spans="1:15" ht="15" customHeight="1" x14ac:dyDescent="0.3">
      <c r="A207" s="41" t="str">
        <f>IFERROR(INDEX(Combined_Data!$C:$C,$O207+1),"")</f>
        <v/>
      </c>
      <c r="B207" s="41" t="str">
        <f>IFERROR(INDEX(Combined_Data!$E:$E,$O207+1),"")</f>
        <v/>
      </c>
      <c r="C207" s="41" t="str">
        <f>IFERROR(INDEX(Combined_Data!$B:$B,$O207+1),"")</f>
        <v/>
      </c>
      <c r="D207" s="41" t="str">
        <f>IFERROR(INDEX(Combined_Data!$D:$D,$O207+1),"")</f>
        <v/>
      </c>
      <c r="E207" s="41" t="str">
        <f>IFERROR(INDEX(Combined_Data!$G:$G,$O207+1),"")</f>
        <v/>
      </c>
      <c r="F207" s="42" t="str">
        <f>IFERROR(INDEX(Combined_Data!$I:$I,$O207+1),"")</f>
        <v/>
      </c>
      <c r="G207" s="41" t="str">
        <f>IFERROR(INDEX(Combined_Data!$K:$K,$O207+1),"")</f>
        <v/>
      </c>
      <c r="H207" s="41" t="str">
        <f>IFERROR(INDEX(Combined_Data!$M:$M,$O207+1),"")</f>
        <v/>
      </c>
      <c r="I207" s="41" t="str">
        <f>IFERROR(INDEX(Combined_Data!$N:$N,$O207+1),"")</f>
        <v/>
      </c>
      <c r="J207" s="43" t="str">
        <f>IFERROR(INDEX(Combined_Data!$S:$S,$O207+1),"")</f>
        <v/>
      </c>
      <c r="K207" s="44" t="str">
        <f>IFERROR(INDEX(Combined_Data!$AF:$AF,$O207+1),"")</f>
        <v/>
      </c>
      <c r="L207" s="41" t="str">
        <f>IFERROR(INDEX(Combined_Data!$AG:$AG,$O207+1),"")</f>
        <v/>
      </c>
      <c r="M207" s="41" t="str">
        <f>IFERROR(INDEX(Combined_Data!$AH:$AH,$O207+1),"")</f>
        <v/>
      </c>
      <c r="O207" t="str">
        <f>IFERROR(_xlfn.AGGREGATE(15,6,(ROW(Combined_Data!$AI$2:$AI$3001)-1)/(Combined_Data!$AI$2:$AI$3001),173),"")</f>
        <v/>
      </c>
    </row>
    <row r="208" spans="1:15" ht="15" customHeight="1" x14ac:dyDescent="0.3">
      <c r="A208" s="41" t="str">
        <f>IFERROR(INDEX(Combined_Data!$C:$C,$O208+1),"")</f>
        <v/>
      </c>
      <c r="B208" s="41" t="str">
        <f>IFERROR(INDEX(Combined_Data!$E:$E,$O208+1),"")</f>
        <v/>
      </c>
      <c r="C208" s="41" t="str">
        <f>IFERROR(INDEX(Combined_Data!$B:$B,$O208+1),"")</f>
        <v/>
      </c>
      <c r="D208" s="41" t="str">
        <f>IFERROR(INDEX(Combined_Data!$D:$D,$O208+1),"")</f>
        <v/>
      </c>
      <c r="E208" s="41" t="str">
        <f>IFERROR(INDEX(Combined_Data!$G:$G,$O208+1),"")</f>
        <v/>
      </c>
      <c r="F208" s="42" t="str">
        <f>IFERROR(INDEX(Combined_Data!$I:$I,$O208+1),"")</f>
        <v/>
      </c>
      <c r="G208" s="41" t="str">
        <f>IFERROR(INDEX(Combined_Data!$K:$K,$O208+1),"")</f>
        <v/>
      </c>
      <c r="H208" s="41" t="str">
        <f>IFERROR(INDEX(Combined_Data!$M:$M,$O208+1),"")</f>
        <v/>
      </c>
      <c r="I208" s="41" t="str">
        <f>IFERROR(INDEX(Combined_Data!$N:$N,$O208+1),"")</f>
        <v/>
      </c>
      <c r="J208" s="43" t="str">
        <f>IFERROR(INDEX(Combined_Data!$S:$S,$O208+1),"")</f>
        <v/>
      </c>
      <c r="K208" s="44" t="str">
        <f>IFERROR(INDEX(Combined_Data!$AF:$AF,$O208+1),"")</f>
        <v/>
      </c>
      <c r="L208" s="41" t="str">
        <f>IFERROR(INDEX(Combined_Data!$AG:$AG,$O208+1),"")</f>
        <v/>
      </c>
      <c r="M208" s="41" t="str">
        <f>IFERROR(INDEX(Combined_Data!$AH:$AH,$O208+1),"")</f>
        <v/>
      </c>
      <c r="O208" t="str">
        <f>IFERROR(_xlfn.AGGREGATE(15,6,(ROW(Combined_Data!$AI$2:$AI$3001)-1)/(Combined_Data!$AI$2:$AI$3001),174),"")</f>
        <v/>
      </c>
    </row>
    <row r="209" spans="1:15" ht="15" customHeight="1" x14ac:dyDescent="0.3">
      <c r="A209" s="41" t="str">
        <f>IFERROR(INDEX(Combined_Data!$C:$C,$O209+1),"")</f>
        <v/>
      </c>
      <c r="B209" s="41" t="str">
        <f>IFERROR(INDEX(Combined_Data!$E:$E,$O209+1),"")</f>
        <v/>
      </c>
      <c r="C209" s="41" t="str">
        <f>IFERROR(INDEX(Combined_Data!$B:$B,$O209+1),"")</f>
        <v/>
      </c>
      <c r="D209" s="41" t="str">
        <f>IFERROR(INDEX(Combined_Data!$D:$D,$O209+1),"")</f>
        <v/>
      </c>
      <c r="E209" s="41" t="str">
        <f>IFERROR(INDEX(Combined_Data!$G:$G,$O209+1),"")</f>
        <v/>
      </c>
      <c r="F209" s="42" t="str">
        <f>IFERROR(INDEX(Combined_Data!$I:$I,$O209+1),"")</f>
        <v/>
      </c>
      <c r="G209" s="41" t="str">
        <f>IFERROR(INDEX(Combined_Data!$K:$K,$O209+1),"")</f>
        <v/>
      </c>
      <c r="H209" s="41" t="str">
        <f>IFERROR(INDEX(Combined_Data!$M:$M,$O209+1),"")</f>
        <v/>
      </c>
      <c r="I209" s="41" t="str">
        <f>IFERROR(INDEX(Combined_Data!$N:$N,$O209+1),"")</f>
        <v/>
      </c>
      <c r="J209" s="43" t="str">
        <f>IFERROR(INDEX(Combined_Data!$S:$S,$O209+1),"")</f>
        <v/>
      </c>
      <c r="K209" s="44" t="str">
        <f>IFERROR(INDEX(Combined_Data!$AF:$AF,$O209+1),"")</f>
        <v/>
      </c>
      <c r="L209" s="41" t="str">
        <f>IFERROR(INDEX(Combined_Data!$AG:$AG,$O209+1),"")</f>
        <v/>
      </c>
      <c r="M209" s="41" t="str">
        <f>IFERROR(INDEX(Combined_Data!$AH:$AH,$O209+1),"")</f>
        <v/>
      </c>
      <c r="O209" t="str">
        <f>IFERROR(_xlfn.AGGREGATE(15,6,(ROW(Combined_Data!$AI$2:$AI$3001)-1)/(Combined_Data!$AI$2:$AI$3001),175),"")</f>
        <v/>
      </c>
    </row>
    <row r="210" spans="1:15" ht="15" customHeight="1" x14ac:dyDescent="0.3">
      <c r="A210" s="41" t="str">
        <f>IFERROR(INDEX(Combined_Data!$C:$C,$O210+1),"")</f>
        <v/>
      </c>
      <c r="B210" s="41" t="str">
        <f>IFERROR(INDEX(Combined_Data!$E:$E,$O210+1),"")</f>
        <v/>
      </c>
      <c r="C210" s="41" t="str">
        <f>IFERROR(INDEX(Combined_Data!$B:$B,$O210+1),"")</f>
        <v/>
      </c>
      <c r="D210" s="41" t="str">
        <f>IFERROR(INDEX(Combined_Data!$D:$D,$O210+1),"")</f>
        <v/>
      </c>
      <c r="E210" s="41" t="str">
        <f>IFERROR(INDEX(Combined_Data!$G:$G,$O210+1),"")</f>
        <v/>
      </c>
      <c r="F210" s="42" t="str">
        <f>IFERROR(INDEX(Combined_Data!$I:$I,$O210+1),"")</f>
        <v/>
      </c>
      <c r="G210" s="41" t="str">
        <f>IFERROR(INDEX(Combined_Data!$K:$K,$O210+1),"")</f>
        <v/>
      </c>
      <c r="H210" s="41" t="str">
        <f>IFERROR(INDEX(Combined_Data!$M:$M,$O210+1),"")</f>
        <v/>
      </c>
      <c r="I210" s="41" t="str">
        <f>IFERROR(INDEX(Combined_Data!$N:$N,$O210+1),"")</f>
        <v/>
      </c>
      <c r="J210" s="43" t="str">
        <f>IFERROR(INDEX(Combined_Data!$S:$S,$O210+1),"")</f>
        <v/>
      </c>
      <c r="K210" s="44" t="str">
        <f>IFERROR(INDEX(Combined_Data!$AF:$AF,$O210+1),"")</f>
        <v/>
      </c>
      <c r="L210" s="41" t="str">
        <f>IFERROR(INDEX(Combined_Data!$AG:$AG,$O210+1),"")</f>
        <v/>
      </c>
      <c r="M210" s="41" t="str">
        <f>IFERROR(INDEX(Combined_Data!$AH:$AH,$O210+1),"")</f>
        <v/>
      </c>
      <c r="O210" t="str">
        <f>IFERROR(_xlfn.AGGREGATE(15,6,(ROW(Combined_Data!$AI$2:$AI$3001)-1)/(Combined_Data!$AI$2:$AI$3001),176),"")</f>
        <v/>
      </c>
    </row>
    <row r="211" spans="1:15" ht="15" customHeight="1" x14ac:dyDescent="0.3">
      <c r="A211" s="41" t="str">
        <f>IFERROR(INDEX(Combined_Data!$C:$C,$O211+1),"")</f>
        <v/>
      </c>
      <c r="B211" s="41" t="str">
        <f>IFERROR(INDEX(Combined_Data!$E:$E,$O211+1),"")</f>
        <v/>
      </c>
      <c r="C211" s="41" t="str">
        <f>IFERROR(INDEX(Combined_Data!$B:$B,$O211+1),"")</f>
        <v/>
      </c>
      <c r="D211" s="41" t="str">
        <f>IFERROR(INDEX(Combined_Data!$D:$D,$O211+1),"")</f>
        <v/>
      </c>
      <c r="E211" s="41" t="str">
        <f>IFERROR(INDEX(Combined_Data!$G:$G,$O211+1),"")</f>
        <v/>
      </c>
      <c r="F211" s="42" t="str">
        <f>IFERROR(INDEX(Combined_Data!$I:$I,$O211+1),"")</f>
        <v/>
      </c>
      <c r="G211" s="41" t="str">
        <f>IFERROR(INDEX(Combined_Data!$K:$K,$O211+1),"")</f>
        <v/>
      </c>
      <c r="H211" s="41" t="str">
        <f>IFERROR(INDEX(Combined_Data!$M:$M,$O211+1),"")</f>
        <v/>
      </c>
      <c r="I211" s="41" t="str">
        <f>IFERROR(INDEX(Combined_Data!$N:$N,$O211+1),"")</f>
        <v/>
      </c>
      <c r="J211" s="43" t="str">
        <f>IFERROR(INDEX(Combined_Data!$S:$S,$O211+1),"")</f>
        <v/>
      </c>
      <c r="K211" s="44" t="str">
        <f>IFERROR(INDEX(Combined_Data!$AF:$AF,$O211+1),"")</f>
        <v/>
      </c>
      <c r="L211" s="41" t="str">
        <f>IFERROR(INDEX(Combined_Data!$AG:$AG,$O211+1),"")</f>
        <v/>
      </c>
      <c r="M211" s="41" t="str">
        <f>IFERROR(INDEX(Combined_Data!$AH:$AH,$O211+1),"")</f>
        <v/>
      </c>
      <c r="O211" t="str">
        <f>IFERROR(_xlfn.AGGREGATE(15,6,(ROW(Combined_Data!$AI$2:$AI$3001)-1)/(Combined_Data!$AI$2:$AI$3001),177),"")</f>
        <v/>
      </c>
    </row>
    <row r="212" spans="1:15" ht="15" customHeight="1" x14ac:dyDescent="0.3">
      <c r="A212" s="41" t="str">
        <f>IFERROR(INDEX(Combined_Data!$C:$C,$O212+1),"")</f>
        <v/>
      </c>
      <c r="B212" s="41" t="str">
        <f>IFERROR(INDEX(Combined_Data!$E:$E,$O212+1),"")</f>
        <v/>
      </c>
      <c r="C212" s="41" t="str">
        <f>IFERROR(INDEX(Combined_Data!$B:$B,$O212+1),"")</f>
        <v/>
      </c>
      <c r="D212" s="41" t="str">
        <f>IFERROR(INDEX(Combined_Data!$D:$D,$O212+1),"")</f>
        <v/>
      </c>
      <c r="E212" s="41" t="str">
        <f>IFERROR(INDEX(Combined_Data!$G:$G,$O212+1),"")</f>
        <v/>
      </c>
      <c r="F212" s="42" t="str">
        <f>IFERROR(INDEX(Combined_Data!$I:$I,$O212+1),"")</f>
        <v/>
      </c>
      <c r="G212" s="41" t="str">
        <f>IFERROR(INDEX(Combined_Data!$K:$K,$O212+1),"")</f>
        <v/>
      </c>
      <c r="H212" s="41" t="str">
        <f>IFERROR(INDEX(Combined_Data!$M:$M,$O212+1),"")</f>
        <v/>
      </c>
      <c r="I212" s="41" t="str">
        <f>IFERROR(INDEX(Combined_Data!$N:$N,$O212+1),"")</f>
        <v/>
      </c>
      <c r="J212" s="43" t="str">
        <f>IFERROR(INDEX(Combined_Data!$S:$S,$O212+1),"")</f>
        <v/>
      </c>
      <c r="K212" s="44" t="str">
        <f>IFERROR(INDEX(Combined_Data!$AF:$AF,$O212+1),"")</f>
        <v/>
      </c>
      <c r="L212" s="41" t="str">
        <f>IFERROR(INDEX(Combined_Data!$AG:$AG,$O212+1),"")</f>
        <v/>
      </c>
      <c r="M212" s="41" t="str">
        <f>IFERROR(INDEX(Combined_Data!$AH:$AH,$O212+1),"")</f>
        <v/>
      </c>
      <c r="O212" t="str">
        <f>IFERROR(_xlfn.AGGREGATE(15,6,(ROW(Combined_Data!$AI$2:$AI$3001)-1)/(Combined_Data!$AI$2:$AI$3001),178),"")</f>
        <v/>
      </c>
    </row>
    <row r="213" spans="1:15" ht="15" customHeight="1" x14ac:dyDescent="0.3">
      <c r="A213" s="41" t="str">
        <f>IFERROR(INDEX(Combined_Data!$C:$C,$O213+1),"")</f>
        <v/>
      </c>
      <c r="B213" s="41" t="str">
        <f>IFERROR(INDEX(Combined_Data!$E:$E,$O213+1),"")</f>
        <v/>
      </c>
      <c r="C213" s="41" t="str">
        <f>IFERROR(INDEX(Combined_Data!$B:$B,$O213+1),"")</f>
        <v/>
      </c>
      <c r="D213" s="41" t="str">
        <f>IFERROR(INDEX(Combined_Data!$D:$D,$O213+1),"")</f>
        <v/>
      </c>
      <c r="E213" s="41" t="str">
        <f>IFERROR(INDEX(Combined_Data!$G:$G,$O213+1),"")</f>
        <v/>
      </c>
      <c r="F213" s="42" t="str">
        <f>IFERROR(INDEX(Combined_Data!$I:$I,$O213+1),"")</f>
        <v/>
      </c>
      <c r="G213" s="41" t="str">
        <f>IFERROR(INDEX(Combined_Data!$K:$K,$O213+1),"")</f>
        <v/>
      </c>
      <c r="H213" s="41" t="str">
        <f>IFERROR(INDEX(Combined_Data!$M:$M,$O213+1),"")</f>
        <v/>
      </c>
      <c r="I213" s="41" t="str">
        <f>IFERROR(INDEX(Combined_Data!$N:$N,$O213+1),"")</f>
        <v/>
      </c>
      <c r="J213" s="43" t="str">
        <f>IFERROR(INDEX(Combined_Data!$S:$S,$O213+1),"")</f>
        <v/>
      </c>
      <c r="K213" s="44" t="str">
        <f>IFERROR(INDEX(Combined_Data!$AF:$AF,$O213+1),"")</f>
        <v/>
      </c>
      <c r="L213" s="41" t="str">
        <f>IFERROR(INDEX(Combined_Data!$AG:$AG,$O213+1),"")</f>
        <v/>
      </c>
      <c r="M213" s="41" t="str">
        <f>IFERROR(INDEX(Combined_Data!$AH:$AH,$O213+1),"")</f>
        <v/>
      </c>
      <c r="O213" t="str">
        <f>IFERROR(_xlfn.AGGREGATE(15,6,(ROW(Combined_Data!$AI$2:$AI$3001)-1)/(Combined_Data!$AI$2:$AI$3001),179),"")</f>
        <v/>
      </c>
    </row>
    <row r="214" spans="1:15" ht="15" customHeight="1" x14ac:dyDescent="0.3">
      <c r="A214" s="41" t="str">
        <f>IFERROR(INDEX(Combined_Data!$C:$C,$O214+1),"")</f>
        <v/>
      </c>
      <c r="B214" s="41" t="str">
        <f>IFERROR(INDEX(Combined_Data!$E:$E,$O214+1),"")</f>
        <v/>
      </c>
      <c r="C214" s="41" t="str">
        <f>IFERROR(INDEX(Combined_Data!$B:$B,$O214+1),"")</f>
        <v/>
      </c>
      <c r="D214" s="41" t="str">
        <f>IFERROR(INDEX(Combined_Data!$D:$D,$O214+1),"")</f>
        <v/>
      </c>
      <c r="E214" s="41" t="str">
        <f>IFERROR(INDEX(Combined_Data!$G:$G,$O214+1),"")</f>
        <v/>
      </c>
      <c r="F214" s="42" t="str">
        <f>IFERROR(INDEX(Combined_Data!$I:$I,$O214+1),"")</f>
        <v/>
      </c>
      <c r="G214" s="41" t="str">
        <f>IFERROR(INDEX(Combined_Data!$K:$K,$O214+1),"")</f>
        <v/>
      </c>
      <c r="H214" s="41" t="str">
        <f>IFERROR(INDEX(Combined_Data!$M:$M,$O214+1),"")</f>
        <v/>
      </c>
      <c r="I214" s="41" t="str">
        <f>IFERROR(INDEX(Combined_Data!$N:$N,$O214+1),"")</f>
        <v/>
      </c>
      <c r="J214" s="43" t="str">
        <f>IFERROR(INDEX(Combined_Data!$S:$S,$O214+1),"")</f>
        <v/>
      </c>
      <c r="K214" s="44" t="str">
        <f>IFERROR(INDEX(Combined_Data!$AF:$AF,$O214+1),"")</f>
        <v/>
      </c>
      <c r="L214" s="41" t="str">
        <f>IFERROR(INDEX(Combined_Data!$AG:$AG,$O214+1),"")</f>
        <v/>
      </c>
      <c r="M214" s="41" t="str">
        <f>IFERROR(INDEX(Combined_Data!$AH:$AH,$O214+1),"")</f>
        <v/>
      </c>
      <c r="O214" t="str">
        <f>IFERROR(_xlfn.AGGREGATE(15,6,(ROW(Combined_Data!$AI$2:$AI$3001)-1)/(Combined_Data!$AI$2:$AI$3001),180),"")</f>
        <v/>
      </c>
    </row>
    <row r="215" spans="1:15" ht="15" customHeight="1" x14ac:dyDescent="0.3">
      <c r="A215" s="41" t="str">
        <f>IFERROR(INDEX(Combined_Data!$C:$C,$O215+1),"")</f>
        <v/>
      </c>
      <c r="B215" s="41" t="str">
        <f>IFERROR(INDEX(Combined_Data!$E:$E,$O215+1),"")</f>
        <v/>
      </c>
      <c r="C215" s="41" t="str">
        <f>IFERROR(INDEX(Combined_Data!$B:$B,$O215+1),"")</f>
        <v/>
      </c>
      <c r="D215" s="41" t="str">
        <f>IFERROR(INDEX(Combined_Data!$D:$D,$O215+1),"")</f>
        <v/>
      </c>
      <c r="E215" s="41" t="str">
        <f>IFERROR(INDEX(Combined_Data!$G:$G,$O215+1),"")</f>
        <v/>
      </c>
      <c r="F215" s="42" t="str">
        <f>IFERROR(INDEX(Combined_Data!$I:$I,$O215+1),"")</f>
        <v/>
      </c>
      <c r="G215" s="41" t="str">
        <f>IFERROR(INDEX(Combined_Data!$K:$K,$O215+1),"")</f>
        <v/>
      </c>
      <c r="H215" s="41" t="str">
        <f>IFERROR(INDEX(Combined_Data!$M:$M,$O215+1),"")</f>
        <v/>
      </c>
      <c r="I215" s="41" t="str">
        <f>IFERROR(INDEX(Combined_Data!$N:$N,$O215+1),"")</f>
        <v/>
      </c>
      <c r="J215" s="43" t="str">
        <f>IFERROR(INDEX(Combined_Data!$S:$S,$O215+1),"")</f>
        <v/>
      </c>
      <c r="K215" s="44" t="str">
        <f>IFERROR(INDEX(Combined_Data!$AF:$AF,$O215+1),"")</f>
        <v/>
      </c>
      <c r="L215" s="41" t="str">
        <f>IFERROR(INDEX(Combined_Data!$AG:$AG,$O215+1),"")</f>
        <v/>
      </c>
      <c r="M215" s="41" t="str">
        <f>IFERROR(INDEX(Combined_Data!$AH:$AH,$O215+1),"")</f>
        <v/>
      </c>
      <c r="O215" t="str">
        <f>IFERROR(_xlfn.AGGREGATE(15,6,(ROW(Combined_Data!$AI$2:$AI$3001)-1)/(Combined_Data!$AI$2:$AI$3001),181),"")</f>
        <v/>
      </c>
    </row>
    <row r="216" spans="1:15" ht="15" customHeight="1" x14ac:dyDescent="0.3">
      <c r="A216" s="41" t="str">
        <f>IFERROR(INDEX(Combined_Data!$C:$C,$O216+1),"")</f>
        <v/>
      </c>
      <c r="B216" s="41" t="str">
        <f>IFERROR(INDEX(Combined_Data!$E:$E,$O216+1),"")</f>
        <v/>
      </c>
      <c r="C216" s="41" t="str">
        <f>IFERROR(INDEX(Combined_Data!$B:$B,$O216+1),"")</f>
        <v/>
      </c>
      <c r="D216" s="41" t="str">
        <f>IFERROR(INDEX(Combined_Data!$D:$D,$O216+1),"")</f>
        <v/>
      </c>
      <c r="E216" s="41" t="str">
        <f>IFERROR(INDEX(Combined_Data!$G:$G,$O216+1),"")</f>
        <v/>
      </c>
      <c r="F216" s="42" t="str">
        <f>IFERROR(INDEX(Combined_Data!$I:$I,$O216+1),"")</f>
        <v/>
      </c>
      <c r="G216" s="41" t="str">
        <f>IFERROR(INDEX(Combined_Data!$K:$K,$O216+1),"")</f>
        <v/>
      </c>
      <c r="H216" s="41" t="str">
        <f>IFERROR(INDEX(Combined_Data!$M:$M,$O216+1),"")</f>
        <v/>
      </c>
      <c r="I216" s="41" t="str">
        <f>IFERROR(INDEX(Combined_Data!$N:$N,$O216+1),"")</f>
        <v/>
      </c>
      <c r="J216" s="43" t="str">
        <f>IFERROR(INDEX(Combined_Data!$S:$S,$O216+1),"")</f>
        <v/>
      </c>
      <c r="K216" s="44" t="str">
        <f>IFERROR(INDEX(Combined_Data!$AF:$AF,$O216+1),"")</f>
        <v/>
      </c>
      <c r="L216" s="41" t="str">
        <f>IFERROR(INDEX(Combined_Data!$AG:$AG,$O216+1),"")</f>
        <v/>
      </c>
      <c r="M216" s="41" t="str">
        <f>IFERROR(INDEX(Combined_Data!$AH:$AH,$O216+1),"")</f>
        <v/>
      </c>
      <c r="O216" t="str">
        <f>IFERROR(_xlfn.AGGREGATE(15,6,(ROW(Combined_Data!$AI$2:$AI$3001)-1)/(Combined_Data!$AI$2:$AI$3001),182),"")</f>
        <v/>
      </c>
    </row>
    <row r="217" spans="1:15" ht="15" customHeight="1" x14ac:dyDescent="0.3">
      <c r="A217" s="41" t="str">
        <f>IFERROR(INDEX(Combined_Data!$C:$C,$O217+1),"")</f>
        <v/>
      </c>
      <c r="B217" s="41" t="str">
        <f>IFERROR(INDEX(Combined_Data!$E:$E,$O217+1),"")</f>
        <v/>
      </c>
      <c r="C217" s="41" t="str">
        <f>IFERROR(INDEX(Combined_Data!$B:$B,$O217+1),"")</f>
        <v/>
      </c>
      <c r="D217" s="41" t="str">
        <f>IFERROR(INDEX(Combined_Data!$D:$D,$O217+1),"")</f>
        <v/>
      </c>
      <c r="E217" s="41" t="str">
        <f>IFERROR(INDEX(Combined_Data!$G:$G,$O217+1),"")</f>
        <v/>
      </c>
      <c r="F217" s="42" t="str">
        <f>IFERROR(INDEX(Combined_Data!$I:$I,$O217+1),"")</f>
        <v/>
      </c>
      <c r="G217" s="41" t="str">
        <f>IFERROR(INDEX(Combined_Data!$K:$K,$O217+1),"")</f>
        <v/>
      </c>
      <c r="H217" s="41" t="str">
        <f>IFERROR(INDEX(Combined_Data!$M:$M,$O217+1),"")</f>
        <v/>
      </c>
      <c r="I217" s="41" t="str">
        <f>IFERROR(INDEX(Combined_Data!$N:$N,$O217+1),"")</f>
        <v/>
      </c>
      <c r="J217" s="43" t="str">
        <f>IFERROR(INDEX(Combined_Data!$S:$S,$O217+1),"")</f>
        <v/>
      </c>
      <c r="K217" s="44" t="str">
        <f>IFERROR(INDEX(Combined_Data!$AF:$AF,$O217+1),"")</f>
        <v/>
      </c>
      <c r="L217" s="41" t="str">
        <f>IFERROR(INDEX(Combined_Data!$AG:$AG,$O217+1),"")</f>
        <v/>
      </c>
      <c r="M217" s="41" t="str">
        <f>IFERROR(INDEX(Combined_Data!$AH:$AH,$O217+1),"")</f>
        <v/>
      </c>
      <c r="O217" t="str">
        <f>IFERROR(_xlfn.AGGREGATE(15,6,(ROW(Combined_Data!$AI$2:$AI$3001)-1)/(Combined_Data!$AI$2:$AI$3001),183),"")</f>
        <v/>
      </c>
    </row>
    <row r="218" spans="1:15" ht="15" customHeight="1" x14ac:dyDescent="0.3">
      <c r="A218" s="41" t="str">
        <f>IFERROR(INDEX(Combined_Data!$C:$C,$O218+1),"")</f>
        <v/>
      </c>
      <c r="B218" s="41" t="str">
        <f>IFERROR(INDEX(Combined_Data!$E:$E,$O218+1),"")</f>
        <v/>
      </c>
      <c r="C218" s="41" t="str">
        <f>IFERROR(INDEX(Combined_Data!$B:$B,$O218+1),"")</f>
        <v/>
      </c>
      <c r="D218" s="41" t="str">
        <f>IFERROR(INDEX(Combined_Data!$D:$D,$O218+1),"")</f>
        <v/>
      </c>
      <c r="E218" s="41" t="str">
        <f>IFERROR(INDEX(Combined_Data!$G:$G,$O218+1),"")</f>
        <v/>
      </c>
      <c r="F218" s="42" t="str">
        <f>IFERROR(INDEX(Combined_Data!$I:$I,$O218+1),"")</f>
        <v/>
      </c>
      <c r="G218" s="41" t="str">
        <f>IFERROR(INDEX(Combined_Data!$K:$K,$O218+1),"")</f>
        <v/>
      </c>
      <c r="H218" s="41" t="str">
        <f>IFERROR(INDEX(Combined_Data!$M:$M,$O218+1),"")</f>
        <v/>
      </c>
      <c r="I218" s="41" t="str">
        <f>IFERROR(INDEX(Combined_Data!$N:$N,$O218+1),"")</f>
        <v/>
      </c>
      <c r="J218" s="43" t="str">
        <f>IFERROR(INDEX(Combined_Data!$S:$S,$O218+1),"")</f>
        <v/>
      </c>
      <c r="K218" s="44" t="str">
        <f>IFERROR(INDEX(Combined_Data!$AF:$AF,$O218+1),"")</f>
        <v/>
      </c>
      <c r="L218" s="41" t="str">
        <f>IFERROR(INDEX(Combined_Data!$AG:$AG,$O218+1),"")</f>
        <v/>
      </c>
      <c r="M218" s="41" t="str">
        <f>IFERROR(INDEX(Combined_Data!$AH:$AH,$O218+1),"")</f>
        <v/>
      </c>
      <c r="O218" t="str">
        <f>IFERROR(_xlfn.AGGREGATE(15,6,(ROW(Combined_Data!$AI$2:$AI$3001)-1)/(Combined_Data!$AI$2:$AI$3001),184),"")</f>
        <v/>
      </c>
    </row>
    <row r="219" spans="1:15" ht="15" customHeight="1" x14ac:dyDescent="0.3">
      <c r="A219" s="41" t="str">
        <f>IFERROR(INDEX(Combined_Data!$C:$C,$O219+1),"")</f>
        <v/>
      </c>
      <c r="B219" s="41" t="str">
        <f>IFERROR(INDEX(Combined_Data!$E:$E,$O219+1),"")</f>
        <v/>
      </c>
      <c r="C219" s="41" t="str">
        <f>IFERROR(INDEX(Combined_Data!$B:$B,$O219+1),"")</f>
        <v/>
      </c>
      <c r="D219" s="41" t="str">
        <f>IFERROR(INDEX(Combined_Data!$D:$D,$O219+1),"")</f>
        <v/>
      </c>
      <c r="E219" s="41" t="str">
        <f>IFERROR(INDEX(Combined_Data!$G:$G,$O219+1),"")</f>
        <v/>
      </c>
      <c r="F219" s="42" t="str">
        <f>IFERROR(INDEX(Combined_Data!$I:$I,$O219+1),"")</f>
        <v/>
      </c>
      <c r="G219" s="41" t="str">
        <f>IFERROR(INDEX(Combined_Data!$K:$K,$O219+1),"")</f>
        <v/>
      </c>
      <c r="H219" s="41" t="str">
        <f>IFERROR(INDEX(Combined_Data!$M:$M,$O219+1),"")</f>
        <v/>
      </c>
      <c r="I219" s="41" t="str">
        <f>IFERROR(INDEX(Combined_Data!$N:$N,$O219+1),"")</f>
        <v/>
      </c>
      <c r="J219" s="43" t="str">
        <f>IFERROR(INDEX(Combined_Data!$S:$S,$O219+1),"")</f>
        <v/>
      </c>
      <c r="K219" s="44" t="str">
        <f>IFERROR(INDEX(Combined_Data!$AF:$AF,$O219+1),"")</f>
        <v/>
      </c>
      <c r="L219" s="41" t="str">
        <f>IFERROR(INDEX(Combined_Data!$AG:$AG,$O219+1),"")</f>
        <v/>
      </c>
      <c r="M219" s="41" t="str">
        <f>IFERROR(INDEX(Combined_Data!$AH:$AH,$O219+1),"")</f>
        <v/>
      </c>
      <c r="O219" t="str">
        <f>IFERROR(_xlfn.AGGREGATE(15,6,(ROW(Combined_Data!$AI$2:$AI$3001)-1)/(Combined_Data!$AI$2:$AI$3001),185),"")</f>
        <v/>
      </c>
    </row>
    <row r="220" spans="1:15" ht="15" customHeight="1" x14ac:dyDescent="0.3">
      <c r="A220" s="41" t="str">
        <f>IFERROR(INDEX(Combined_Data!$C:$C,$O220+1),"")</f>
        <v/>
      </c>
      <c r="B220" s="41" t="str">
        <f>IFERROR(INDEX(Combined_Data!$E:$E,$O220+1),"")</f>
        <v/>
      </c>
      <c r="C220" s="41" t="str">
        <f>IFERROR(INDEX(Combined_Data!$B:$B,$O220+1),"")</f>
        <v/>
      </c>
      <c r="D220" s="41" t="str">
        <f>IFERROR(INDEX(Combined_Data!$D:$D,$O220+1),"")</f>
        <v/>
      </c>
      <c r="E220" s="41" t="str">
        <f>IFERROR(INDEX(Combined_Data!$G:$G,$O220+1),"")</f>
        <v/>
      </c>
      <c r="F220" s="42" t="str">
        <f>IFERROR(INDEX(Combined_Data!$I:$I,$O220+1),"")</f>
        <v/>
      </c>
      <c r="G220" s="41" t="str">
        <f>IFERROR(INDEX(Combined_Data!$K:$K,$O220+1),"")</f>
        <v/>
      </c>
      <c r="H220" s="41" t="str">
        <f>IFERROR(INDEX(Combined_Data!$M:$M,$O220+1),"")</f>
        <v/>
      </c>
      <c r="I220" s="41" t="str">
        <f>IFERROR(INDEX(Combined_Data!$N:$N,$O220+1),"")</f>
        <v/>
      </c>
      <c r="J220" s="43" t="str">
        <f>IFERROR(INDEX(Combined_Data!$S:$S,$O220+1),"")</f>
        <v/>
      </c>
      <c r="K220" s="44" t="str">
        <f>IFERROR(INDEX(Combined_Data!$AF:$AF,$O220+1),"")</f>
        <v/>
      </c>
      <c r="L220" s="41" t="str">
        <f>IFERROR(INDEX(Combined_Data!$AG:$AG,$O220+1),"")</f>
        <v/>
      </c>
      <c r="M220" s="41" t="str">
        <f>IFERROR(INDEX(Combined_Data!$AH:$AH,$O220+1),"")</f>
        <v/>
      </c>
      <c r="O220" t="str">
        <f>IFERROR(_xlfn.AGGREGATE(15,6,(ROW(Combined_Data!$AI$2:$AI$3001)-1)/(Combined_Data!$AI$2:$AI$3001),186),"")</f>
        <v/>
      </c>
    </row>
    <row r="221" spans="1:15" ht="15" customHeight="1" x14ac:dyDescent="0.3">
      <c r="A221" s="41" t="str">
        <f>IFERROR(INDEX(Combined_Data!$C:$C,$O221+1),"")</f>
        <v/>
      </c>
      <c r="B221" s="41" t="str">
        <f>IFERROR(INDEX(Combined_Data!$E:$E,$O221+1),"")</f>
        <v/>
      </c>
      <c r="C221" s="41" t="str">
        <f>IFERROR(INDEX(Combined_Data!$B:$B,$O221+1),"")</f>
        <v/>
      </c>
      <c r="D221" s="41" t="str">
        <f>IFERROR(INDEX(Combined_Data!$D:$D,$O221+1),"")</f>
        <v/>
      </c>
      <c r="E221" s="41" t="str">
        <f>IFERROR(INDEX(Combined_Data!$G:$G,$O221+1),"")</f>
        <v/>
      </c>
      <c r="F221" s="42" t="str">
        <f>IFERROR(INDEX(Combined_Data!$I:$I,$O221+1),"")</f>
        <v/>
      </c>
      <c r="G221" s="41" t="str">
        <f>IFERROR(INDEX(Combined_Data!$K:$K,$O221+1),"")</f>
        <v/>
      </c>
      <c r="H221" s="41" t="str">
        <f>IFERROR(INDEX(Combined_Data!$M:$M,$O221+1),"")</f>
        <v/>
      </c>
      <c r="I221" s="41" t="str">
        <f>IFERROR(INDEX(Combined_Data!$N:$N,$O221+1),"")</f>
        <v/>
      </c>
      <c r="J221" s="43" t="str">
        <f>IFERROR(INDEX(Combined_Data!$S:$S,$O221+1),"")</f>
        <v/>
      </c>
      <c r="K221" s="44" t="str">
        <f>IFERROR(INDEX(Combined_Data!$AF:$AF,$O221+1),"")</f>
        <v/>
      </c>
      <c r="L221" s="41" t="str">
        <f>IFERROR(INDEX(Combined_Data!$AG:$AG,$O221+1),"")</f>
        <v/>
      </c>
      <c r="M221" s="41" t="str">
        <f>IFERROR(INDEX(Combined_Data!$AH:$AH,$O221+1),"")</f>
        <v/>
      </c>
      <c r="O221" t="str">
        <f>IFERROR(_xlfn.AGGREGATE(15,6,(ROW(Combined_Data!$AI$2:$AI$3001)-1)/(Combined_Data!$AI$2:$AI$3001),187),"")</f>
        <v/>
      </c>
    </row>
    <row r="222" spans="1:15" ht="15" customHeight="1" x14ac:dyDescent="0.3">
      <c r="A222" s="41" t="str">
        <f>IFERROR(INDEX(Combined_Data!$C:$C,$O222+1),"")</f>
        <v/>
      </c>
      <c r="B222" s="41" t="str">
        <f>IFERROR(INDEX(Combined_Data!$E:$E,$O222+1),"")</f>
        <v/>
      </c>
      <c r="C222" s="41" t="str">
        <f>IFERROR(INDEX(Combined_Data!$B:$B,$O222+1),"")</f>
        <v/>
      </c>
      <c r="D222" s="41" t="str">
        <f>IFERROR(INDEX(Combined_Data!$D:$D,$O222+1),"")</f>
        <v/>
      </c>
      <c r="E222" s="41" t="str">
        <f>IFERROR(INDEX(Combined_Data!$G:$G,$O222+1),"")</f>
        <v/>
      </c>
      <c r="F222" s="42" t="str">
        <f>IFERROR(INDEX(Combined_Data!$I:$I,$O222+1),"")</f>
        <v/>
      </c>
      <c r="G222" s="41" t="str">
        <f>IFERROR(INDEX(Combined_Data!$K:$K,$O222+1),"")</f>
        <v/>
      </c>
      <c r="H222" s="41" t="str">
        <f>IFERROR(INDEX(Combined_Data!$M:$M,$O222+1),"")</f>
        <v/>
      </c>
      <c r="I222" s="41" t="str">
        <f>IFERROR(INDEX(Combined_Data!$N:$N,$O222+1),"")</f>
        <v/>
      </c>
      <c r="J222" s="43" t="str">
        <f>IFERROR(INDEX(Combined_Data!$S:$S,$O222+1),"")</f>
        <v/>
      </c>
      <c r="K222" s="44" t="str">
        <f>IFERROR(INDEX(Combined_Data!$AF:$AF,$O222+1),"")</f>
        <v/>
      </c>
      <c r="L222" s="41" t="str">
        <f>IFERROR(INDEX(Combined_Data!$AG:$AG,$O222+1),"")</f>
        <v/>
      </c>
      <c r="M222" s="41" t="str">
        <f>IFERROR(INDEX(Combined_Data!$AH:$AH,$O222+1),"")</f>
        <v/>
      </c>
      <c r="O222" t="str">
        <f>IFERROR(_xlfn.AGGREGATE(15,6,(ROW(Combined_Data!$AI$2:$AI$3001)-1)/(Combined_Data!$AI$2:$AI$3001),188),"")</f>
        <v/>
      </c>
    </row>
    <row r="223" spans="1:15" ht="15" customHeight="1" x14ac:dyDescent="0.3">
      <c r="A223" s="41" t="str">
        <f>IFERROR(INDEX(Combined_Data!$C:$C,$O223+1),"")</f>
        <v/>
      </c>
      <c r="B223" s="41" t="str">
        <f>IFERROR(INDEX(Combined_Data!$E:$E,$O223+1),"")</f>
        <v/>
      </c>
      <c r="C223" s="41" t="str">
        <f>IFERROR(INDEX(Combined_Data!$B:$B,$O223+1),"")</f>
        <v/>
      </c>
      <c r="D223" s="41" t="str">
        <f>IFERROR(INDEX(Combined_Data!$D:$D,$O223+1),"")</f>
        <v/>
      </c>
      <c r="E223" s="41" t="str">
        <f>IFERROR(INDEX(Combined_Data!$G:$G,$O223+1),"")</f>
        <v/>
      </c>
      <c r="F223" s="42" t="str">
        <f>IFERROR(INDEX(Combined_Data!$I:$I,$O223+1),"")</f>
        <v/>
      </c>
      <c r="G223" s="41" t="str">
        <f>IFERROR(INDEX(Combined_Data!$K:$K,$O223+1),"")</f>
        <v/>
      </c>
      <c r="H223" s="41" t="str">
        <f>IFERROR(INDEX(Combined_Data!$M:$M,$O223+1),"")</f>
        <v/>
      </c>
      <c r="I223" s="41" t="str">
        <f>IFERROR(INDEX(Combined_Data!$N:$N,$O223+1),"")</f>
        <v/>
      </c>
      <c r="J223" s="43" t="str">
        <f>IFERROR(INDEX(Combined_Data!$S:$S,$O223+1),"")</f>
        <v/>
      </c>
      <c r="K223" s="44" t="str">
        <f>IFERROR(INDEX(Combined_Data!$AF:$AF,$O223+1),"")</f>
        <v/>
      </c>
      <c r="L223" s="41" t="str">
        <f>IFERROR(INDEX(Combined_Data!$AG:$AG,$O223+1),"")</f>
        <v/>
      </c>
      <c r="M223" s="41" t="str">
        <f>IFERROR(INDEX(Combined_Data!$AH:$AH,$O223+1),"")</f>
        <v/>
      </c>
      <c r="O223" t="str">
        <f>IFERROR(_xlfn.AGGREGATE(15,6,(ROW(Combined_Data!$AI$2:$AI$3001)-1)/(Combined_Data!$AI$2:$AI$3001),189),"")</f>
        <v/>
      </c>
    </row>
    <row r="224" spans="1:15" ht="15" customHeight="1" x14ac:dyDescent="0.3">
      <c r="A224" s="41" t="str">
        <f>IFERROR(INDEX(Combined_Data!$C:$C,$O224+1),"")</f>
        <v/>
      </c>
      <c r="B224" s="41" t="str">
        <f>IFERROR(INDEX(Combined_Data!$E:$E,$O224+1),"")</f>
        <v/>
      </c>
      <c r="C224" s="41" t="str">
        <f>IFERROR(INDEX(Combined_Data!$B:$B,$O224+1),"")</f>
        <v/>
      </c>
      <c r="D224" s="41" t="str">
        <f>IFERROR(INDEX(Combined_Data!$D:$D,$O224+1),"")</f>
        <v/>
      </c>
      <c r="E224" s="41" t="str">
        <f>IFERROR(INDEX(Combined_Data!$G:$G,$O224+1),"")</f>
        <v/>
      </c>
      <c r="F224" s="42" t="str">
        <f>IFERROR(INDEX(Combined_Data!$I:$I,$O224+1),"")</f>
        <v/>
      </c>
      <c r="G224" s="41" t="str">
        <f>IFERROR(INDEX(Combined_Data!$K:$K,$O224+1),"")</f>
        <v/>
      </c>
      <c r="H224" s="41" t="str">
        <f>IFERROR(INDEX(Combined_Data!$M:$M,$O224+1),"")</f>
        <v/>
      </c>
      <c r="I224" s="41" t="str">
        <f>IFERROR(INDEX(Combined_Data!$N:$N,$O224+1),"")</f>
        <v/>
      </c>
      <c r="J224" s="43" t="str">
        <f>IFERROR(INDEX(Combined_Data!$S:$S,$O224+1),"")</f>
        <v/>
      </c>
      <c r="K224" s="44" t="str">
        <f>IFERROR(INDEX(Combined_Data!$AF:$AF,$O224+1),"")</f>
        <v/>
      </c>
      <c r="L224" s="41" t="str">
        <f>IFERROR(INDEX(Combined_Data!$AG:$AG,$O224+1),"")</f>
        <v/>
      </c>
      <c r="M224" s="41" t="str">
        <f>IFERROR(INDEX(Combined_Data!$AH:$AH,$O224+1),"")</f>
        <v/>
      </c>
      <c r="O224" t="str">
        <f>IFERROR(_xlfn.AGGREGATE(15,6,(ROW(Combined_Data!$AI$2:$AI$3001)-1)/(Combined_Data!$AI$2:$AI$3001),190),"")</f>
        <v/>
      </c>
    </row>
    <row r="225" spans="1:15" ht="15" customHeight="1" x14ac:dyDescent="0.3">
      <c r="A225" s="41" t="str">
        <f>IFERROR(INDEX(Combined_Data!$C:$C,$O225+1),"")</f>
        <v/>
      </c>
      <c r="B225" s="41" t="str">
        <f>IFERROR(INDEX(Combined_Data!$E:$E,$O225+1),"")</f>
        <v/>
      </c>
      <c r="C225" s="41" t="str">
        <f>IFERROR(INDEX(Combined_Data!$B:$B,$O225+1),"")</f>
        <v/>
      </c>
      <c r="D225" s="41" t="str">
        <f>IFERROR(INDEX(Combined_Data!$D:$D,$O225+1),"")</f>
        <v/>
      </c>
      <c r="E225" s="41" t="str">
        <f>IFERROR(INDEX(Combined_Data!$G:$G,$O225+1),"")</f>
        <v/>
      </c>
      <c r="F225" s="42" t="str">
        <f>IFERROR(INDEX(Combined_Data!$I:$I,$O225+1),"")</f>
        <v/>
      </c>
      <c r="G225" s="41" t="str">
        <f>IFERROR(INDEX(Combined_Data!$K:$K,$O225+1),"")</f>
        <v/>
      </c>
      <c r="H225" s="41" t="str">
        <f>IFERROR(INDEX(Combined_Data!$M:$M,$O225+1),"")</f>
        <v/>
      </c>
      <c r="I225" s="41" t="str">
        <f>IFERROR(INDEX(Combined_Data!$N:$N,$O225+1),"")</f>
        <v/>
      </c>
      <c r="J225" s="43" t="str">
        <f>IFERROR(INDEX(Combined_Data!$S:$S,$O225+1),"")</f>
        <v/>
      </c>
      <c r="K225" s="44" t="str">
        <f>IFERROR(INDEX(Combined_Data!$AF:$AF,$O225+1),"")</f>
        <v/>
      </c>
      <c r="L225" s="41" t="str">
        <f>IFERROR(INDEX(Combined_Data!$AG:$AG,$O225+1),"")</f>
        <v/>
      </c>
      <c r="M225" s="41" t="str">
        <f>IFERROR(INDEX(Combined_Data!$AH:$AH,$O225+1),"")</f>
        <v/>
      </c>
      <c r="O225" t="str">
        <f>IFERROR(_xlfn.AGGREGATE(15,6,(ROW(Combined_Data!$AI$2:$AI$3001)-1)/(Combined_Data!$AI$2:$AI$3001),191),"")</f>
        <v/>
      </c>
    </row>
    <row r="226" spans="1:15" ht="15" customHeight="1" x14ac:dyDescent="0.3">
      <c r="A226" s="41" t="str">
        <f>IFERROR(INDEX(Combined_Data!$C:$C,$O226+1),"")</f>
        <v/>
      </c>
      <c r="B226" s="41" t="str">
        <f>IFERROR(INDEX(Combined_Data!$E:$E,$O226+1),"")</f>
        <v/>
      </c>
      <c r="C226" s="41" t="str">
        <f>IFERROR(INDEX(Combined_Data!$B:$B,$O226+1),"")</f>
        <v/>
      </c>
      <c r="D226" s="41" t="str">
        <f>IFERROR(INDEX(Combined_Data!$D:$D,$O226+1),"")</f>
        <v/>
      </c>
      <c r="E226" s="41" t="str">
        <f>IFERROR(INDEX(Combined_Data!$G:$G,$O226+1),"")</f>
        <v/>
      </c>
      <c r="F226" s="42" t="str">
        <f>IFERROR(INDEX(Combined_Data!$I:$I,$O226+1),"")</f>
        <v/>
      </c>
      <c r="G226" s="41" t="str">
        <f>IFERROR(INDEX(Combined_Data!$K:$K,$O226+1),"")</f>
        <v/>
      </c>
      <c r="H226" s="41" t="str">
        <f>IFERROR(INDEX(Combined_Data!$M:$M,$O226+1),"")</f>
        <v/>
      </c>
      <c r="I226" s="41" t="str">
        <f>IFERROR(INDEX(Combined_Data!$N:$N,$O226+1),"")</f>
        <v/>
      </c>
      <c r="J226" s="43" t="str">
        <f>IFERROR(INDEX(Combined_Data!$S:$S,$O226+1),"")</f>
        <v/>
      </c>
      <c r="K226" s="44" t="str">
        <f>IFERROR(INDEX(Combined_Data!$AF:$AF,$O226+1),"")</f>
        <v/>
      </c>
      <c r="L226" s="41" t="str">
        <f>IFERROR(INDEX(Combined_Data!$AG:$AG,$O226+1),"")</f>
        <v/>
      </c>
      <c r="M226" s="41" t="str">
        <f>IFERROR(INDEX(Combined_Data!$AH:$AH,$O226+1),"")</f>
        <v/>
      </c>
      <c r="O226" t="str">
        <f>IFERROR(_xlfn.AGGREGATE(15,6,(ROW(Combined_Data!$AI$2:$AI$3001)-1)/(Combined_Data!$AI$2:$AI$3001),192),"")</f>
        <v/>
      </c>
    </row>
    <row r="227" spans="1:15" ht="15" customHeight="1" x14ac:dyDescent="0.3">
      <c r="A227" s="41" t="str">
        <f>IFERROR(INDEX(Combined_Data!$C:$C,$O227+1),"")</f>
        <v/>
      </c>
      <c r="B227" s="41" t="str">
        <f>IFERROR(INDEX(Combined_Data!$E:$E,$O227+1),"")</f>
        <v/>
      </c>
      <c r="C227" s="41" t="str">
        <f>IFERROR(INDEX(Combined_Data!$B:$B,$O227+1),"")</f>
        <v/>
      </c>
      <c r="D227" s="41" t="str">
        <f>IFERROR(INDEX(Combined_Data!$D:$D,$O227+1),"")</f>
        <v/>
      </c>
      <c r="E227" s="41" t="str">
        <f>IFERROR(INDEX(Combined_Data!$G:$G,$O227+1),"")</f>
        <v/>
      </c>
      <c r="F227" s="42" t="str">
        <f>IFERROR(INDEX(Combined_Data!$I:$I,$O227+1),"")</f>
        <v/>
      </c>
      <c r="G227" s="41" t="str">
        <f>IFERROR(INDEX(Combined_Data!$K:$K,$O227+1),"")</f>
        <v/>
      </c>
      <c r="H227" s="41" t="str">
        <f>IFERROR(INDEX(Combined_Data!$M:$M,$O227+1),"")</f>
        <v/>
      </c>
      <c r="I227" s="41" t="str">
        <f>IFERROR(INDEX(Combined_Data!$N:$N,$O227+1),"")</f>
        <v/>
      </c>
      <c r="J227" s="43" t="str">
        <f>IFERROR(INDEX(Combined_Data!$S:$S,$O227+1),"")</f>
        <v/>
      </c>
      <c r="K227" s="44" t="str">
        <f>IFERROR(INDEX(Combined_Data!$AF:$AF,$O227+1),"")</f>
        <v/>
      </c>
      <c r="L227" s="41" t="str">
        <f>IFERROR(INDEX(Combined_Data!$AG:$AG,$O227+1),"")</f>
        <v/>
      </c>
      <c r="M227" s="41" t="str">
        <f>IFERROR(INDEX(Combined_Data!$AH:$AH,$O227+1),"")</f>
        <v/>
      </c>
      <c r="O227" t="str">
        <f>IFERROR(_xlfn.AGGREGATE(15,6,(ROW(Combined_Data!$AI$2:$AI$3001)-1)/(Combined_Data!$AI$2:$AI$3001),193),"")</f>
        <v/>
      </c>
    </row>
    <row r="228" spans="1:15" ht="15" customHeight="1" x14ac:dyDescent="0.3">
      <c r="A228" s="41" t="str">
        <f>IFERROR(INDEX(Combined_Data!$C:$C,$O228+1),"")</f>
        <v/>
      </c>
      <c r="B228" s="41" t="str">
        <f>IFERROR(INDEX(Combined_Data!$E:$E,$O228+1),"")</f>
        <v/>
      </c>
      <c r="C228" s="41" t="str">
        <f>IFERROR(INDEX(Combined_Data!$B:$B,$O228+1),"")</f>
        <v/>
      </c>
      <c r="D228" s="41" t="str">
        <f>IFERROR(INDEX(Combined_Data!$D:$D,$O228+1),"")</f>
        <v/>
      </c>
      <c r="E228" s="41" t="str">
        <f>IFERROR(INDEX(Combined_Data!$G:$G,$O228+1),"")</f>
        <v/>
      </c>
      <c r="F228" s="42" t="str">
        <f>IFERROR(INDEX(Combined_Data!$I:$I,$O228+1),"")</f>
        <v/>
      </c>
      <c r="G228" s="41" t="str">
        <f>IFERROR(INDEX(Combined_Data!$K:$K,$O228+1),"")</f>
        <v/>
      </c>
      <c r="H228" s="41" t="str">
        <f>IFERROR(INDEX(Combined_Data!$M:$M,$O228+1),"")</f>
        <v/>
      </c>
      <c r="I228" s="41" t="str">
        <f>IFERROR(INDEX(Combined_Data!$N:$N,$O228+1),"")</f>
        <v/>
      </c>
      <c r="J228" s="43" t="str">
        <f>IFERROR(INDEX(Combined_Data!$S:$S,$O228+1),"")</f>
        <v/>
      </c>
      <c r="K228" s="44" t="str">
        <f>IFERROR(INDEX(Combined_Data!$AF:$AF,$O228+1),"")</f>
        <v/>
      </c>
      <c r="L228" s="41" t="str">
        <f>IFERROR(INDEX(Combined_Data!$AG:$AG,$O228+1),"")</f>
        <v/>
      </c>
      <c r="M228" s="41" t="str">
        <f>IFERROR(INDEX(Combined_Data!$AH:$AH,$O228+1),"")</f>
        <v/>
      </c>
      <c r="O228" t="str">
        <f>IFERROR(_xlfn.AGGREGATE(15,6,(ROW(Combined_Data!$AI$2:$AI$3001)-1)/(Combined_Data!$AI$2:$AI$3001),194),"")</f>
        <v/>
      </c>
    </row>
    <row r="229" spans="1:15" ht="15" customHeight="1" x14ac:dyDescent="0.3">
      <c r="A229" s="41" t="str">
        <f>IFERROR(INDEX(Combined_Data!$C:$C,$O229+1),"")</f>
        <v/>
      </c>
      <c r="B229" s="41" t="str">
        <f>IFERROR(INDEX(Combined_Data!$E:$E,$O229+1),"")</f>
        <v/>
      </c>
      <c r="C229" s="41" t="str">
        <f>IFERROR(INDEX(Combined_Data!$B:$B,$O229+1),"")</f>
        <v/>
      </c>
      <c r="D229" s="41" t="str">
        <f>IFERROR(INDEX(Combined_Data!$D:$D,$O229+1),"")</f>
        <v/>
      </c>
      <c r="E229" s="41" t="str">
        <f>IFERROR(INDEX(Combined_Data!$G:$G,$O229+1),"")</f>
        <v/>
      </c>
      <c r="F229" s="42" t="str">
        <f>IFERROR(INDEX(Combined_Data!$I:$I,$O229+1),"")</f>
        <v/>
      </c>
      <c r="G229" s="41" t="str">
        <f>IFERROR(INDEX(Combined_Data!$K:$K,$O229+1),"")</f>
        <v/>
      </c>
      <c r="H229" s="41" t="str">
        <f>IFERROR(INDEX(Combined_Data!$M:$M,$O229+1),"")</f>
        <v/>
      </c>
      <c r="I229" s="41" t="str">
        <f>IFERROR(INDEX(Combined_Data!$N:$N,$O229+1),"")</f>
        <v/>
      </c>
      <c r="J229" s="43" t="str">
        <f>IFERROR(INDEX(Combined_Data!$S:$S,$O229+1),"")</f>
        <v/>
      </c>
      <c r="K229" s="44" t="str">
        <f>IFERROR(INDEX(Combined_Data!$AF:$AF,$O229+1),"")</f>
        <v/>
      </c>
      <c r="L229" s="41" t="str">
        <f>IFERROR(INDEX(Combined_Data!$AG:$AG,$O229+1),"")</f>
        <v/>
      </c>
      <c r="M229" s="41" t="str">
        <f>IFERROR(INDEX(Combined_Data!$AH:$AH,$O229+1),"")</f>
        <v/>
      </c>
      <c r="O229" t="str">
        <f>IFERROR(_xlfn.AGGREGATE(15,6,(ROW(Combined_Data!$AI$2:$AI$3001)-1)/(Combined_Data!$AI$2:$AI$3001),195),"")</f>
        <v/>
      </c>
    </row>
    <row r="230" spans="1:15" ht="15" customHeight="1" x14ac:dyDescent="0.3">
      <c r="A230" s="41" t="str">
        <f>IFERROR(INDEX(Combined_Data!$C:$C,$O230+1),"")</f>
        <v/>
      </c>
      <c r="B230" s="41" t="str">
        <f>IFERROR(INDEX(Combined_Data!$E:$E,$O230+1),"")</f>
        <v/>
      </c>
      <c r="C230" s="41" t="str">
        <f>IFERROR(INDEX(Combined_Data!$B:$B,$O230+1),"")</f>
        <v/>
      </c>
      <c r="D230" s="41" t="str">
        <f>IFERROR(INDEX(Combined_Data!$D:$D,$O230+1),"")</f>
        <v/>
      </c>
      <c r="E230" s="41" t="str">
        <f>IFERROR(INDEX(Combined_Data!$G:$G,$O230+1),"")</f>
        <v/>
      </c>
      <c r="F230" s="42" t="str">
        <f>IFERROR(INDEX(Combined_Data!$I:$I,$O230+1),"")</f>
        <v/>
      </c>
      <c r="G230" s="41" t="str">
        <f>IFERROR(INDEX(Combined_Data!$K:$K,$O230+1),"")</f>
        <v/>
      </c>
      <c r="H230" s="41" t="str">
        <f>IFERROR(INDEX(Combined_Data!$M:$M,$O230+1),"")</f>
        <v/>
      </c>
      <c r="I230" s="41" t="str">
        <f>IFERROR(INDEX(Combined_Data!$N:$N,$O230+1),"")</f>
        <v/>
      </c>
      <c r="J230" s="43" t="str">
        <f>IFERROR(INDEX(Combined_Data!$S:$S,$O230+1),"")</f>
        <v/>
      </c>
      <c r="K230" s="44" t="str">
        <f>IFERROR(INDEX(Combined_Data!$AF:$AF,$O230+1),"")</f>
        <v/>
      </c>
      <c r="L230" s="41" t="str">
        <f>IFERROR(INDEX(Combined_Data!$AG:$AG,$O230+1),"")</f>
        <v/>
      </c>
      <c r="M230" s="41" t="str">
        <f>IFERROR(INDEX(Combined_Data!$AH:$AH,$O230+1),"")</f>
        <v/>
      </c>
      <c r="O230" t="str">
        <f>IFERROR(_xlfn.AGGREGATE(15,6,(ROW(Combined_Data!$AI$2:$AI$3001)-1)/(Combined_Data!$AI$2:$AI$3001),196),"")</f>
        <v/>
      </c>
    </row>
    <row r="231" spans="1:15" ht="15" customHeight="1" x14ac:dyDescent="0.3">
      <c r="A231" s="41" t="str">
        <f>IFERROR(INDEX(Combined_Data!$C:$C,$O231+1),"")</f>
        <v/>
      </c>
      <c r="B231" s="41" t="str">
        <f>IFERROR(INDEX(Combined_Data!$E:$E,$O231+1),"")</f>
        <v/>
      </c>
      <c r="C231" s="41" t="str">
        <f>IFERROR(INDEX(Combined_Data!$B:$B,$O231+1),"")</f>
        <v/>
      </c>
      <c r="D231" s="41" t="str">
        <f>IFERROR(INDEX(Combined_Data!$D:$D,$O231+1),"")</f>
        <v/>
      </c>
      <c r="E231" s="41" t="str">
        <f>IFERROR(INDEX(Combined_Data!$G:$G,$O231+1),"")</f>
        <v/>
      </c>
      <c r="F231" s="42" t="str">
        <f>IFERROR(INDEX(Combined_Data!$I:$I,$O231+1),"")</f>
        <v/>
      </c>
      <c r="G231" s="41" t="str">
        <f>IFERROR(INDEX(Combined_Data!$K:$K,$O231+1),"")</f>
        <v/>
      </c>
      <c r="H231" s="41" t="str">
        <f>IFERROR(INDEX(Combined_Data!$M:$M,$O231+1),"")</f>
        <v/>
      </c>
      <c r="I231" s="41" t="str">
        <f>IFERROR(INDEX(Combined_Data!$N:$N,$O231+1),"")</f>
        <v/>
      </c>
      <c r="J231" s="43" t="str">
        <f>IFERROR(INDEX(Combined_Data!$S:$S,$O231+1),"")</f>
        <v/>
      </c>
      <c r="K231" s="44" t="str">
        <f>IFERROR(INDEX(Combined_Data!$AF:$AF,$O231+1),"")</f>
        <v/>
      </c>
      <c r="L231" s="41" t="str">
        <f>IFERROR(INDEX(Combined_Data!$AG:$AG,$O231+1),"")</f>
        <v/>
      </c>
      <c r="M231" s="41" t="str">
        <f>IFERROR(INDEX(Combined_Data!$AH:$AH,$O231+1),"")</f>
        <v/>
      </c>
      <c r="O231" t="str">
        <f>IFERROR(_xlfn.AGGREGATE(15,6,(ROW(Combined_Data!$AI$2:$AI$3001)-1)/(Combined_Data!$AI$2:$AI$3001),197),"")</f>
        <v/>
      </c>
    </row>
    <row r="232" spans="1:15" ht="15" customHeight="1" x14ac:dyDescent="0.3">
      <c r="A232" s="41" t="str">
        <f>IFERROR(INDEX(Combined_Data!$C:$C,$O232+1),"")</f>
        <v/>
      </c>
      <c r="B232" s="41" t="str">
        <f>IFERROR(INDEX(Combined_Data!$E:$E,$O232+1),"")</f>
        <v/>
      </c>
      <c r="C232" s="41" t="str">
        <f>IFERROR(INDEX(Combined_Data!$B:$B,$O232+1),"")</f>
        <v/>
      </c>
      <c r="D232" s="41" t="str">
        <f>IFERROR(INDEX(Combined_Data!$D:$D,$O232+1),"")</f>
        <v/>
      </c>
      <c r="E232" s="41" t="str">
        <f>IFERROR(INDEX(Combined_Data!$G:$G,$O232+1),"")</f>
        <v/>
      </c>
      <c r="F232" s="42" t="str">
        <f>IFERROR(INDEX(Combined_Data!$I:$I,$O232+1),"")</f>
        <v/>
      </c>
      <c r="G232" s="41" t="str">
        <f>IFERROR(INDEX(Combined_Data!$K:$K,$O232+1),"")</f>
        <v/>
      </c>
      <c r="H232" s="41" t="str">
        <f>IFERROR(INDEX(Combined_Data!$M:$M,$O232+1),"")</f>
        <v/>
      </c>
      <c r="I232" s="41" t="str">
        <f>IFERROR(INDEX(Combined_Data!$N:$N,$O232+1),"")</f>
        <v/>
      </c>
      <c r="J232" s="43" t="str">
        <f>IFERROR(INDEX(Combined_Data!$S:$S,$O232+1),"")</f>
        <v/>
      </c>
      <c r="K232" s="44" t="str">
        <f>IFERROR(INDEX(Combined_Data!$AF:$AF,$O232+1),"")</f>
        <v/>
      </c>
      <c r="L232" s="41" t="str">
        <f>IFERROR(INDEX(Combined_Data!$AG:$AG,$O232+1),"")</f>
        <v/>
      </c>
      <c r="M232" s="41" t="str">
        <f>IFERROR(INDEX(Combined_Data!$AH:$AH,$O232+1),"")</f>
        <v/>
      </c>
      <c r="O232" t="str">
        <f>IFERROR(_xlfn.AGGREGATE(15,6,(ROW(Combined_Data!$AI$2:$AI$3001)-1)/(Combined_Data!$AI$2:$AI$3001),198),"")</f>
        <v/>
      </c>
    </row>
    <row r="233" spans="1:15" ht="15" customHeight="1" x14ac:dyDescent="0.3">
      <c r="A233" s="41" t="str">
        <f>IFERROR(INDEX(Combined_Data!$C:$C,$O233+1),"")</f>
        <v/>
      </c>
      <c r="B233" s="41" t="str">
        <f>IFERROR(INDEX(Combined_Data!$E:$E,$O233+1),"")</f>
        <v/>
      </c>
      <c r="C233" s="41" t="str">
        <f>IFERROR(INDEX(Combined_Data!$B:$B,$O233+1),"")</f>
        <v/>
      </c>
      <c r="D233" s="41" t="str">
        <f>IFERROR(INDEX(Combined_Data!$D:$D,$O233+1),"")</f>
        <v/>
      </c>
      <c r="E233" s="41" t="str">
        <f>IFERROR(INDEX(Combined_Data!$G:$G,$O233+1),"")</f>
        <v/>
      </c>
      <c r="F233" s="42" t="str">
        <f>IFERROR(INDEX(Combined_Data!$I:$I,$O233+1),"")</f>
        <v/>
      </c>
      <c r="G233" s="41" t="str">
        <f>IFERROR(INDEX(Combined_Data!$K:$K,$O233+1),"")</f>
        <v/>
      </c>
      <c r="H233" s="41" t="str">
        <f>IFERROR(INDEX(Combined_Data!$M:$M,$O233+1),"")</f>
        <v/>
      </c>
      <c r="I233" s="41" t="str">
        <f>IFERROR(INDEX(Combined_Data!$N:$N,$O233+1),"")</f>
        <v/>
      </c>
      <c r="J233" s="43" t="str">
        <f>IFERROR(INDEX(Combined_Data!$S:$S,$O233+1),"")</f>
        <v/>
      </c>
      <c r="K233" s="44" t="str">
        <f>IFERROR(INDEX(Combined_Data!$AF:$AF,$O233+1),"")</f>
        <v/>
      </c>
      <c r="L233" s="41" t="str">
        <f>IFERROR(INDEX(Combined_Data!$AG:$AG,$O233+1),"")</f>
        <v/>
      </c>
      <c r="M233" s="41" t="str">
        <f>IFERROR(INDEX(Combined_Data!$AH:$AH,$O233+1),"")</f>
        <v/>
      </c>
      <c r="O233" t="str">
        <f>IFERROR(_xlfn.AGGREGATE(15,6,(ROW(Combined_Data!$AI$2:$AI$3001)-1)/(Combined_Data!$AI$2:$AI$3001),199),"")</f>
        <v/>
      </c>
    </row>
    <row r="234" spans="1:15" ht="15" customHeight="1" x14ac:dyDescent="0.3">
      <c r="A234" s="41" t="str">
        <f>IFERROR(INDEX(Combined_Data!$C:$C,$O234+1),"")</f>
        <v/>
      </c>
      <c r="B234" s="41" t="str">
        <f>IFERROR(INDEX(Combined_Data!$E:$E,$O234+1),"")</f>
        <v/>
      </c>
      <c r="C234" s="41" t="str">
        <f>IFERROR(INDEX(Combined_Data!$B:$B,$O234+1),"")</f>
        <v/>
      </c>
      <c r="D234" s="41" t="str">
        <f>IFERROR(INDEX(Combined_Data!$D:$D,$O234+1),"")</f>
        <v/>
      </c>
      <c r="E234" s="41" t="str">
        <f>IFERROR(INDEX(Combined_Data!$G:$G,$O234+1),"")</f>
        <v/>
      </c>
      <c r="F234" s="42" t="str">
        <f>IFERROR(INDEX(Combined_Data!$I:$I,$O234+1),"")</f>
        <v/>
      </c>
      <c r="G234" s="41" t="str">
        <f>IFERROR(INDEX(Combined_Data!$K:$K,$O234+1),"")</f>
        <v/>
      </c>
      <c r="H234" s="41" t="str">
        <f>IFERROR(INDEX(Combined_Data!$M:$M,$O234+1),"")</f>
        <v/>
      </c>
      <c r="I234" s="41" t="str">
        <f>IFERROR(INDEX(Combined_Data!$N:$N,$O234+1),"")</f>
        <v/>
      </c>
      <c r="J234" s="43" t="str">
        <f>IFERROR(INDEX(Combined_Data!$S:$S,$O234+1),"")</f>
        <v/>
      </c>
      <c r="K234" s="44" t="str">
        <f>IFERROR(INDEX(Combined_Data!$AF:$AF,$O234+1),"")</f>
        <v/>
      </c>
      <c r="L234" s="41" t="str">
        <f>IFERROR(INDEX(Combined_Data!$AG:$AG,$O234+1),"")</f>
        <v/>
      </c>
      <c r="M234" s="41" t="str">
        <f>IFERROR(INDEX(Combined_Data!$AH:$AH,$O234+1),"")</f>
        <v/>
      </c>
      <c r="O234" t="str">
        <f>IFERROR(_xlfn.AGGREGATE(15,6,(ROW(Combined_Data!$AI$2:$AI$3001)-1)/(Combined_Data!$AI$2:$AI$3001),200),"")</f>
        <v/>
      </c>
    </row>
    <row r="235" spans="1:15" ht="15" customHeight="1" x14ac:dyDescent="0.3">
      <c r="A235" s="41" t="str">
        <f>IFERROR(INDEX(Combined_Data!$C:$C,$O235+1),"")</f>
        <v/>
      </c>
      <c r="B235" s="41" t="str">
        <f>IFERROR(INDEX(Combined_Data!$E:$E,$O235+1),"")</f>
        <v/>
      </c>
      <c r="C235" s="41" t="str">
        <f>IFERROR(INDEX(Combined_Data!$B:$B,$O235+1),"")</f>
        <v/>
      </c>
      <c r="D235" s="41" t="str">
        <f>IFERROR(INDEX(Combined_Data!$D:$D,$O235+1),"")</f>
        <v/>
      </c>
      <c r="E235" s="41" t="str">
        <f>IFERROR(INDEX(Combined_Data!$G:$G,$O235+1),"")</f>
        <v/>
      </c>
      <c r="F235" s="42" t="str">
        <f>IFERROR(INDEX(Combined_Data!$I:$I,$O235+1),"")</f>
        <v/>
      </c>
      <c r="G235" s="41" t="str">
        <f>IFERROR(INDEX(Combined_Data!$K:$K,$O235+1),"")</f>
        <v/>
      </c>
      <c r="H235" s="41" t="str">
        <f>IFERROR(INDEX(Combined_Data!$M:$M,$O235+1),"")</f>
        <v/>
      </c>
      <c r="I235" s="41" t="str">
        <f>IFERROR(INDEX(Combined_Data!$N:$N,$O235+1),"")</f>
        <v/>
      </c>
      <c r="J235" s="43" t="str">
        <f>IFERROR(INDEX(Combined_Data!$S:$S,$O235+1),"")</f>
        <v/>
      </c>
      <c r="K235" s="44" t="str">
        <f>IFERROR(INDEX(Combined_Data!$AF:$AF,$O235+1),"")</f>
        <v/>
      </c>
      <c r="L235" s="41" t="str">
        <f>IFERROR(INDEX(Combined_Data!$AG:$AG,$O235+1),"")</f>
        <v/>
      </c>
      <c r="M235" s="41" t="str">
        <f>IFERROR(INDEX(Combined_Data!$AH:$AH,$O235+1),"")</f>
        <v/>
      </c>
      <c r="O235" t="str">
        <f>IFERROR(_xlfn.AGGREGATE(15,6,(ROW(Combined_Data!$AI$2:$AI$3001)-1)/(Combined_Data!$AI$2:$AI$3001),201),"")</f>
        <v/>
      </c>
    </row>
    <row r="236" spans="1:15" ht="15" customHeight="1" x14ac:dyDescent="0.3">
      <c r="A236" s="41" t="str">
        <f>IFERROR(INDEX(Combined_Data!$C:$C,$O236+1),"")</f>
        <v/>
      </c>
      <c r="B236" s="41" t="str">
        <f>IFERROR(INDEX(Combined_Data!$E:$E,$O236+1),"")</f>
        <v/>
      </c>
      <c r="C236" s="41" t="str">
        <f>IFERROR(INDEX(Combined_Data!$B:$B,$O236+1),"")</f>
        <v/>
      </c>
      <c r="D236" s="41" t="str">
        <f>IFERROR(INDEX(Combined_Data!$D:$D,$O236+1),"")</f>
        <v/>
      </c>
      <c r="E236" s="41" t="str">
        <f>IFERROR(INDEX(Combined_Data!$G:$G,$O236+1),"")</f>
        <v/>
      </c>
      <c r="F236" s="42" t="str">
        <f>IFERROR(INDEX(Combined_Data!$I:$I,$O236+1),"")</f>
        <v/>
      </c>
      <c r="G236" s="41" t="str">
        <f>IFERROR(INDEX(Combined_Data!$K:$K,$O236+1),"")</f>
        <v/>
      </c>
      <c r="H236" s="41" t="str">
        <f>IFERROR(INDEX(Combined_Data!$M:$M,$O236+1),"")</f>
        <v/>
      </c>
      <c r="I236" s="41" t="str">
        <f>IFERROR(INDEX(Combined_Data!$N:$N,$O236+1),"")</f>
        <v/>
      </c>
      <c r="J236" s="43" t="str">
        <f>IFERROR(INDEX(Combined_Data!$S:$S,$O236+1),"")</f>
        <v/>
      </c>
      <c r="K236" s="44" t="str">
        <f>IFERROR(INDEX(Combined_Data!$AF:$AF,$O236+1),"")</f>
        <v/>
      </c>
      <c r="L236" s="41" t="str">
        <f>IFERROR(INDEX(Combined_Data!$AG:$AG,$O236+1),"")</f>
        <v/>
      </c>
      <c r="M236" s="41" t="str">
        <f>IFERROR(INDEX(Combined_Data!$AH:$AH,$O236+1),"")</f>
        <v/>
      </c>
      <c r="O236" t="str">
        <f>IFERROR(_xlfn.AGGREGATE(15,6,(ROW(Combined_Data!$AI$2:$AI$3001)-1)/(Combined_Data!$AI$2:$AI$3001),202),"")</f>
        <v/>
      </c>
    </row>
    <row r="237" spans="1:15" ht="15" customHeight="1" x14ac:dyDescent="0.3">
      <c r="A237" s="41" t="str">
        <f>IFERROR(INDEX(Combined_Data!$C:$C,$O237+1),"")</f>
        <v/>
      </c>
      <c r="B237" s="41" t="str">
        <f>IFERROR(INDEX(Combined_Data!$E:$E,$O237+1),"")</f>
        <v/>
      </c>
      <c r="C237" s="41" t="str">
        <f>IFERROR(INDEX(Combined_Data!$B:$B,$O237+1),"")</f>
        <v/>
      </c>
      <c r="D237" s="41" t="str">
        <f>IFERROR(INDEX(Combined_Data!$D:$D,$O237+1),"")</f>
        <v/>
      </c>
      <c r="E237" s="41" t="str">
        <f>IFERROR(INDEX(Combined_Data!$G:$G,$O237+1),"")</f>
        <v/>
      </c>
      <c r="F237" s="42" t="str">
        <f>IFERROR(INDEX(Combined_Data!$I:$I,$O237+1),"")</f>
        <v/>
      </c>
      <c r="G237" s="41" t="str">
        <f>IFERROR(INDEX(Combined_Data!$K:$K,$O237+1),"")</f>
        <v/>
      </c>
      <c r="H237" s="41" t="str">
        <f>IFERROR(INDEX(Combined_Data!$M:$M,$O237+1),"")</f>
        <v/>
      </c>
      <c r="I237" s="41" t="str">
        <f>IFERROR(INDEX(Combined_Data!$N:$N,$O237+1),"")</f>
        <v/>
      </c>
      <c r="J237" s="43" t="str">
        <f>IFERROR(INDEX(Combined_Data!$S:$S,$O237+1),"")</f>
        <v/>
      </c>
      <c r="K237" s="44" t="str">
        <f>IFERROR(INDEX(Combined_Data!$AF:$AF,$O237+1),"")</f>
        <v/>
      </c>
      <c r="L237" s="41" t="str">
        <f>IFERROR(INDEX(Combined_Data!$AG:$AG,$O237+1),"")</f>
        <v/>
      </c>
      <c r="M237" s="41" t="str">
        <f>IFERROR(INDEX(Combined_Data!$AH:$AH,$O237+1),"")</f>
        <v/>
      </c>
      <c r="O237" t="str">
        <f>IFERROR(_xlfn.AGGREGATE(15,6,(ROW(Combined_Data!$AI$2:$AI$3001)-1)/(Combined_Data!$AI$2:$AI$3001),203),"")</f>
        <v/>
      </c>
    </row>
    <row r="238" spans="1:15" ht="15" customHeight="1" x14ac:dyDescent="0.3">
      <c r="A238" s="41" t="str">
        <f>IFERROR(INDEX(Combined_Data!$C:$C,$O238+1),"")</f>
        <v/>
      </c>
      <c r="B238" s="41" t="str">
        <f>IFERROR(INDEX(Combined_Data!$E:$E,$O238+1),"")</f>
        <v/>
      </c>
      <c r="C238" s="41" t="str">
        <f>IFERROR(INDEX(Combined_Data!$B:$B,$O238+1),"")</f>
        <v/>
      </c>
      <c r="D238" s="41" t="str">
        <f>IFERROR(INDEX(Combined_Data!$D:$D,$O238+1),"")</f>
        <v/>
      </c>
      <c r="E238" s="41" t="str">
        <f>IFERROR(INDEX(Combined_Data!$G:$G,$O238+1),"")</f>
        <v/>
      </c>
      <c r="F238" s="42" t="str">
        <f>IFERROR(INDEX(Combined_Data!$I:$I,$O238+1),"")</f>
        <v/>
      </c>
      <c r="G238" s="41" t="str">
        <f>IFERROR(INDEX(Combined_Data!$K:$K,$O238+1),"")</f>
        <v/>
      </c>
      <c r="H238" s="41" t="str">
        <f>IFERROR(INDEX(Combined_Data!$M:$M,$O238+1),"")</f>
        <v/>
      </c>
      <c r="I238" s="41" t="str">
        <f>IFERROR(INDEX(Combined_Data!$N:$N,$O238+1),"")</f>
        <v/>
      </c>
      <c r="J238" s="43" t="str">
        <f>IFERROR(INDEX(Combined_Data!$S:$S,$O238+1),"")</f>
        <v/>
      </c>
      <c r="K238" s="44" t="str">
        <f>IFERROR(INDEX(Combined_Data!$AF:$AF,$O238+1),"")</f>
        <v/>
      </c>
      <c r="L238" s="41" t="str">
        <f>IFERROR(INDEX(Combined_Data!$AG:$AG,$O238+1),"")</f>
        <v/>
      </c>
      <c r="M238" s="41" t="str">
        <f>IFERROR(INDEX(Combined_Data!$AH:$AH,$O238+1),"")</f>
        <v/>
      </c>
      <c r="O238" t="str">
        <f>IFERROR(_xlfn.AGGREGATE(15,6,(ROW(Combined_Data!$AI$2:$AI$3001)-1)/(Combined_Data!$AI$2:$AI$3001),204),"")</f>
        <v/>
      </c>
    </row>
    <row r="239" spans="1:15" ht="15" customHeight="1" x14ac:dyDescent="0.3">
      <c r="A239" s="41" t="str">
        <f>IFERROR(INDEX(Combined_Data!$C:$C,$O239+1),"")</f>
        <v/>
      </c>
      <c r="B239" s="41" t="str">
        <f>IFERROR(INDEX(Combined_Data!$E:$E,$O239+1),"")</f>
        <v/>
      </c>
      <c r="C239" s="41" t="str">
        <f>IFERROR(INDEX(Combined_Data!$B:$B,$O239+1),"")</f>
        <v/>
      </c>
      <c r="D239" s="41" t="str">
        <f>IFERROR(INDEX(Combined_Data!$D:$D,$O239+1),"")</f>
        <v/>
      </c>
      <c r="E239" s="41" t="str">
        <f>IFERROR(INDEX(Combined_Data!$G:$G,$O239+1),"")</f>
        <v/>
      </c>
      <c r="F239" s="42" t="str">
        <f>IFERROR(INDEX(Combined_Data!$I:$I,$O239+1),"")</f>
        <v/>
      </c>
      <c r="G239" s="41" t="str">
        <f>IFERROR(INDEX(Combined_Data!$K:$K,$O239+1),"")</f>
        <v/>
      </c>
      <c r="H239" s="41" t="str">
        <f>IFERROR(INDEX(Combined_Data!$M:$M,$O239+1),"")</f>
        <v/>
      </c>
      <c r="I239" s="41" t="str">
        <f>IFERROR(INDEX(Combined_Data!$N:$N,$O239+1),"")</f>
        <v/>
      </c>
      <c r="J239" s="43" t="str">
        <f>IFERROR(INDEX(Combined_Data!$S:$S,$O239+1),"")</f>
        <v/>
      </c>
      <c r="K239" s="44" t="str">
        <f>IFERROR(INDEX(Combined_Data!$AF:$AF,$O239+1),"")</f>
        <v/>
      </c>
      <c r="L239" s="41" t="str">
        <f>IFERROR(INDEX(Combined_Data!$AG:$AG,$O239+1),"")</f>
        <v/>
      </c>
      <c r="M239" s="41" t="str">
        <f>IFERROR(INDEX(Combined_Data!$AH:$AH,$O239+1),"")</f>
        <v/>
      </c>
      <c r="O239" t="str">
        <f>IFERROR(_xlfn.AGGREGATE(15,6,(ROW(Combined_Data!$AI$2:$AI$3001)-1)/(Combined_Data!$AI$2:$AI$3001),205),"")</f>
        <v/>
      </c>
    </row>
    <row r="240" spans="1:15" ht="15" customHeight="1" x14ac:dyDescent="0.3">
      <c r="A240" s="41" t="str">
        <f>IFERROR(INDEX(Combined_Data!$C:$C,$O240+1),"")</f>
        <v/>
      </c>
      <c r="B240" s="41" t="str">
        <f>IFERROR(INDEX(Combined_Data!$E:$E,$O240+1),"")</f>
        <v/>
      </c>
      <c r="C240" s="41" t="str">
        <f>IFERROR(INDEX(Combined_Data!$B:$B,$O240+1),"")</f>
        <v/>
      </c>
      <c r="D240" s="41" t="str">
        <f>IFERROR(INDEX(Combined_Data!$D:$D,$O240+1),"")</f>
        <v/>
      </c>
      <c r="E240" s="41" t="str">
        <f>IFERROR(INDEX(Combined_Data!$G:$G,$O240+1),"")</f>
        <v/>
      </c>
      <c r="F240" s="42" t="str">
        <f>IFERROR(INDEX(Combined_Data!$I:$I,$O240+1),"")</f>
        <v/>
      </c>
      <c r="G240" s="41" t="str">
        <f>IFERROR(INDEX(Combined_Data!$K:$K,$O240+1),"")</f>
        <v/>
      </c>
      <c r="H240" s="41" t="str">
        <f>IFERROR(INDEX(Combined_Data!$M:$M,$O240+1),"")</f>
        <v/>
      </c>
      <c r="I240" s="41" t="str">
        <f>IFERROR(INDEX(Combined_Data!$N:$N,$O240+1),"")</f>
        <v/>
      </c>
      <c r="J240" s="43" t="str">
        <f>IFERROR(INDEX(Combined_Data!$S:$S,$O240+1),"")</f>
        <v/>
      </c>
      <c r="K240" s="44" t="str">
        <f>IFERROR(INDEX(Combined_Data!$AF:$AF,$O240+1),"")</f>
        <v/>
      </c>
      <c r="L240" s="41" t="str">
        <f>IFERROR(INDEX(Combined_Data!$AG:$AG,$O240+1),"")</f>
        <v/>
      </c>
      <c r="M240" s="41" t="str">
        <f>IFERROR(INDEX(Combined_Data!$AH:$AH,$O240+1),"")</f>
        <v/>
      </c>
      <c r="O240" t="str">
        <f>IFERROR(_xlfn.AGGREGATE(15,6,(ROW(Combined_Data!$AI$2:$AI$3001)-1)/(Combined_Data!$AI$2:$AI$3001),206),"")</f>
        <v/>
      </c>
    </row>
    <row r="241" spans="1:15" ht="15" customHeight="1" x14ac:dyDescent="0.3">
      <c r="A241" s="41" t="str">
        <f>IFERROR(INDEX(Combined_Data!$C:$C,$O241+1),"")</f>
        <v/>
      </c>
      <c r="B241" s="41" t="str">
        <f>IFERROR(INDEX(Combined_Data!$E:$E,$O241+1),"")</f>
        <v/>
      </c>
      <c r="C241" s="41" t="str">
        <f>IFERROR(INDEX(Combined_Data!$B:$B,$O241+1),"")</f>
        <v/>
      </c>
      <c r="D241" s="41" t="str">
        <f>IFERROR(INDEX(Combined_Data!$D:$D,$O241+1),"")</f>
        <v/>
      </c>
      <c r="E241" s="41" t="str">
        <f>IFERROR(INDEX(Combined_Data!$G:$G,$O241+1),"")</f>
        <v/>
      </c>
      <c r="F241" s="42" t="str">
        <f>IFERROR(INDEX(Combined_Data!$I:$I,$O241+1),"")</f>
        <v/>
      </c>
      <c r="G241" s="41" t="str">
        <f>IFERROR(INDEX(Combined_Data!$K:$K,$O241+1),"")</f>
        <v/>
      </c>
      <c r="H241" s="41" t="str">
        <f>IFERROR(INDEX(Combined_Data!$M:$M,$O241+1),"")</f>
        <v/>
      </c>
      <c r="I241" s="41" t="str">
        <f>IFERROR(INDEX(Combined_Data!$N:$N,$O241+1),"")</f>
        <v/>
      </c>
      <c r="J241" s="43" t="str">
        <f>IFERROR(INDEX(Combined_Data!$S:$S,$O241+1),"")</f>
        <v/>
      </c>
      <c r="K241" s="44" t="str">
        <f>IFERROR(INDEX(Combined_Data!$AF:$AF,$O241+1),"")</f>
        <v/>
      </c>
      <c r="L241" s="41" t="str">
        <f>IFERROR(INDEX(Combined_Data!$AG:$AG,$O241+1),"")</f>
        <v/>
      </c>
      <c r="M241" s="41" t="str">
        <f>IFERROR(INDEX(Combined_Data!$AH:$AH,$O241+1),"")</f>
        <v/>
      </c>
      <c r="O241" t="str">
        <f>IFERROR(_xlfn.AGGREGATE(15,6,(ROW(Combined_Data!$AI$2:$AI$3001)-1)/(Combined_Data!$AI$2:$AI$3001),207),"")</f>
        <v/>
      </c>
    </row>
    <row r="242" spans="1:15" ht="15" customHeight="1" x14ac:dyDescent="0.3">
      <c r="A242" s="41" t="str">
        <f>IFERROR(INDEX(Combined_Data!$C:$C,$O242+1),"")</f>
        <v/>
      </c>
      <c r="B242" s="41" t="str">
        <f>IFERROR(INDEX(Combined_Data!$E:$E,$O242+1),"")</f>
        <v/>
      </c>
      <c r="C242" s="41" t="str">
        <f>IFERROR(INDEX(Combined_Data!$B:$B,$O242+1),"")</f>
        <v/>
      </c>
      <c r="D242" s="41" t="str">
        <f>IFERROR(INDEX(Combined_Data!$D:$D,$O242+1),"")</f>
        <v/>
      </c>
      <c r="E242" s="41" t="str">
        <f>IFERROR(INDEX(Combined_Data!$G:$G,$O242+1),"")</f>
        <v/>
      </c>
      <c r="F242" s="42" t="str">
        <f>IFERROR(INDEX(Combined_Data!$I:$I,$O242+1),"")</f>
        <v/>
      </c>
      <c r="G242" s="41" t="str">
        <f>IFERROR(INDEX(Combined_Data!$K:$K,$O242+1),"")</f>
        <v/>
      </c>
      <c r="H242" s="41" t="str">
        <f>IFERROR(INDEX(Combined_Data!$M:$M,$O242+1),"")</f>
        <v/>
      </c>
      <c r="I242" s="41" t="str">
        <f>IFERROR(INDEX(Combined_Data!$N:$N,$O242+1),"")</f>
        <v/>
      </c>
      <c r="J242" s="43" t="str">
        <f>IFERROR(INDEX(Combined_Data!$S:$S,$O242+1),"")</f>
        <v/>
      </c>
      <c r="K242" s="44" t="str">
        <f>IFERROR(INDEX(Combined_Data!$AF:$AF,$O242+1),"")</f>
        <v/>
      </c>
      <c r="L242" s="41" t="str">
        <f>IFERROR(INDEX(Combined_Data!$AG:$AG,$O242+1),"")</f>
        <v/>
      </c>
      <c r="M242" s="41" t="str">
        <f>IFERROR(INDEX(Combined_Data!$AH:$AH,$O242+1),"")</f>
        <v/>
      </c>
      <c r="O242" t="str">
        <f>IFERROR(_xlfn.AGGREGATE(15,6,(ROW(Combined_Data!$AI$2:$AI$3001)-1)/(Combined_Data!$AI$2:$AI$3001),208),"")</f>
        <v/>
      </c>
    </row>
    <row r="243" spans="1:15" ht="15" customHeight="1" x14ac:dyDescent="0.3">
      <c r="A243" s="41" t="str">
        <f>IFERROR(INDEX(Combined_Data!$C:$C,$O243+1),"")</f>
        <v/>
      </c>
      <c r="B243" s="41" t="str">
        <f>IFERROR(INDEX(Combined_Data!$E:$E,$O243+1),"")</f>
        <v/>
      </c>
      <c r="C243" s="41" t="str">
        <f>IFERROR(INDEX(Combined_Data!$B:$B,$O243+1),"")</f>
        <v/>
      </c>
      <c r="D243" s="41" t="str">
        <f>IFERROR(INDEX(Combined_Data!$D:$D,$O243+1),"")</f>
        <v/>
      </c>
      <c r="E243" s="41" t="str">
        <f>IFERROR(INDEX(Combined_Data!$G:$G,$O243+1),"")</f>
        <v/>
      </c>
      <c r="F243" s="42" t="str">
        <f>IFERROR(INDEX(Combined_Data!$I:$I,$O243+1),"")</f>
        <v/>
      </c>
      <c r="G243" s="41" t="str">
        <f>IFERROR(INDEX(Combined_Data!$K:$K,$O243+1),"")</f>
        <v/>
      </c>
      <c r="H243" s="41" t="str">
        <f>IFERROR(INDEX(Combined_Data!$M:$M,$O243+1),"")</f>
        <v/>
      </c>
      <c r="I243" s="41" t="str">
        <f>IFERROR(INDEX(Combined_Data!$N:$N,$O243+1),"")</f>
        <v/>
      </c>
      <c r="J243" s="43" t="str">
        <f>IFERROR(INDEX(Combined_Data!$S:$S,$O243+1),"")</f>
        <v/>
      </c>
      <c r="K243" s="44" t="str">
        <f>IFERROR(INDEX(Combined_Data!$AF:$AF,$O243+1),"")</f>
        <v/>
      </c>
      <c r="L243" s="41" t="str">
        <f>IFERROR(INDEX(Combined_Data!$AG:$AG,$O243+1),"")</f>
        <v/>
      </c>
      <c r="M243" s="41" t="str">
        <f>IFERROR(INDEX(Combined_Data!$AH:$AH,$O243+1),"")</f>
        <v/>
      </c>
      <c r="O243" t="str">
        <f>IFERROR(_xlfn.AGGREGATE(15,6,(ROW(Combined_Data!$AI$2:$AI$3001)-1)/(Combined_Data!$AI$2:$AI$3001),209),"")</f>
        <v/>
      </c>
    </row>
    <row r="244" spans="1:15" ht="15" customHeight="1" x14ac:dyDescent="0.3">
      <c r="A244" s="41" t="str">
        <f>IFERROR(INDEX(Combined_Data!$C:$C,$O244+1),"")</f>
        <v/>
      </c>
      <c r="B244" s="41" t="str">
        <f>IFERROR(INDEX(Combined_Data!$E:$E,$O244+1),"")</f>
        <v/>
      </c>
      <c r="C244" s="41" t="str">
        <f>IFERROR(INDEX(Combined_Data!$B:$B,$O244+1),"")</f>
        <v/>
      </c>
      <c r="D244" s="41" t="str">
        <f>IFERROR(INDEX(Combined_Data!$D:$D,$O244+1),"")</f>
        <v/>
      </c>
      <c r="E244" s="41" t="str">
        <f>IFERROR(INDEX(Combined_Data!$G:$G,$O244+1),"")</f>
        <v/>
      </c>
      <c r="F244" s="42" t="str">
        <f>IFERROR(INDEX(Combined_Data!$I:$I,$O244+1),"")</f>
        <v/>
      </c>
      <c r="G244" s="41" t="str">
        <f>IFERROR(INDEX(Combined_Data!$K:$K,$O244+1),"")</f>
        <v/>
      </c>
      <c r="H244" s="41" t="str">
        <f>IFERROR(INDEX(Combined_Data!$M:$M,$O244+1),"")</f>
        <v/>
      </c>
      <c r="I244" s="41" t="str">
        <f>IFERROR(INDEX(Combined_Data!$N:$N,$O244+1),"")</f>
        <v/>
      </c>
      <c r="J244" s="43" t="str">
        <f>IFERROR(INDEX(Combined_Data!$S:$S,$O244+1),"")</f>
        <v/>
      </c>
      <c r="K244" s="44" t="str">
        <f>IFERROR(INDEX(Combined_Data!$AF:$AF,$O244+1),"")</f>
        <v/>
      </c>
      <c r="L244" s="41" t="str">
        <f>IFERROR(INDEX(Combined_Data!$AG:$AG,$O244+1),"")</f>
        <v/>
      </c>
      <c r="M244" s="41" t="str">
        <f>IFERROR(INDEX(Combined_Data!$AH:$AH,$O244+1),"")</f>
        <v/>
      </c>
      <c r="O244" t="str">
        <f>IFERROR(_xlfn.AGGREGATE(15,6,(ROW(Combined_Data!$AI$2:$AI$3001)-1)/(Combined_Data!$AI$2:$AI$3001),210),"")</f>
        <v/>
      </c>
    </row>
    <row r="245" spans="1:15" ht="15" customHeight="1" x14ac:dyDescent="0.3">
      <c r="A245" s="41" t="str">
        <f>IFERROR(INDEX(Combined_Data!$C:$C,$O245+1),"")</f>
        <v/>
      </c>
      <c r="B245" s="41" t="str">
        <f>IFERROR(INDEX(Combined_Data!$E:$E,$O245+1),"")</f>
        <v/>
      </c>
      <c r="C245" s="41" t="str">
        <f>IFERROR(INDEX(Combined_Data!$B:$B,$O245+1),"")</f>
        <v/>
      </c>
      <c r="D245" s="41" t="str">
        <f>IFERROR(INDEX(Combined_Data!$D:$D,$O245+1),"")</f>
        <v/>
      </c>
      <c r="E245" s="41" t="str">
        <f>IFERROR(INDEX(Combined_Data!$G:$G,$O245+1),"")</f>
        <v/>
      </c>
      <c r="F245" s="42" t="str">
        <f>IFERROR(INDEX(Combined_Data!$I:$I,$O245+1),"")</f>
        <v/>
      </c>
      <c r="G245" s="41" t="str">
        <f>IFERROR(INDEX(Combined_Data!$K:$K,$O245+1),"")</f>
        <v/>
      </c>
      <c r="H245" s="41" t="str">
        <f>IFERROR(INDEX(Combined_Data!$M:$M,$O245+1),"")</f>
        <v/>
      </c>
      <c r="I245" s="41" t="str">
        <f>IFERROR(INDEX(Combined_Data!$N:$N,$O245+1),"")</f>
        <v/>
      </c>
      <c r="J245" s="43" t="str">
        <f>IFERROR(INDEX(Combined_Data!$S:$S,$O245+1),"")</f>
        <v/>
      </c>
      <c r="K245" s="44" t="str">
        <f>IFERROR(INDEX(Combined_Data!$AF:$AF,$O245+1),"")</f>
        <v/>
      </c>
      <c r="L245" s="41" t="str">
        <f>IFERROR(INDEX(Combined_Data!$AG:$AG,$O245+1),"")</f>
        <v/>
      </c>
      <c r="M245" s="41" t="str">
        <f>IFERROR(INDEX(Combined_Data!$AH:$AH,$O245+1),"")</f>
        <v/>
      </c>
      <c r="O245" t="str">
        <f>IFERROR(_xlfn.AGGREGATE(15,6,(ROW(Combined_Data!$AI$2:$AI$3001)-1)/(Combined_Data!$AI$2:$AI$3001),211),"")</f>
        <v/>
      </c>
    </row>
    <row r="246" spans="1:15" ht="15" customHeight="1" x14ac:dyDescent="0.3">
      <c r="A246" s="41" t="str">
        <f>IFERROR(INDEX(Combined_Data!$C:$C,$O246+1),"")</f>
        <v/>
      </c>
      <c r="B246" s="41" t="str">
        <f>IFERROR(INDEX(Combined_Data!$E:$E,$O246+1),"")</f>
        <v/>
      </c>
      <c r="C246" s="41" t="str">
        <f>IFERROR(INDEX(Combined_Data!$B:$B,$O246+1),"")</f>
        <v/>
      </c>
      <c r="D246" s="41" t="str">
        <f>IFERROR(INDEX(Combined_Data!$D:$D,$O246+1),"")</f>
        <v/>
      </c>
      <c r="E246" s="41" t="str">
        <f>IFERROR(INDEX(Combined_Data!$G:$G,$O246+1),"")</f>
        <v/>
      </c>
      <c r="F246" s="42" t="str">
        <f>IFERROR(INDEX(Combined_Data!$I:$I,$O246+1),"")</f>
        <v/>
      </c>
      <c r="G246" s="41" t="str">
        <f>IFERROR(INDEX(Combined_Data!$K:$K,$O246+1),"")</f>
        <v/>
      </c>
      <c r="H246" s="41" t="str">
        <f>IFERROR(INDEX(Combined_Data!$M:$M,$O246+1),"")</f>
        <v/>
      </c>
      <c r="I246" s="41" t="str">
        <f>IFERROR(INDEX(Combined_Data!$N:$N,$O246+1),"")</f>
        <v/>
      </c>
      <c r="J246" s="43" t="str">
        <f>IFERROR(INDEX(Combined_Data!$S:$S,$O246+1),"")</f>
        <v/>
      </c>
      <c r="K246" s="44" t="str">
        <f>IFERROR(INDEX(Combined_Data!$AF:$AF,$O246+1),"")</f>
        <v/>
      </c>
      <c r="L246" s="41" t="str">
        <f>IFERROR(INDEX(Combined_Data!$AG:$AG,$O246+1),"")</f>
        <v/>
      </c>
      <c r="M246" s="41" t="str">
        <f>IFERROR(INDEX(Combined_Data!$AH:$AH,$O246+1),"")</f>
        <v/>
      </c>
      <c r="O246" t="str">
        <f>IFERROR(_xlfn.AGGREGATE(15,6,(ROW(Combined_Data!$AI$2:$AI$3001)-1)/(Combined_Data!$AI$2:$AI$3001),212),"")</f>
        <v/>
      </c>
    </row>
    <row r="247" spans="1:15" ht="15" customHeight="1" x14ac:dyDescent="0.3">
      <c r="A247" s="41" t="str">
        <f>IFERROR(INDEX(Combined_Data!$C:$C,$O247+1),"")</f>
        <v/>
      </c>
      <c r="B247" s="41" t="str">
        <f>IFERROR(INDEX(Combined_Data!$E:$E,$O247+1),"")</f>
        <v/>
      </c>
      <c r="C247" s="41" t="str">
        <f>IFERROR(INDEX(Combined_Data!$B:$B,$O247+1),"")</f>
        <v/>
      </c>
      <c r="D247" s="41" t="str">
        <f>IFERROR(INDEX(Combined_Data!$D:$D,$O247+1),"")</f>
        <v/>
      </c>
      <c r="E247" s="41" t="str">
        <f>IFERROR(INDEX(Combined_Data!$G:$G,$O247+1),"")</f>
        <v/>
      </c>
      <c r="F247" s="42" t="str">
        <f>IFERROR(INDEX(Combined_Data!$I:$I,$O247+1),"")</f>
        <v/>
      </c>
      <c r="G247" s="41" t="str">
        <f>IFERROR(INDEX(Combined_Data!$K:$K,$O247+1),"")</f>
        <v/>
      </c>
      <c r="H247" s="41" t="str">
        <f>IFERROR(INDEX(Combined_Data!$M:$M,$O247+1),"")</f>
        <v/>
      </c>
      <c r="I247" s="41" t="str">
        <f>IFERROR(INDEX(Combined_Data!$N:$N,$O247+1),"")</f>
        <v/>
      </c>
      <c r="J247" s="43" t="str">
        <f>IFERROR(INDEX(Combined_Data!$S:$S,$O247+1),"")</f>
        <v/>
      </c>
      <c r="K247" s="44" t="str">
        <f>IFERROR(INDEX(Combined_Data!$AF:$AF,$O247+1),"")</f>
        <v/>
      </c>
      <c r="L247" s="41" t="str">
        <f>IFERROR(INDEX(Combined_Data!$AG:$AG,$O247+1),"")</f>
        <v/>
      </c>
      <c r="M247" s="41" t="str">
        <f>IFERROR(INDEX(Combined_Data!$AH:$AH,$O247+1),"")</f>
        <v/>
      </c>
      <c r="O247" t="str">
        <f>IFERROR(_xlfn.AGGREGATE(15,6,(ROW(Combined_Data!$AI$2:$AI$3001)-1)/(Combined_Data!$AI$2:$AI$3001),213),"")</f>
        <v/>
      </c>
    </row>
    <row r="248" spans="1:15" ht="15" customHeight="1" x14ac:dyDescent="0.3">
      <c r="A248" s="41" t="str">
        <f>IFERROR(INDEX(Combined_Data!$C:$C,$O248+1),"")</f>
        <v/>
      </c>
      <c r="B248" s="41" t="str">
        <f>IFERROR(INDEX(Combined_Data!$E:$E,$O248+1),"")</f>
        <v/>
      </c>
      <c r="C248" s="41" t="str">
        <f>IFERROR(INDEX(Combined_Data!$B:$B,$O248+1),"")</f>
        <v/>
      </c>
      <c r="D248" s="41" t="str">
        <f>IFERROR(INDEX(Combined_Data!$D:$D,$O248+1),"")</f>
        <v/>
      </c>
      <c r="E248" s="41" t="str">
        <f>IFERROR(INDEX(Combined_Data!$G:$G,$O248+1),"")</f>
        <v/>
      </c>
      <c r="F248" s="42" t="str">
        <f>IFERROR(INDEX(Combined_Data!$I:$I,$O248+1),"")</f>
        <v/>
      </c>
      <c r="G248" s="41" t="str">
        <f>IFERROR(INDEX(Combined_Data!$K:$K,$O248+1),"")</f>
        <v/>
      </c>
      <c r="H248" s="41" t="str">
        <f>IFERROR(INDEX(Combined_Data!$M:$M,$O248+1),"")</f>
        <v/>
      </c>
      <c r="I248" s="41" t="str">
        <f>IFERROR(INDEX(Combined_Data!$N:$N,$O248+1),"")</f>
        <v/>
      </c>
      <c r="J248" s="43" t="str">
        <f>IFERROR(INDEX(Combined_Data!$S:$S,$O248+1),"")</f>
        <v/>
      </c>
      <c r="K248" s="44" t="str">
        <f>IFERROR(INDEX(Combined_Data!$AF:$AF,$O248+1),"")</f>
        <v/>
      </c>
      <c r="L248" s="41" t="str">
        <f>IFERROR(INDEX(Combined_Data!$AG:$AG,$O248+1),"")</f>
        <v/>
      </c>
      <c r="M248" s="41" t="str">
        <f>IFERROR(INDEX(Combined_Data!$AH:$AH,$O248+1),"")</f>
        <v/>
      </c>
      <c r="O248" t="str">
        <f>IFERROR(_xlfn.AGGREGATE(15,6,(ROW(Combined_Data!$AI$2:$AI$3001)-1)/(Combined_Data!$AI$2:$AI$3001),214),"")</f>
        <v/>
      </c>
    </row>
    <row r="249" spans="1:15" ht="15" customHeight="1" x14ac:dyDescent="0.3">
      <c r="A249" s="41" t="str">
        <f>IFERROR(INDEX(Combined_Data!$C:$C,$O249+1),"")</f>
        <v/>
      </c>
      <c r="B249" s="41" t="str">
        <f>IFERROR(INDEX(Combined_Data!$E:$E,$O249+1),"")</f>
        <v/>
      </c>
      <c r="C249" s="41" t="str">
        <f>IFERROR(INDEX(Combined_Data!$B:$B,$O249+1),"")</f>
        <v/>
      </c>
      <c r="D249" s="41" t="str">
        <f>IFERROR(INDEX(Combined_Data!$D:$D,$O249+1),"")</f>
        <v/>
      </c>
      <c r="E249" s="41" t="str">
        <f>IFERROR(INDEX(Combined_Data!$G:$G,$O249+1),"")</f>
        <v/>
      </c>
      <c r="F249" s="42" t="str">
        <f>IFERROR(INDEX(Combined_Data!$I:$I,$O249+1),"")</f>
        <v/>
      </c>
      <c r="G249" s="41" t="str">
        <f>IFERROR(INDEX(Combined_Data!$K:$K,$O249+1),"")</f>
        <v/>
      </c>
      <c r="H249" s="41" t="str">
        <f>IFERROR(INDEX(Combined_Data!$M:$M,$O249+1),"")</f>
        <v/>
      </c>
      <c r="I249" s="41" t="str">
        <f>IFERROR(INDEX(Combined_Data!$N:$N,$O249+1),"")</f>
        <v/>
      </c>
      <c r="J249" s="43" t="str">
        <f>IFERROR(INDEX(Combined_Data!$S:$S,$O249+1),"")</f>
        <v/>
      </c>
      <c r="K249" s="44" t="str">
        <f>IFERROR(INDEX(Combined_Data!$AF:$AF,$O249+1),"")</f>
        <v/>
      </c>
      <c r="L249" s="41" t="str">
        <f>IFERROR(INDEX(Combined_Data!$AG:$AG,$O249+1),"")</f>
        <v/>
      </c>
      <c r="M249" s="41" t="str">
        <f>IFERROR(INDEX(Combined_Data!$AH:$AH,$O249+1),"")</f>
        <v/>
      </c>
      <c r="O249" t="str">
        <f>IFERROR(_xlfn.AGGREGATE(15,6,(ROW(Combined_Data!$AI$2:$AI$3001)-1)/(Combined_Data!$AI$2:$AI$3001),215),"")</f>
        <v/>
      </c>
    </row>
    <row r="250" spans="1:15" ht="15" customHeight="1" x14ac:dyDescent="0.3">
      <c r="A250" s="41" t="str">
        <f>IFERROR(INDEX(Combined_Data!$C:$C,$O250+1),"")</f>
        <v/>
      </c>
      <c r="B250" s="41" t="str">
        <f>IFERROR(INDEX(Combined_Data!$E:$E,$O250+1),"")</f>
        <v/>
      </c>
      <c r="C250" s="41" t="str">
        <f>IFERROR(INDEX(Combined_Data!$B:$B,$O250+1),"")</f>
        <v/>
      </c>
      <c r="D250" s="41" t="str">
        <f>IFERROR(INDEX(Combined_Data!$D:$D,$O250+1),"")</f>
        <v/>
      </c>
      <c r="E250" s="41" t="str">
        <f>IFERROR(INDEX(Combined_Data!$G:$G,$O250+1),"")</f>
        <v/>
      </c>
      <c r="F250" s="42" t="str">
        <f>IFERROR(INDEX(Combined_Data!$I:$I,$O250+1),"")</f>
        <v/>
      </c>
      <c r="G250" s="41" t="str">
        <f>IFERROR(INDEX(Combined_Data!$K:$K,$O250+1),"")</f>
        <v/>
      </c>
      <c r="H250" s="41" t="str">
        <f>IFERROR(INDEX(Combined_Data!$M:$M,$O250+1),"")</f>
        <v/>
      </c>
      <c r="I250" s="41" t="str">
        <f>IFERROR(INDEX(Combined_Data!$N:$N,$O250+1),"")</f>
        <v/>
      </c>
      <c r="J250" s="43" t="str">
        <f>IFERROR(INDEX(Combined_Data!$S:$S,$O250+1),"")</f>
        <v/>
      </c>
      <c r="K250" s="44" t="str">
        <f>IFERROR(INDEX(Combined_Data!$AF:$AF,$O250+1),"")</f>
        <v/>
      </c>
      <c r="L250" s="41" t="str">
        <f>IFERROR(INDEX(Combined_Data!$AG:$AG,$O250+1),"")</f>
        <v/>
      </c>
      <c r="M250" s="41" t="str">
        <f>IFERROR(INDEX(Combined_Data!$AH:$AH,$O250+1),"")</f>
        <v/>
      </c>
      <c r="O250" t="str">
        <f>IFERROR(_xlfn.AGGREGATE(15,6,(ROW(Combined_Data!$AI$2:$AI$3001)-1)/(Combined_Data!$AI$2:$AI$3001),216),"")</f>
        <v/>
      </c>
    </row>
    <row r="251" spans="1:15" ht="15" customHeight="1" x14ac:dyDescent="0.3">
      <c r="A251" s="41" t="str">
        <f>IFERROR(INDEX(Combined_Data!$C:$C,$O251+1),"")</f>
        <v/>
      </c>
      <c r="B251" s="41" t="str">
        <f>IFERROR(INDEX(Combined_Data!$E:$E,$O251+1),"")</f>
        <v/>
      </c>
      <c r="C251" s="41" t="str">
        <f>IFERROR(INDEX(Combined_Data!$B:$B,$O251+1),"")</f>
        <v/>
      </c>
      <c r="D251" s="41" t="str">
        <f>IFERROR(INDEX(Combined_Data!$D:$D,$O251+1),"")</f>
        <v/>
      </c>
      <c r="E251" s="41" t="str">
        <f>IFERROR(INDEX(Combined_Data!$G:$G,$O251+1),"")</f>
        <v/>
      </c>
      <c r="F251" s="42" t="str">
        <f>IFERROR(INDEX(Combined_Data!$I:$I,$O251+1),"")</f>
        <v/>
      </c>
      <c r="G251" s="41" t="str">
        <f>IFERROR(INDEX(Combined_Data!$K:$K,$O251+1),"")</f>
        <v/>
      </c>
      <c r="H251" s="41" t="str">
        <f>IFERROR(INDEX(Combined_Data!$M:$M,$O251+1),"")</f>
        <v/>
      </c>
      <c r="I251" s="41" t="str">
        <f>IFERROR(INDEX(Combined_Data!$N:$N,$O251+1),"")</f>
        <v/>
      </c>
      <c r="J251" s="43" t="str">
        <f>IFERROR(INDEX(Combined_Data!$S:$S,$O251+1),"")</f>
        <v/>
      </c>
      <c r="K251" s="44" t="str">
        <f>IFERROR(INDEX(Combined_Data!$AF:$AF,$O251+1),"")</f>
        <v/>
      </c>
      <c r="L251" s="41" t="str">
        <f>IFERROR(INDEX(Combined_Data!$AG:$AG,$O251+1),"")</f>
        <v/>
      </c>
      <c r="M251" s="41" t="str">
        <f>IFERROR(INDEX(Combined_Data!$AH:$AH,$O251+1),"")</f>
        <v/>
      </c>
      <c r="O251" t="str">
        <f>IFERROR(_xlfn.AGGREGATE(15,6,(ROW(Combined_Data!$AI$2:$AI$3001)-1)/(Combined_Data!$AI$2:$AI$3001),217),"")</f>
        <v/>
      </c>
    </row>
    <row r="252" spans="1:15" ht="15" customHeight="1" x14ac:dyDescent="0.3">
      <c r="A252" s="41" t="str">
        <f>IFERROR(INDEX(Combined_Data!$C:$C,$O252+1),"")</f>
        <v/>
      </c>
      <c r="B252" s="41" t="str">
        <f>IFERROR(INDEX(Combined_Data!$E:$E,$O252+1),"")</f>
        <v/>
      </c>
      <c r="C252" s="41" t="str">
        <f>IFERROR(INDEX(Combined_Data!$B:$B,$O252+1),"")</f>
        <v/>
      </c>
      <c r="D252" s="41" t="str">
        <f>IFERROR(INDEX(Combined_Data!$D:$D,$O252+1),"")</f>
        <v/>
      </c>
      <c r="E252" s="41" t="str">
        <f>IFERROR(INDEX(Combined_Data!$G:$G,$O252+1),"")</f>
        <v/>
      </c>
      <c r="F252" s="42" t="str">
        <f>IFERROR(INDEX(Combined_Data!$I:$I,$O252+1),"")</f>
        <v/>
      </c>
      <c r="G252" s="41" t="str">
        <f>IFERROR(INDEX(Combined_Data!$K:$K,$O252+1),"")</f>
        <v/>
      </c>
      <c r="H252" s="41" t="str">
        <f>IFERROR(INDEX(Combined_Data!$M:$M,$O252+1),"")</f>
        <v/>
      </c>
      <c r="I252" s="41" t="str">
        <f>IFERROR(INDEX(Combined_Data!$N:$N,$O252+1),"")</f>
        <v/>
      </c>
      <c r="J252" s="43" t="str">
        <f>IFERROR(INDEX(Combined_Data!$S:$S,$O252+1),"")</f>
        <v/>
      </c>
      <c r="K252" s="44" t="str">
        <f>IFERROR(INDEX(Combined_Data!$AF:$AF,$O252+1),"")</f>
        <v/>
      </c>
      <c r="L252" s="41" t="str">
        <f>IFERROR(INDEX(Combined_Data!$AG:$AG,$O252+1),"")</f>
        <v/>
      </c>
      <c r="M252" s="41" t="str">
        <f>IFERROR(INDEX(Combined_Data!$AH:$AH,$O252+1),"")</f>
        <v/>
      </c>
      <c r="O252" t="str">
        <f>IFERROR(_xlfn.AGGREGATE(15,6,(ROW(Combined_Data!$AI$2:$AI$3001)-1)/(Combined_Data!$AI$2:$AI$3001),218),"")</f>
        <v/>
      </c>
    </row>
    <row r="253" spans="1:15" ht="15" customHeight="1" x14ac:dyDescent="0.3">
      <c r="A253" s="41" t="str">
        <f>IFERROR(INDEX(Combined_Data!$C:$C,$O253+1),"")</f>
        <v/>
      </c>
      <c r="B253" s="41" t="str">
        <f>IFERROR(INDEX(Combined_Data!$E:$E,$O253+1),"")</f>
        <v/>
      </c>
      <c r="C253" s="41" t="str">
        <f>IFERROR(INDEX(Combined_Data!$B:$B,$O253+1),"")</f>
        <v/>
      </c>
      <c r="D253" s="41" t="str">
        <f>IFERROR(INDEX(Combined_Data!$D:$D,$O253+1),"")</f>
        <v/>
      </c>
      <c r="E253" s="41" t="str">
        <f>IFERROR(INDEX(Combined_Data!$G:$G,$O253+1),"")</f>
        <v/>
      </c>
      <c r="F253" s="42" t="str">
        <f>IFERROR(INDEX(Combined_Data!$I:$I,$O253+1),"")</f>
        <v/>
      </c>
      <c r="G253" s="41" t="str">
        <f>IFERROR(INDEX(Combined_Data!$K:$K,$O253+1),"")</f>
        <v/>
      </c>
      <c r="H253" s="41" t="str">
        <f>IFERROR(INDEX(Combined_Data!$M:$M,$O253+1),"")</f>
        <v/>
      </c>
      <c r="I253" s="41" t="str">
        <f>IFERROR(INDEX(Combined_Data!$N:$N,$O253+1),"")</f>
        <v/>
      </c>
      <c r="J253" s="43" t="str">
        <f>IFERROR(INDEX(Combined_Data!$S:$S,$O253+1),"")</f>
        <v/>
      </c>
      <c r="K253" s="44" t="str">
        <f>IFERROR(INDEX(Combined_Data!$AF:$AF,$O253+1),"")</f>
        <v/>
      </c>
      <c r="L253" s="41" t="str">
        <f>IFERROR(INDEX(Combined_Data!$AG:$AG,$O253+1),"")</f>
        <v/>
      </c>
      <c r="M253" s="41" t="str">
        <f>IFERROR(INDEX(Combined_Data!$AH:$AH,$O253+1),"")</f>
        <v/>
      </c>
      <c r="O253" t="str">
        <f>IFERROR(_xlfn.AGGREGATE(15,6,(ROW(Combined_Data!$AI$2:$AI$3001)-1)/(Combined_Data!$AI$2:$AI$3001),219),"")</f>
        <v/>
      </c>
    </row>
    <row r="254" spans="1:15" ht="15" customHeight="1" x14ac:dyDescent="0.3">
      <c r="A254" s="41" t="str">
        <f>IFERROR(INDEX(Combined_Data!$C:$C,$O254+1),"")</f>
        <v/>
      </c>
      <c r="B254" s="41" t="str">
        <f>IFERROR(INDEX(Combined_Data!$E:$E,$O254+1),"")</f>
        <v/>
      </c>
      <c r="C254" s="41" t="str">
        <f>IFERROR(INDEX(Combined_Data!$B:$B,$O254+1),"")</f>
        <v/>
      </c>
      <c r="D254" s="41" t="str">
        <f>IFERROR(INDEX(Combined_Data!$D:$D,$O254+1),"")</f>
        <v/>
      </c>
      <c r="E254" s="41" t="str">
        <f>IFERROR(INDEX(Combined_Data!$G:$G,$O254+1),"")</f>
        <v/>
      </c>
      <c r="F254" s="42" t="str">
        <f>IFERROR(INDEX(Combined_Data!$I:$I,$O254+1),"")</f>
        <v/>
      </c>
      <c r="G254" s="41" t="str">
        <f>IFERROR(INDEX(Combined_Data!$K:$K,$O254+1),"")</f>
        <v/>
      </c>
      <c r="H254" s="41" t="str">
        <f>IFERROR(INDEX(Combined_Data!$M:$M,$O254+1),"")</f>
        <v/>
      </c>
      <c r="I254" s="41" t="str">
        <f>IFERROR(INDEX(Combined_Data!$N:$N,$O254+1),"")</f>
        <v/>
      </c>
      <c r="J254" s="43" t="str">
        <f>IFERROR(INDEX(Combined_Data!$S:$S,$O254+1),"")</f>
        <v/>
      </c>
      <c r="K254" s="44" t="str">
        <f>IFERROR(INDEX(Combined_Data!$AF:$AF,$O254+1),"")</f>
        <v/>
      </c>
      <c r="L254" s="41" t="str">
        <f>IFERROR(INDEX(Combined_Data!$AG:$AG,$O254+1),"")</f>
        <v/>
      </c>
      <c r="M254" s="41" t="str">
        <f>IFERROR(INDEX(Combined_Data!$AH:$AH,$O254+1),"")</f>
        <v/>
      </c>
      <c r="O254" t="str">
        <f>IFERROR(_xlfn.AGGREGATE(15,6,(ROW(Combined_Data!$AI$2:$AI$3001)-1)/(Combined_Data!$AI$2:$AI$3001),220),"")</f>
        <v/>
      </c>
    </row>
    <row r="255" spans="1:15" ht="15" customHeight="1" x14ac:dyDescent="0.3">
      <c r="A255" s="41" t="str">
        <f>IFERROR(INDEX(Combined_Data!$C:$C,$O255+1),"")</f>
        <v/>
      </c>
      <c r="B255" s="41" t="str">
        <f>IFERROR(INDEX(Combined_Data!$E:$E,$O255+1),"")</f>
        <v/>
      </c>
      <c r="C255" s="41" t="str">
        <f>IFERROR(INDEX(Combined_Data!$B:$B,$O255+1),"")</f>
        <v/>
      </c>
      <c r="D255" s="41" t="str">
        <f>IFERROR(INDEX(Combined_Data!$D:$D,$O255+1),"")</f>
        <v/>
      </c>
      <c r="E255" s="41" t="str">
        <f>IFERROR(INDEX(Combined_Data!$G:$G,$O255+1),"")</f>
        <v/>
      </c>
      <c r="F255" s="42" t="str">
        <f>IFERROR(INDEX(Combined_Data!$I:$I,$O255+1),"")</f>
        <v/>
      </c>
      <c r="G255" s="41" t="str">
        <f>IFERROR(INDEX(Combined_Data!$K:$K,$O255+1),"")</f>
        <v/>
      </c>
      <c r="H255" s="41" t="str">
        <f>IFERROR(INDEX(Combined_Data!$M:$M,$O255+1),"")</f>
        <v/>
      </c>
      <c r="I255" s="41" t="str">
        <f>IFERROR(INDEX(Combined_Data!$N:$N,$O255+1),"")</f>
        <v/>
      </c>
      <c r="J255" s="43" t="str">
        <f>IFERROR(INDEX(Combined_Data!$S:$S,$O255+1),"")</f>
        <v/>
      </c>
      <c r="K255" s="44" t="str">
        <f>IFERROR(INDEX(Combined_Data!$AF:$AF,$O255+1),"")</f>
        <v/>
      </c>
      <c r="L255" s="41" t="str">
        <f>IFERROR(INDEX(Combined_Data!$AG:$AG,$O255+1),"")</f>
        <v/>
      </c>
      <c r="M255" s="41" t="str">
        <f>IFERROR(INDEX(Combined_Data!$AH:$AH,$O255+1),"")</f>
        <v/>
      </c>
      <c r="O255" t="str">
        <f>IFERROR(_xlfn.AGGREGATE(15,6,(ROW(Combined_Data!$AI$2:$AI$3001)-1)/(Combined_Data!$AI$2:$AI$3001),221),"")</f>
        <v/>
      </c>
    </row>
    <row r="256" spans="1:15" ht="15" customHeight="1" x14ac:dyDescent="0.3">
      <c r="A256" s="41" t="str">
        <f>IFERROR(INDEX(Combined_Data!$C:$C,$O256+1),"")</f>
        <v/>
      </c>
      <c r="B256" s="41" t="str">
        <f>IFERROR(INDEX(Combined_Data!$E:$E,$O256+1),"")</f>
        <v/>
      </c>
      <c r="C256" s="41" t="str">
        <f>IFERROR(INDEX(Combined_Data!$B:$B,$O256+1),"")</f>
        <v/>
      </c>
      <c r="D256" s="41" t="str">
        <f>IFERROR(INDEX(Combined_Data!$D:$D,$O256+1),"")</f>
        <v/>
      </c>
      <c r="E256" s="41" t="str">
        <f>IFERROR(INDEX(Combined_Data!$G:$G,$O256+1),"")</f>
        <v/>
      </c>
      <c r="F256" s="42" t="str">
        <f>IFERROR(INDEX(Combined_Data!$I:$I,$O256+1),"")</f>
        <v/>
      </c>
      <c r="G256" s="41" t="str">
        <f>IFERROR(INDEX(Combined_Data!$K:$K,$O256+1),"")</f>
        <v/>
      </c>
      <c r="H256" s="41" t="str">
        <f>IFERROR(INDEX(Combined_Data!$M:$M,$O256+1),"")</f>
        <v/>
      </c>
      <c r="I256" s="41" t="str">
        <f>IFERROR(INDEX(Combined_Data!$N:$N,$O256+1),"")</f>
        <v/>
      </c>
      <c r="J256" s="43" t="str">
        <f>IFERROR(INDEX(Combined_Data!$S:$S,$O256+1),"")</f>
        <v/>
      </c>
      <c r="K256" s="44" t="str">
        <f>IFERROR(INDEX(Combined_Data!$AF:$AF,$O256+1),"")</f>
        <v/>
      </c>
      <c r="L256" s="41" t="str">
        <f>IFERROR(INDEX(Combined_Data!$AG:$AG,$O256+1),"")</f>
        <v/>
      </c>
      <c r="M256" s="41" t="str">
        <f>IFERROR(INDEX(Combined_Data!$AH:$AH,$O256+1),"")</f>
        <v/>
      </c>
      <c r="O256" t="str">
        <f>IFERROR(_xlfn.AGGREGATE(15,6,(ROW(Combined_Data!$AI$2:$AI$3001)-1)/(Combined_Data!$AI$2:$AI$3001),222),"")</f>
        <v/>
      </c>
    </row>
    <row r="257" spans="1:15" ht="15" customHeight="1" x14ac:dyDescent="0.3">
      <c r="A257" s="41" t="str">
        <f>IFERROR(INDEX(Combined_Data!$C:$C,$O257+1),"")</f>
        <v/>
      </c>
      <c r="B257" s="41" t="str">
        <f>IFERROR(INDEX(Combined_Data!$E:$E,$O257+1),"")</f>
        <v/>
      </c>
      <c r="C257" s="41" t="str">
        <f>IFERROR(INDEX(Combined_Data!$B:$B,$O257+1),"")</f>
        <v/>
      </c>
      <c r="D257" s="41" t="str">
        <f>IFERROR(INDEX(Combined_Data!$D:$D,$O257+1),"")</f>
        <v/>
      </c>
      <c r="E257" s="41" t="str">
        <f>IFERROR(INDEX(Combined_Data!$G:$G,$O257+1),"")</f>
        <v/>
      </c>
      <c r="F257" s="42" t="str">
        <f>IFERROR(INDEX(Combined_Data!$I:$I,$O257+1),"")</f>
        <v/>
      </c>
      <c r="G257" s="41" t="str">
        <f>IFERROR(INDEX(Combined_Data!$K:$K,$O257+1),"")</f>
        <v/>
      </c>
      <c r="H257" s="41" t="str">
        <f>IFERROR(INDEX(Combined_Data!$M:$M,$O257+1),"")</f>
        <v/>
      </c>
      <c r="I257" s="41" t="str">
        <f>IFERROR(INDEX(Combined_Data!$N:$N,$O257+1),"")</f>
        <v/>
      </c>
      <c r="J257" s="43" t="str">
        <f>IFERROR(INDEX(Combined_Data!$S:$S,$O257+1),"")</f>
        <v/>
      </c>
      <c r="K257" s="44" t="str">
        <f>IFERROR(INDEX(Combined_Data!$AF:$AF,$O257+1),"")</f>
        <v/>
      </c>
      <c r="L257" s="41" t="str">
        <f>IFERROR(INDEX(Combined_Data!$AG:$AG,$O257+1),"")</f>
        <v/>
      </c>
      <c r="M257" s="41" t="str">
        <f>IFERROR(INDEX(Combined_Data!$AH:$AH,$O257+1),"")</f>
        <v/>
      </c>
      <c r="O257" t="str">
        <f>IFERROR(_xlfn.AGGREGATE(15,6,(ROW(Combined_Data!$AI$2:$AI$3001)-1)/(Combined_Data!$AI$2:$AI$3001),223),"")</f>
        <v/>
      </c>
    </row>
    <row r="258" spans="1:15" ht="15" customHeight="1" x14ac:dyDescent="0.3">
      <c r="A258" s="41" t="str">
        <f>IFERROR(INDEX(Combined_Data!$C:$C,$O258+1),"")</f>
        <v/>
      </c>
      <c r="B258" s="41" t="str">
        <f>IFERROR(INDEX(Combined_Data!$E:$E,$O258+1),"")</f>
        <v/>
      </c>
      <c r="C258" s="41" t="str">
        <f>IFERROR(INDEX(Combined_Data!$B:$B,$O258+1),"")</f>
        <v/>
      </c>
      <c r="D258" s="41" t="str">
        <f>IFERROR(INDEX(Combined_Data!$D:$D,$O258+1),"")</f>
        <v/>
      </c>
      <c r="E258" s="41" t="str">
        <f>IFERROR(INDEX(Combined_Data!$G:$G,$O258+1),"")</f>
        <v/>
      </c>
      <c r="F258" s="42" t="str">
        <f>IFERROR(INDEX(Combined_Data!$I:$I,$O258+1),"")</f>
        <v/>
      </c>
      <c r="G258" s="41" t="str">
        <f>IFERROR(INDEX(Combined_Data!$K:$K,$O258+1),"")</f>
        <v/>
      </c>
      <c r="H258" s="41" t="str">
        <f>IFERROR(INDEX(Combined_Data!$M:$M,$O258+1),"")</f>
        <v/>
      </c>
      <c r="I258" s="41" t="str">
        <f>IFERROR(INDEX(Combined_Data!$N:$N,$O258+1),"")</f>
        <v/>
      </c>
      <c r="J258" s="43" t="str">
        <f>IFERROR(INDEX(Combined_Data!$S:$S,$O258+1),"")</f>
        <v/>
      </c>
      <c r="K258" s="44" t="str">
        <f>IFERROR(INDEX(Combined_Data!$AF:$AF,$O258+1),"")</f>
        <v/>
      </c>
      <c r="L258" s="41" t="str">
        <f>IFERROR(INDEX(Combined_Data!$AG:$AG,$O258+1),"")</f>
        <v/>
      </c>
      <c r="M258" s="41" t="str">
        <f>IFERROR(INDEX(Combined_Data!$AH:$AH,$O258+1),"")</f>
        <v/>
      </c>
      <c r="O258" t="str">
        <f>IFERROR(_xlfn.AGGREGATE(15,6,(ROW(Combined_Data!$AI$2:$AI$3001)-1)/(Combined_Data!$AI$2:$AI$3001),224),"")</f>
        <v/>
      </c>
    </row>
    <row r="259" spans="1:15" ht="15" customHeight="1" x14ac:dyDescent="0.3">
      <c r="A259" s="41" t="str">
        <f>IFERROR(INDEX(Combined_Data!$C:$C,$O259+1),"")</f>
        <v/>
      </c>
      <c r="B259" s="41" t="str">
        <f>IFERROR(INDEX(Combined_Data!$E:$E,$O259+1),"")</f>
        <v/>
      </c>
      <c r="C259" s="41" t="str">
        <f>IFERROR(INDEX(Combined_Data!$B:$B,$O259+1),"")</f>
        <v/>
      </c>
      <c r="D259" s="41" t="str">
        <f>IFERROR(INDEX(Combined_Data!$D:$D,$O259+1),"")</f>
        <v/>
      </c>
      <c r="E259" s="41" t="str">
        <f>IFERROR(INDEX(Combined_Data!$G:$G,$O259+1),"")</f>
        <v/>
      </c>
      <c r="F259" s="42" t="str">
        <f>IFERROR(INDEX(Combined_Data!$I:$I,$O259+1),"")</f>
        <v/>
      </c>
      <c r="G259" s="41" t="str">
        <f>IFERROR(INDEX(Combined_Data!$K:$K,$O259+1),"")</f>
        <v/>
      </c>
      <c r="H259" s="41" t="str">
        <f>IFERROR(INDEX(Combined_Data!$M:$M,$O259+1),"")</f>
        <v/>
      </c>
      <c r="I259" s="41" t="str">
        <f>IFERROR(INDEX(Combined_Data!$N:$N,$O259+1),"")</f>
        <v/>
      </c>
      <c r="J259" s="43" t="str">
        <f>IFERROR(INDEX(Combined_Data!$S:$S,$O259+1),"")</f>
        <v/>
      </c>
      <c r="K259" s="44" t="str">
        <f>IFERROR(INDEX(Combined_Data!$AF:$AF,$O259+1),"")</f>
        <v/>
      </c>
      <c r="L259" s="41" t="str">
        <f>IFERROR(INDEX(Combined_Data!$AG:$AG,$O259+1),"")</f>
        <v/>
      </c>
      <c r="M259" s="41" t="str">
        <f>IFERROR(INDEX(Combined_Data!$AH:$AH,$O259+1),"")</f>
        <v/>
      </c>
      <c r="O259" t="str">
        <f>IFERROR(_xlfn.AGGREGATE(15,6,(ROW(Combined_Data!$AI$2:$AI$3001)-1)/(Combined_Data!$AI$2:$AI$3001),225),"")</f>
        <v/>
      </c>
    </row>
    <row r="260" spans="1:15" ht="15" customHeight="1" x14ac:dyDescent="0.3">
      <c r="A260" s="41" t="str">
        <f>IFERROR(INDEX(Combined_Data!$C:$C,$O260+1),"")</f>
        <v/>
      </c>
      <c r="B260" s="41" t="str">
        <f>IFERROR(INDEX(Combined_Data!$E:$E,$O260+1),"")</f>
        <v/>
      </c>
      <c r="C260" s="41" t="str">
        <f>IFERROR(INDEX(Combined_Data!$B:$B,$O260+1),"")</f>
        <v/>
      </c>
      <c r="D260" s="41" t="str">
        <f>IFERROR(INDEX(Combined_Data!$D:$D,$O260+1),"")</f>
        <v/>
      </c>
      <c r="E260" s="41" t="str">
        <f>IFERROR(INDEX(Combined_Data!$G:$G,$O260+1),"")</f>
        <v/>
      </c>
      <c r="F260" s="42" t="str">
        <f>IFERROR(INDEX(Combined_Data!$I:$I,$O260+1),"")</f>
        <v/>
      </c>
      <c r="G260" s="41" t="str">
        <f>IFERROR(INDEX(Combined_Data!$K:$K,$O260+1),"")</f>
        <v/>
      </c>
      <c r="H260" s="41" t="str">
        <f>IFERROR(INDEX(Combined_Data!$M:$M,$O260+1),"")</f>
        <v/>
      </c>
      <c r="I260" s="41" t="str">
        <f>IFERROR(INDEX(Combined_Data!$N:$N,$O260+1),"")</f>
        <v/>
      </c>
      <c r="J260" s="43" t="str">
        <f>IFERROR(INDEX(Combined_Data!$S:$S,$O260+1),"")</f>
        <v/>
      </c>
      <c r="K260" s="44" t="str">
        <f>IFERROR(INDEX(Combined_Data!$AF:$AF,$O260+1),"")</f>
        <v/>
      </c>
      <c r="L260" s="41" t="str">
        <f>IFERROR(INDEX(Combined_Data!$AG:$AG,$O260+1),"")</f>
        <v/>
      </c>
      <c r="M260" s="41" t="str">
        <f>IFERROR(INDEX(Combined_Data!$AH:$AH,$O260+1),"")</f>
        <v/>
      </c>
      <c r="O260" t="str">
        <f>IFERROR(_xlfn.AGGREGATE(15,6,(ROW(Combined_Data!$AI$2:$AI$3001)-1)/(Combined_Data!$AI$2:$AI$3001),226),"")</f>
        <v/>
      </c>
    </row>
    <row r="261" spans="1:15" ht="15" customHeight="1" x14ac:dyDescent="0.3">
      <c r="A261" s="41" t="str">
        <f>IFERROR(INDEX(Combined_Data!$C:$C,$O261+1),"")</f>
        <v/>
      </c>
      <c r="B261" s="41" t="str">
        <f>IFERROR(INDEX(Combined_Data!$E:$E,$O261+1),"")</f>
        <v/>
      </c>
      <c r="C261" s="41" t="str">
        <f>IFERROR(INDEX(Combined_Data!$B:$B,$O261+1),"")</f>
        <v/>
      </c>
      <c r="D261" s="41" t="str">
        <f>IFERROR(INDEX(Combined_Data!$D:$D,$O261+1),"")</f>
        <v/>
      </c>
      <c r="E261" s="41" t="str">
        <f>IFERROR(INDEX(Combined_Data!$G:$G,$O261+1),"")</f>
        <v/>
      </c>
      <c r="F261" s="42" t="str">
        <f>IFERROR(INDEX(Combined_Data!$I:$I,$O261+1),"")</f>
        <v/>
      </c>
      <c r="G261" s="41" t="str">
        <f>IFERROR(INDEX(Combined_Data!$K:$K,$O261+1),"")</f>
        <v/>
      </c>
      <c r="H261" s="41" t="str">
        <f>IFERROR(INDEX(Combined_Data!$M:$M,$O261+1),"")</f>
        <v/>
      </c>
      <c r="I261" s="41" t="str">
        <f>IFERROR(INDEX(Combined_Data!$N:$N,$O261+1),"")</f>
        <v/>
      </c>
      <c r="J261" s="43" t="str">
        <f>IFERROR(INDEX(Combined_Data!$S:$S,$O261+1),"")</f>
        <v/>
      </c>
      <c r="K261" s="44" t="str">
        <f>IFERROR(INDEX(Combined_Data!$AF:$AF,$O261+1),"")</f>
        <v/>
      </c>
      <c r="L261" s="41" t="str">
        <f>IFERROR(INDEX(Combined_Data!$AG:$AG,$O261+1),"")</f>
        <v/>
      </c>
      <c r="M261" s="41" t="str">
        <f>IFERROR(INDEX(Combined_Data!$AH:$AH,$O261+1),"")</f>
        <v/>
      </c>
      <c r="O261" t="str">
        <f>IFERROR(_xlfn.AGGREGATE(15,6,(ROW(Combined_Data!$AI$2:$AI$3001)-1)/(Combined_Data!$AI$2:$AI$3001),227),"")</f>
        <v/>
      </c>
    </row>
    <row r="262" spans="1:15" ht="15" customHeight="1" x14ac:dyDescent="0.3">
      <c r="A262" s="41" t="str">
        <f>IFERROR(INDEX(Combined_Data!$C:$C,$O262+1),"")</f>
        <v/>
      </c>
      <c r="B262" s="41" t="str">
        <f>IFERROR(INDEX(Combined_Data!$E:$E,$O262+1),"")</f>
        <v/>
      </c>
      <c r="C262" s="41" t="str">
        <f>IFERROR(INDEX(Combined_Data!$B:$B,$O262+1),"")</f>
        <v/>
      </c>
      <c r="D262" s="41" t="str">
        <f>IFERROR(INDEX(Combined_Data!$D:$D,$O262+1),"")</f>
        <v/>
      </c>
      <c r="E262" s="41" t="str">
        <f>IFERROR(INDEX(Combined_Data!$G:$G,$O262+1),"")</f>
        <v/>
      </c>
      <c r="F262" s="42" t="str">
        <f>IFERROR(INDEX(Combined_Data!$I:$I,$O262+1),"")</f>
        <v/>
      </c>
      <c r="G262" s="41" t="str">
        <f>IFERROR(INDEX(Combined_Data!$K:$K,$O262+1),"")</f>
        <v/>
      </c>
      <c r="H262" s="41" t="str">
        <f>IFERROR(INDEX(Combined_Data!$M:$M,$O262+1),"")</f>
        <v/>
      </c>
      <c r="I262" s="41" t="str">
        <f>IFERROR(INDEX(Combined_Data!$N:$N,$O262+1),"")</f>
        <v/>
      </c>
      <c r="J262" s="43" t="str">
        <f>IFERROR(INDEX(Combined_Data!$S:$S,$O262+1),"")</f>
        <v/>
      </c>
      <c r="K262" s="44" t="str">
        <f>IFERROR(INDEX(Combined_Data!$AF:$AF,$O262+1),"")</f>
        <v/>
      </c>
      <c r="L262" s="41" t="str">
        <f>IFERROR(INDEX(Combined_Data!$AG:$AG,$O262+1),"")</f>
        <v/>
      </c>
      <c r="M262" s="41" t="str">
        <f>IFERROR(INDEX(Combined_Data!$AH:$AH,$O262+1),"")</f>
        <v/>
      </c>
      <c r="O262" t="str">
        <f>IFERROR(_xlfn.AGGREGATE(15,6,(ROW(Combined_Data!$AI$2:$AI$3001)-1)/(Combined_Data!$AI$2:$AI$3001),228),"")</f>
        <v/>
      </c>
    </row>
    <row r="263" spans="1:15" ht="15" customHeight="1" x14ac:dyDescent="0.3">
      <c r="A263" s="41" t="str">
        <f>IFERROR(INDEX(Combined_Data!$C:$C,$O263+1),"")</f>
        <v/>
      </c>
      <c r="B263" s="41" t="str">
        <f>IFERROR(INDEX(Combined_Data!$E:$E,$O263+1),"")</f>
        <v/>
      </c>
      <c r="C263" s="41" t="str">
        <f>IFERROR(INDEX(Combined_Data!$B:$B,$O263+1),"")</f>
        <v/>
      </c>
      <c r="D263" s="41" t="str">
        <f>IFERROR(INDEX(Combined_Data!$D:$D,$O263+1),"")</f>
        <v/>
      </c>
      <c r="E263" s="41" t="str">
        <f>IFERROR(INDEX(Combined_Data!$G:$G,$O263+1),"")</f>
        <v/>
      </c>
      <c r="F263" s="42" t="str">
        <f>IFERROR(INDEX(Combined_Data!$I:$I,$O263+1),"")</f>
        <v/>
      </c>
      <c r="G263" s="41" t="str">
        <f>IFERROR(INDEX(Combined_Data!$K:$K,$O263+1),"")</f>
        <v/>
      </c>
      <c r="H263" s="41" t="str">
        <f>IFERROR(INDEX(Combined_Data!$M:$M,$O263+1),"")</f>
        <v/>
      </c>
      <c r="I263" s="41" t="str">
        <f>IFERROR(INDEX(Combined_Data!$N:$N,$O263+1),"")</f>
        <v/>
      </c>
      <c r="J263" s="43" t="str">
        <f>IFERROR(INDEX(Combined_Data!$S:$S,$O263+1),"")</f>
        <v/>
      </c>
      <c r="K263" s="44" t="str">
        <f>IFERROR(INDEX(Combined_Data!$AF:$AF,$O263+1),"")</f>
        <v/>
      </c>
      <c r="L263" s="41" t="str">
        <f>IFERROR(INDEX(Combined_Data!$AG:$AG,$O263+1),"")</f>
        <v/>
      </c>
      <c r="M263" s="41" t="str">
        <f>IFERROR(INDEX(Combined_Data!$AH:$AH,$O263+1),"")</f>
        <v/>
      </c>
      <c r="O263" t="str">
        <f>IFERROR(_xlfn.AGGREGATE(15,6,(ROW(Combined_Data!$AI$2:$AI$3001)-1)/(Combined_Data!$AI$2:$AI$3001),229),"")</f>
        <v/>
      </c>
    </row>
    <row r="264" spans="1:15" ht="15" customHeight="1" x14ac:dyDescent="0.3">
      <c r="A264" s="41" t="str">
        <f>IFERROR(INDEX(Combined_Data!$C:$C,$O264+1),"")</f>
        <v/>
      </c>
      <c r="B264" s="41" t="str">
        <f>IFERROR(INDEX(Combined_Data!$E:$E,$O264+1),"")</f>
        <v/>
      </c>
      <c r="C264" s="41" t="str">
        <f>IFERROR(INDEX(Combined_Data!$B:$B,$O264+1),"")</f>
        <v/>
      </c>
      <c r="D264" s="41" t="str">
        <f>IFERROR(INDEX(Combined_Data!$D:$D,$O264+1),"")</f>
        <v/>
      </c>
      <c r="E264" s="41" t="str">
        <f>IFERROR(INDEX(Combined_Data!$G:$G,$O264+1),"")</f>
        <v/>
      </c>
      <c r="F264" s="42" t="str">
        <f>IFERROR(INDEX(Combined_Data!$I:$I,$O264+1),"")</f>
        <v/>
      </c>
      <c r="G264" s="41" t="str">
        <f>IFERROR(INDEX(Combined_Data!$K:$K,$O264+1),"")</f>
        <v/>
      </c>
      <c r="H264" s="41" t="str">
        <f>IFERROR(INDEX(Combined_Data!$M:$M,$O264+1),"")</f>
        <v/>
      </c>
      <c r="I264" s="41" t="str">
        <f>IFERROR(INDEX(Combined_Data!$N:$N,$O264+1),"")</f>
        <v/>
      </c>
      <c r="J264" s="43" t="str">
        <f>IFERROR(INDEX(Combined_Data!$S:$S,$O264+1),"")</f>
        <v/>
      </c>
      <c r="K264" s="44" t="str">
        <f>IFERROR(INDEX(Combined_Data!$AF:$AF,$O264+1),"")</f>
        <v/>
      </c>
      <c r="L264" s="41" t="str">
        <f>IFERROR(INDEX(Combined_Data!$AG:$AG,$O264+1),"")</f>
        <v/>
      </c>
      <c r="M264" s="41" t="str">
        <f>IFERROR(INDEX(Combined_Data!$AH:$AH,$O264+1),"")</f>
        <v/>
      </c>
      <c r="O264" t="str">
        <f>IFERROR(_xlfn.AGGREGATE(15,6,(ROW(Combined_Data!$AI$2:$AI$3001)-1)/(Combined_Data!$AI$2:$AI$3001),230),"")</f>
        <v/>
      </c>
    </row>
    <row r="265" spans="1:15" ht="15" customHeight="1" x14ac:dyDescent="0.3">
      <c r="A265" s="41" t="str">
        <f>IFERROR(INDEX(Combined_Data!$C:$C,$O265+1),"")</f>
        <v/>
      </c>
      <c r="B265" s="41" t="str">
        <f>IFERROR(INDEX(Combined_Data!$E:$E,$O265+1),"")</f>
        <v/>
      </c>
      <c r="C265" s="41" t="str">
        <f>IFERROR(INDEX(Combined_Data!$B:$B,$O265+1),"")</f>
        <v/>
      </c>
      <c r="D265" s="41" t="str">
        <f>IFERROR(INDEX(Combined_Data!$D:$D,$O265+1),"")</f>
        <v/>
      </c>
      <c r="E265" s="41" t="str">
        <f>IFERROR(INDEX(Combined_Data!$G:$G,$O265+1),"")</f>
        <v/>
      </c>
      <c r="F265" s="42" t="str">
        <f>IFERROR(INDEX(Combined_Data!$I:$I,$O265+1),"")</f>
        <v/>
      </c>
      <c r="G265" s="41" t="str">
        <f>IFERROR(INDEX(Combined_Data!$K:$K,$O265+1),"")</f>
        <v/>
      </c>
      <c r="H265" s="41" t="str">
        <f>IFERROR(INDEX(Combined_Data!$M:$M,$O265+1),"")</f>
        <v/>
      </c>
      <c r="I265" s="41" t="str">
        <f>IFERROR(INDEX(Combined_Data!$N:$N,$O265+1),"")</f>
        <v/>
      </c>
      <c r="J265" s="43" t="str">
        <f>IFERROR(INDEX(Combined_Data!$S:$S,$O265+1),"")</f>
        <v/>
      </c>
      <c r="K265" s="44" t="str">
        <f>IFERROR(INDEX(Combined_Data!$AF:$AF,$O265+1),"")</f>
        <v/>
      </c>
      <c r="L265" s="41" t="str">
        <f>IFERROR(INDEX(Combined_Data!$AG:$AG,$O265+1),"")</f>
        <v/>
      </c>
      <c r="M265" s="41" t="str">
        <f>IFERROR(INDEX(Combined_Data!$AH:$AH,$O265+1),"")</f>
        <v/>
      </c>
      <c r="O265" t="str">
        <f>IFERROR(_xlfn.AGGREGATE(15,6,(ROW(Combined_Data!$AI$2:$AI$3001)-1)/(Combined_Data!$AI$2:$AI$3001),231),"")</f>
        <v/>
      </c>
    </row>
    <row r="266" spans="1:15" ht="15" customHeight="1" x14ac:dyDescent="0.3">
      <c r="A266" s="41" t="str">
        <f>IFERROR(INDEX(Combined_Data!$C:$C,$O266+1),"")</f>
        <v/>
      </c>
      <c r="B266" s="41" t="str">
        <f>IFERROR(INDEX(Combined_Data!$E:$E,$O266+1),"")</f>
        <v/>
      </c>
      <c r="C266" s="41" t="str">
        <f>IFERROR(INDEX(Combined_Data!$B:$B,$O266+1),"")</f>
        <v/>
      </c>
      <c r="D266" s="41" t="str">
        <f>IFERROR(INDEX(Combined_Data!$D:$D,$O266+1),"")</f>
        <v/>
      </c>
      <c r="E266" s="41" t="str">
        <f>IFERROR(INDEX(Combined_Data!$G:$G,$O266+1),"")</f>
        <v/>
      </c>
      <c r="F266" s="42" t="str">
        <f>IFERROR(INDEX(Combined_Data!$I:$I,$O266+1),"")</f>
        <v/>
      </c>
      <c r="G266" s="41" t="str">
        <f>IFERROR(INDEX(Combined_Data!$K:$K,$O266+1),"")</f>
        <v/>
      </c>
      <c r="H266" s="41" t="str">
        <f>IFERROR(INDEX(Combined_Data!$M:$M,$O266+1),"")</f>
        <v/>
      </c>
      <c r="I266" s="41" t="str">
        <f>IFERROR(INDEX(Combined_Data!$N:$N,$O266+1),"")</f>
        <v/>
      </c>
      <c r="J266" s="43" t="str">
        <f>IFERROR(INDEX(Combined_Data!$S:$S,$O266+1),"")</f>
        <v/>
      </c>
      <c r="K266" s="44" t="str">
        <f>IFERROR(INDEX(Combined_Data!$AF:$AF,$O266+1),"")</f>
        <v/>
      </c>
      <c r="L266" s="41" t="str">
        <f>IFERROR(INDEX(Combined_Data!$AG:$AG,$O266+1),"")</f>
        <v/>
      </c>
      <c r="M266" s="41" t="str">
        <f>IFERROR(INDEX(Combined_Data!$AH:$AH,$O266+1),"")</f>
        <v/>
      </c>
      <c r="O266" t="str">
        <f>IFERROR(_xlfn.AGGREGATE(15,6,(ROW(Combined_Data!$AI$2:$AI$3001)-1)/(Combined_Data!$AI$2:$AI$3001),232),"")</f>
        <v/>
      </c>
    </row>
    <row r="267" spans="1:15" ht="15" customHeight="1" x14ac:dyDescent="0.3">
      <c r="A267" s="41" t="str">
        <f>IFERROR(INDEX(Combined_Data!$C:$C,$O267+1),"")</f>
        <v/>
      </c>
      <c r="B267" s="41" t="str">
        <f>IFERROR(INDEX(Combined_Data!$E:$E,$O267+1),"")</f>
        <v/>
      </c>
      <c r="C267" s="41" t="str">
        <f>IFERROR(INDEX(Combined_Data!$B:$B,$O267+1),"")</f>
        <v/>
      </c>
      <c r="D267" s="41" t="str">
        <f>IFERROR(INDEX(Combined_Data!$D:$D,$O267+1),"")</f>
        <v/>
      </c>
      <c r="E267" s="41" t="str">
        <f>IFERROR(INDEX(Combined_Data!$G:$G,$O267+1),"")</f>
        <v/>
      </c>
      <c r="F267" s="42" t="str">
        <f>IFERROR(INDEX(Combined_Data!$I:$I,$O267+1),"")</f>
        <v/>
      </c>
      <c r="G267" s="41" t="str">
        <f>IFERROR(INDEX(Combined_Data!$K:$K,$O267+1),"")</f>
        <v/>
      </c>
      <c r="H267" s="41" t="str">
        <f>IFERROR(INDEX(Combined_Data!$M:$M,$O267+1),"")</f>
        <v/>
      </c>
      <c r="I267" s="41" t="str">
        <f>IFERROR(INDEX(Combined_Data!$N:$N,$O267+1),"")</f>
        <v/>
      </c>
      <c r="J267" s="43" t="str">
        <f>IFERROR(INDEX(Combined_Data!$S:$S,$O267+1),"")</f>
        <v/>
      </c>
      <c r="K267" s="44" t="str">
        <f>IFERROR(INDEX(Combined_Data!$AF:$AF,$O267+1),"")</f>
        <v/>
      </c>
      <c r="L267" s="41" t="str">
        <f>IFERROR(INDEX(Combined_Data!$AG:$AG,$O267+1),"")</f>
        <v/>
      </c>
      <c r="M267" s="41" t="str">
        <f>IFERROR(INDEX(Combined_Data!$AH:$AH,$O267+1),"")</f>
        <v/>
      </c>
      <c r="O267" t="str">
        <f>IFERROR(_xlfn.AGGREGATE(15,6,(ROW(Combined_Data!$AI$2:$AI$3001)-1)/(Combined_Data!$AI$2:$AI$3001),233),"")</f>
        <v/>
      </c>
    </row>
    <row r="268" spans="1:15" ht="15" customHeight="1" x14ac:dyDescent="0.3">
      <c r="A268" s="41" t="str">
        <f>IFERROR(INDEX(Combined_Data!$C:$C,$O268+1),"")</f>
        <v/>
      </c>
      <c r="B268" s="41" t="str">
        <f>IFERROR(INDEX(Combined_Data!$E:$E,$O268+1),"")</f>
        <v/>
      </c>
      <c r="C268" s="41" t="str">
        <f>IFERROR(INDEX(Combined_Data!$B:$B,$O268+1),"")</f>
        <v/>
      </c>
      <c r="D268" s="41" t="str">
        <f>IFERROR(INDEX(Combined_Data!$D:$D,$O268+1),"")</f>
        <v/>
      </c>
      <c r="E268" s="41" t="str">
        <f>IFERROR(INDEX(Combined_Data!$G:$G,$O268+1),"")</f>
        <v/>
      </c>
      <c r="F268" s="42" t="str">
        <f>IFERROR(INDEX(Combined_Data!$I:$I,$O268+1),"")</f>
        <v/>
      </c>
      <c r="G268" s="41" t="str">
        <f>IFERROR(INDEX(Combined_Data!$K:$K,$O268+1),"")</f>
        <v/>
      </c>
      <c r="H268" s="41" t="str">
        <f>IFERROR(INDEX(Combined_Data!$M:$M,$O268+1),"")</f>
        <v/>
      </c>
      <c r="I268" s="41" t="str">
        <f>IFERROR(INDEX(Combined_Data!$N:$N,$O268+1),"")</f>
        <v/>
      </c>
      <c r="J268" s="43" t="str">
        <f>IFERROR(INDEX(Combined_Data!$S:$S,$O268+1),"")</f>
        <v/>
      </c>
      <c r="K268" s="44" t="str">
        <f>IFERROR(INDEX(Combined_Data!$AF:$AF,$O268+1),"")</f>
        <v/>
      </c>
      <c r="L268" s="41" t="str">
        <f>IFERROR(INDEX(Combined_Data!$AG:$AG,$O268+1),"")</f>
        <v/>
      </c>
      <c r="M268" s="41" t="str">
        <f>IFERROR(INDEX(Combined_Data!$AH:$AH,$O268+1),"")</f>
        <v/>
      </c>
      <c r="O268" t="str">
        <f>IFERROR(_xlfn.AGGREGATE(15,6,(ROW(Combined_Data!$AI$2:$AI$3001)-1)/(Combined_Data!$AI$2:$AI$3001),234),"")</f>
        <v/>
      </c>
    </row>
    <row r="269" spans="1:15" ht="15" customHeight="1" x14ac:dyDescent="0.3">
      <c r="A269" s="41" t="str">
        <f>IFERROR(INDEX(Combined_Data!$C:$C,$O269+1),"")</f>
        <v/>
      </c>
      <c r="B269" s="41" t="str">
        <f>IFERROR(INDEX(Combined_Data!$E:$E,$O269+1),"")</f>
        <v/>
      </c>
      <c r="C269" s="41" t="str">
        <f>IFERROR(INDEX(Combined_Data!$B:$B,$O269+1),"")</f>
        <v/>
      </c>
      <c r="D269" s="41" t="str">
        <f>IFERROR(INDEX(Combined_Data!$D:$D,$O269+1),"")</f>
        <v/>
      </c>
      <c r="E269" s="41" t="str">
        <f>IFERROR(INDEX(Combined_Data!$G:$G,$O269+1),"")</f>
        <v/>
      </c>
      <c r="F269" s="42" t="str">
        <f>IFERROR(INDEX(Combined_Data!$I:$I,$O269+1),"")</f>
        <v/>
      </c>
      <c r="G269" s="41" t="str">
        <f>IFERROR(INDEX(Combined_Data!$K:$K,$O269+1),"")</f>
        <v/>
      </c>
      <c r="H269" s="41" t="str">
        <f>IFERROR(INDEX(Combined_Data!$M:$M,$O269+1),"")</f>
        <v/>
      </c>
      <c r="I269" s="41" t="str">
        <f>IFERROR(INDEX(Combined_Data!$N:$N,$O269+1),"")</f>
        <v/>
      </c>
      <c r="J269" s="43" t="str">
        <f>IFERROR(INDEX(Combined_Data!$S:$S,$O269+1),"")</f>
        <v/>
      </c>
      <c r="K269" s="44" t="str">
        <f>IFERROR(INDEX(Combined_Data!$AF:$AF,$O269+1),"")</f>
        <v/>
      </c>
      <c r="L269" s="41" t="str">
        <f>IFERROR(INDEX(Combined_Data!$AG:$AG,$O269+1),"")</f>
        <v/>
      </c>
      <c r="M269" s="41" t="str">
        <f>IFERROR(INDEX(Combined_Data!$AH:$AH,$O269+1),"")</f>
        <v/>
      </c>
      <c r="O269" t="str">
        <f>IFERROR(_xlfn.AGGREGATE(15,6,(ROW(Combined_Data!$AI$2:$AI$3001)-1)/(Combined_Data!$AI$2:$AI$3001),235),"")</f>
        <v/>
      </c>
    </row>
    <row r="270" spans="1:15" ht="15" customHeight="1" x14ac:dyDescent="0.3">
      <c r="A270" s="41" t="str">
        <f>IFERROR(INDEX(Combined_Data!$C:$C,$O270+1),"")</f>
        <v/>
      </c>
      <c r="B270" s="41" t="str">
        <f>IFERROR(INDEX(Combined_Data!$E:$E,$O270+1),"")</f>
        <v/>
      </c>
      <c r="C270" s="41" t="str">
        <f>IFERROR(INDEX(Combined_Data!$B:$B,$O270+1),"")</f>
        <v/>
      </c>
      <c r="D270" s="41" t="str">
        <f>IFERROR(INDEX(Combined_Data!$D:$D,$O270+1),"")</f>
        <v/>
      </c>
      <c r="E270" s="41" t="str">
        <f>IFERROR(INDEX(Combined_Data!$G:$G,$O270+1),"")</f>
        <v/>
      </c>
      <c r="F270" s="42" t="str">
        <f>IFERROR(INDEX(Combined_Data!$I:$I,$O270+1),"")</f>
        <v/>
      </c>
      <c r="G270" s="41" t="str">
        <f>IFERROR(INDEX(Combined_Data!$K:$K,$O270+1),"")</f>
        <v/>
      </c>
      <c r="H270" s="41" t="str">
        <f>IFERROR(INDEX(Combined_Data!$M:$M,$O270+1),"")</f>
        <v/>
      </c>
      <c r="I270" s="41" t="str">
        <f>IFERROR(INDEX(Combined_Data!$N:$N,$O270+1),"")</f>
        <v/>
      </c>
      <c r="J270" s="43" t="str">
        <f>IFERROR(INDEX(Combined_Data!$S:$S,$O270+1),"")</f>
        <v/>
      </c>
      <c r="K270" s="44" t="str">
        <f>IFERROR(INDEX(Combined_Data!$AF:$AF,$O270+1),"")</f>
        <v/>
      </c>
      <c r="L270" s="41" t="str">
        <f>IFERROR(INDEX(Combined_Data!$AG:$AG,$O270+1),"")</f>
        <v/>
      </c>
      <c r="M270" s="41" t="str">
        <f>IFERROR(INDEX(Combined_Data!$AH:$AH,$O270+1),"")</f>
        <v/>
      </c>
      <c r="O270" t="str">
        <f>IFERROR(_xlfn.AGGREGATE(15,6,(ROW(Combined_Data!$AI$2:$AI$3001)-1)/(Combined_Data!$AI$2:$AI$3001),236),"")</f>
        <v/>
      </c>
    </row>
    <row r="271" spans="1:15" ht="15" customHeight="1" x14ac:dyDescent="0.3">
      <c r="A271" s="41" t="str">
        <f>IFERROR(INDEX(Combined_Data!$C:$C,$O271+1),"")</f>
        <v/>
      </c>
      <c r="B271" s="41" t="str">
        <f>IFERROR(INDEX(Combined_Data!$E:$E,$O271+1),"")</f>
        <v/>
      </c>
      <c r="C271" s="41" t="str">
        <f>IFERROR(INDEX(Combined_Data!$B:$B,$O271+1),"")</f>
        <v/>
      </c>
      <c r="D271" s="41" t="str">
        <f>IFERROR(INDEX(Combined_Data!$D:$D,$O271+1),"")</f>
        <v/>
      </c>
      <c r="E271" s="41" t="str">
        <f>IFERROR(INDEX(Combined_Data!$G:$G,$O271+1),"")</f>
        <v/>
      </c>
      <c r="F271" s="42" t="str">
        <f>IFERROR(INDEX(Combined_Data!$I:$I,$O271+1),"")</f>
        <v/>
      </c>
      <c r="G271" s="41" t="str">
        <f>IFERROR(INDEX(Combined_Data!$K:$K,$O271+1),"")</f>
        <v/>
      </c>
      <c r="H271" s="41" t="str">
        <f>IFERROR(INDEX(Combined_Data!$M:$M,$O271+1),"")</f>
        <v/>
      </c>
      <c r="I271" s="41" t="str">
        <f>IFERROR(INDEX(Combined_Data!$N:$N,$O271+1),"")</f>
        <v/>
      </c>
      <c r="J271" s="43" t="str">
        <f>IFERROR(INDEX(Combined_Data!$S:$S,$O271+1),"")</f>
        <v/>
      </c>
      <c r="K271" s="44" t="str">
        <f>IFERROR(INDEX(Combined_Data!$AF:$AF,$O271+1),"")</f>
        <v/>
      </c>
      <c r="L271" s="41" t="str">
        <f>IFERROR(INDEX(Combined_Data!$AG:$AG,$O271+1),"")</f>
        <v/>
      </c>
      <c r="M271" s="41" t="str">
        <f>IFERROR(INDEX(Combined_Data!$AH:$AH,$O271+1),"")</f>
        <v/>
      </c>
      <c r="O271" t="str">
        <f>IFERROR(_xlfn.AGGREGATE(15,6,(ROW(Combined_Data!$AI$2:$AI$3001)-1)/(Combined_Data!$AI$2:$AI$3001),237),"")</f>
        <v/>
      </c>
    </row>
    <row r="272" spans="1:15" ht="15" customHeight="1" x14ac:dyDescent="0.3">
      <c r="A272" s="41" t="str">
        <f>IFERROR(INDEX(Combined_Data!$C:$C,$O272+1),"")</f>
        <v/>
      </c>
      <c r="B272" s="41" t="str">
        <f>IFERROR(INDEX(Combined_Data!$E:$E,$O272+1),"")</f>
        <v/>
      </c>
      <c r="C272" s="41" t="str">
        <f>IFERROR(INDEX(Combined_Data!$B:$B,$O272+1),"")</f>
        <v/>
      </c>
      <c r="D272" s="41" t="str">
        <f>IFERROR(INDEX(Combined_Data!$D:$D,$O272+1),"")</f>
        <v/>
      </c>
      <c r="E272" s="41" t="str">
        <f>IFERROR(INDEX(Combined_Data!$G:$G,$O272+1),"")</f>
        <v/>
      </c>
      <c r="F272" s="42" t="str">
        <f>IFERROR(INDEX(Combined_Data!$I:$I,$O272+1),"")</f>
        <v/>
      </c>
      <c r="G272" s="41" t="str">
        <f>IFERROR(INDEX(Combined_Data!$K:$K,$O272+1),"")</f>
        <v/>
      </c>
      <c r="H272" s="41" t="str">
        <f>IFERROR(INDEX(Combined_Data!$M:$M,$O272+1),"")</f>
        <v/>
      </c>
      <c r="I272" s="41" t="str">
        <f>IFERROR(INDEX(Combined_Data!$N:$N,$O272+1),"")</f>
        <v/>
      </c>
      <c r="J272" s="43" t="str">
        <f>IFERROR(INDEX(Combined_Data!$S:$S,$O272+1),"")</f>
        <v/>
      </c>
      <c r="K272" s="44" t="str">
        <f>IFERROR(INDEX(Combined_Data!$AF:$AF,$O272+1),"")</f>
        <v/>
      </c>
      <c r="L272" s="41" t="str">
        <f>IFERROR(INDEX(Combined_Data!$AG:$AG,$O272+1),"")</f>
        <v/>
      </c>
      <c r="M272" s="41" t="str">
        <f>IFERROR(INDEX(Combined_Data!$AH:$AH,$O272+1),"")</f>
        <v/>
      </c>
      <c r="O272" t="str">
        <f>IFERROR(_xlfn.AGGREGATE(15,6,(ROW(Combined_Data!$AI$2:$AI$3001)-1)/(Combined_Data!$AI$2:$AI$3001),238),"")</f>
        <v/>
      </c>
    </row>
    <row r="273" spans="1:15" ht="15" customHeight="1" x14ac:dyDescent="0.3">
      <c r="A273" s="41" t="str">
        <f>IFERROR(INDEX(Combined_Data!$C:$C,$O273+1),"")</f>
        <v/>
      </c>
      <c r="B273" s="41" t="str">
        <f>IFERROR(INDEX(Combined_Data!$E:$E,$O273+1),"")</f>
        <v/>
      </c>
      <c r="C273" s="41" t="str">
        <f>IFERROR(INDEX(Combined_Data!$B:$B,$O273+1),"")</f>
        <v/>
      </c>
      <c r="D273" s="41" t="str">
        <f>IFERROR(INDEX(Combined_Data!$D:$D,$O273+1),"")</f>
        <v/>
      </c>
      <c r="E273" s="41" t="str">
        <f>IFERROR(INDEX(Combined_Data!$G:$G,$O273+1),"")</f>
        <v/>
      </c>
      <c r="F273" s="42" t="str">
        <f>IFERROR(INDEX(Combined_Data!$I:$I,$O273+1),"")</f>
        <v/>
      </c>
      <c r="G273" s="41" t="str">
        <f>IFERROR(INDEX(Combined_Data!$K:$K,$O273+1),"")</f>
        <v/>
      </c>
      <c r="H273" s="41" t="str">
        <f>IFERROR(INDEX(Combined_Data!$M:$M,$O273+1),"")</f>
        <v/>
      </c>
      <c r="I273" s="41" t="str">
        <f>IFERROR(INDEX(Combined_Data!$N:$N,$O273+1),"")</f>
        <v/>
      </c>
      <c r="J273" s="43" t="str">
        <f>IFERROR(INDEX(Combined_Data!$S:$S,$O273+1),"")</f>
        <v/>
      </c>
      <c r="K273" s="44" t="str">
        <f>IFERROR(INDEX(Combined_Data!$AF:$AF,$O273+1),"")</f>
        <v/>
      </c>
      <c r="L273" s="41" t="str">
        <f>IFERROR(INDEX(Combined_Data!$AG:$AG,$O273+1),"")</f>
        <v/>
      </c>
      <c r="M273" s="41" t="str">
        <f>IFERROR(INDEX(Combined_Data!$AH:$AH,$O273+1),"")</f>
        <v/>
      </c>
      <c r="O273" t="str">
        <f>IFERROR(_xlfn.AGGREGATE(15,6,(ROW(Combined_Data!$AI$2:$AI$3001)-1)/(Combined_Data!$AI$2:$AI$3001),239),"")</f>
        <v/>
      </c>
    </row>
    <row r="274" spans="1:15" ht="15" customHeight="1" x14ac:dyDescent="0.3">
      <c r="A274" s="41" t="str">
        <f>IFERROR(INDEX(Combined_Data!$C:$C,$O274+1),"")</f>
        <v/>
      </c>
      <c r="B274" s="41" t="str">
        <f>IFERROR(INDEX(Combined_Data!$E:$E,$O274+1),"")</f>
        <v/>
      </c>
      <c r="C274" s="41" t="str">
        <f>IFERROR(INDEX(Combined_Data!$B:$B,$O274+1),"")</f>
        <v/>
      </c>
      <c r="D274" s="41" t="str">
        <f>IFERROR(INDEX(Combined_Data!$D:$D,$O274+1),"")</f>
        <v/>
      </c>
      <c r="E274" s="41" t="str">
        <f>IFERROR(INDEX(Combined_Data!$G:$G,$O274+1),"")</f>
        <v/>
      </c>
      <c r="F274" s="42" t="str">
        <f>IFERROR(INDEX(Combined_Data!$I:$I,$O274+1),"")</f>
        <v/>
      </c>
      <c r="G274" s="41" t="str">
        <f>IFERROR(INDEX(Combined_Data!$K:$K,$O274+1),"")</f>
        <v/>
      </c>
      <c r="H274" s="41" t="str">
        <f>IFERROR(INDEX(Combined_Data!$M:$M,$O274+1),"")</f>
        <v/>
      </c>
      <c r="I274" s="41" t="str">
        <f>IFERROR(INDEX(Combined_Data!$N:$N,$O274+1),"")</f>
        <v/>
      </c>
      <c r="J274" s="43" t="str">
        <f>IFERROR(INDEX(Combined_Data!$S:$S,$O274+1),"")</f>
        <v/>
      </c>
      <c r="K274" s="44" t="str">
        <f>IFERROR(INDEX(Combined_Data!$AF:$AF,$O274+1),"")</f>
        <v/>
      </c>
      <c r="L274" s="41" t="str">
        <f>IFERROR(INDEX(Combined_Data!$AG:$AG,$O274+1),"")</f>
        <v/>
      </c>
      <c r="M274" s="41" t="str">
        <f>IFERROR(INDEX(Combined_Data!$AH:$AH,$O274+1),"")</f>
        <v/>
      </c>
      <c r="O274" t="str">
        <f>IFERROR(_xlfn.AGGREGATE(15,6,(ROW(Combined_Data!$AI$2:$AI$3001)-1)/(Combined_Data!$AI$2:$AI$3001),240),"")</f>
        <v/>
      </c>
    </row>
    <row r="275" spans="1:15" ht="15" customHeight="1" x14ac:dyDescent="0.3">
      <c r="A275" s="41" t="str">
        <f>IFERROR(INDEX(Combined_Data!$C:$C,$O275+1),"")</f>
        <v/>
      </c>
      <c r="B275" s="41" t="str">
        <f>IFERROR(INDEX(Combined_Data!$E:$E,$O275+1),"")</f>
        <v/>
      </c>
      <c r="C275" s="41" t="str">
        <f>IFERROR(INDEX(Combined_Data!$B:$B,$O275+1),"")</f>
        <v/>
      </c>
      <c r="D275" s="41" t="str">
        <f>IFERROR(INDEX(Combined_Data!$D:$D,$O275+1),"")</f>
        <v/>
      </c>
      <c r="E275" s="41" t="str">
        <f>IFERROR(INDEX(Combined_Data!$G:$G,$O275+1),"")</f>
        <v/>
      </c>
      <c r="F275" s="42" t="str">
        <f>IFERROR(INDEX(Combined_Data!$I:$I,$O275+1),"")</f>
        <v/>
      </c>
      <c r="G275" s="41" t="str">
        <f>IFERROR(INDEX(Combined_Data!$K:$K,$O275+1),"")</f>
        <v/>
      </c>
      <c r="H275" s="41" t="str">
        <f>IFERROR(INDEX(Combined_Data!$M:$M,$O275+1),"")</f>
        <v/>
      </c>
      <c r="I275" s="41" t="str">
        <f>IFERROR(INDEX(Combined_Data!$N:$N,$O275+1),"")</f>
        <v/>
      </c>
      <c r="J275" s="43" t="str">
        <f>IFERROR(INDEX(Combined_Data!$S:$S,$O275+1),"")</f>
        <v/>
      </c>
      <c r="K275" s="44" t="str">
        <f>IFERROR(INDEX(Combined_Data!$AF:$AF,$O275+1),"")</f>
        <v/>
      </c>
      <c r="L275" s="41" t="str">
        <f>IFERROR(INDEX(Combined_Data!$AG:$AG,$O275+1),"")</f>
        <v/>
      </c>
      <c r="M275" s="41" t="str">
        <f>IFERROR(INDEX(Combined_Data!$AH:$AH,$O275+1),"")</f>
        <v/>
      </c>
      <c r="O275" t="str">
        <f>IFERROR(_xlfn.AGGREGATE(15,6,(ROW(Combined_Data!$AI$2:$AI$3001)-1)/(Combined_Data!$AI$2:$AI$3001),241),"")</f>
        <v/>
      </c>
    </row>
    <row r="276" spans="1:15" ht="15" customHeight="1" x14ac:dyDescent="0.3">
      <c r="A276" s="41" t="str">
        <f>IFERROR(INDEX(Combined_Data!$C:$C,$O276+1),"")</f>
        <v/>
      </c>
      <c r="B276" s="41" t="str">
        <f>IFERROR(INDEX(Combined_Data!$E:$E,$O276+1),"")</f>
        <v/>
      </c>
      <c r="C276" s="41" t="str">
        <f>IFERROR(INDEX(Combined_Data!$B:$B,$O276+1),"")</f>
        <v/>
      </c>
      <c r="D276" s="41" t="str">
        <f>IFERROR(INDEX(Combined_Data!$D:$D,$O276+1),"")</f>
        <v/>
      </c>
      <c r="E276" s="41" t="str">
        <f>IFERROR(INDEX(Combined_Data!$G:$G,$O276+1),"")</f>
        <v/>
      </c>
      <c r="F276" s="42" t="str">
        <f>IFERROR(INDEX(Combined_Data!$I:$I,$O276+1),"")</f>
        <v/>
      </c>
      <c r="G276" s="41" t="str">
        <f>IFERROR(INDEX(Combined_Data!$K:$K,$O276+1),"")</f>
        <v/>
      </c>
      <c r="H276" s="41" t="str">
        <f>IFERROR(INDEX(Combined_Data!$M:$M,$O276+1),"")</f>
        <v/>
      </c>
      <c r="I276" s="41" t="str">
        <f>IFERROR(INDEX(Combined_Data!$N:$N,$O276+1),"")</f>
        <v/>
      </c>
      <c r="J276" s="43" t="str">
        <f>IFERROR(INDEX(Combined_Data!$S:$S,$O276+1),"")</f>
        <v/>
      </c>
      <c r="K276" s="44" t="str">
        <f>IFERROR(INDEX(Combined_Data!$AF:$AF,$O276+1),"")</f>
        <v/>
      </c>
      <c r="L276" s="41" t="str">
        <f>IFERROR(INDEX(Combined_Data!$AG:$AG,$O276+1),"")</f>
        <v/>
      </c>
      <c r="M276" s="41" t="str">
        <f>IFERROR(INDEX(Combined_Data!$AH:$AH,$O276+1),"")</f>
        <v/>
      </c>
      <c r="O276" t="str">
        <f>IFERROR(_xlfn.AGGREGATE(15,6,(ROW(Combined_Data!$AI$2:$AI$3001)-1)/(Combined_Data!$AI$2:$AI$3001),242),"")</f>
        <v/>
      </c>
    </row>
    <row r="277" spans="1:15" ht="15" customHeight="1" x14ac:dyDescent="0.3">
      <c r="A277" s="41" t="str">
        <f>IFERROR(INDEX(Combined_Data!$C:$C,$O277+1),"")</f>
        <v/>
      </c>
      <c r="B277" s="41" t="str">
        <f>IFERROR(INDEX(Combined_Data!$E:$E,$O277+1),"")</f>
        <v/>
      </c>
      <c r="C277" s="41" t="str">
        <f>IFERROR(INDEX(Combined_Data!$B:$B,$O277+1),"")</f>
        <v/>
      </c>
      <c r="D277" s="41" t="str">
        <f>IFERROR(INDEX(Combined_Data!$D:$D,$O277+1),"")</f>
        <v/>
      </c>
      <c r="E277" s="41" t="str">
        <f>IFERROR(INDEX(Combined_Data!$G:$G,$O277+1),"")</f>
        <v/>
      </c>
      <c r="F277" s="42" t="str">
        <f>IFERROR(INDEX(Combined_Data!$I:$I,$O277+1),"")</f>
        <v/>
      </c>
      <c r="G277" s="41" t="str">
        <f>IFERROR(INDEX(Combined_Data!$K:$K,$O277+1),"")</f>
        <v/>
      </c>
      <c r="H277" s="41" t="str">
        <f>IFERROR(INDEX(Combined_Data!$M:$M,$O277+1),"")</f>
        <v/>
      </c>
      <c r="I277" s="41" t="str">
        <f>IFERROR(INDEX(Combined_Data!$N:$N,$O277+1),"")</f>
        <v/>
      </c>
      <c r="J277" s="43" t="str">
        <f>IFERROR(INDEX(Combined_Data!$S:$S,$O277+1),"")</f>
        <v/>
      </c>
      <c r="K277" s="44" t="str">
        <f>IFERROR(INDEX(Combined_Data!$AF:$AF,$O277+1),"")</f>
        <v/>
      </c>
      <c r="L277" s="41" t="str">
        <f>IFERROR(INDEX(Combined_Data!$AG:$AG,$O277+1),"")</f>
        <v/>
      </c>
      <c r="M277" s="41" t="str">
        <f>IFERROR(INDEX(Combined_Data!$AH:$AH,$O277+1),"")</f>
        <v/>
      </c>
      <c r="O277" t="str">
        <f>IFERROR(_xlfn.AGGREGATE(15,6,(ROW(Combined_Data!$AI$2:$AI$3001)-1)/(Combined_Data!$AI$2:$AI$3001),243),"")</f>
        <v/>
      </c>
    </row>
    <row r="278" spans="1:15" ht="15" customHeight="1" x14ac:dyDescent="0.3">
      <c r="A278" s="41" t="str">
        <f>IFERROR(INDEX(Combined_Data!$C:$C,$O278+1),"")</f>
        <v/>
      </c>
      <c r="B278" s="41" t="str">
        <f>IFERROR(INDEX(Combined_Data!$E:$E,$O278+1),"")</f>
        <v/>
      </c>
      <c r="C278" s="41" t="str">
        <f>IFERROR(INDEX(Combined_Data!$B:$B,$O278+1),"")</f>
        <v/>
      </c>
      <c r="D278" s="41" t="str">
        <f>IFERROR(INDEX(Combined_Data!$D:$D,$O278+1),"")</f>
        <v/>
      </c>
      <c r="E278" s="41" t="str">
        <f>IFERROR(INDEX(Combined_Data!$G:$G,$O278+1),"")</f>
        <v/>
      </c>
      <c r="F278" s="42" t="str">
        <f>IFERROR(INDEX(Combined_Data!$I:$I,$O278+1),"")</f>
        <v/>
      </c>
      <c r="G278" s="41" t="str">
        <f>IFERROR(INDEX(Combined_Data!$K:$K,$O278+1),"")</f>
        <v/>
      </c>
      <c r="H278" s="41" t="str">
        <f>IFERROR(INDEX(Combined_Data!$M:$M,$O278+1),"")</f>
        <v/>
      </c>
      <c r="I278" s="41" t="str">
        <f>IFERROR(INDEX(Combined_Data!$N:$N,$O278+1),"")</f>
        <v/>
      </c>
      <c r="J278" s="43" t="str">
        <f>IFERROR(INDEX(Combined_Data!$S:$S,$O278+1),"")</f>
        <v/>
      </c>
      <c r="K278" s="44" t="str">
        <f>IFERROR(INDEX(Combined_Data!$AF:$AF,$O278+1),"")</f>
        <v/>
      </c>
      <c r="L278" s="41" t="str">
        <f>IFERROR(INDEX(Combined_Data!$AG:$AG,$O278+1),"")</f>
        <v/>
      </c>
      <c r="M278" s="41" t="str">
        <f>IFERROR(INDEX(Combined_Data!$AH:$AH,$O278+1),"")</f>
        <v/>
      </c>
      <c r="O278" t="str">
        <f>IFERROR(_xlfn.AGGREGATE(15,6,(ROW(Combined_Data!$AI$2:$AI$3001)-1)/(Combined_Data!$AI$2:$AI$3001),244),"")</f>
        <v/>
      </c>
    </row>
    <row r="279" spans="1:15" ht="15" customHeight="1" x14ac:dyDescent="0.3">
      <c r="A279" s="41" t="str">
        <f>IFERROR(INDEX(Combined_Data!$C:$C,$O279+1),"")</f>
        <v/>
      </c>
      <c r="B279" s="41" t="str">
        <f>IFERROR(INDEX(Combined_Data!$E:$E,$O279+1),"")</f>
        <v/>
      </c>
      <c r="C279" s="41" t="str">
        <f>IFERROR(INDEX(Combined_Data!$B:$B,$O279+1),"")</f>
        <v/>
      </c>
      <c r="D279" s="41" t="str">
        <f>IFERROR(INDEX(Combined_Data!$D:$D,$O279+1),"")</f>
        <v/>
      </c>
      <c r="E279" s="41" t="str">
        <f>IFERROR(INDEX(Combined_Data!$G:$G,$O279+1),"")</f>
        <v/>
      </c>
      <c r="F279" s="42" t="str">
        <f>IFERROR(INDEX(Combined_Data!$I:$I,$O279+1),"")</f>
        <v/>
      </c>
      <c r="G279" s="41" t="str">
        <f>IFERROR(INDEX(Combined_Data!$K:$K,$O279+1),"")</f>
        <v/>
      </c>
      <c r="H279" s="41" t="str">
        <f>IFERROR(INDEX(Combined_Data!$M:$M,$O279+1),"")</f>
        <v/>
      </c>
      <c r="I279" s="41" t="str">
        <f>IFERROR(INDEX(Combined_Data!$N:$N,$O279+1),"")</f>
        <v/>
      </c>
      <c r="J279" s="43" t="str">
        <f>IFERROR(INDEX(Combined_Data!$S:$S,$O279+1),"")</f>
        <v/>
      </c>
      <c r="K279" s="44" t="str">
        <f>IFERROR(INDEX(Combined_Data!$AF:$AF,$O279+1),"")</f>
        <v/>
      </c>
      <c r="L279" s="41" t="str">
        <f>IFERROR(INDEX(Combined_Data!$AG:$AG,$O279+1),"")</f>
        <v/>
      </c>
      <c r="M279" s="41" t="str">
        <f>IFERROR(INDEX(Combined_Data!$AH:$AH,$O279+1),"")</f>
        <v/>
      </c>
      <c r="O279" t="str">
        <f>IFERROR(_xlfn.AGGREGATE(15,6,(ROW(Combined_Data!$AI$2:$AI$3001)-1)/(Combined_Data!$AI$2:$AI$3001),245),"")</f>
        <v/>
      </c>
    </row>
    <row r="280" spans="1:15" ht="15" customHeight="1" x14ac:dyDescent="0.3">
      <c r="A280" s="41" t="str">
        <f>IFERROR(INDEX(Combined_Data!$C:$C,$O280+1),"")</f>
        <v/>
      </c>
      <c r="B280" s="41" t="str">
        <f>IFERROR(INDEX(Combined_Data!$E:$E,$O280+1),"")</f>
        <v/>
      </c>
      <c r="C280" s="41" t="str">
        <f>IFERROR(INDEX(Combined_Data!$B:$B,$O280+1),"")</f>
        <v/>
      </c>
      <c r="D280" s="41" t="str">
        <f>IFERROR(INDEX(Combined_Data!$D:$D,$O280+1),"")</f>
        <v/>
      </c>
      <c r="E280" s="41" t="str">
        <f>IFERROR(INDEX(Combined_Data!$G:$G,$O280+1),"")</f>
        <v/>
      </c>
      <c r="F280" s="42" t="str">
        <f>IFERROR(INDEX(Combined_Data!$I:$I,$O280+1),"")</f>
        <v/>
      </c>
      <c r="G280" s="41" t="str">
        <f>IFERROR(INDEX(Combined_Data!$K:$K,$O280+1),"")</f>
        <v/>
      </c>
      <c r="H280" s="41" t="str">
        <f>IFERROR(INDEX(Combined_Data!$M:$M,$O280+1),"")</f>
        <v/>
      </c>
      <c r="I280" s="41" t="str">
        <f>IFERROR(INDEX(Combined_Data!$N:$N,$O280+1),"")</f>
        <v/>
      </c>
      <c r="J280" s="43" t="str">
        <f>IFERROR(INDEX(Combined_Data!$S:$S,$O280+1),"")</f>
        <v/>
      </c>
      <c r="K280" s="44" t="str">
        <f>IFERROR(INDEX(Combined_Data!$AF:$AF,$O280+1),"")</f>
        <v/>
      </c>
      <c r="L280" s="41" t="str">
        <f>IFERROR(INDEX(Combined_Data!$AG:$AG,$O280+1),"")</f>
        <v/>
      </c>
      <c r="M280" s="41" t="str">
        <f>IFERROR(INDEX(Combined_Data!$AH:$AH,$O280+1),"")</f>
        <v/>
      </c>
      <c r="O280" t="str">
        <f>IFERROR(_xlfn.AGGREGATE(15,6,(ROW(Combined_Data!$AI$2:$AI$3001)-1)/(Combined_Data!$AI$2:$AI$3001),246),"")</f>
        <v/>
      </c>
    </row>
    <row r="281" spans="1:15" ht="15" customHeight="1" x14ac:dyDescent="0.3">
      <c r="A281" s="41" t="str">
        <f>IFERROR(INDEX(Combined_Data!$C:$C,$O281+1),"")</f>
        <v/>
      </c>
      <c r="B281" s="41" t="str">
        <f>IFERROR(INDEX(Combined_Data!$E:$E,$O281+1),"")</f>
        <v/>
      </c>
      <c r="C281" s="41" t="str">
        <f>IFERROR(INDEX(Combined_Data!$B:$B,$O281+1),"")</f>
        <v/>
      </c>
      <c r="D281" s="41" t="str">
        <f>IFERROR(INDEX(Combined_Data!$D:$D,$O281+1),"")</f>
        <v/>
      </c>
      <c r="E281" s="41" t="str">
        <f>IFERROR(INDEX(Combined_Data!$G:$G,$O281+1),"")</f>
        <v/>
      </c>
      <c r="F281" s="42" t="str">
        <f>IFERROR(INDEX(Combined_Data!$I:$I,$O281+1),"")</f>
        <v/>
      </c>
      <c r="G281" s="41" t="str">
        <f>IFERROR(INDEX(Combined_Data!$K:$K,$O281+1),"")</f>
        <v/>
      </c>
      <c r="H281" s="41" t="str">
        <f>IFERROR(INDEX(Combined_Data!$M:$M,$O281+1),"")</f>
        <v/>
      </c>
      <c r="I281" s="41" t="str">
        <f>IFERROR(INDEX(Combined_Data!$N:$N,$O281+1),"")</f>
        <v/>
      </c>
      <c r="J281" s="43" t="str">
        <f>IFERROR(INDEX(Combined_Data!$S:$S,$O281+1),"")</f>
        <v/>
      </c>
      <c r="K281" s="44" t="str">
        <f>IFERROR(INDEX(Combined_Data!$AF:$AF,$O281+1),"")</f>
        <v/>
      </c>
      <c r="L281" s="41" t="str">
        <f>IFERROR(INDEX(Combined_Data!$AG:$AG,$O281+1),"")</f>
        <v/>
      </c>
      <c r="M281" s="41" t="str">
        <f>IFERROR(INDEX(Combined_Data!$AH:$AH,$O281+1),"")</f>
        <v/>
      </c>
      <c r="O281" t="str">
        <f>IFERROR(_xlfn.AGGREGATE(15,6,(ROW(Combined_Data!$AI$2:$AI$3001)-1)/(Combined_Data!$AI$2:$AI$3001),247),"")</f>
        <v/>
      </c>
    </row>
    <row r="282" spans="1:15" ht="15" customHeight="1" x14ac:dyDescent="0.3">
      <c r="A282" s="41" t="str">
        <f>IFERROR(INDEX(Combined_Data!$C:$C,$O282+1),"")</f>
        <v/>
      </c>
      <c r="B282" s="41" t="str">
        <f>IFERROR(INDEX(Combined_Data!$E:$E,$O282+1),"")</f>
        <v/>
      </c>
      <c r="C282" s="41" t="str">
        <f>IFERROR(INDEX(Combined_Data!$B:$B,$O282+1),"")</f>
        <v/>
      </c>
      <c r="D282" s="41" t="str">
        <f>IFERROR(INDEX(Combined_Data!$D:$D,$O282+1),"")</f>
        <v/>
      </c>
      <c r="E282" s="41" t="str">
        <f>IFERROR(INDEX(Combined_Data!$G:$G,$O282+1),"")</f>
        <v/>
      </c>
      <c r="F282" s="42" t="str">
        <f>IFERROR(INDEX(Combined_Data!$I:$I,$O282+1),"")</f>
        <v/>
      </c>
      <c r="G282" s="41" t="str">
        <f>IFERROR(INDEX(Combined_Data!$K:$K,$O282+1),"")</f>
        <v/>
      </c>
      <c r="H282" s="41" t="str">
        <f>IFERROR(INDEX(Combined_Data!$M:$M,$O282+1),"")</f>
        <v/>
      </c>
      <c r="I282" s="41" t="str">
        <f>IFERROR(INDEX(Combined_Data!$N:$N,$O282+1),"")</f>
        <v/>
      </c>
      <c r="J282" s="43" t="str">
        <f>IFERROR(INDEX(Combined_Data!$S:$S,$O282+1),"")</f>
        <v/>
      </c>
      <c r="K282" s="44" t="str">
        <f>IFERROR(INDEX(Combined_Data!$AF:$AF,$O282+1),"")</f>
        <v/>
      </c>
      <c r="L282" s="41" t="str">
        <f>IFERROR(INDEX(Combined_Data!$AG:$AG,$O282+1),"")</f>
        <v/>
      </c>
      <c r="M282" s="41" t="str">
        <f>IFERROR(INDEX(Combined_Data!$AH:$AH,$O282+1),"")</f>
        <v/>
      </c>
      <c r="O282" t="str">
        <f>IFERROR(_xlfn.AGGREGATE(15,6,(ROW(Combined_Data!$AI$2:$AI$3001)-1)/(Combined_Data!$AI$2:$AI$3001),248),"")</f>
        <v/>
      </c>
    </row>
    <row r="283" spans="1:15" ht="15" customHeight="1" x14ac:dyDescent="0.3">
      <c r="A283" s="41" t="str">
        <f>IFERROR(INDEX(Combined_Data!$C:$C,$O283+1),"")</f>
        <v/>
      </c>
      <c r="B283" s="41" t="str">
        <f>IFERROR(INDEX(Combined_Data!$E:$E,$O283+1),"")</f>
        <v/>
      </c>
      <c r="C283" s="41" t="str">
        <f>IFERROR(INDEX(Combined_Data!$B:$B,$O283+1),"")</f>
        <v/>
      </c>
      <c r="D283" s="41" t="str">
        <f>IFERROR(INDEX(Combined_Data!$D:$D,$O283+1),"")</f>
        <v/>
      </c>
      <c r="E283" s="41" t="str">
        <f>IFERROR(INDEX(Combined_Data!$G:$G,$O283+1),"")</f>
        <v/>
      </c>
      <c r="F283" s="42" t="str">
        <f>IFERROR(INDEX(Combined_Data!$I:$I,$O283+1),"")</f>
        <v/>
      </c>
      <c r="G283" s="41" t="str">
        <f>IFERROR(INDEX(Combined_Data!$K:$K,$O283+1),"")</f>
        <v/>
      </c>
      <c r="H283" s="41" t="str">
        <f>IFERROR(INDEX(Combined_Data!$M:$M,$O283+1),"")</f>
        <v/>
      </c>
      <c r="I283" s="41" t="str">
        <f>IFERROR(INDEX(Combined_Data!$N:$N,$O283+1),"")</f>
        <v/>
      </c>
      <c r="J283" s="43" t="str">
        <f>IFERROR(INDEX(Combined_Data!$S:$S,$O283+1),"")</f>
        <v/>
      </c>
      <c r="K283" s="44" t="str">
        <f>IFERROR(INDEX(Combined_Data!$AF:$AF,$O283+1),"")</f>
        <v/>
      </c>
      <c r="L283" s="41" t="str">
        <f>IFERROR(INDEX(Combined_Data!$AG:$AG,$O283+1),"")</f>
        <v/>
      </c>
      <c r="M283" s="41" t="str">
        <f>IFERROR(INDEX(Combined_Data!$AH:$AH,$O283+1),"")</f>
        <v/>
      </c>
      <c r="O283" t="str">
        <f>IFERROR(_xlfn.AGGREGATE(15,6,(ROW(Combined_Data!$AI$2:$AI$3001)-1)/(Combined_Data!$AI$2:$AI$3001),249),"")</f>
        <v/>
      </c>
    </row>
    <row r="284" spans="1:15" ht="15" customHeight="1" x14ac:dyDescent="0.3">
      <c r="A284" s="41" t="str">
        <f>IFERROR(INDEX(Combined_Data!$C:$C,$O284+1),"")</f>
        <v/>
      </c>
      <c r="B284" s="41" t="str">
        <f>IFERROR(INDEX(Combined_Data!$E:$E,$O284+1),"")</f>
        <v/>
      </c>
      <c r="C284" s="41" t="str">
        <f>IFERROR(INDEX(Combined_Data!$B:$B,$O284+1),"")</f>
        <v/>
      </c>
      <c r="D284" s="41" t="str">
        <f>IFERROR(INDEX(Combined_Data!$D:$D,$O284+1),"")</f>
        <v/>
      </c>
      <c r="E284" s="41" t="str">
        <f>IFERROR(INDEX(Combined_Data!$G:$G,$O284+1),"")</f>
        <v/>
      </c>
      <c r="F284" s="42" t="str">
        <f>IFERROR(INDEX(Combined_Data!$I:$I,$O284+1),"")</f>
        <v/>
      </c>
      <c r="G284" s="41" t="str">
        <f>IFERROR(INDEX(Combined_Data!$K:$K,$O284+1),"")</f>
        <v/>
      </c>
      <c r="H284" s="41" t="str">
        <f>IFERROR(INDEX(Combined_Data!$M:$M,$O284+1),"")</f>
        <v/>
      </c>
      <c r="I284" s="41" t="str">
        <f>IFERROR(INDEX(Combined_Data!$N:$N,$O284+1),"")</f>
        <v/>
      </c>
      <c r="J284" s="43" t="str">
        <f>IFERROR(INDEX(Combined_Data!$S:$S,$O284+1),"")</f>
        <v/>
      </c>
      <c r="K284" s="44" t="str">
        <f>IFERROR(INDEX(Combined_Data!$AF:$AF,$O284+1),"")</f>
        <v/>
      </c>
      <c r="L284" s="41" t="str">
        <f>IFERROR(INDEX(Combined_Data!$AG:$AG,$O284+1),"")</f>
        <v/>
      </c>
      <c r="M284" s="41" t="str">
        <f>IFERROR(INDEX(Combined_Data!$AH:$AH,$O284+1),"")</f>
        <v/>
      </c>
      <c r="O284" t="str">
        <f>IFERROR(_xlfn.AGGREGATE(15,6,(ROW(Combined_Data!$AI$2:$AI$3001)-1)/(Combined_Data!$AI$2:$AI$3001),250),"")</f>
        <v/>
      </c>
    </row>
    <row r="285" spans="1:15" ht="15" customHeight="1" x14ac:dyDescent="0.3">
      <c r="A285" s="41" t="str">
        <f>IFERROR(INDEX(Combined_Data!$C:$C,$O285+1),"")</f>
        <v/>
      </c>
      <c r="B285" s="41" t="str">
        <f>IFERROR(INDEX(Combined_Data!$E:$E,$O285+1),"")</f>
        <v/>
      </c>
      <c r="C285" s="41" t="str">
        <f>IFERROR(INDEX(Combined_Data!$B:$B,$O285+1),"")</f>
        <v/>
      </c>
      <c r="D285" s="41" t="str">
        <f>IFERROR(INDEX(Combined_Data!$D:$D,$O285+1),"")</f>
        <v/>
      </c>
      <c r="E285" s="41" t="str">
        <f>IFERROR(INDEX(Combined_Data!$G:$G,$O285+1),"")</f>
        <v/>
      </c>
      <c r="F285" s="42" t="str">
        <f>IFERROR(INDEX(Combined_Data!$I:$I,$O285+1),"")</f>
        <v/>
      </c>
      <c r="G285" s="41" t="str">
        <f>IFERROR(INDEX(Combined_Data!$K:$K,$O285+1),"")</f>
        <v/>
      </c>
      <c r="H285" s="41" t="str">
        <f>IFERROR(INDEX(Combined_Data!$M:$M,$O285+1),"")</f>
        <v/>
      </c>
      <c r="I285" s="41" t="str">
        <f>IFERROR(INDEX(Combined_Data!$N:$N,$O285+1),"")</f>
        <v/>
      </c>
      <c r="J285" s="43" t="str">
        <f>IFERROR(INDEX(Combined_Data!$S:$S,$O285+1),"")</f>
        <v/>
      </c>
      <c r="K285" s="44" t="str">
        <f>IFERROR(INDEX(Combined_Data!$AF:$AF,$O285+1),"")</f>
        <v/>
      </c>
      <c r="L285" s="41" t="str">
        <f>IFERROR(INDEX(Combined_Data!$AG:$AG,$O285+1),"")</f>
        <v/>
      </c>
      <c r="M285" s="41" t="str">
        <f>IFERROR(INDEX(Combined_Data!$AH:$AH,$O285+1),"")</f>
        <v/>
      </c>
      <c r="O285" t="str">
        <f>IFERROR(_xlfn.AGGREGATE(15,6,(ROW(Combined_Data!$AI$2:$AI$3001)-1)/(Combined_Data!$AI$2:$AI$3001),251),"")</f>
        <v/>
      </c>
    </row>
    <row r="286" spans="1:15" ht="15" customHeight="1" x14ac:dyDescent="0.3">
      <c r="A286" s="41" t="str">
        <f>IFERROR(INDEX(Combined_Data!$C:$C,$O286+1),"")</f>
        <v/>
      </c>
      <c r="B286" s="41" t="str">
        <f>IFERROR(INDEX(Combined_Data!$E:$E,$O286+1),"")</f>
        <v/>
      </c>
      <c r="C286" s="41" t="str">
        <f>IFERROR(INDEX(Combined_Data!$B:$B,$O286+1),"")</f>
        <v/>
      </c>
      <c r="D286" s="41" t="str">
        <f>IFERROR(INDEX(Combined_Data!$D:$D,$O286+1),"")</f>
        <v/>
      </c>
      <c r="E286" s="41" t="str">
        <f>IFERROR(INDEX(Combined_Data!$G:$G,$O286+1),"")</f>
        <v/>
      </c>
      <c r="F286" s="42" t="str">
        <f>IFERROR(INDEX(Combined_Data!$I:$I,$O286+1),"")</f>
        <v/>
      </c>
      <c r="G286" s="41" t="str">
        <f>IFERROR(INDEX(Combined_Data!$K:$K,$O286+1),"")</f>
        <v/>
      </c>
      <c r="H286" s="41" t="str">
        <f>IFERROR(INDEX(Combined_Data!$M:$M,$O286+1),"")</f>
        <v/>
      </c>
      <c r="I286" s="41" t="str">
        <f>IFERROR(INDEX(Combined_Data!$N:$N,$O286+1),"")</f>
        <v/>
      </c>
      <c r="J286" s="43" t="str">
        <f>IFERROR(INDEX(Combined_Data!$S:$S,$O286+1),"")</f>
        <v/>
      </c>
      <c r="K286" s="44" t="str">
        <f>IFERROR(INDEX(Combined_Data!$AF:$AF,$O286+1),"")</f>
        <v/>
      </c>
      <c r="L286" s="41" t="str">
        <f>IFERROR(INDEX(Combined_Data!$AG:$AG,$O286+1),"")</f>
        <v/>
      </c>
      <c r="M286" s="41" t="str">
        <f>IFERROR(INDEX(Combined_Data!$AH:$AH,$O286+1),"")</f>
        <v/>
      </c>
      <c r="O286" t="str">
        <f>IFERROR(_xlfn.AGGREGATE(15,6,(ROW(Combined_Data!$AI$2:$AI$3001)-1)/(Combined_Data!$AI$2:$AI$3001),252),"")</f>
        <v/>
      </c>
    </row>
    <row r="287" spans="1:15" ht="15" customHeight="1" x14ac:dyDescent="0.3">
      <c r="A287" s="41" t="str">
        <f>IFERROR(INDEX(Combined_Data!$C:$C,$O287+1),"")</f>
        <v/>
      </c>
      <c r="B287" s="41" t="str">
        <f>IFERROR(INDEX(Combined_Data!$E:$E,$O287+1),"")</f>
        <v/>
      </c>
      <c r="C287" s="41" t="str">
        <f>IFERROR(INDEX(Combined_Data!$B:$B,$O287+1),"")</f>
        <v/>
      </c>
      <c r="D287" s="41" t="str">
        <f>IFERROR(INDEX(Combined_Data!$D:$D,$O287+1),"")</f>
        <v/>
      </c>
      <c r="E287" s="41" t="str">
        <f>IFERROR(INDEX(Combined_Data!$G:$G,$O287+1),"")</f>
        <v/>
      </c>
      <c r="F287" s="42" t="str">
        <f>IFERROR(INDEX(Combined_Data!$I:$I,$O287+1),"")</f>
        <v/>
      </c>
      <c r="G287" s="41" t="str">
        <f>IFERROR(INDEX(Combined_Data!$K:$K,$O287+1),"")</f>
        <v/>
      </c>
      <c r="H287" s="41" t="str">
        <f>IFERROR(INDEX(Combined_Data!$M:$M,$O287+1),"")</f>
        <v/>
      </c>
      <c r="I287" s="41" t="str">
        <f>IFERROR(INDEX(Combined_Data!$N:$N,$O287+1),"")</f>
        <v/>
      </c>
      <c r="J287" s="43" t="str">
        <f>IFERROR(INDEX(Combined_Data!$S:$S,$O287+1),"")</f>
        <v/>
      </c>
      <c r="K287" s="44" t="str">
        <f>IFERROR(INDEX(Combined_Data!$AF:$AF,$O287+1),"")</f>
        <v/>
      </c>
      <c r="L287" s="41" t="str">
        <f>IFERROR(INDEX(Combined_Data!$AG:$AG,$O287+1),"")</f>
        <v/>
      </c>
      <c r="M287" s="41" t="str">
        <f>IFERROR(INDEX(Combined_Data!$AH:$AH,$O287+1),"")</f>
        <v/>
      </c>
      <c r="O287" t="str">
        <f>IFERROR(_xlfn.AGGREGATE(15,6,(ROW(Combined_Data!$AI$2:$AI$3001)-1)/(Combined_Data!$AI$2:$AI$3001),253),"")</f>
        <v/>
      </c>
    </row>
    <row r="288" spans="1:15" ht="15" customHeight="1" x14ac:dyDescent="0.3">
      <c r="A288" s="41" t="str">
        <f>IFERROR(INDEX(Combined_Data!$C:$C,$O288+1),"")</f>
        <v/>
      </c>
      <c r="B288" s="41" t="str">
        <f>IFERROR(INDEX(Combined_Data!$E:$E,$O288+1),"")</f>
        <v/>
      </c>
      <c r="C288" s="41" t="str">
        <f>IFERROR(INDEX(Combined_Data!$B:$B,$O288+1),"")</f>
        <v/>
      </c>
      <c r="D288" s="41" t="str">
        <f>IFERROR(INDEX(Combined_Data!$D:$D,$O288+1),"")</f>
        <v/>
      </c>
      <c r="E288" s="41" t="str">
        <f>IFERROR(INDEX(Combined_Data!$G:$G,$O288+1),"")</f>
        <v/>
      </c>
      <c r="F288" s="42" t="str">
        <f>IFERROR(INDEX(Combined_Data!$I:$I,$O288+1),"")</f>
        <v/>
      </c>
      <c r="G288" s="41" t="str">
        <f>IFERROR(INDEX(Combined_Data!$K:$K,$O288+1),"")</f>
        <v/>
      </c>
      <c r="H288" s="41" t="str">
        <f>IFERROR(INDEX(Combined_Data!$M:$M,$O288+1),"")</f>
        <v/>
      </c>
      <c r="I288" s="41" t="str">
        <f>IFERROR(INDEX(Combined_Data!$N:$N,$O288+1),"")</f>
        <v/>
      </c>
      <c r="J288" s="43" t="str">
        <f>IFERROR(INDEX(Combined_Data!$S:$S,$O288+1),"")</f>
        <v/>
      </c>
      <c r="K288" s="44" t="str">
        <f>IFERROR(INDEX(Combined_Data!$AF:$AF,$O288+1),"")</f>
        <v/>
      </c>
      <c r="L288" s="41" t="str">
        <f>IFERROR(INDEX(Combined_Data!$AG:$AG,$O288+1),"")</f>
        <v/>
      </c>
      <c r="M288" s="41" t="str">
        <f>IFERROR(INDEX(Combined_Data!$AH:$AH,$O288+1),"")</f>
        <v/>
      </c>
      <c r="O288" t="str">
        <f>IFERROR(_xlfn.AGGREGATE(15,6,(ROW(Combined_Data!$AI$2:$AI$3001)-1)/(Combined_Data!$AI$2:$AI$3001),254),"")</f>
        <v/>
      </c>
    </row>
    <row r="289" spans="1:15" ht="15" customHeight="1" x14ac:dyDescent="0.3">
      <c r="A289" s="41" t="str">
        <f>IFERROR(INDEX(Combined_Data!$C:$C,$O289+1),"")</f>
        <v/>
      </c>
      <c r="B289" s="41" t="str">
        <f>IFERROR(INDEX(Combined_Data!$E:$E,$O289+1),"")</f>
        <v/>
      </c>
      <c r="C289" s="41" t="str">
        <f>IFERROR(INDEX(Combined_Data!$B:$B,$O289+1),"")</f>
        <v/>
      </c>
      <c r="D289" s="41" t="str">
        <f>IFERROR(INDEX(Combined_Data!$D:$D,$O289+1),"")</f>
        <v/>
      </c>
      <c r="E289" s="41" t="str">
        <f>IFERROR(INDEX(Combined_Data!$G:$G,$O289+1),"")</f>
        <v/>
      </c>
      <c r="F289" s="42" t="str">
        <f>IFERROR(INDEX(Combined_Data!$I:$I,$O289+1),"")</f>
        <v/>
      </c>
      <c r="G289" s="41" t="str">
        <f>IFERROR(INDEX(Combined_Data!$K:$K,$O289+1),"")</f>
        <v/>
      </c>
      <c r="H289" s="41" t="str">
        <f>IFERROR(INDEX(Combined_Data!$M:$M,$O289+1),"")</f>
        <v/>
      </c>
      <c r="I289" s="41" t="str">
        <f>IFERROR(INDEX(Combined_Data!$N:$N,$O289+1),"")</f>
        <v/>
      </c>
      <c r="J289" s="43" t="str">
        <f>IFERROR(INDEX(Combined_Data!$S:$S,$O289+1),"")</f>
        <v/>
      </c>
      <c r="K289" s="44" t="str">
        <f>IFERROR(INDEX(Combined_Data!$AF:$AF,$O289+1),"")</f>
        <v/>
      </c>
      <c r="L289" s="41" t="str">
        <f>IFERROR(INDEX(Combined_Data!$AG:$AG,$O289+1),"")</f>
        <v/>
      </c>
      <c r="M289" s="41" t="str">
        <f>IFERROR(INDEX(Combined_Data!$AH:$AH,$O289+1),"")</f>
        <v/>
      </c>
      <c r="O289" t="str">
        <f>IFERROR(_xlfn.AGGREGATE(15,6,(ROW(Combined_Data!$AI$2:$AI$3001)-1)/(Combined_Data!$AI$2:$AI$3001),255),"")</f>
        <v/>
      </c>
    </row>
    <row r="290" spans="1:15" ht="15" customHeight="1" x14ac:dyDescent="0.3">
      <c r="A290" s="41" t="str">
        <f>IFERROR(INDEX(Combined_Data!$C:$C,$O290+1),"")</f>
        <v/>
      </c>
      <c r="B290" s="41" t="str">
        <f>IFERROR(INDEX(Combined_Data!$E:$E,$O290+1),"")</f>
        <v/>
      </c>
      <c r="C290" s="41" t="str">
        <f>IFERROR(INDEX(Combined_Data!$B:$B,$O290+1),"")</f>
        <v/>
      </c>
      <c r="D290" s="41" t="str">
        <f>IFERROR(INDEX(Combined_Data!$D:$D,$O290+1),"")</f>
        <v/>
      </c>
      <c r="E290" s="41" t="str">
        <f>IFERROR(INDEX(Combined_Data!$G:$G,$O290+1),"")</f>
        <v/>
      </c>
      <c r="F290" s="42" t="str">
        <f>IFERROR(INDEX(Combined_Data!$I:$I,$O290+1),"")</f>
        <v/>
      </c>
      <c r="G290" s="41" t="str">
        <f>IFERROR(INDEX(Combined_Data!$K:$K,$O290+1),"")</f>
        <v/>
      </c>
      <c r="H290" s="41" t="str">
        <f>IFERROR(INDEX(Combined_Data!$M:$M,$O290+1),"")</f>
        <v/>
      </c>
      <c r="I290" s="41" t="str">
        <f>IFERROR(INDEX(Combined_Data!$N:$N,$O290+1),"")</f>
        <v/>
      </c>
      <c r="J290" s="43" t="str">
        <f>IFERROR(INDEX(Combined_Data!$S:$S,$O290+1),"")</f>
        <v/>
      </c>
      <c r="K290" s="44" t="str">
        <f>IFERROR(INDEX(Combined_Data!$AF:$AF,$O290+1),"")</f>
        <v/>
      </c>
      <c r="L290" s="41" t="str">
        <f>IFERROR(INDEX(Combined_Data!$AG:$AG,$O290+1),"")</f>
        <v/>
      </c>
      <c r="M290" s="41" t="str">
        <f>IFERROR(INDEX(Combined_Data!$AH:$AH,$O290+1),"")</f>
        <v/>
      </c>
      <c r="O290" t="str">
        <f>IFERROR(_xlfn.AGGREGATE(15,6,(ROW(Combined_Data!$AI$2:$AI$3001)-1)/(Combined_Data!$AI$2:$AI$3001),256),"")</f>
        <v/>
      </c>
    </row>
    <row r="291" spans="1:15" ht="15" customHeight="1" x14ac:dyDescent="0.3">
      <c r="A291" s="41" t="str">
        <f>IFERROR(INDEX(Combined_Data!$C:$C,$O291+1),"")</f>
        <v/>
      </c>
      <c r="B291" s="41" t="str">
        <f>IFERROR(INDEX(Combined_Data!$E:$E,$O291+1),"")</f>
        <v/>
      </c>
      <c r="C291" s="41" t="str">
        <f>IFERROR(INDEX(Combined_Data!$B:$B,$O291+1),"")</f>
        <v/>
      </c>
      <c r="D291" s="41" t="str">
        <f>IFERROR(INDEX(Combined_Data!$D:$D,$O291+1),"")</f>
        <v/>
      </c>
      <c r="E291" s="41" t="str">
        <f>IFERROR(INDEX(Combined_Data!$G:$G,$O291+1),"")</f>
        <v/>
      </c>
      <c r="F291" s="42" t="str">
        <f>IFERROR(INDEX(Combined_Data!$I:$I,$O291+1),"")</f>
        <v/>
      </c>
      <c r="G291" s="41" t="str">
        <f>IFERROR(INDEX(Combined_Data!$K:$K,$O291+1),"")</f>
        <v/>
      </c>
      <c r="H291" s="41" t="str">
        <f>IFERROR(INDEX(Combined_Data!$M:$M,$O291+1),"")</f>
        <v/>
      </c>
      <c r="I291" s="41" t="str">
        <f>IFERROR(INDEX(Combined_Data!$N:$N,$O291+1),"")</f>
        <v/>
      </c>
      <c r="J291" s="43" t="str">
        <f>IFERROR(INDEX(Combined_Data!$S:$S,$O291+1),"")</f>
        <v/>
      </c>
      <c r="K291" s="44" t="str">
        <f>IFERROR(INDEX(Combined_Data!$AF:$AF,$O291+1),"")</f>
        <v/>
      </c>
      <c r="L291" s="41" t="str">
        <f>IFERROR(INDEX(Combined_Data!$AG:$AG,$O291+1),"")</f>
        <v/>
      </c>
      <c r="M291" s="41" t="str">
        <f>IFERROR(INDEX(Combined_Data!$AH:$AH,$O291+1),"")</f>
        <v/>
      </c>
      <c r="O291" t="str">
        <f>IFERROR(_xlfn.AGGREGATE(15,6,(ROW(Combined_Data!$AI$2:$AI$3001)-1)/(Combined_Data!$AI$2:$AI$3001),257),"")</f>
        <v/>
      </c>
    </row>
    <row r="292" spans="1:15" ht="15" customHeight="1" x14ac:dyDescent="0.3">
      <c r="A292" s="41" t="str">
        <f>IFERROR(INDEX(Combined_Data!$C:$C,$O292+1),"")</f>
        <v/>
      </c>
      <c r="B292" s="41" t="str">
        <f>IFERROR(INDEX(Combined_Data!$E:$E,$O292+1),"")</f>
        <v/>
      </c>
      <c r="C292" s="41" t="str">
        <f>IFERROR(INDEX(Combined_Data!$B:$B,$O292+1),"")</f>
        <v/>
      </c>
      <c r="D292" s="41" t="str">
        <f>IFERROR(INDEX(Combined_Data!$D:$D,$O292+1),"")</f>
        <v/>
      </c>
      <c r="E292" s="41" t="str">
        <f>IFERROR(INDEX(Combined_Data!$G:$G,$O292+1),"")</f>
        <v/>
      </c>
      <c r="F292" s="42" t="str">
        <f>IFERROR(INDEX(Combined_Data!$I:$I,$O292+1),"")</f>
        <v/>
      </c>
      <c r="G292" s="41" t="str">
        <f>IFERROR(INDEX(Combined_Data!$K:$K,$O292+1),"")</f>
        <v/>
      </c>
      <c r="H292" s="41" t="str">
        <f>IFERROR(INDEX(Combined_Data!$M:$M,$O292+1),"")</f>
        <v/>
      </c>
      <c r="I292" s="41" t="str">
        <f>IFERROR(INDEX(Combined_Data!$N:$N,$O292+1),"")</f>
        <v/>
      </c>
      <c r="J292" s="43" t="str">
        <f>IFERROR(INDEX(Combined_Data!$S:$S,$O292+1),"")</f>
        <v/>
      </c>
      <c r="K292" s="44" t="str">
        <f>IFERROR(INDEX(Combined_Data!$AF:$AF,$O292+1),"")</f>
        <v/>
      </c>
      <c r="L292" s="41" t="str">
        <f>IFERROR(INDEX(Combined_Data!$AG:$AG,$O292+1),"")</f>
        <v/>
      </c>
      <c r="M292" s="41" t="str">
        <f>IFERROR(INDEX(Combined_Data!$AH:$AH,$O292+1),"")</f>
        <v/>
      </c>
      <c r="O292" t="str">
        <f>IFERROR(_xlfn.AGGREGATE(15,6,(ROW(Combined_Data!$AI$2:$AI$3001)-1)/(Combined_Data!$AI$2:$AI$3001),258),"")</f>
        <v/>
      </c>
    </row>
    <row r="293" spans="1:15" ht="15" customHeight="1" x14ac:dyDescent="0.3">
      <c r="A293" s="41" t="str">
        <f>IFERROR(INDEX(Combined_Data!$C:$C,$O293+1),"")</f>
        <v/>
      </c>
      <c r="B293" s="41" t="str">
        <f>IFERROR(INDEX(Combined_Data!$E:$E,$O293+1),"")</f>
        <v/>
      </c>
      <c r="C293" s="41" t="str">
        <f>IFERROR(INDEX(Combined_Data!$B:$B,$O293+1),"")</f>
        <v/>
      </c>
      <c r="D293" s="41" t="str">
        <f>IFERROR(INDEX(Combined_Data!$D:$D,$O293+1),"")</f>
        <v/>
      </c>
      <c r="E293" s="41" t="str">
        <f>IFERROR(INDEX(Combined_Data!$G:$G,$O293+1),"")</f>
        <v/>
      </c>
      <c r="F293" s="42" t="str">
        <f>IFERROR(INDEX(Combined_Data!$I:$I,$O293+1),"")</f>
        <v/>
      </c>
      <c r="G293" s="41" t="str">
        <f>IFERROR(INDEX(Combined_Data!$K:$K,$O293+1),"")</f>
        <v/>
      </c>
      <c r="H293" s="41" t="str">
        <f>IFERROR(INDEX(Combined_Data!$M:$M,$O293+1),"")</f>
        <v/>
      </c>
      <c r="I293" s="41" t="str">
        <f>IFERROR(INDEX(Combined_Data!$N:$N,$O293+1),"")</f>
        <v/>
      </c>
      <c r="J293" s="43" t="str">
        <f>IFERROR(INDEX(Combined_Data!$S:$S,$O293+1),"")</f>
        <v/>
      </c>
      <c r="K293" s="44" t="str">
        <f>IFERROR(INDEX(Combined_Data!$AF:$AF,$O293+1),"")</f>
        <v/>
      </c>
      <c r="L293" s="41" t="str">
        <f>IFERROR(INDEX(Combined_Data!$AG:$AG,$O293+1),"")</f>
        <v/>
      </c>
      <c r="M293" s="41" t="str">
        <f>IFERROR(INDEX(Combined_Data!$AH:$AH,$O293+1),"")</f>
        <v/>
      </c>
      <c r="O293" t="str">
        <f>IFERROR(_xlfn.AGGREGATE(15,6,(ROW(Combined_Data!$AI$2:$AI$3001)-1)/(Combined_Data!$AI$2:$AI$3001),259),"")</f>
        <v/>
      </c>
    </row>
    <row r="294" spans="1:15" ht="15" customHeight="1" x14ac:dyDescent="0.3">
      <c r="A294" s="41" t="str">
        <f>IFERROR(INDEX(Combined_Data!$C:$C,$O294+1),"")</f>
        <v/>
      </c>
      <c r="B294" s="41" t="str">
        <f>IFERROR(INDEX(Combined_Data!$E:$E,$O294+1),"")</f>
        <v/>
      </c>
      <c r="C294" s="41" t="str">
        <f>IFERROR(INDEX(Combined_Data!$B:$B,$O294+1),"")</f>
        <v/>
      </c>
      <c r="D294" s="41" t="str">
        <f>IFERROR(INDEX(Combined_Data!$D:$D,$O294+1),"")</f>
        <v/>
      </c>
      <c r="E294" s="41" t="str">
        <f>IFERROR(INDEX(Combined_Data!$G:$G,$O294+1),"")</f>
        <v/>
      </c>
      <c r="F294" s="42" t="str">
        <f>IFERROR(INDEX(Combined_Data!$I:$I,$O294+1),"")</f>
        <v/>
      </c>
      <c r="G294" s="41" t="str">
        <f>IFERROR(INDEX(Combined_Data!$K:$K,$O294+1),"")</f>
        <v/>
      </c>
      <c r="H294" s="41" t="str">
        <f>IFERROR(INDEX(Combined_Data!$M:$M,$O294+1),"")</f>
        <v/>
      </c>
      <c r="I294" s="41" t="str">
        <f>IFERROR(INDEX(Combined_Data!$N:$N,$O294+1),"")</f>
        <v/>
      </c>
      <c r="J294" s="43" t="str">
        <f>IFERROR(INDEX(Combined_Data!$S:$S,$O294+1),"")</f>
        <v/>
      </c>
      <c r="K294" s="44" t="str">
        <f>IFERROR(INDEX(Combined_Data!$AF:$AF,$O294+1),"")</f>
        <v/>
      </c>
      <c r="L294" s="41" t="str">
        <f>IFERROR(INDEX(Combined_Data!$AG:$AG,$O294+1),"")</f>
        <v/>
      </c>
      <c r="M294" s="41" t="str">
        <f>IFERROR(INDEX(Combined_Data!$AH:$AH,$O294+1),"")</f>
        <v/>
      </c>
      <c r="O294" t="str">
        <f>IFERROR(_xlfn.AGGREGATE(15,6,(ROW(Combined_Data!$AI$2:$AI$3001)-1)/(Combined_Data!$AI$2:$AI$3001),260),"")</f>
        <v/>
      </c>
    </row>
    <row r="295" spans="1:15" ht="15" customHeight="1" x14ac:dyDescent="0.3">
      <c r="A295" s="41" t="str">
        <f>IFERROR(INDEX(Combined_Data!$C:$C,$O295+1),"")</f>
        <v/>
      </c>
      <c r="B295" s="41" t="str">
        <f>IFERROR(INDEX(Combined_Data!$E:$E,$O295+1),"")</f>
        <v/>
      </c>
      <c r="C295" s="41" t="str">
        <f>IFERROR(INDEX(Combined_Data!$B:$B,$O295+1),"")</f>
        <v/>
      </c>
      <c r="D295" s="41" t="str">
        <f>IFERROR(INDEX(Combined_Data!$D:$D,$O295+1),"")</f>
        <v/>
      </c>
      <c r="E295" s="41" t="str">
        <f>IFERROR(INDEX(Combined_Data!$G:$G,$O295+1),"")</f>
        <v/>
      </c>
      <c r="F295" s="42" t="str">
        <f>IFERROR(INDEX(Combined_Data!$I:$I,$O295+1),"")</f>
        <v/>
      </c>
      <c r="G295" s="41" t="str">
        <f>IFERROR(INDEX(Combined_Data!$K:$K,$O295+1),"")</f>
        <v/>
      </c>
      <c r="H295" s="41" t="str">
        <f>IFERROR(INDEX(Combined_Data!$M:$M,$O295+1),"")</f>
        <v/>
      </c>
      <c r="I295" s="41" t="str">
        <f>IFERROR(INDEX(Combined_Data!$N:$N,$O295+1),"")</f>
        <v/>
      </c>
      <c r="J295" s="43" t="str">
        <f>IFERROR(INDEX(Combined_Data!$S:$S,$O295+1),"")</f>
        <v/>
      </c>
      <c r="K295" s="44" t="str">
        <f>IFERROR(INDEX(Combined_Data!$AF:$AF,$O295+1),"")</f>
        <v/>
      </c>
      <c r="L295" s="41" t="str">
        <f>IFERROR(INDEX(Combined_Data!$AG:$AG,$O295+1),"")</f>
        <v/>
      </c>
      <c r="M295" s="41" t="str">
        <f>IFERROR(INDEX(Combined_Data!$AH:$AH,$O295+1),"")</f>
        <v/>
      </c>
      <c r="O295" t="str">
        <f>IFERROR(_xlfn.AGGREGATE(15,6,(ROW(Combined_Data!$AI$2:$AI$3001)-1)/(Combined_Data!$AI$2:$AI$3001),261),"")</f>
        <v/>
      </c>
    </row>
    <row r="296" spans="1:15" ht="15" customHeight="1" x14ac:dyDescent="0.3">
      <c r="A296" s="41" t="str">
        <f>IFERROR(INDEX(Combined_Data!$C:$C,$O296+1),"")</f>
        <v/>
      </c>
      <c r="B296" s="41" t="str">
        <f>IFERROR(INDEX(Combined_Data!$E:$E,$O296+1),"")</f>
        <v/>
      </c>
      <c r="C296" s="41" t="str">
        <f>IFERROR(INDEX(Combined_Data!$B:$B,$O296+1),"")</f>
        <v/>
      </c>
      <c r="D296" s="41" t="str">
        <f>IFERROR(INDEX(Combined_Data!$D:$D,$O296+1),"")</f>
        <v/>
      </c>
      <c r="E296" s="41" t="str">
        <f>IFERROR(INDEX(Combined_Data!$G:$G,$O296+1),"")</f>
        <v/>
      </c>
      <c r="F296" s="42" t="str">
        <f>IFERROR(INDEX(Combined_Data!$I:$I,$O296+1),"")</f>
        <v/>
      </c>
      <c r="G296" s="41" t="str">
        <f>IFERROR(INDEX(Combined_Data!$K:$K,$O296+1),"")</f>
        <v/>
      </c>
      <c r="H296" s="41" t="str">
        <f>IFERROR(INDEX(Combined_Data!$M:$M,$O296+1),"")</f>
        <v/>
      </c>
      <c r="I296" s="41" t="str">
        <f>IFERROR(INDEX(Combined_Data!$N:$N,$O296+1),"")</f>
        <v/>
      </c>
      <c r="J296" s="43" t="str">
        <f>IFERROR(INDEX(Combined_Data!$S:$S,$O296+1),"")</f>
        <v/>
      </c>
      <c r="K296" s="44" t="str">
        <f>IFERROR(INDEX(Combined_Data!$AF:$AF,$O296+1),"")</f>
        <v/>
      </c>
      <c r="L296" s="41" t="str">
        <f>IFERROR(INDEX(Combined_Data!$AG:$AG,$O296+1),"")</f>
        <v/>
      </c>
      <c r="M296" s="41" t="str">
        <f>IFERROR(INDEX(Combined_Data!$AH:$AH,$O296+1),"")</f>
        <v/>
      </c>
      <c r="O296" t="str">
        <f>IFERROR(_xlfn.AGGREGATE(15,6,(ROW(Combined_Data!$AI$2:$AI$3001)-1)/(Combined_Data!$AI$2:$AI$3001),262),"")</f>
        <v/>
      </c>
    </row>
    <row r="297" spans="1:15" ht="15" customHeight="1" x14ac:dyDescent="0.3">
      <c r="A297" s="41" t="str">
        <f>IFERROR(INDEX(Combined_Data!$C:$C,$O297+1),"")</f>
        <v/>
      </c>
      <c r="B297" s="41" t="str">
        <f>IFERROR(INDEX(Combined_Data!$E:$E,$O297+1),"")</f>
        <v/>
      </c>
      <c r="C297" s="41" t="str">
        <f>IFERROR(INDEX(Combined_Data!$B:$B,$O297+1),"")</f>
        <v/>
      </c>
      <c r="D297" s="41" t="str">
        <f>IFERROR(INDEX(Combined_Data!$D:$D,$O297+1),"")</f>
        <v/>
      </c>
      <c r="E297" s="41" t="str">
        <f>IFERROR(INDEX(Combined_Data!$G:$G,$O297+1),"")</f>
        <v/>
      </c>
      <c r="F297" s="42" t="str">
        <f>IFERROR(INDEX(Combined_Data!$I:$I,$O297+1),"")</f>
        <v/>
      </c>
      <c r="G297" s="41" t="str">
        <f>IFERROR(INDEX(Combined_Data!$K:$K,$O297+1),"")</f>
        <v/>
      </c>
      <c r="H297" s="41" t="str">
        <f>IFERROR(INDEX(Combined_Data!$M:$M,$O297+1),"")</f>
        <v/>
      </c>
      <c r="I297" s="41" t="str">
        <f>IFERROR(INDEX(Combined_Data!$N:$N,$O297+1),"")</f>
        <v/>
      </c>
      <c r="J297" s="43" t="str">
        <f>IFERROR(INDEX(Combined_Data!$S:$S,$O297+1),"")</f>
        <v/>
      </c>
      <c r="K297" s="44" t="str">
        <f>IFERROR(INDEX(Combined_Data!$AF:$AF,$O297+1),"")</f>
        <v/>
      </c>
      <c r="L297" s="41" t="str">
        <f>IFERROR(INDEX(Combined_Data!$AG:$AG,$O297+1),"")</f>
        <v/>
      </c>
      <c r="M297" s="41" t="str">
        <f>IFERROR(INDEX(Combined_Data!$AH:$AH,$O297+1),"")</f>
        <v/>
      </c>
      <c r="O297" t="str">
        <f>IFERROR(_xlfn.AGGREGATE(15,6,(ROW(Combined_Data!$AI$2:$AI$3001)-1)/(Combined_Data!$AI$2:$AI$3001),263),"")</f>
        <v/>
      </c>
    </row>
    <row r="298" spans="1:15" ht="15" customHeight="1" x14ac:dyDescent="0.3">
      <c r="A298" s="41" t="str">
        <f>IFERROR(INDEX(Combined_Data!$C:$C,$O298+1),"")</f>
        <v/>
      </c>
      <c r="B298" s="41" t="str">
        <f>IFERROR(INDEX(Combined_Data!$E:$E,$O298+1),"")</f>
        <v/>
      </c>
      <c r="C298" s="41" t="str">
        <f>IFERROR(INDEX(Combined_Data!$B:$B,$O298+1),"")</f>
        <v/>
      </c>
      <c r="D298" s="41" t="str">
        <f>IFERROR(INDEX(Combined_Data!$D:$D,$O298+1),"")</f>
        <v/>
      </c>
      <c r="E298" s="41" t="str">
        <f>IFERROR(INDEX(Combined_Data!$G:$G,$O298+1),"")</f>
        <v/>
      </c>
      <c r="F298" s="42" t="str">
        <f>IFERROR(INDEX(Combined_Data!$I:$I,$O298+1),"")</f>
        <v/>
      </c>
      <c r="G298" s="41" t="str">
        <f>IFERROR(INDEX(Combined_Data!$K:$K,$O298+1),"")</f>
        <v/>
      </c>
      <c r="H298" s="41" t="str">
        <f>IFERROR(INDEX(Combined_Data!$M:$M,$O298+1),"")</f>
        <v/>
      </c>
      <c r="I298" s="41" t="str">
        <f>IFERROR(INDEX(Combined_Data!$N:$N,$O298+1),"")</f>
        <v/>
      </c>
      <c r="J298" s="43" t="str">
        <f>IFERROR(INDEX(Combined_Data!$S:$S,$O298+1),"")</f>
        <v/>
      </c>
      <c r="K298" s="44" t="str">
        <f>IFERROR(INDEX(Combined_Data!$AF:$AF,$O298+1),"")</f>
        <v/>
      </c>
      <c r="L298" s="41" t="str">
        <f>IFERROR(INDEX(Combined_Data!$AG:$AG,$O298+1),"")</f>
        <v/>
      </c>
      <c r="M298" s="41" t="str">
        <f>IFERROR(INDEX(Combined_Data!$AH:$AH,$O298+1),"")</f>
        <v/>
      </c>
      <c r="O298" t="str">
        <f>IFERROR(_xlfn.AGGREGATE(15,6,(ROW(Combined_Data!$AI$2:$AI$3001)-1)/(Combined_Data!$AI$2:$AI$3001),264),"")</f>
        <v/>
      </c>
    </row>
    <row r="299" spans="1:15" ht="15" customHeight="1" x14ac:dyDescent="0.3">
      <c r="A299" s="41" t="str">
        <f>IFERROR(INDEX(Combined_Data!$C:$C,$O299+1),"")</f>
        <v/>
      </c>
      <c r="B299" s="41" t="str">
        <f>IFERROR(INDEX(Combined_Data!$E:$E,$O299+1),"")</f>
        <v/>
      </c>
      <c r="C299" s="41" t="str">
        <f>IFERROR(INDEX(Combined_Data!$B:$B,$O299+1),"")</f>
        <v/>
      </c>
      <c r="D299" s="41" t="str">
        <f>IFERROR(INDEX(Combined_Data!$D:$D,$O299+1),"")</f>
        <v/>
      </c>
      <c r="E299" s="41" t="str">
        <f>IFERROR(INDEX(Combined_Data!$G:$G,$O299+1),"")</f>
        <v/>
      </c>
      <c r="F299" s="42" t="str">
        <f>IFERROR(INDEX(Combined_Data!$I:$I,$O299+1),"")</f>
        <v/>
      </c>
      <c r="G299" s="41" t="str">
        <f>IFERROR(INDEX(Combined_Data!$K:$K,$O299+1),"")</f>
        <v/>
      </c>
      <c r="H299" s="41" t="str">
        <f>IFERROR(INDEX(Combined_Data!$M:$M,$O299+1),"")</f>
        <v/>
      </c>
      <c r="I299" s="41" t="str">
        <f>IFERROR(INDEX(Combined_Data!$N:$N,$O299+1),"")</f>
        <v/>
      </c>
      <c r="J299" s="43" t="str">
        <f>IFERROR(INDEX(Combined_Data!$S:$S,$O299+1),"")</f>
        <v/>
      </c>
      <c r="K299" s="44" t="str">
        <f>IFERROR(INDEX(Combined_Data!$AF:$AF,$O299+1),"")</f>
        <v/>
      </c>
      <c r="L299" s="41" t="str">
        <f>IFERROR(INDEX(Combined_Data!$AG:$AG,$O299+1),"")</f>
        <v/>
      </c>
      <c r="M299" s="41" t="str">
        <f>IFERROR(INDEX(Combined_Data!$AH:$AH,$O299+1),"")</f>
        <v/>
      </c>
      <c r="O299" t="str">
        <f>IFERROR(_xlfn.AGGREGATE(15,6,(ROW(Combined_Data!$AI$2:$AI$3001)-1)/(Combined_Data!$AI$2:$AI$3001),265),"")</f>
        <v/>
      </c>
    </row>
    <row r="300" spans="1:15" ht="15" customHeight="1" x14ac:dyDescent="0.3">
      <c r="A300" s="41" t="str">
        <f>IFERROR(INDEX(Combined_Data!$C:$C,$O300+1),"")</f>
        <v/>
      </c>
      <c r="B300" s="41" t="str">
        <f>IFERROR(INDEX(Combined_Data!$E:$E,$O300+1),"")</f>
        <v/>
      </c>
      <c r="C300" s="41" t="str">
        <f>IFERROR(INDEX(Combined_Data!$B:$B,$O300+1),"")</f>
        <v/>
      </c>
      <c r="D300" s="41" t="str">
        <f>IFERROR(INDEX(Combined_Data!$D:$D,$O300+1),"")</f>
        <v/>
      </c>
      <c r="E300" s="41" t="str">
        <f>IFERROR(INDEX(Combined_Data!$G:$G,$O300+1),"")</f>
        <v/>
      </c>
      <c r="F300" s="42" t="str">
        <f>IFERROR(INDEX(Combined_Data!$I:$I,$O300+1),"")</f>
        <v/>
      </c>
      <c r="G300" s="41" t="str">
        <f>IFERROR(INDEX(Combined_Data!$K:$K,$O300+1),"")</f>
        <v/>
      </c>
      <c r="H300" s="41" t="str">
        <f>IFERROR(INDEX(Combined_Data!$M:$M,$O300+1),"")</f>
        <v/>
      </c>
      <c r="I300" s="41" t="str">
        <f>IFERROR(INDEX(Combined_Data!$N:$N,$O300+1),"")</f>
        <v/>
      </c>
      <c r="J300" s="43" t="str">
        <f>IFERROR(INDEX(Combined_Data!$S:$S,$O300+1),"")</f>
        <v/>
      </c>
      <c r="K300" s="44" t="str">
        <f>IFERROR(INDEX(Combined_Data!$AF:$AF,$O300+1),"")</f>
        <v/>
      </c>
      <c r="L300" s="41" t="str">
        <f>IFERROR(INDEX(Combined_Data!$AG:$AG,$O300+1),"")</f>
        <v/>
      </c>
      <c r="M300" s="41" t="str">
        <f>IFERROR(INDEX(Combined_Data!$AH:$AH,$O300+1),"")</f>
        <v/>
      </c>
      <c r="O300" t="str">
        <f>IFERROR(_xlfn.AGGREGATE(15,6,(ROW(Combined_Data!$AI$2:$AI$3001)-1)/(Combined_Data!$AI$2:$AI$3001),266),"")</f>
        <v/>
      </c>
    </row>
    <row r="301" spans="1:15" ht="15" customHeight="1" x14ac:dyDescent="0.3">
      <c r="A301" s="41" t="str">
        <f>IFERROR(INDEX(Combined_Data!$C:$C,$O301+1),"")</f>
        <v/>
      </c>
      <c r="B301" s="41" t="str">
        <f>IFERROR(INDEX(Combined_Data!$E:$E,$O301+1),"")</f>
        <v/>
      </c>
      <c r="C301" s="41" t="str">
        <f>IFERROR(INDEX(Combined_Data!$B:$B,$O301+1),"")</f>
        <v/>
      </c>
      <c r="D301" s="41" t="str">
        <f>IFERROR(INDEX(Combined_Data!$D:$D,$O301+1),"")</f>
        <v/>
      </c>
      <c r="E301" s="41" t="str">
        <f>IFERROR(INDEX(Combined_Data!$G:$G,$O301+1),"")</f>
        <v/>
      </c>
      <c r="F301" s="42" t="str">
        <f>IFERROR(INDEX(Combined_Data!$I:$I,$O301+1),"")</f>
        <v/>
      </c>
      <c r="G301" s="41" t="str">
        <f>IFERROR(INDEX(Combined_Data!$K:$K,$O301+1),"")</f>
        <v/>
      </c>
      <c r="H301" s="41" t="str">
        <f>IFERROR(INDEX(Combined_Data!$M:$M,$O301+1),"")</f>
        <v/>
      </c>
      <c r="I301" s="41" t="str">
        <f>IFERROR(INDEX(Combined_Data!$N:$N,$O301+1),"")</f>
        <v/>
      </c>
      <c r="J301" s="43" t="str">
        <f>IFERROR(INDEX(Combined_Data!$S:$S,$O301+1),"")</f>
        <v/>
      </c>
      <c r="K301" s="44" t="str">
        <f>IFERROR(INDEX(Combined_Data!$AF:$AF,$O301+1),"")</f>
        <v/>
      </c>
      <c r="L301" s="41" t="str">
        <f>IFERROR(INDEX(Combined_Data!$AG:$AG,$O301+1),"")</f>
        <v/>
      </c>
      <c r="M301" s="41" t="str">
        <f>IFERROR(INDEX(Combined_Data!$AH:$AH,$O301+1),"")</f>
        <v/>
      </c>
      <c r="O301" t="str">
        <f>IFERROR(_xlfn.AGGREGATE(15,6,(ROW(Combined_Data!$AI$2:$AI$3001)-1)/(Combined_Data!$AI$2:$AI$3001),267),"")</f>
        <v/>
      </c>
    </row>
    <row r="302" spans="1:15" ht="15" customHeight="1" x14ac:dyDescent="0.3">
      <c r="A302" s="41" t="str">
        <f>IFERROR(INDEX(Combined_Data!$C:$C,$O302+1),"")</f>
        <v/>
      </c>
      <c r="B302" s="41" t="str">
        <f>IFERROR(INDEX(Combined_Data!$E:$E,$O302+1),"")</f>
        <v/>
      </c>
      <c r="C302" s="41" t="str">
        <f>IFERROR(INDEX(Combined_Data!$B:$B,$O302+1),"")</f>
        <v/>
      </c>
      <c r="D302" s="41" t="str">
        <f>IFERROR(INDEX(Combined_Data!$D:$D,$O302+1),"")</f>
        <v/>
      </c>
      <c r="E302" s="41" t="str">
        <f>IFERROR(INDEX(Combined_Data!$G:$G,$O302+1),"")</f>
        <v/>
      </c>
      <c r="F302" s="42" t="str">
        <f>IFERROR(INDEX(Combined_Data!$I:$I,$O302+1),"")</f>
        <v/>
      </c>
      <c r="G302" s="41" t="str">
        <f>IFERROR(INDEX(Combined_Data!$K:$K,$O302+1),"")</f>
        <v/>
      </c>
      <c r="H302" s="41" t="str">
        <f>IFERROR(INDEX(Combined_Data!$M:$M,$O302+1),"")</f>
        <v/>
      </c>
      <c r="I302" s="41" t="str">
        <f>IFERROR(INDEX(Combined_Data!$N:$N,$O302+1),"")</f>
        <v/>
      </c>
      <c r="J302" s="43" t="str">
        <f>IFERROR(INDEX(Combined_Data!$S:$S,$O302+1),"")</f>
        <v/>
      </c>
      <c r="K302" s="44" t="str">
        <f>IFERROR(INDEX(Combined_Data!$AF:$AF,$O302+1),"")</f>
        <v/>
      </c>
      <c r="L302" s="41" t="str">
        <f>IFERROR(INDEX(Combined_Data!$AG:$AG,$O302+1),"")</f>
        <v/>
      </c>
      <c r="M302" s="41" t="str">
        <f>IFERROR(INDEX(Combined_Data!$AH:$AH,$O302+1),"")</f>
        <v/>
      </c>
      <c r="O302" t="str">
        <f>IFERROR(_xlfn.AGGREGATE(15,6,(ROW(Combined_Data!$AI$2:$AI$3001)-1)/(Combined_Data!$AI$2:$AI$3001),268),"")</f>
        <v/>
      </c>
    </row>
    <row r="303" spans="1:15" ht="15" customHeight="1" x14ac:dyDescent="0.3">
      <c r="A303" s="41" t="str">
        <f>IFERROR(INDEX(Combined_Data!$C:$C,$O303+1),"")</f>
        <v/>
      </c>
      <c r="B303" s="41" t="str">
        <f>IFERROR(INDEX(Combined_Data!$E:$E,$O303+1),"")</f>
        <v/>
      </c>
      <c r="C303" s="41" t="str">
        <f>IFERROR(INDEX(Combined_Data!$B:$B,$O303+1),"")</f>
        <v/>
      </c>
      <c r="D303" s="41" t="str">
        <f>IFERROR(INDEX(Combined_Data!$D:$D,$O303+1),"")</f>
        <v/>
      </c>
      <c r="E303" s="41" t="str">
        <f>IFERROR(INDEX(Combined_Data!$G:$G,$O303+1),"")</f>
        <v/>
      </c>
      <c r="F303" s="42" t="str">
        <f>IFERROR(INDEX(Combined_Data!$I:$I,$O303+1),"")</f>
        <v/>
      </c>
      <c r="G303" s="41" t="str">
        <f>IFERROR(INDEX(Combined_Data!$K:$K,$O303+1),"")</f>
        <v/>
      </c>
      <c r="H303" s="41" t="str">
        <f>IFERROR(INDEX(Combined_Data!$M:$M,$O303+1),"")</f>
        <v/>
      </c>
      <c r="I303" s="41" t="str">
        <f>IFERROR(INDEX(Combined_Data!$N:$N,$O303+1),"")</f>
        <v/>
      </c>
      <c r="J303" s="43" t="str">
        <f>IFERROR(INDEX(Combined_Data!$S:$S,$O303+1),"")</f>
        <v/>
      </c>
      <c r="K303" s="44" t="str">
        <f>IFERROR(INDEX(Combined_Data!$AF:$AF,$O303+1),"")</f>
        <v/>
      </c>
      <c r="L303" s="41" t="str">
        <f>IFERROR(INDEX(Combined_Data!$AG:$AG,$O303+1),"")</f>
        <v/>
      </c>
      <c r="M303" s="41" t="str">
        <f>IFERROR(INDEX(Combined_Data!$AH:$AH,$O303+1),"")</f>
        <v/>
      </c>
      <c r="O303" t="str">
        <f>IFERROR(_xlfn.AGGREGATE(15,6,(ROW(Combined_Data!$AI$2:$AI$3001)-1)/(Combined_Data!$AI$2:$AI$3001),269),"")</f>
        <v/>
      </c>
    </row>
    <row r="304" spans="1:15" ht="15" customHeight="1" x14ac:dyDescent="0.3">
      <c r="A304" s="41" t="str">
        <f>IFERROR(INDEX(Combined_Data!$C:$C,$O304+1),"")</f>
        <v/>
      </c>
      <c r="B304" s="41" t="str">
        <f>IFERROR(INDEX(Combined_Data!$E:$E,$O304+1),"")</f>
        <v/>
      </c>
      <c r="C304" s="41" t="str">
        <f>IFERROR(INDEX(Combined_Data!$B:$B,$O304+1),"")</f>
        <v/>
      </c>
      <c r="D304" s="41" t="str">
        <f>IFERROR(INDEX(Combined_Data!$D:$D,$O304+1),"")</f>
        <v/>
      </c>
      <c r="E304" s="41" t="str">
        <f>IFERROR(INDEX(Combined_Data!$G:$G,$O304+1),"")</f>
        <v/>
      </c>
      <c r="F304" s="42" t="str">
        <f>IFERROR(INDEX(Combined_Data!$I:$I,$O304+1),"")</f>
        <v/>
      </c>
      <c r="G304" s="41" t="str">
        <f>IFERROR(INDEX(Combined_Data!$K:$K,$O304+1),"")</f>
        <v/>
      </c>
      <c r="H304" s="41" t="str">
        <f>IFERROR(INDEX(Combined_Data!$M:$M,$O304+1),"")</f>
        <v/>
      </c>
      <c r="I304" s="41" t="str">
        <f>IFERROR(INDEX(Combined_Data!$N:$N,$O304+1),"")</f>
        <v/>
      </c>
      <c r="J304" s="43" t="str">
        <f>IFERROR(INDEX(Combined_Data!$S:$S,$O304+1),"")</f>
        <v/>
      </c>
      <c r="K304" s="44" t="str">
        <f>IFERROR(INDEX(Combined_Data!$AF:$AF,$O304+1),"")</f>
        <v/>
      </c>
      <c r="L304" s="41" t="str">
        <f>IFERROR(INDEX(Combined_Data!$AG:$AG,$O304+1),"")</f>
        <v/>
      </c>
      <c r="M304" s="41" t="str">
        <f>IFERROR(INDEX(Combined_Data!$AH:$AH,$O304+1),"")</f>
        <v/>
      </c>
      <c r="O304" t="str">
        <f>IFERROR(_xlfn.AGGREGATE(15,6,(ROW(Combined_Data!$AI$2:$AI$3001)-1)/(Combined_Data!$AI$2:$AI$3001),270),"")</f>
        <v/>
      </c>
    </row>
    <row r="305" spans="1:15" ht="15" customHeight="1" x14ac:dyDescent="0.3">
      <c r="A305" s="41" t="str">
        <f>IFERROR(INDEX(Combined_Data!$C:$C,$O305+1),"")</f>
        <v/>
      </c>
      <c r="B305" s="41" t="str">
        <f>IFERROR(INDEX(Combined_Data!$E:$E,$O305+1),"")</f>
        <v/>
      </c>
      <c r="C305" s="41" t="str">
        <f>IFERROR(INDEX(Combined_Data!$B:$B,$O305+1),"")</f>
        <v/>
      </c>
      <c r="D305" s="41" t="str">
        <f>IFERROR(INDEX(Combined_Data!$D:$D,$O305+1),"")</f>
        <v/>
      </c>
      <c r="E305" s="41" t="str">
        <f>IFERROR(INDEX(Combined_Data!$G:$G,$O305+1),"")</f>
        <v/>
      </c>
      <c r="F305" s="42" t="str">
        <f>IFERROR(INDEX(Combined_Data!$I:$I,$O305+1),"")</f>
        <v/>
      </c>
      <c r="G305" s="41" t="str">
        <f>IFERROR(INDEX(Combined_Data!$K:$K,$O305+1),"")</f>
        <v/>
      </c>
      <c r="H305" s="41" t="str">
        <f>IFERROR(INDEX(Combined_Data!$M:$M,$O305+1),"")</f>
        <v/>
      </c>
      <c r="I305" s="41" t="str">
        <f>IFERROR(INDEX(Combined_Data!$N:$N,$O305+1),"")</f>
        <v/>
      </c>
      <c r="J305" s="43" t="str">
        <f>IFERROR(INDEX(Combined_Data!$S:$S,$O305+1),"")</f>
        <v/>
      </c>
      <c r="K305" s="44" t="str">
        <f>IFERROR(INDEX(Combined_Data!$AF:$AF,$O305+1),"")</f>
        <v/>
      </c>
      <c r="L305" s="41" t="str">
        <f>IFERROR(INDEX(Combined_Data!$AG:$AG,$O305+1),"")</f>
        <v/>
      </c>
      <c r="M305" s="41" t="str">
        <f>IFERROR(INDEX(Combined_Data!$AH:$AH,$O305+1),"")</f>
        <v/>
      </c>
      <c r="O305" t="str">
        <f>IFERROR(_xlfn.AGGREGATE(15,6,(ROW(Combined_Data!$AI$2:$AI$3001)-1)/(Combined_Data!$AI$2:$AI$3001),271),"")</f>
        <v/>
      </c>
    </row>
    <row r="306" spans="1:15" ht="15" customHeight="1" x14ac:dyDescent="0.3">
      <c r="A306" s="41" t="str">
        <f>IFERROR(INDEX(Combined_Data!$C:$C,$O306+1),"")</f>
        <v/>
      </c>
      <c r="B306" s="41" t="str">
        <f>IFERROR(INDEX(Combined_Data!$E:$E,$O306+1),"")</f>
        <v/>
      </c>
      <c r="C306" s="41" t="str">
        <f>IFERROR(INDEX(Combined_Data!$B:$B,$O306+1),"")</f>
        <v/>
      </c>
      <c r="D306" s="41" t="str">
        <f>IFERROR(INDEX(Combined_Data!$D:$D,$O306+1),"")</f>
        <v/>
      </c>
      <c r="E306" s="41" t="str">
        <f>IFERROR(INDEX(Combined_Data!$G:$G,$O306+1),"")</f>
        <v/>
      </c>
      <c r="F306" s="42" t="str">
        <f>IFERROR(INDEX(Combined_Data!$I:$I,$O306+1),"")</f>
        <v/>
      </c>
      <c r="G306" s="41" t="str">
        <f>IFERROR(INDEX(Combined_Data!$K:$K,$O306+1),"")</f>
        <v/>
      </c>
      <c r="H306" s="41" t="str">
        <f>IFERROR(INDEX(Combined_Data!$M:$M,$O306+1),"")</f>
        <v/>
      </c>
      <c r="I306" s="41" t="str">
        <f>IFERROR(INDEX(Combined_Data!$N:$N,$O306+1),"")</f>
        <v/>
      </c>
      <c r="J306" s="43" t="str">
        <f>IFERROR(INDEX(Combined_Data!$S:$S,$O306+1),"")</f>
        <v/>
      </c>
      <c r="K306" s="44" t="str">
        <f>IFERROR(INDEX(Combined_Data!$AF:$AF,$O306+1),"")</f>
        <v/>
      </c>
      <c r="L306" s="41" t="str">
        <f>IFERROR(INDEX(Combined_Data!$AG:$AG,$O306+1),"")</f>
        <v/>
      </c>
      <c r="M306" s="41" t="str">
        <f>IFERROR(INDEX(Combined_Data!$AH:$AH,$O306+1),"")</f>
        <v/>
      </c>
      <c r="O306" t="str">
        <f>IFERROR(_xlfn.AGGREGATE(15,6,(ROW(Combined_Data!$AI$2:$AI$3001)-1)/(Combined_Data!$AI$2:$AI$3001),272),"")</f>
        <v/>
      </c>
    </row>
    <row r="307" spans="1:15" ht="15" customHeight="1" x14ac:dyDescent="0.3">
      <c r="A307" s="41" t="str">
        <f>IFERROR(INDEX(Combined_Data!$C:$C,$O307+1),"")</f>
        <v/>
      </c>
      <c r="B307" s="41" t="str">
        <f>IFERROR(INDEX(Combined_Data!$E:$E,$O307+1),"")</f>
        <v/>
      </c>
      <c r="C307" s="41" t="str">
        <f>IFERROR(INDEX(Combined_Data!$B:$B,$O307+1),"")</f>
        <v/>
      </c>
      <c r="D307" s="41" t="str">
        <f>IFERROR(INDEX(Combined_Data!$D:$D,$O307+1),"")</f>
        <v/>
      </c>
      <c r="E307" s="41" t="str">
        <f>IFERROR(INDEX(Combined_Data!$G:$G,$O307+1),"")</f>
        <v/>
      </c>
      <c r="F307" s="42" t="str">
        <f>IFERROR(INDEX(Combined_Data!$I:$I,$O307+1),"")</f>
        <v/>
      </c>
      <c r="G307" s="41" t="str">
        <f>IFERROR(INDEX(Combined_Data!$K:$K,$O307+1),"")</f>
        <v/>
      </c>
      <c r="H307" s="41" t="str">
        <f>IFERROR(INDEX(Combined_Data!$M:$M,$O307+1),"")</f>
        <v/>
      </c>
      <c r="I307" s="41" t="str">
        <f>IFERROR(INDEX(Combined_Data!$N:$N,$O307+1),"")</f>
        <v/>
      </c>
      <c r="J307" s="43" t="str">
        <f>IFERROR(INDEX(Combined_Data!$S:$S,$O307+1),"")</f>
        <v/>
      </c>
      <c r="K307" s="44" t="str">
        <f>IFERROR(INDEX(Combined_Data!$AF:$AF,$O307+1),"")</f>
        <v/>
      </c>
      <c r="L307" s="41" t="str">
        <f>IFERROR(INDEX(Combined_Data!$AG:$AG,$O307+1),"")</f>
        <v/>
      </c>
      <c r="M307" s="41" t="str">
        <f>IFERROR(INDEX(Combined_Data!$AH:$AH,$O307+1),"")</f>
        <v/>
      </c>
      <c r="O307" t="str">
        <f>IFERROR(_xlfn.AGGREGATE(15,6,(ROW(Combined_Data!$AI$2:$AI$3001)-1)/(Combined_Data!$AI$2:$AI$3001),273),"")</f>
        <v/>
      </c>
    </row>
    <row r="308" spans="1:15" ht="15" customHeight="1" x14ac:dyDescent="0.3">
      <c r="A308" s="41" t="str">
        <f>IFERROR(INDEX(Combined_Data!$C:$C,$O308+1),"")</f>
        <v/>
      </c>
      <c r="B308" s="41" t="str">
        <f>IFERROR(INDEX(Combined_Data!$E:$E,$O308+1),"")</f>
        <v/>
      </c>
      <c r="C308" s="41" t="str">
        <f>IFERROR(INDEX(Combined_Data!$B:$B,$O308+1),"")</f>
        <v/>
      </c>
      <c r="D308" s="41" t="str">
        <f>IFERROR(INDEX(Combined_Data!$D:$D,$O308+1),"")</f>
        <v/>
      </c>
      <c r="E308" s="41" t="str">
        <f>IFERROR(INDEX(Combined_Data!$G:$G,$O308+1),"")</f>
        <v/>
      </c>
      <c r="F308" s="42" t="str">
        <f>IFERROR(INDEX(Combined_Data!$I:$I,$O308+1),"")</f>
        <v/>
      </c>
      <c r="G308" s="41" t="str">
        <f>IFERROR(INDEX(Combined_Data!$K:$K,$O308+1),"")</f>
        <v/>
      </c>
      <c r="H308" s="41" t="str">
        <f>IFERROR(INDEX(Combined_Data!$M:$M,$O308+1),"")</f>
        <v/>
      </c>
      <c r="I308" s="41" t="str">
        <f>IFERROR(INDEX(Combined_Data!$N:$N,$O308+1),"")</f>
        <v/>
      </c>
      <c r="J308" s="43" t="str">
        <f>IFERROR(INDEX(Combined_Data!$S:$S,$O308+1),"")</f>
        <v/>
      </c>
      <c r="K308" s="44" t="str">
        <f>IFERROR(INDEX(Combined_Data!$AF:$AF,$O308+1),"")</f>
        <v/>
      </c>
      <c r="L308" s="41" t="str">
        <f>IFERROR(INDEX(Combined_Data!$AG:$AG,$O308+1),"")</f>
        <v/>
      </c>
      <c r="M308" s="41" t="str">
        <f>IFERROR(INDEX(Combined_Data!$AH:$AH,$O308+1),"")</f>
        <v/>
      </c>
      <c r="O308" t="str">
        <f>IFERROR(_xlfn.AGGREGATE(15,6,(ROW(Combined_Data!$AI$2:$AI$3001)-1)/(Combined_Data!$AI$2:$AI$3001),274),"")</f>
        <v/>
      </c>
    </row>
    <row r="309" spans="1:15" ht="15" customHeight="1" x14ac:dyDescent="0.3">
      <c r="A309" s="41" t="str">
        <f>IFERROR(INDEX(Combined_Data!$C:$C,$O309+1),"")</f>
        <v/>
      </c>
      <c r="B309" s="41" t="str">
        <f>IFERROR(INDEX(Combined_Data!$E:$E,$O309+1),"")</f>
        <v/>
      </c>
      <c r="C309" s="41" t="str">
        <f>IFERROR(INDEX(Combined_Data!$B:$B,$O309+1),"")</f>
        <v/>
      </c>
      <c r="D309" s="41" t="str">
        <f>IFERROR(INDEX(Combined_Data!$D:$D,$O309+1),"")</f>
        <v/>
      </c>
      <c r="E309" s="41" t="str">
        <f>IFERROR(INDEX(Combined_Data!$G:$G,$O309+1),"")</f>
        <v/>
      </c>
      <c r="F309" s="42" t="str">
        <f>IFERROR(INDEX(Combined_Data!$I:$I,$O309+1),"")</f>
        <v/>
      </c>
      <c r="G309" s="41" t="str">
        <f>IFERROR(INDEX(Combined_Data!$K:$K,$O309+1),"")</f>
        <v/>
      </c>
      <c r="H309" s="41" t="str">
        <f>IFERROR(INDEX(Combined_Data!$M:$M,$O309+1),"")</f>
        <v/>
      </c>
      <c r="I309" s="41" t="str">
        <f>IFERROR(INDEX(Combined_Data!$N:$N,$O309+1),"")</f>
        <v/>
      </c>
      <c r="J309" s="43" t="str">
        <f>IFERROR(INDEX(Combined_Data!$S:$S,$O309+1),"")</f>
        <v/>
      </c>
      <c r="K309" s="44" t="str">
        <f>IFERROR(INDEX(Combined_Data!$AF:$AF,$O309+1),"")</f>
        <v/>
      </c>
      <c r="L309" s="41" t="str">
        <f>IFERROR(INDEX(Combined_Data!$AG:$AG,$O309+1),"")</f>
        <v/>
      </c>
      <c r="M309" s="41" t="str">
        <f>IFERROR(INDEX(Combined_Data!$AH:$AH,$O309+1),"")</f>
        <v/>
      </c>
      <c r="O309" t="str">
        <f>IFERROR(_xlfn.AGGREGATE(15,6,(ROW(Combined_Data!$AI$2:$AI$3001)-1)/(Combined_Data!$AI$2:$AI$3001),275),"")</f>
        <v/>
      </c>
    </row>
    <row r="310" spans="1:15" ht="15" customHeight="1" x14ac:dyDescent="0.3">
      <c r="A310" s="41" t="str">
        <f>IFERROR(INDEX(Combined_Data!$C:$C,$O310+1),"")</f>
        <v/>
      </c>
      <c r="B310" s="41" t="str">
        <f>IFERROR(INDEX(Combined_Data!$E:$E,$O310+1),"")</f>
        <v/>
      </c>
      <c r="C310" s="41" t="str">
        <f>IFERROR(INDEX(Combined_Data!$B:$B,$O310+1),"")</f>
        <v/>
      </c>
      <c r="D310" s="41" t="str">
        <f>IFERROR(INDEX(Combined_Data!$D:$D,$O310+1),"")</f>
        <v/>
      </c>
      <c r="E310" s="41" t="str">
        <f>IFERROR(INDEX(Combined_Data!$G:$G,$O310+1),"")</f>
        <v/>
      </c>
      <c r="F310" s="42" t="str">
        <f>IFERROR(INDEX(Combined_Data!$I:$I,$O310+1),"")</f>
        <v/>
      </c>
      <c r="G310" s="41" t="str">
        <f>IFERROR(INDEX(Combined_Data!$K:$K,$O310+1),"")</f>
        <v/>
      </c>
      <c r="H310" s="41" t="str">
        <f>IFERROR(INDEX(Combined_Data!$M:$M,$O310+1),"")</f>
        <v/>
      </c>
      <c r="I310" s="41" t="str">
        <f>IFERROR(INDEX(Combined_Data!$N:$N,$O310+1),"")</f>
        <v/>
      </c>
      <c r="J310" s="43" t="str">
        <f>IFERROR(INDEX(Combined_Data!$S:$S,$O310+1),"")</f>
        <v/>
      </c>
      <c r="K310" s="44" t="str">
        <f>IFERROR(INDEX(Combined_Data!$AF:$AF,$O310+1),"")</f>
        <v/>
      </c>
      <c r="L310" s="41" t="str">
        <f>IFERROR(INDEX(Combined_Data!$AG:$AG,$O310+1),"")</f>
        <v/>
      </c>
      <c r="M310" s="41" t="str">
        <f>IFERROR(INDEX(Combined_Data!$AH:$AH,$O310+1),"")</f>
        <v/>
      </c>
      <c r="O310" t="str">
        <f>IFERROR(_xlfn.AGGREGATE(15,6,(ROW(Combined_Data!$AI$2:$AI$3001)-1)/(Combined_Data!$AI$2:$AI$3001),276),"")</f>
        <v/>
      </c>
    </row>
    <row r="311" spans="1:15" ht="15" customHeight="1" x14ac:dyDescent="0.3">
      <c r="A311" s="41" t="str">
        <f>IFERROR(INDEX(Combined_Data!$C:$C,$O311+1),"")</f>
        <v/>
      </c>
      <c r="B311" s="41" t="str">
        <f>IFERROR(INDEX(Combined_Data!$E:$E,$O311+1),"")</f>
        <v/>
      </c>
      <c r="C311" s="41" t="str">
        <f>IFERROR(INDEX(Combined_Data!$B:$B,$O311+1),"")</f>
        <v/>
      </c>
      <c r="D311" s="41" t="str">
        <f>IFERROR(INDEX(Combined_Data!$D:$D,$O311+1),"")</f>
        <v/>
      </c>
      <c r="E311" s="41" t="str">
        <f>IFERROR(INDEX(Combined_Data!$G:$G,$O311+1),"")</f>
        <v/>
      </c>
      <c r="F311" s="42" t="str">
        <f>IFERROR(INDEX(Combined_Data!$I:$I,$O311+1),"")</f>
        <v/>
      </c>
      <c r="G311" s="41" t="str">
        <f>IFERROR(INDEX(Combined_Data!$K:$K,$O311+1),"")</f>
        <v/>
      </c>
      <c r="H311" s="41" t="str">
        <f>IFERROR(INDEX(Combined_Data!$M:$M,$O311+1),"")</f>
        <v/>
      </c>
      <c r="I311" s="41" t="str">
        <f>IFERROR(INDEX(Combined_Data!$N:$N,$O311+1),"")</f>
        <v/>
      </c>
      <c r="J311" s="43" t="str">
        <f>IFERROR(INDEX(Combined_Data!$S:$S,$O311+1),"")</f>
        <v/>
      </c>
      <c r="K311" s="44" t="str">
        <f>IFERROR(INDEX(Combined_Data!$AF:$AF,$O311+1),"")</f>
        <v/>
      </c>
      <c r="L311" s="41" t="str">
        <f>IFERROR(INDEX(Combined_Data!$AG:$AG,$O311+1),"")</f>
        <v/>
      </c>
      <c r="M311" s="41" t="str">
        <f>IFERROR(INDEX(Combined_Data!$AH:$AH,$O311+1),"")</f>
        <v/>
      </c>
      <c r="O311" t="str">
        <f>IFERROR(_xlfn.AGGREGATE(15,6,(ROW(Combined_Data!$AI$2:$AI$3001)-1)/(Combined_Data!$AI$2:$AI$3001),277),"")</f>
        <v/>
      </c>
    </row>
    <row r="312" spans="1:15" ht="15" customHeight="1" x14ac:dyDescent="0.3">
      <c r="A312" s="41" t="str">
        <f>IFERROR(INDEX(Combined_Data!$C:$C,$O312+1),"")</f>
        <v/>
      </c>
      <c r="B312" s="41" t="str">
        <f>IFERROR(INDEX(Combined_Data!$E:$E,$O312+1),"")</f>
        <v/>
      </c>
      <c r="C312" s="41" t="str">
        <f>IFERROR(INDEX(Combined_Data!$B:$B,$O312+1),"")</f>
        <v/>
      </c>
      <c r="D312" s="41" t="str">
        <f>IFERROR(INDEX(Combined_Data!$D:$D,$O312+1),"")</f>
        <v/>
      </c>
      <c r="E312" s="41" t="str">
        <f>IFERROR(INDEX(Combined_Data!$G:$G,$O312+1),"")</f>
        <v/>
      </c>
      <c r="F312" s="42" t="str">
        <f>IFERROR(INDEX(Combined_Data!$I:$I,$O312+1),"")</f>
        <v/>
      </c>
      <c r="G312" s="41" t="str">
        <f>IFERROR(INDEX(Combined_Data!$K:$K,$O312+1),"")</f>
        <v/>
      </c>
      <c r="H312" s="41" t="str">
        <f>IFERROR(INDEX(Combined_Data!$M:$M,$O312+1),"")</f>
        <v/>
      </c>
      <c r="I312" s="41" t="str">
        <f>IFERROR(INDEX(Combined_Data!$N:$N,$O312+1),"")</f>
        <v/>
      </c>
      <c r="J312" s="43" t="str">
        <f>IFERROR(INDEX(Combined_Data!$S:$S,$O312+1),"")</f>
        <v/>
      </c>
      <c r="K312" s="44" t="str">
        <f>IFERROR(INDEX(Combined_Data!$AF:$AF,$O312+1),"")</f>
        <v/>
      </c>
      <c r="L312" s="41" t="str">
        <f>IFERROR(INDEX(Combined_Data!$AG:$AG,$O312+1),"")</f>
        <v/>
      </c>
      <c r="M312" s="41" t="str">
        <f>IFERROR(INDEX(Combined_Data!$AH:$AH,$O312+1),"")</f>
        <v/>
      </c>
      <c r="O312" t="str">
        <f>IFERROR(_xlfn.AGGREGATE(15,6,(ROW(Combined_Data!$AI$2:$AI$3001)-1)/(Combined_Data!$AI$2:$AI$3001),278),"")</f>
        <v/>
      </c>
    </row>
    <row r="313" spans="1:15" ht="15" customHeight="1" x14ac:dyDescent="0.3">
      <c r="A313" s="41" t="str">
        <f>IFERROR(INDEX(Combined_Data!$C:$C,$O313+1),"")</f>
        <v/>
      </c>
      <c r="B313" s="41" t="str">
        <f>IFERROR(INDEX(Combined_Data!$E:$E,$O313+1),"")</f>
        <v/>
      </c>
      <c r="C313" s="41" t="str">
        <f>IFERROR(INDEX(Combined_Data!$B:$B,$O313+1),"")</f>
        <v/>
      </c>
      <c r="D313" s="41" t="str">
        <f>IFERROR(INDEX(Combined_Data!$D:$D,$O313+1),"")</f>
        <v/>
      </c>
      <c r="E313" s="41" t="str">
        <f>IFERROR(INDEX(Combined_Data!$G:$G,$O313+1),"")</f>
        <v/>
      </c>
      <c r="F313" s="42" t="str">
        <f>IFERROR(INDEX(Combined_Data!$I:$I,$O313+1),"")</f>
        <v/>
      </c>
      <c r="G313" s="41" t="str">
        <f>IFERROR(INDEX(Combined_Data!$K:$K,$O313+1),"")</f>
        <v/>
      </c>
      <c r="H313" s="41" t="str">
        <f>IFERROR(INDEX(Combined_Data!$M:$M,$O313+1),"")</f>
        <v/>
      </c>
      <c r="I313" s="41" t="str">
        <f>IFERROR(INDEX(Combined_Data!$N:$N,$O313+1),"")</f>
        <v/>
      </c>
      <c r="J313" s="43" t="str">
        <f>IFERROR(INDEX(Combined_Data!$S:$S,$O313+1),"")</f>
        <v/>
      </c>
      <c r="K313" s="44" t="str">
        <f>IFERROR(INDEX(Combined_Data!$AF:$AF,$O313+1),"")</f>
        <v/>
      </c>
      <c r="L313" s="41" t="str">
        <f>IFERROR(INDEX(Combined_Data!$AG:$AG,$O313+1),"")</f>
        <v/>
      </c>
      <c r="M313" s="41" t="str">
        <f>IFERROR(INDEX(Combined_Data!$AH:$AH,$O313+1),"")</f>
        <v/>
      </c>
      <c r="O313" t="str">
        <f>IFERROR(_xlfn.AGGREGATE(15,6,(ROW(Combined_Data!$AI$2:$AI$3001)-1)/(Combined_Data!$AI$2:$AI$3001),279),"")</f>
        <v/>
      </c>
    </row>
    <row r="314" spans="1:15" ht="15" customHeight="1" x14ac:dyDescent="0.3">
      <c r="A314" s="41" t="str">
        <f>IFERROR(INDEX(Combined_Data!$C:$C,$O314+1),"")</f>
        <v/>
      </c>
      <c r="B314" s="41" t="str">
        <f>IFERROR(INDEX(Combined_Data!$E:$E,$O314+1),"")</f>
        <v/>
      </c>
      <c r="C314" s="41" t="str">
        <f>IFERROR(INDEX(Combined_Data!$B:$B,$O314+1),"")</f>
        <v/>
      </c>
      <c r="D314" s="41" t="str">
        <f>IFERROR(INDEX(Combined_Data!$D:$D,$O314+1),"")</f>
        <v/>
      </c>
      <c r="E314" s="41" t="str">
        <f>IFERROR(INDEX(Combined_Data!$G:$G,$O314+1),"")</f>
        <v/>
      </c>
      <c r="F314" s="42" t="str">
        <f>IFERROR(INDEX(Combined_Data!$I:$I,$O314+1),"")</f>
        <v/>
      </c>
      <c r="G314" s="41" t="str">
        <f>IFERROR(INDEX(Combined_Data!$K:$K,$O314+1),"")</f>
        <v/>
      </c>
      <c r="H314" s="41" t="str">
        <f>IFERROR(INDEX(Combined_Data!$M:$M,$O314+1),"")</f>
        <v/>
      </c>
      <c r="I314" s="41" t="str">
        <f>IFERROR(INDEX(Combined_Data!$N:$N,$O314+1),"")</f>
        <v/>
      </c>
      <c r="J314" s="43" t="str">
        <f>IFERROR(INDEX(Combined_Data!$S:$S,$O314+1),"")</f>
        <v/>
      </c>
      <c r="K314" s="44" t="str">
        <f>IFERROR(INDEX(Combined_Data!$AF:$AF,$O314+1),"")</f>
        <v/>
      </c>
      <c r="L314" s="41" t="str">
        <f>IFERROR(INDEX(Combined_Data!$AG:$AG,$O314+1),"")</f>
        <v/>
      </c>
      <c r="M314" s="41" t="str">
        <f>IFERROR(INDEX(Combined_Data!$AH:$AH,$O314+1),"")</f>
        <v/>
      </c>
      <c r="O314" t="str">
        <f>IFERROR(_xlfn.AGGREGATE(15,6,(ROW(Combined_Data!$AI$2:$AI$3001)-1)/(Combined_Data!$AI$2:$AI$3001),280),"")</f>
        <v/>
      </c>
    </row>
    <row r="315" spans="1:15" ht="15" customHeight="1" x14ac:dyDescent="0.3">
      <c r="A315" s="41" t="str">
        <f>IFERROR(INDEX(Combined_Data!$C:$C,$O315+1),"")</f>
        <v/>
      </c>
      <c r="B315" s="41" t="str">
        <f>IFERROR(INDEX(Combined_Data!$E:$E,$O315+1),"")</f>
        <v/>
      </c>
      <c r="C315" s="41" t="str">
        <f>IFERROR(INDEX(Combined_Data!$B:$B,$O315+1),"")</f>
        <v/>
      </c>
      <c r="D315" s="41" t="str">
        <f>IFERROR(INDEX(Combined_Data!$D:$D,$O315+1),"")</f>
        <v/>
      </c>
      <c r="E315" s="41" t="str">
        <f>IFERROR(INDEX(Combined_Data!$G:$G,$O315+1),"")</f>
        <v/>
      </c>
      <c r="F315" s="42" t="str">
        <f>IFERROR(INDEX(Combined_Data!$I:$I,$O315+1),"")</f>
        <v/>
      </c>
      <c r="G315" s="41" t="str">
        <f>IFERROR(INDEX(Combined_Data!$K:$K,$O315+1),"")</f>
        <v/>
      </c>
      <c r="H315" s="41" t="str">
        <f>IFERROR(INDEX(Combined_Data!$M:$M,$O315+1),"")</f>
        <v/>
      </c>
      <c r="I315" s="41" t="str">
        <f>IFERROR(INDEX(Combined_Data!$N:$N,$O315+1),"")</f>
        <v/>
      </c>
      <c r="J315" s="43" t="str">
        <f>IFERROR(INDEX(Combined_Data!$S:$S,$O315+1),"")</f>
        <v/>
      </c>
      <c r="K315" s="44" t="str">
        <f>IFERROR(INDEX(Combined_Data!$AF:$AF,$O315+1),"")</f>
        <v/>
      </c>
      <c r="L315" s="41" t="str">
        <f>IFERROR(INDEX(Combined_Data!$AG:$AG,$O315+1),"")</f>
        <v/>
      </c>
      <c r="M315" s="41" t="str">
        <f>IFERROR(INDEX(Combined_Data!$AH:$AH,$O315+1),"")</f>
        <v/>
      </c>
      <c r="O315" t="str">
        <f>IFERROR(_xlfn.AGGREGATE(15,6,(ROW(Combined_Data!$AI$2:$AI$3001)-1)/(Combined_Data!$AI$2:$AI$3001),281),"")</f>
        <v/>
      </c>
    </row>
    <row r="316" spans="1:15" ht="15" customHeight="1" x14ac:dyDescent="0.3">
      <c r="A316" s="41" t="str">
        <f>IFERROR(INDEX(Combined_Data!$C:$C,$O316+1),"")</f>
        <v/>
      </c>
      <c r="B316" s="41" t="str">
        <f>IFERROR(INDEX(Combined_Data!$E:$E,$O316+1),"")</f>
        <v/>
      </c>
      <c r="C316" s="41" t="str">
        <f>IFERROR(INDEX(Combined_Data!$B:$B,$O316+1),"")</f>
        <v/>
      </c>
      <c r="D316" s="41" t="str">
        <f>IFERROR(INDEX(Combined_Data!$D:$D,$O316+1),"")</f>
        <v/>
      </c>
      <c r="E316" s="41" t="str">
        <f>IFERROR(INDEX(Combined_Data!$G:$G,$O316+1),"")</f>
        <v/>
      </c>
      <c r="F316" s="42" t="str">
        <f>IFERROR(INDEX(Combined_Data!$I:$I,$O316+1),"")</f>
        <v/>
      </c>
      <c r="G316" s="41" t="str">
        <f>IFERROR(INDEX(Combined_Data!$K:$K,$O316+1),"")</f>
        <v/>
      </c>
      <c r="H316" s="41" t="str">
        <f>IFERROR(INDEX(Combined_Data!$M:$M,$O316+1),"")</f>
        <v/>
      </c>
      <c r="I316" s="41" t="str">
        <f>IFERROR(INDEX(Combined_Data!$N:$N,$O316+1),"")</f>
        <v/>
      </c>
      <c r="J316" s="43" t="str">
        <f>IFERROR(INDEX(Combined_Data!$S:$S,$O316+1),"")</f>
        <v/>
      </c>
      <c r="K316" s="44" t="str">
        <f>IFERROR(INDEX(Combined_Data!$AF:$AF,$O316+1),"")</f>
        <v/>
      </c>
      <c r="L316" s="41" t="str">
        <f>IFERROR(INDEX(Combined_Data!$AG:$AG,$O316+1),"")</f>
        <v/>
      </c>
      <c r="M316" s="41" t="str">
        <f>IFERROR(INDEX(Combined_Data!$AH:$AH,$O316+1),"")</f>
        <v/>
      </c>
      <c r="O316" t="str">
        <f>IFERROR(_xlfn.AGGREGATE(15,6,(ROW(Combined_Data!$AI$2:$AI$3001)-1)/(Combined_Data!$AI$2:$AI$3001),282),"")</f>
        <v/>
      </c>
    </row>
    <row r="317" spans="1:15" ht="15" customHeight="1" x14ac:dyDescent="0.3">
      <c r="A317" s="41" t="str">
        <f>IFERROR(INDEX(Combined_Data!$C:$C,$O317+1),"")</f>
        <v/>
      </c>
      <c r="B317" s="41" t="str">
        <f>IFERROR(INDEX(Combined_Data!$E:$E,$O317+1),"")</f>
        <v/>
      </c>
      <c r="C317" s="41" t="str">
        <f>IFERROR(INDEX(Combined_Data!$B:$B,$O317+1),"")</f>
        <v/>
      </c>
      <c r="D317" s="41" t="str">
        <f>IFERROR(INDEX(Combined_Data!$D:$D,$O317+1),"")</f>
        <v/>
      </c>
      <c r="E317" s="41" t="str">
        <f>IFERROR(INDEX(Combined_Data!$G:$G,$O317+1),"")</f>
        <v/>
      </c>
      <c r="F317" s="42" t="str">
        <f>IFERROR(INDEX(Combined_Data!$I:$I,$O317+1),"")</f>
        <v/>
      </c>
      <c r="G317" s="41" t="str">
        <f>IFERROR(INDEX(Combined_Data!$K:$K,$O317+1),"")</f>
        <v/>
      </c>
      <c r="H317" s="41" t="str">
        <f>IFERROR(INDEX(Combined_Data!$M:$M,$O317+1),"")</f>
        <v/>
      </c>
      <c r="I317" s="41" t="str">
        <f>IFERROR(INDEX(Combined_Data!$N:$N,$O317+1),"")</f>
        <v/>
      </c>
      <c r="J317" s="43" t="str">
        <f>IFERROR(INDEX(Combined_Data!$S:$S,$O317+1),"")</f>
        <v/>
      </c>
      <c r="K317" s="44" t="str">
        <f>IFERROR(INDEX(Combined_Data!$AF:$AF,$O317+1),"")</f>
        <v/>
      </c>
      <c r="L317" s="41" t="str">
        <f>IFERROR(INDEX(Combined_Data!$AG:$AG,$O317+1),"")</f>
        <v/>
      </c>
      <c r="M317" s="41" t="str">
        <f>IFERROR(INDEX(Combined_Data!$AH:$AH,$O317+1),"")</f>
        <v/>
      </c>
      <c r="O317" t="str">
        <f>IFERROR(_xlfn.AGGREGATE(15,6,(ROW(Combined_Data!$AI$2:$AI$3001)-1)/(Combined_Data!$AI$2:$AI$3001),283),"")</f>
        <v/>
      </c>
    </row>
    <row r="318" spans="1:15" ht="15" customHeight="1" x14ac:dyDescent="0.3">
      <c r="A318" s="41" t="str">
        <f>IFERROR(INDEX(Combined_Data!$C:$C,$O318+1),"")</f>
        <v/>
      </c>
      <c r="B318" s="41" t="str">
        <f>IFERROR(INDEX(Combined_Data!$E:$E,$O318+1),"")</f>
        <v/>
      </c>
      <c r="C318" s="41" t="str">
        <f>IFERROR(INDEX(Combined_Data!$B:$B,$O318+1),"")</f>
        <v/>
      </c>
      <c r="D318" s="41" t="str">
        <f>IFERROR(INDEX(Combined_Data!$D:$D,$O318+1),"")</f>
        <v/>
      </c>
      <c r="E318" s="41" t="str">
        <f>IFERROR(INDEX(Combined_Data!$G:$G,$O318+1),"")</f>
        <v/>
      </c>
      <c r="F318" s="42" t="str">
        <f>IFERROR(INDEX(Combined_Data!$I:$I,$O318+1),"")</f>
        <v/>
      </c>
      <c r="G318" s="41" t="str">
        <f>IFERROR(INDEX(Combined_Data!$K:$K,$O318+1),"")</f>
        <v/>
      </c>
      <c r="H318" s="41" t="str">
        <f>IFERROR(INDEX(Combined_Data!$M:$M,$O318+1),"")</f>
        <v/>
      </c>
      <c r="I318" s="41" t="str">
        <f>IFERROR(INDEX(Combined_Data!$N:$N,$O318+1),"")</f>
        <v/>
      </c>
      <c r="J318" s="43" t="str">
        <f>IFERROR(INDEX(Combined_Data!$S:$S,$O318+1),"")</f>
        <v/>
      </c>
      <c r="K318" s="44" t="str">
        <f>IFERROR(INDEX(Combined_Data!$AF:$AF,$O318+1),"")</f>
        <v/>
      </c>
      <c r="L318" s="41" t="str">
        <f>IFERROR(INDEX(Combined_Data!$AG:$AG,$O318+1),"")</f>
        <v/>
      </c>
      <c r="M318" s="41" t="str">
        <f>IFERROR(INDEX(Combined_Data!$AH:$AH,$O318+1),"")</f>
        <v/>
      </c>
      <c r="O318" t="str">
        <f>IFERROR(_xlfn.AGGREGATE(15,6,(ROW(Combined_Data!$AI$2:$AI$3001)-1)/(Combined_Data!$AI$2:$AI$3001),284),"")</f>
        <v/>
      </c>
    </row>
    <row r="319" spans="1:15" ht="15" customHeight="1" x14ac:dyDescent="0.3">
      <c r="A319" s="41" t="str">
        <f>IFERROR(INDEX(Combined_Data!$C:$C,$O319+1),"")</f>
        <v/>
      </c>
      <c r="B319" s="41" t="str">
        <f>IFERROR(INDEX(Combined_Data!$E:$E,$O319+1),"")</f>
        <v/>
      </c>
      <c r="C319" s="41" t="str">
        <f>IFERROR(INDEX(Combined_Data!$B:$B,$O319+1),"")</f>
        <v/>
      </c>
      <c r="D319" s="41" t="str">
        <f>IFERROR(INDEX(Combined_Data!$D:$D,$O319+1),"")</f>
        <v/>
      </c>
      <c r="E319" s="41" t="str">
        <f>IFERROR(INDEX(Combined_Data!$G:$G,$O319+1),"")</f>
        <v/>
      </c>
      <c r="F319" s="42" t="str">
        <f>IFERROR(INDEX(Combined_Data!$I:$I,$O319+1),"")</f>
        <v/>
      </c>
      <c r="G319" s="41" t="str">
        <f>IFERROR(INDEX(Combined_Data!$K:$K,$O319+1),"")</f>
        <v/>
      </c>
      <c r="H319" s="41" t="str">
        <f>IFERROR(INDEX(Combined_Data!$M:$M,$O319+1),"")</f>
        <v/>
      </c>
      <c r="I319" s="41" t="str">
        <f>IFERROR(INDEX(Combined_Data!$N:$N,$O319+1),"")</f>
        <v/>
      </c>
      <c r="J319" s="43" t="str">
        <f>IFERROR(INDEX(Combined_Data!$S:$S,$O319+1),"")</f>
        <v/>
      </c>
      <c r="K319" s="44" t="str">
        <f>IFERROR(INDEX(Combined_Data!$AF:$AF,$O319+1),"")</f>
        <v/>
      </c>
      <c r="L319" s="41" t="str">
        <f>IFERROR(INDEX(Combined_Data!$AG:$AG,$O319+1),"")</f>
        <v/>
      </c>
      <c r="M319" s="41" t="str">
        <f>IFERROR(INDEX(Combined_Data!$AH:$AH,$O319+1),"")</f>
        <v/>
      </c>
      <c r="O319" t="str">
        <f>IFERROR(_xlfn.AGGREGATE(15,6,(ROW(Combined_Data!$AI$2:$AI$3001)-1)/(Combined_Data!$AI$2:$AI$3001),285),"")</f>
        <v/>
      </c>
    </row>
    <row r="320" spans="1:15" ht="15" customHeight="1" x14ac:dyDescent="0.3">
      <c r="A320" s="41" t="str">
        <f>IFERROR(INDEX(Combined_Data!$C:$C,$O320+1),"")</f>
        <v/>
      </c>
      <c r="B320" s="41" t="str">
        <f>IFERROR(INDEX(Combined_Data!$E:$E,$O320+1),"")</f>
        <v/>
      </c>
      <c r="C320" s="41" t="str">
        <f>IFERROR(INDEX(Combined_Data!$B:$B,$O320+1),"")</f>
        <v/>
      </c>
      <c r="D320" s="41" t="str">
        <f>IFERROR(INDEX(Combined_Data!$D:$D,$O320+1),"")</f>
        <v/>
      </c>
      <c r="E320" s="41" t="str">
        <f>IFERROR(INDEX(Combined_Data!$G:$G,$O320+1),"")</f>
        <v/>
      </c>
      <c r="F320" s="42" t="str">
        <f>IFERROR(INDEX(Combined_Data!$I:$I,$O320+1),"")</f>
        <v/>
      </c>
      <c r="G320" s="41" t="str">
        <f>IFERROR(INDEX(Combined_Data!$K:$K,$O320+1),"")</f>
        <v/>
      </c>
      <c r="H320" s="41" t="str">
        <f>IFERROR(INDEX(Combined_Data!$M:$M,$O320+1),"")</f>
        <v/>
      </c>
      <c r="I320" s="41" t="str">
        <f>IFERROR(INDEX(Combined_Data!$N:$N,$O320+1),"")</f>
        <v/>
      </c>
      <c r="J320" s="43" t="str">
        <f>IFERROR(INDEX(Combined_Data!$S:$S,$O320+1),"")</f>
        <v/>
      </c>
      <c r="K320" s="44" t="str">
        <f>IFERROR(INDEX(Combined_Data!$AF:$AF,$O320+1),"")</f>
        <v/>
      </c>
      <c r="L320" s="41" t="str">
        <f>IFERROR(INDEX(Combined_Data!$AG:$AG,$O320+1),"")</f>
        <v/>
      </c>
      <c r="M320" s="41" t="str">
        <f>IFERROR(INDEX(Combined_Data!$AH:$AH,$O320+1),"")</f>
        <v/>
      </c>
      <c r="O320" t="str">
        <f>IFERROR(_xlfn.AGGREGATE(15,6,(ROW(Combined_Data!$AI$2:$AI$3001)-1)/(Combined_Data!$AI$2:$AI$3001),286),"")</f>
        <v/>
      </c>
    </row>
    <row r="321" spans="1:15" ht="15" customHeight="1" x14ac:dyDescent="0.3">
      <c r="A321" s="41" t="str">
        <f>IFERROR(INDEX(Combined_Data!$C:$C,$O321+1),"")</f>
        <v/>
      </c>
      <c r="B321" s="41" t="str">
        <f>IFERROR(INDEX(Combined_Data!$E:$E,$O321+1),"")</f>
        <v/>
      </c>
      <c r="C321" s="41" t="str">
        <f>IFERROR(INDEX(Combined_Data!$B:$B,$O321+1),"")</f>
        <v/>
      </c>
      <c r="D321" s="41" t="str">
        <f>IFERROR(INDEX(Combined_Data!$D:$D,$O321+1),"")</f>
        <v/>
      </c>
      <c r="E321" s="41" t="str">
        <f>IFERROR(INDEX(Combined_Data!$G:$G,$O321+1),"")</f>
        <v/>
      </c>
      <c r="F321" s="42" t="str">
        <f>IFERROR(INDEX(Combined_Data!$I:$I,$O321+1),"")</f>
        <v/>
      </c>
      <c r="G321" s="41" t="str">
        <f>IFERROR(INDEX(Combined_Data!$K:$K,$O321+1),"")</f>
        <v/>
      </c>
      <c r="H321" s="41" t="str">
        <f>IFERROR(INDEX(Combined_Data!$M:$M,$O321+1),"")</f>
        <v/>
      </c>
      <c r="I321" s="41" t="str">
        <f>IFERROR(INDEX(Combined_Data!$N:$N,$O321+1),"")</f>
        <v/>
      </c>
      <c r="J321" s="43" t="str">
        <f>IFERROR(INDEX(Combined_Data!$S:$S,$O321+1),"")</f>
        <v/>
      </c>
      <c r="K321" s="44" t="str">
        <f>IFERROR(INDEX(Combined_Data!$AF:$AF,$O321+1),"")</f>
        <v/>
      </c>
      <c r="L321" s="41" t="str">
        <f>IFERROR(INDEX(Combined_Data!$AG:$AG,$O321+1),"")</f>
        <v/>
      </c>
      <c r="M321" s="41" t="str">
        <f>IFERROR(INDEX(Combined_Data!$AH:$AH,$O321+1),"")</f>
        <v/>
      </c>
      <c r="O321" t="str">
        <f>IFERROR(_xlfn.AGGREGATE(15,6,(ROW(Combined_Data!$AI$2:$AI$3001)-1)/(Combined_Data!$AI$2:$AI$3001),287),"")</f>
        <v/>
      </c>
    </row>
    <row r="322" spans="1:15" ht="15" customHeight="1" x14ac:dyDescent="0.3">
      <c r="A322" s="41" t="str">
        <f>IFERROR(INDEX(Combined_Data!$C:$C,$O322+1),"")</f>
        <v/>
      </c>
      <c r="B322" s="41" t="str">
        <f>IFERROR(INDEX(Combined_Data!$E:$E,$O322+1),"")</f>
        <v/>
      </c>
      <c r="C322" s="41" t="str">
        <f>IFERROR(INDEX(Combined_Data!$B:$B,$O322+1),"")</f>
        <v/>
      </c>
      <c r="D322" s="41" t="str">
        <f>IFERROR(INDEX(Combined_Data!$D:$D,$O322+1),"")</f>
        <v/>
      </c>
      <c r="E322" s="41" t="str">
        <f>IFERROR(INDEX(Combined_Data!$G:$G,$O322+1),"")</f>
        <v/>
      </c>
      <c r="F322" s="42" t="str">
        <f>IFERROR(INDEX(Combined_Data!$I:$I,$O322+1),"")</f>
        <v/>
      </c>
      <c r="G322" s="41" t="str">
        <f>IFERROR(INDEX(Combined_Data!$K:$K,$O322+1),"")</f>
        <v/>
      </c>
      <c r="H322" s="41" t="str">
        <f>IFERROR(INDEX(Combined_Data!$M:$M,$O322+1),"")</f>
        <v/>
      </c>
      <c r="I322" s="41" t="str">
        <f>IFERROR(INDEX(Combined_Data!$N:$N,$O322+1),"")</f>
        <v/>
      </c>
      <c r="J322" s="43" t="str">
        <f>IFERROR(INDEX(Combined_Data!$S:$S,$O322+1),"")</f>
        <v/>
      </c>
      <c r="K322" s="44" t="str">
        <f>IFERROR(INDEX(Combined_Data!$AF:$AF,$O322+1),"")</f>
        <v/>
      </c>
      <c r="L322" s="41" t="str">
        <f>IFERROR(INDEX(Combined_Data!$AG:$AG,$O322+1),"")</f>
        <v/>
      </c>
      <c r="M322" s="41" t="str">
        <f>IFERROR(INDEX(Combined_Data!$AH:$AH,$O322+1),"")</f>
        <v/>
      </c>
      <c r="O322" t="str">
        <f>IFERROR(_xlfn.AGGREGATE(15,6,(ROW(Combined_Data!$AI$2:$AI$3001)-1)/(Combined_Data!$AI$2:$AI$3001),288),"")</f>
        <v/>
      </c>
    </row>
    <row r="323" spans="1:15" ht="15" customHeight="1" x14ac:dyDescent="0.3">
      <c r="A323" s="41" t="str">
        <f>IFERROR(INDEX(Combined_Data!$C:$C,$O323+1),"")</f>
        <v/>
      </c>
      <c r="B323" s="41" t="str">
        <f>IFERROR(INDEX(Combined_Data!$E:$E,$O323+1),"")</f>
        <v/>
      </c>
      <c r="C323" s="41" t="str">
        <f>IFERROR(INDEX(Combined_Data!$B:$B,$O323+1),"")</f>
        <v/>
      </c>
      <c r="D323" s="41" t="str">
        <f>IFERROR(INDEX(Combined_Data!$D:$D,$O323+1),"")</f>
        <v/>
      </c>
      <c r="E323" s="41" t="str">
        <f>IFERROR(INDEX(Combined_Data!$G:$G,$O323+1),"")</f>
        <v/>
      </c>
      <c r="F323" s="42" t="str">
        <f>IFERROR(INDEX(Combined_Data!$I:$I,$O323+1),"")</f>
        <v/>
      </c>
      <c r="G323" s="41" t="str">
        <f>IFERROR(INDEX(Combined_Data!$K:$K,$O323+1),"")</f>
        <v/>
      </c>
      <c r="H323" s="41" t="str">
        <f>IFERROR(INDEX(Combined_Data!$M:$M,$O323+1),"")</f>
        <v/>
      </c>
      <c r="I323" s="41" t="str">
        <f>IFERROR(INDEX(Combined_Data!$N:$N,$O323+1),"")</f>
        <v/>
      </c>
      <c r="J323" s="43" t="str">
        <f>IFERROR(INDEX(Combined_Data!$S:$S,$O323+1),"")</f>
        <v/>
      </c>
      <c r="K323" s="44" t="str">
        <f>IFERROR(INDEX(Combined_Data!$AF:$AF,$O323+1),"")</f>
        <v/>
      </c>
      <c r="L323" s="41" t="str">
        <f>IFERROR(INDEX(Combined_Data!$AG:$AG,$O323+1),"")</f>
        <v/>
      </c>
      <c r="M323" s="41" t="str">
        <f>IFERROR(INDEX(Combined_Data!$AH:$AH,$O323+1),"")</f>
        <v/>
      </c>
      <c r="O323" t="str">
        <f>IFERROR(_xlfn.AGGREGATE(15,6,(ROW(Combined_Data!$AI$2:$AI$3001)-1)/(Combined_Data!$AI$2:$AI$3001),289),"")</f>
        <v/>
      </c>
    </row>
    <row r="324" spans="1:15" ht="15" customHeight="1" x14ac:dyDescent="0.3">
      <c r="A324" s="41" t="str">
        <f>IFERROR(INDEX(Combined_Data!$C:$C,$O324+1),"")</f>
        <v/>
      </c>
      <c r="B324" s="41" t="str">
        <f>IFERROR(INDEX(Combined_Data!$E:$E,$O324+1),"")</f>
        <v/>
      </c>
      <c r="C324" s="41" t="str">
        <f>IFERROR(INDEX(Combined_Data!$B:$B,$O324+1),"")</f>
        <v/>
      </c>
      <c r="D324" s="41" t="str">
        <f>IFERROR(INDEX(Combined_Data!$D:$D,$O324+1),"")</f>
        <v/>
      </c>
      <c r="E324" s="41" t="str">
        <f>IFERROR(INDEX(Combined_Data!$G:$G,$O324+1),"")</f>
        <v/>
      </c>
      <c r="F324" s="42" t="str">
        <f>IFERROR(INDEX(Combined_Data!$I:$I,$O324+1),"")</f>
        <v/>
      </c>
      <c r="G324" s="41" t="str">
        <f>IFERROR(INDEX(Combined_Data!$K:$K,$O324+1),"")</f>
        <v/>
      </c>
      <c r="H324" s="41" t="str">
        <f>IFERROR(INDEX(Combined_Data!$M:$M,$O324+1),"")</f>
        <v/>
      </c>
      <c r="I324" s="41" t="str">
        <f>IFERROR(INDEX(Combined_Data!$N:$N,$O324+1),"")</f>
        <v/>
      </c>
      <c r="J324" s="43" t="str">
        <f>IFERROR(INDEX(Combined_Data!$S:$S,$O324+1),"")</f>
        <v/>
      </c>
      <c r="K324" s="44" t="str">
        <f>IFERROR(INDEX(Combined_Data!$AF:$AF,$O324+1),"")</f>
        <v/>
      </c>
      <c r="L324" s="41" t="str">
        <f>IFERROR(INDEX(Combined_Data!$AG:$AG,$O324+1),"")</f>
        <v/>
      </c>
      <c r="M324" s="41" t="str">
        <f>IFERROR(INDEX(Combined_Data!$AH:$AH,$O324+1),"")</f>
        <v/>
      </c>
      <c r="O324" t="str">
        <f>IFERROR(_xlfn.AGGREGATE(15,6,(ROW(Combined_Data!$AI$2:$AI$3001)-1)/(Combined_Data!$AI$2:$AI$3001),290),"")</f>
        <v/>
      </c>
    </row>
    <row r="325" spans="1:15" ht="15" customHeight="1" x14ac:dyDescent="0.3">
      <c r="A325" s="41" t="str">
        <f>IFERROR(INDEX(Combined_Data!$C:$C,$O325+1),"")</f>
        <v/>
      </c>
      <c r="B325" s="41" t="str">
        <f>IFERROR(INDEX(Combined_Data!$E:$E,$O325+1),"")</f>
        <v/>
      </c>
      <c r="C325" s="41" t="str">
        <f>IFERROR(INDEX(Combined_Data!$B:$B,$O325+1),"")</f>
        <v/>
      </c>
      <c r="D325" s="41" t="str">
        <f>IFERROR(INDEX(Combined_Data!$D:$D,$O325+1),"")</f>
        <v/>
      </c>
      <c r="E325" s="41" t="str">
        <f>IFERROR(INDEX(Combined_Data!$G:$G,$O325+1),"")</f>
        <v/>
      </c>
      <c r="F325" s="42" t="str">
        <f>IFERROR(INDEX(Combined_Data!$I:$I,$O325+1),"")</f>
        <v/>
      </c>
      <c r="G325" s="41" t="str">
        <f>IFERROR(INDEX(Combined_Data!$K:$K,$O325+1),"")</f>
        <v/>
      </c>
      <c r="H325" s="41" t="str">
        <f>IFERROR(INDEX(Combined_Data!$M:$M,$O325+1),"")</f>
        <v/>
      </c>
      <c r="I325" s="41" t="str">
        <f>IFERROR(INDEX(Combined_Data!$N:$N,$O325+1),"")</f>
        <v/>
      </c>
      <c r="J325" s="43" t="str">
        <f>IFERROR(INDEX(Combined_Data!$S:$S,$O325+1),"")</f>
        <v/>
      </c>
      <c r="K325" s="44" t="str">
        <f>IFERROR(INDEX(Combined_Data!$AF:$AF,$O325+1),"")</f>
        <v/>
      </c>
      <c r="L325" s="41" t="str">
        <f>IFERROR(INDEX(Combined_Data!$AG:$AG,$O325+1),"")</f>
        <v/>
      </c>
      <c r="M325" s="41" t="str">
        <f>IFERROR(INDEX(Combined_Data!$AH:$AH,$O325+1),"")</f>
        <v/>
      </c>
      <c r="O325" t="str">
        <f>IFERROR(_xlfn.AGGREGATE(15,6,(ROW(Combined_Data!$AI$2:$AI$3001)-1)/(Combined_Data!$AI$2:$AI$3001),291),"")</f>
        <v/>
      </c>
    </row>
    <row r="326" spans="1:15" ht="15" customHeight="1" x14ac:dyDescent="0.3">
      <c r="A326" s="41" t="str">
        <f>IFERROR(INDEX(Combined_Data!$C:$C,$O326+1),"")</f>
        <v/>
      </c>
      <c r="B326" s="41" t="str">
        <f>IFERROR(INDEX(Combined_Data!$E:$E,$O326+1),"")</f>
        <v/>
      </c>
      <c r="C326" s="41" t="str">
        <f>IFERROR(INDEX(Combined_Data!$B:$B,$O326+1),"")</f>
        <v/>
      </c>
      <c r="D326" s="41" t="str">
        <f>IFERROR(INDEX(Combined_Data!$D:$D,$O326+1),"")</f>
        <v/>
      </c>
      <c r="E326" s="41" t="str">
        <f>IFERROR(INDEX(Combined_Data!$G:$G,$O326+1),"")</f>
        <v/>
      </c>
      <c r="F326" s="42" t="str">
        <f>IFERROR(INDEX(Combined_Data!$I:$I,$O326+1),"")</f>
        <v/>
      </c>
      <c r="G326" s="41" t="str">
        <f>IFERROR(INDEX(Combined_Data!$K:$K,$O326+1),"")</f>
        <v/>
      </c>
      <c r="H326" s="41" t="str">
        <f>IFERROR(INDEX(Combined_Data!$M:$M,$O326+1),"")</f>
        <v/>
      </c>
      <c r="I326" s="41" t="str">
        <f>IFERROR(INDEX(Combined_Data!$N:$N,$O326+1),"")</f>
        <v/>
      </c>
      <c r="J326" s="43" t="str">
        <f>IFERROR(INDEX(Combined_Data!$S:$S,$O326+1),"")</f>
        <v/>
      </c>
      <c r="K326" s="44" t="str">
        <f>IFERROR(INDEX(Combined_Data!$AF:$AF,$O326+1),"")</f>
        <v/>
      </c>
      <c r="L326" s="41" t="str">
        <f>IFERROR(INDEX(Combined_Data!$AG:$AG,$O326+1),"")</f>
        <v/>
      </c>
      <c r="M326" s="41" t="str">
        <f>IFERROR(INDEX(Combined_Data!$AH:$AH,$O326+1),"")</f>
        <v/>
      </c>
      <c r="O326" t="str">
        <f>IFERROR(_xlfn.AGGREGATE(15,6,(ROW(Combined_Data!$AI$2:$AI$3001)-1)/(Combined_Data!$AI$2:$AI$3001),292),"")</f>
        <v/>
      </c>
    </row>
    <row r="327" spans="1:15" ht="15" customHeight="1" x14ac:dyDescent="0.3">
      <c r="A327" s="41" t="str">
        <f>IFERROR(INDEX(Combined_Data!$C:$C,$O327+1),"")</f>
        <v/>
      </c>
      <c r="B327" s="41" t="str">
        <f>IFERROR(INDEX(Combined_Data!$E:$E,$O327+1),"")</f>
        <v/>
      </c>
      <c r="C327" s="41" t="str">
        <f>IFERROR(INDEX(Combined_Data!$B:$B,$O327+1),"")</f>
        <v/>
      </c>
      <c r="D327" s="41" t="str">
        <f>IFERROR(INDEX(Combined_Data!$D:$D,$O327+1),"")</f>
        <v/>
      </c>
      <c r="E327" s="41" t="str">
        <f>IFERROR(INDEX(Combined_Data!$G:$G,$O327+1),"")</f>
        <v/>
      </c>
      <c r="F327" s="42" t="str">
        <f>IFERROR(INDEX(Combined_Data!$I:$I,$O327+1),"")</f>
        <v/>
      </c>
      <c r="G327" s="41" t="str">
        <f>IFERROR(INDEX(Combined_Data!$K:$K,$O327+1),"")</f>
        <v/>
      </c>
      <c r="H327" s="41" t="str">
        <f>IFERROR(INDEX(Combined_Data!$M:$M,$O327+1),"")</f>
        <v/>
      </c>
      <c r="I327" s="41" t="str">
        <f>IFERROR(INDEX(Combined_Data!$N:$N,$O327+1),"")</f>
        <v/>
      </c>
      <c r="J327" s="43" t="str">
        <f>IFERROR(INDEX(Combined_Data!$S:$S,$O327+1),"")</f>
        <v/>
      </c>
      <c r="K327" s="44" t="str">
        <f>IFERROR(INDEX(Combined_Data!$AF:$AF,$O327+1),"")</f>
        <v/>
      </c>
      <c r="L327" s="41" t="str">
        <f>IFERROR(INDEX(Combined_Data!$AG:$AG,$O327+1),"")</f>
        <v/>
      </c>
      <c r="M327" s="41" t="str">
        <f>IFERROR(INDEX(Combined_Data!$AH:$AH,$O327+1),"")</f>
        <v/>
      </c>
      <c r="O327" t="str">
        <f>IFERROR(_xlfn.AGGREGATE(15,6,(ROW(Combined_Data!$AI$2:$AI$3001)-1)/(Combined_Data!$AI$2:$AI$3001),293),"")</f>
        <v/>
      </c>
    </row>
    <row r="328" spans="1:15" ht="15" customHeight="1" x14ac:dyDescent="0.3">
      <c r="A328" s="41" t="str">
        <f>IFERROR(INDEX(Combined_Data!$C:$C,$O328+1),"")</f>
        <v/>
      </c>
      <c r="B328" s="41" t="str">
        <f>IFERROR(INDEX(Combined_Data!$E:$E,$O328+1),"")</f>
        <v/>
      </c>
      <c r="C328" s="41" t="str">
        <f>IFERROR(INDEX(Combined_Data!$B:$B,$O328+1),"")</f>
        <v/>
      </c>
      <c r="D328" s="41" t="str">
        <f>IFERROR(INDEX(Combined_Data!$D:$D,$O328+1),"")</f>
        <v/>
      </c>
      <c r="E328" s="41" t="str">
        <f>IFERROR(INDEX(Combined_Data!$G:$G,$O328+1),"")</f>
        <v/>
      </c>
      <c r="F328" s="42" t="str">
        <f>IFERROR(INDEX(Combined_Data!$I:$I,$O328+1),"")</f>
        <v/>
      </c>
      <c r="G328" s="41" t="str">
        <f>IFERROR(INDEX(Combined_Data!$K:$K,$O328+1),"")</f>
        <v/>
      </c>
      <c r="H328" s="41" t="str">
        <f>IFERROR(INDEX(Combined_Data!$M:$M,$O328+1),"")</f>
        <v/>
      </c>
      <c r="I328" s="41" t="str">
        <f>IFERROR(INDEX(Combined_Data!$N:$N,$O328+1),"")</f>
        <v/>
      </c>
      <c r="J328" s="43" t="str">
        <f>IFERROR(INDEX(Combined_Data!$S:$S,$O328+1),"")</f>
        <v/>
      </c>
      <c r="K328" s="44" t="str">
        <f>IFERROR(INDEX(Combined_Data!$AF:$AF,$O328+1),"")</f>
        <v/>
      </c>
      <c r="L328" s="41" t="str">
        <f>IFERROR(INDEX(Combined_Data!$AG:$AG,$O328+1),"")</f>
        <v/>
      </c>
      <c r="M328" s="41" t="str">
        <f>IFERROR(INDEX(Combined_Data!$AH:$AH,$O328+1),"")</f>
        <v/>
      </c>
      <c r="O328" t="str">
        <f>IFERROR(_xlfn.AGGREGATE(15,6,(ROW(Combined_Data!$AI$2:$AI$3001)-1)/(Combined_Data!$AI$2:$AI$3001),294),"")</f>
        <v/>
      </c>
    </row>
    <row r="329" spans="1:15" ht="15" customHeight="1" x14ac:dyDescent="0.3">
      <c r="A329" s="41" t="str">
        <f>IFERROR(INDEX(Combined_Data!$C:$C,$O329+1),"")</f>
        <v/>
      </c>
      <c r="B329" s="41" t="str">
        <f>IFERROR(INDEX(Combined_Data!$E:$E,$O329+1),"")</f>
        <v/>
      </c>
      <c r="C329" s="41" t="str">
        <f>IFERROR(INDEX(Combined_Data!$B:$B,$O329+1),"")</f>
        <v/>
      </c>
      <c r="D329" s="41" t="str">
        <f>IFERROR(INDEX(Combined_Data!$D:$D,$O329+1),"")</f>
        <v/>
      </c>
      <c r="E329" s="41" t="str">
        <f>IFERROR(INDEX(Combined_Data!$G:$G,$O329+1),"")</f>
        <v/>
      </c>
      <c r="F329" s="42" t="str">
        <f>IFERROR(INDEX(Combined_Data!$I:$I,$O329+1),"")</f>
        <v/>
      </c>
      <c r="G329" s="41" t="str">
        <f>IFERROR(INDEX(Combined_Data!$K:$K,$O329+1),"")</f>
        <v/>
      </c>
      <c r="H329" s="41" t="str">
        <f>IFERROR(INDEX(Combined_Data!$M:$M,$O329+1),"")</f>
        <v/>
      </c>
      <c r="I329" s="41" t="str">
        <f>IFERROR(INDEX(Combined_Data!$N:$N,$O329+1),"")</f>
        <v/>
      </c>
      <c r="J329" s="43" t="str">
        <f>IFERROR(INDEX(Combined_Data!$S:$S,$O329+1),"")</f>
        <v/>
      </c>
      <c r="K329" s="44" t="str">
        <f>IFERROR(INDEX(Combined_Data!$AF:$AF,$O329+1),"")</f>
        <v/>
      </c>
      <c r="L329" s="41" t="str">
        <f>IFERROR(INDEX(Combined_Data!$AG:$AG,$O329+1),"")</f>
        <v/>
      </c>
      <c r="M329" s="41" t="str">
        <f>IFERROR(INDEX(Combined_Data!$AH:$AH,$O329+1),"")</f>
        <v/>
      </c>
      <c r="O329" t="str">
        <f>IFERROR(_xlfn.AGGREGATE(15,6,(ROW(Combined_Data!$AI$2:$AI$3001)-1)/(Combined_Data!$AI$2:$AI$3001),295),"")</f>
        <v/>
      </c>
    </row>
    <row r="330" spans="1:15" ht="15" customHeight="1" x14ac:dyDescent="0.3">
      <c r="A330" s="41" t="str">
        <f>IFERROR(INDEX(Combined_Data!$C:$C,$O330+1),"")</f>
        <v/>
      </c>
      <c r="B330" s="41" t="str">
        <f>IFERROR(INDEX(Combined_Data!$E:$E,$O330+1),"")</f>
        <v/>
      </c>
      <c r="C330" s="41" t="str">
        <f>IFERROR(INDEX(Combined_Data!$B:$B,$O330+1),"")</f>
        <v/>
      </c>
      <c r="D330" s="41" t="str">
        <f>IFERROR(INDEX(Combined_Data!$D:$D,$O330+1),"")</f>
        <v/>
      </c>
      <c r="E330" s="41" t="str">
        <f>IFERROR(INDEX(Combined_Data!$G:$G,$O330+1),"")</f>
        <v/>
      </c>
      <c r="F330" s="42" t="str">
        <f>IFERROR(INDEX(Combined_Data!$I:$I,$O330+1),"")</f>
        <v/>
      </c>
      <c r="G330" s="41" t="str">
        <f>IFERROR(INDEX(Combined_Data!$K:$K,$O330+1),"")</f>
        <v/>
      </c>
      <c r="H330" s="41" t="str">
        <f>IFERROR(INDEX(Combined_Data!$M:$M,$O330+1),"")</f>
        <v/>
      </c>
      <c r="I330" s="41" t="str">
        <f>IFERROR(INDEX(Combined_Data!$N:$N,$O330+1),"")</f>
        <v/>
      </c>
      <c r="J330" s="43" t="str">
        <f>IFERROR(INDEX(Combined_Data!$S:$S,$O330+1),"")</f>
        <v/>
      </c>
      <c r="K330" s="44" t="str">
        <f>IFERROR(INDEX(Combined_Data!$AF:$AF,$O330+1),"")</f>
        <v/>
      </c>
      <c r="L330" s="41" t="str">
        <f>IFERROR(INDEX(Combined_Data!$AG:$AG,$O330+1),"")</f>
        <v/>
      </c>
      <c r="M330" s="41" t="str">
        <f>IFERROR(INDEX(Combined_Data!$AH:$AH,$O330+1),"")</f>
        <v/>
      </c>
      <c r="O330" t="str">
        <f>IFERROR(_xlfn.AGGREGATE(15,6,(ROW(Combined_Data!$AI$2:$AI$3001)-1)/(Combined_Data!$AI$2:$AI$3001),296),"")</f>
        <v/>
      </c>
    </row>
    <row r="331" spans="1:15" ht="15" customHeight="1" x14ac:dyDescent="0.3">
      <c r="A331" s="41" t="str">
        <f>IFERROR(INDEX(Combined_Data!$C:$C,$O331+1),"")</f>
        <v/>
      </c>
      <c r="B331" s="41" t="str">
        <f>IFERROR(INDEX(Combined_Data!$E:$E,$O331+1),"")</f>
        <v/>
      </c>
      <c r="C331" s="41" t="str">
        <f>IFERROR(INDEX(Combined_Data!$B:$B,$O331+1),"")</f>
        <v/>
      </c>
      <c r="D331" s="41" t="str">
        <f>IFERROR(INDEX(Combined_Data!$D:$D,$O331+1),"")</f>
        <v/>
      </c>
      <c r="E331" s="41" t="str">
        <f>IFERROR(INDEX(Combined_Data!$G:$G,$O331+1),"")</f>
        <v/>
      </c>
      <c r="F331" s="42" t="str">
        <f>IFERROR(INDEX(Combined_Data!$I:$I,$O331+1),"")</f>
        <v/>
      </c>
      <c r="G331" s="41" t="str">
        <f>IFERROR(INDEX(Combined_Data!$K:$K,$O331+1),"")</f>
        <v/>
      </c>
      <c r="H331" s="41" t="str">
        <f>IFERROR(INDEX(Combined_Data!$M:$M,$O331+1),"")</f>
        <v/>
      </c>
      <c r="I331" s="41" t="str">
        <f>IFERROR(INDEX(Combined_Data!$N:$N,$O331+1),"")</f>
        <v/>
      </c>
      <c r="J331" s="43" t="str">
        <f>IFERROR(INDEX(Combined_Data!$S:$S,$O331+1),"")</f>
        <v/>
      </c>
      <c r="K331" s="44" t="str">
        <f>IFERROR(INDEX(Combined_Data!$AF:$AF,$O331+1),"")</f>
        <v/>
      </c>
      <c r="L331" s="41" t="str">
        <f>IFERROR(INDEX(Combined_Data!$AG:$AG,$O331+1),"")</f>
        <v/>
      </c>
      <c r="M331" s="41" t="str">
        <f>IFERROR(INDEX(Combined_Data!$AH:$AH,$O331+1),"")</f>
        <v/>
      </c>
      <c r="O331" t="str">
        <f>IFERROR(_xlfn.AGGREGATE(15,6,(ROW(Combined_Data!$AI$2:$AI$3001)-1)/(Combined_Data!$AI$2:$AI$3001),297),"")</f>
        <v/>
      </c>
    </row>
    <row r="332" spans="1:15" ht="15" customHeight="1" x14ac:dyDescent="0.3">
      <c r="A332" s="41" t="str">
        <f>IFERROR(INDEX(Combined_Data!$C:$C,$O332+1),"")</f>
        <v/>
      </c>
      <c r="B332" s="41" t="str">
        <f>IFERROR(INDEX(Combined_Data!$E:$E,$O332+1),"")</f>
        <v/>
      </c>
      <c r="C332" s="41" t="str">
        <f>IFERROR(INDEX(Combined_Data!$B:$B,$O332+1),"")</f>
        <v/>
      </c>
      <c r="D332" s="41" t="str">
        <f>IFERROR(INDEX(Combined_Data!$D:$D,$O332+1),"")</f>
        <v/>
      </c>
      <c r="E332" s="41" t="str">
        <f>IFERROR(INDEX(Combined_Data!$G:$G,$O332+1),"")</f>
        <v/>
      </c>
      <c r="F332" s="42" t="str">
        <f>IFERROR(INDEX(Combined_Data!$I:$I,$O332+1),"")</f>
        <v/>
      </c>
      <c r="G332" s="41" t="str">
        <f>IFERROR(INDEX(Combined_Data!$K:$K,$O332+1),"")</f>
        <v/>
      </c>
      <c r="H332" s="41" t="str">
        <f>IFERROR(INDEX(Combined_Data!$M:$M,$O332+1),"")</f>
        <v/>
      </c>
      <c r="I332" s="41" t="str">
        <f>IFERROR(INDEX(Combined_Data!$N:$N,$O332+1),"")</f>
        <v/>
      </c>
      <c r="J332" s="43" t="str">
        <f>IFERROR(INDEX(Combined_Data!$S:$S,$O332+1),"")</f>
        <v/>
      </c>
      <c r="K332" s="44" t="str">
        <f>IFERROR(INDEX(Combined_Data!$AF:$AF,$O332+1),"")</f>
        <v/>
      </c>
      <c r="L332" s="41" t="str">
        <f>IFERROR(INDEX(Combined_Data!$AG:$AG,$O332+1),"")</f>
        <v/>
      </c>
      <c r="M332" s="41" t="str">
        <f>IFERROR(INDEX(Combined_Data!$AH:$AH,$O332+1),"")</f>
        <v/>
      </c>
      <c r="O332" t="str">
        <f>IFERROR(_xlfn.AGGREGATE(15,6,(ROW(Combined_Data!$AI$2:$AI$3001)-1)/(Combined_Data!$AI$2:$AI$3001),298),"")</f>
        <v/>
      </c>
    </row>
    <row r="333" spans="1:15" ht="15" customHeight="1" x14ac:dyDescent="0.3">
      <c r="A333" s="41" t="str">
        <f>IFERROR(INDEX(Combined_Data!$C:$C,$O333+1),"")</f>
        <v/>
      </c>
      <c r="B333" s="41" t="str">
        <f>IFERROR(INDEX(Combined_Data!$E:$E,$O333+1),"")</f>
        <v/>
      </c>
      <c r="C333" s="41" t="str">
        <f>IFERROR(INDEX(Combined_Data!$B:$B,$O333+1),"")</f>
        <v/>
      </c>
      <c r="D333" s="41" t="str">
        <f>IFERROR(INDEX(Combined_Data!$D:$D,$O333+1),"")</f>
        <v/>
      </c>
      <c r="E333" s="41" t="str">
        <f>IFERROR(INDEX(Combined_Data!$G:$G,$O333+1),"")</f>
        <v/>
      </c>
      <c r="F333" s="42" t="str">
        <f>IFERROR(INDEX(Combined_Data!$I:$I,$O333+1),"")</f>
        <v/>
      </c>
      <c r="G333" s="41" t="str">
        <f>IFERROR(INDEX(Combined_Data!$K:$K,$O333+1),"")</f>
        <v/>
      </c>
      <c r="H333" s="41" t="str">
        <f>IFERROR(INDEX(Combined_Data!$M:$M,$O333+1),"")</f>
        <v/>
      </c>
      <c r="I333" s="41" t="str">
        <f>IFERROR(INDEX(Combined_Data!$N:$N,$O333+1),"")</f>
        <v/>
      </c>
      <c r="J333" s="43" t="str">
        <f>IFERROR(INDEX(Combined_Data!$S:$S,$O333+1),"")</f>
        <v/>
      </c>
      <c r="K333" s="44" t="str">
        <f>IFERROR(INDEX(Combined_Data!$AF:$AF,$O333+1),"")</f>
        <v/>
      </c>
      <c r="L333" s="41" t="str">
        <f>IFERROR(INDEX(Combined_Data!$AG:$AG,$O333+1),"")</f>
        <v/>
      </c>
      <c r="M333" s="41" t="str">
        <f>IFERROR(INDEX(Combined_Data!$AH:$AH,$O333+1),"")</f>
        <v/>
      </c>
      <c r="O333" t="str">
        <f>IFERROR(_xlfn.AGGREGATE(15,6,(ROW(Combined_Data!$AI$2:$AI$3001)-1)/(Combined_Data!$AI$2:$AI$3001),299),"")</f>
        <v/>
      </c>
    </row>
    <row r="334" spans="1:15" ht="15" customHeight="1" x14ac:dyDescent="0.3">
      <c r="A334" s="41" t="str">
        <f>IFERROR(INDEX(Combined_Data!$C:$C,$O334+1),"")</f>
        <v/>
      </c>
      <c r="B334" s="41" t="str">
        <f>IFERROR(INDEX(Combined_Data!$E:$E,$O334+1),"")</f>
        <v/>
      </c>
      <c r="C334" s="41" t="str">
        <f>IFERROR(INDEX(Combined_Data!$B:$B,$O334+1),"")</f>
        <v/>
      </c>
      <c r="D334" s="41" t="str">
        <f>IFERROR(INDEX(Combined_Data!$D:$D,$O334+1),"")</f>
        <v/>
      </c>
      <c r="E334" s="41" t="str">
        <f>IFERROR(INDEX(Combined_Data!$G:$G,$O334+1),"")</f>
        <v/>
      </c>
      <c r="F334" s="42" t="str">
        <f>IFERROR(INDEX(Combined_Data!$I:$I,$O334+1),"")</f>
        <v/>
      </c>
      <c r="G334" s="41" t="str">
        <f>IFERROR(INDEX(Combined_Data!$K:$K,$O334+1),"")</f>
        <v/>
      </c>
      <c r="H334" s="41" t="str">
        <f>IFERROR(INDEX(Combined_Data!$M:$M,$O334+1),"")</f>
        <v/>
      </c>
      <c r="I334" s="41" t="str">
        <f>IFERROR(INDEX(Combined_Data!$N:$N,$O334+1),"")</f>
        <v/>
      </c>
      <c r="J334" s="43" t="str">
        <f>IFERROR(INDEX(Combined_Data!$S:$S,$O334+1),"")</f>
        <v/>
      </c>
      <c r="K334" s="44" t="str">
        <f>IFERROR(INDEX(Combined_Data!$AF:$AF,$O334+1),"")</f>
        <v/>
      </c>
      <c r="L334" s="41" t="str">
        <f>IFERROR(INDEX(Combined_Data!$AG:$AG,$O334+1),"")</f>
        <v/>
      </c>
      <c r="M334" s="41" t="str">
        <f>IFERROR(INDEX(Combined_Data!$AH:$AH,$O334+1),"")</f>
        <v/>
      </c>
      <c r="O334" t="str">
        <f>IFERROR(_xlfn.AGGREGATE(15,6,(ROW(Combined_Data!$AI$2:$AI$3001)-1)/(Combined_Data!$AI$2:$AI$3001),300),"")</f>
        <v/>
      </c>
    </row>
    <row r="335" spans="1:15" ht="15" customHeight="1" x14ac:dyDescent="0.3">
      <c r="A335" s="41" t="str">
        <f>IFERROR(INDEX(Combined_Data!$C:$C,$O335+1),"")</f>
        <v/>
      </c>
      <c r="B335" s="41" t="str">
        <f>IFERROR(INDEX(Combined_Data!$E:$E,$O335+1),"")</f>
        <v/>
      </c>
      <c r="C335" s="41" t="str">
        <f>IFERROR(INDEX(Combined_Data!$B:$B,$O335+1),"")</f>
        <v/>
      </c>
      <c r="D335" s="41" t="str">
        <f>IFERROR(INDEX(Combined_Data!$D:$D,$O335+1),"")</f>
        <v/>
      </c>
      <c r="E335" s="41" t="str">
        <f>IFERROR(INDEX(Combined_Data!$G:$G,$O335+1),"")</f>
        <v/>
      </c>
      <c r="F335" s="42" t="str">
        <f>IFERROR(INDEX(Combined_Data!$I:$I,$O335+1),"")</f>
        <v/>
      </c>
      <c r="G335" s="41" t="str">
        <f>IFERROR(INDEX(Combined_Data!$K:$K,$O335+1),"")</f>
        <v/>
      </c>
      <c r="H335" s="41" t="str">
        <f>IFERROR(INDEX(Combined_Data!$M:$M,$O335+1),"")</f>
        <v/>
      </c>
      <c r="I335" s="41" t="str">
        <f>IFERROR(INDEX(Combined_Data!$N:$N,$O335+1),"")</f>
        <v/>
      </c>
      <c r="J335" s="43" t="str">
        <f>IFERROR(INDEX(Combined_Data!$S:$S,$O335+1),"")</f>
        <v/>
      </c>
      <c r="K335" s="44" t="str">
        <f>IFERROR(INDEX(Combined_Data!$AF:$AF,$O335+1),"")</f>
        <v/>
      </c>
      <c r="L335" s="41" t="str">
        <f>IFERROR(INDEX(Combined_Data!$AG:$AG,$O335+1),"")</f>
        <v/>
      </c>
      <c r="M335" s="41" t="str">
        <f>IFERROR(INDEX(Combined_Data!$AH:$AH,$O335+1),"")</f>
        <v/>
      </c>
      <c r="O335" t="str">
        <f>IFERROR(_xlfn.AGGREGATE(15,6,(ROW(Combined_Data!$AI$2:$AI$3001)-1)/(Combined_Data!$AI$2:$AI$3001),301),"")</f>
        <v/>
      </c>
    </row>
    <row r="336" spans="1:15" ht="15" customHeight="1" x14ac:dyDescent="0.3">
      <c r="A336" s="41" t="str">
        <f>IFERROR(INDEX(Combined_Data!$C:$C,$O336+1),"")</f>
        <v/>
      </c>
      <c r="B336" s="41" t="str">
        <f>IFERROR(INDEX(Combined_Data!$E:$E,$O336+1),"")</f>
        <v/>
      </c>
      <c r="C336" s="41" t="str">
        <f>IFERROR(INDEX(Combined_Data!$B:$B,$O336+1),"")</f>
        <v/>
      </c>
      <c r="D336" s="41" t="str">
        <f>IFERROR(INDEX(Combined_Data!$D:$D,$O336+1),"")</f>
        <v/>
      </c>
      <c r="E336" s="41" t="str">
        <f>IFERROR(INDEX(Combined_Data!$G:$G,$O336+1),"")</f>
        <v/>
      </c>
      <c r="F336" s="42" t="str">
        <f>IFERROR(INDEX(Combined_Data!$I:$I,$O336+1),"")</f>
        <v/>
      </c>
      <c r="G336" s="41" t="str">
        <f>IFERROR(INDEX(Combined_Data!$K:$K,$O336+1),"")</f>
        <v/>
      </c>
      <c r="H336" s="41" t="str">
        <f>IFERROR(INDEX(Combined_Data!$M:$M,$O336+1),"")</f>
        <v/>
      </c>
      <c r="I336" s="41" t="str">
        <f>IFERROR(INDEX(Combined_Data!$N:$N,$O336+1),"")</f>
        <v/>
      </c>
      <c r="J336" s="43" t="str">
        <f>IFERROR(INDEX(Combined_Data!$S:$S,$O336+1),"")</f>
        <v/>
      </c>
      <c r="K336" s="44" t="str">
        <f>IFERROR(INDEX(Combined_Data!$AF:$AF,$O336+1),"")</f>
        <v/>
      </c>
      <c r="L336" s="41" t="str">
        <f>IFERROR(INDEX(Combined_Data!$AG:$AG,$O336+1),"")</f>
        <v/>
      </c>
      <c r="M336" s="41" t="str">
        <f>IFERROR(INDEX(Combined_Data!$AH:$AH,$O336+1),"")</f>
        <v/>
      </c>
      <c r="O336" t="str">
        <f>IFERROR(_xlfn.AGGREGATE(15,6,(ROW(Combined_Data!$AI$2:$AI$3001)-1)/(Combined_Data!$AI$2:$AI$3001),302),"")</f>
        <v/>
      </c>
    </row>
    <row r="337" spans="1:15" ht="15" customHeight="1" x14ac:dyDescent="0.3">
      <c r="A337" s="41" t="str">
        <f>IFERROR(INDEX(Combined_Data!$C:$C,$O337+1),"")</f>
        <v/>
      </c>
      <c r="B337" s="41" t="str">
        <f>IFERROR(INDEX(Combined_Data!$E:$E,$O337+1),"")</f>
        <v/>
      </c>
      <c r="C337" s="41" t="str">
        <f>IFERROR(INDEX(Combined_Data!$B:$B,$O337+1),"")</f>
        <v/>
      </c>
      <c r="D337" s="41" t="str">
        <f>IFERROR(INDEX(Combined_Data!$D:$D,$O337+1),"")</f>
        <v/>
      </c>
      <c r="E337" s="41" t="str">
        <f>IFERROR(INDEX(Combined_Data!$G:$G,$O337+1),"")</f>
        <v/>
      </c>
      <c r="F337" s="42" t="str">
        <f>IFERROR(INDEX(Combined_Data!$I:$I,$O337+1),"")</f>
        <v/>
      </c>
      <c r="G337" s="41" t="str">
        <f>IFERROR(INDEX(Combined_Data!$K:$K,$O337+1),"")</f>
        <v/>
      </c>
      <c r="H337" s="41" t="str">
        <f>IFERROR(INDEX(Combined_Data!$M:$M,$O337+1),"")</f>
        <v/>
      </c>
      <c r="I337" s="41" t="str">
        <f>IFERROR(INDEX(Combined_Data!$N:$N,$O337+1),"")</f>
        <v/>
      </c>
      <c r="J337" s="43" t="str">
        <f>IFERROR(INDEX(Combined_Data!$S:$S,$O337+1),"")</f>
        <v/>
      </c>
      <c r="K337" s="44" t="str">
        <f>IFERROR(INDEX(Combined_Data!$AF:$AF,$O337+1),"")</f>
        <v/>
      </c>
      <c r="L337" s="41" t="str">
        <f>IFERROR(INDEX(Combined_Data!$AG:$AG,$O337+1),"")</f>
        <v/>
      </c>
      <c r="M337" s="41" t="str">
        <f>IFERROR(INDEX(Combined_Data!$AH:$AH,$O337+1),"")</f>
        <v/>
      </c>
      <c r="O337" t="str">
        <f>IFERROR(_xlfn.AGGREGATE(15,6,(ROW(Combined_Data!$AI$2:$AI$3001)-1)/(Combined_Data!$AI$2:$AI$3001),303),"")</f>
        <v/>
      </c>
    </row>
    <row r="338" spans="1:15" ht="15" customHeight="1" x14ac:dyDescent="0.3">
      <c r="A338" s="41" t="str">
        <f>IFERROR(INDEX(Combined_Data!$C:$C,$O338+1),"")</f>
        <v/>
      </c>
      <c r="B338" s="41" t="str">
        <f>IFERROR(INDEX(Combined_Data!$E:$E,$O338+1),"")</f>
        <v/>
      </c>
      <c r="C338" s="41" t="str">
        <f>IFERROR(INDEX(Combined_Data!$B:$B,$O338+1),"")</f>
        <v/>
      </c>
      <c r="D338" s="41" t="str">
        <f>IFERROR(INDEX(Combined_Data!$D:$D,$O338+1),"")</f>
        <v/>
      </c>
      <c r="E338" s="41" t="str">
        <f>IFERROR(INDEX(Combined_Data!$G:$G,$O338+1),"")</f>
        <v/>
      </c>
      <c r="F338" s="42" t="str">
        <f>IFERROR(INDEX(Combined_Data!$I:$I,$O338+1),"")</f>
        <v/>
      </c>
      <c r="G338" s="41" t="str">
        <f>IFERROR(INDEX(Combined_Data!$K:$K,$O338+1),"")</f>
        <v/>
      </c>
      <c r="H338" s="41" t="str">
        <f>IFERROR(INDEX(Combined_Data!$M:$M,$O338+1),"")</f>
        <v/>
      </c>
      <c r="I338" s="41" t="str">
        <f>IFERROR(INDEX(Combined_Data!$N:$N,$O338+1),"")</f>
        <v/>
      </c>
      <c r="J338" s="43" t="str">
        <f>IFERROR(INDEX(Combined_Data!$S:$S,$O338+1),"")</f>
        <v/>
      </c>
      <c r="K338" s="44" t="str">
        <f>IFERROR(INDEX(Combined_Data!$AF:$AF,$O338+1),"")</f>
        <v/>
      </c>
      <c r="L338" s="41" t="str">
        <f>IFERROR(INDEX(Combined_Data!$AG:$AG,$O338+1),"")</f>
        <v/>
      </c>
      <c r="M338" s="41" t="str">
        <f>IFERROR(INDEX(Combined_Data!$AH:$AH,$O338+1),"")</f>
        <v/>
      </c>
      <c r="O338" t="str">
        <f>IFERROR(_xlfn.AGGREGATE(15,6,(ROW(Combined_Data!$AI$2:$AI$3001)-1)/(Combined_Data!$AI$2:$AI$3001),304),"")</f>
        <v/>
      </c>
    </row>
    <row r="339" spans="1:15" ht="15" customHeight="1" x14ac:dyDescent="0.3">
      <c r="A339" s="41" t="str">
        <f>IFERROR(INDEX(Combined_Data!$C:$C,$O339+1),"")</f>
        <v/>
      </c>
      <c r="B339" s="41" t="str">
        <f>IFERROR(INDEX(Combined_Data!$E:$E,$O339+1),"")</f>
        <v/>
      </c>
      <c r="C339" s="41" t="str">
        <f>IFERROR(INDEX(Combined_Data!$B:$B,$O339+1),"")</f>
        <v/>
      </c>
      <c r="D339" s="41" t="str">
        <f>IFERROR(INDEX(Combined_Data!$D:$D,$O339+1),"")</f>
        <v/>
      </c>
      <c r="E339" s="41" t="str">
        <f>IFERROR(INDEX(Combined_Data!$G:$G,$O339+1),"")</f>
        <v/>
      </c>
      <c r="F339" s="42" t="str">
        <f>IFERROR(INDEX(Combined_Data!$I:$I,$O339+1),"")</f>
        <v/>
      </c>
      <c r="G339" s="41" t="str">
        <f>IFERROR(INDEX(Combined_Data!$K:$K,$O339+1),"")</f>
        <v/>
      </c>
      <c r="H339" s="41" t="str">
        <f>IFERROR(INDEX(Combined_Data!$M:$M,$O339+1),"")</f>
        <v/>
      </c>
      <c r="I339" s="41" t="str">
        <f>IFERROR(INDEX(Combined_Data!$N:$N,$O339+1),"")</f>
        <v/>
      </c>
      <c r="J339" s="43" t="str">
        <f>IFERROR(INDEX(Combined_Data!$S:$S,$O339+1),"")</f>
        <v/>
      </c>
      <c r="K339" s="44" t="str">
        <f>IFERROR(INDEX(Combined_Data!$AF:$AF,$O339+1),"")</f>
        <v/>
      </c>
      <c r="L339" s="41" t="str">
        <f>IFERROR(INDEX(Combined_Data!$AG:$AG,$O339+1),"")</f>
        <v/>
      </c>
      <c r="M339" s="41" t="str">
        <f>IFERROR(INDEX(Combined_Data!$AH:$AH,$O339+1),"")</f>
        <v/>
      </c>
      <c r="O339" t="str">
        <f>IFERROR(_xlfn.AGGREGATE(15,6,(ROW(Combined_Data!$AI$2:$AI$3001)-1)/(Combined_Data!$AI$2:$AI$3001),305),"")</f>
        <v/>
      </c>
    </row>
    <row r="340" spans="1:15" ht="15" customHeight="1" x14ac:dyDescent="0.3">
      <c r="A340" s="41" t="str">
        <f>IFERROR(INDEX(Combined_Data!$C:$C,$O340+1),"")</f>
        <v/>
      </c>
      <c r="B340" s="41" t="str">
        <f>IFERROR(INDEX(Combined_Data!$E:$E,$O340+1),"")</f>
        <v/>
      </c>
      <c r="C340" s="41" t="str">
        <f>IFERROR(INDEX(Combined_Data!$B:$B,$O340+1),"")</f>
        <v/>
      </c>
      <c r="D340" s="41" t="str">
        <f>IFERROR(INDEX(Combined_Data!$D:$D,$O340+1),"")</f>
        <v/>
      </c>
      <c r="E340" s="41" t="str">
        <f>IFERROR(INDEX(Combined_Data!$G:$G,$O340+1),"")</f>
        <v/>
      </c>
      <c r="F340" s="42" t="str">
        <f>IFERROR(INDEX(Combined_Data!$I:$I,$O340+1),"")</f>
        <v/>
      </c>
      <c r="G340" s="41" t="str">
        <f>IFERROR(INDEX(Combined_Data!$K:$K,$O340+1),"")</f>
        <v/>
      </c>
      <c r="H340" s="41" t="str">
        <f>IFERROR(INDEX(Combined_Data!$M:$M,$O340+1),"")</f>
        <v/>
      </c>
      <c r="I340" s="41" t="str">
        <f>IFERROR(INDEX(Combined_Data!$N:$N,$O340+1),"")</f>
        <v/>
      </c>
      <c r="J340" s="43" t="str">
        <f>IFERROR(INDEX(Combined_Data!$S:$S,$O340+1),"")</f>
        <v/>
      </c>
      <c r="K340" s="44" t="str">
        <f>IFERROR(INDEX(Combined_Data!$AF:$AF,$O340+1),"")</f>
        <v/>
      </c>
      <c r="L340" s="41" t="str">
        <f>IFERROR(INDEX(Combined_Data!$AG:$AG,$O340+1),"")</f>
        <v/>
      </c>
      <c r="M340" s="41" t="str">
        <f>IFERROR(INDEX(Combined_Data!$AH:$AH,$O340+1),"")</f>
        <v/>
      </c>
      <c r="O340" t="str">
        <f>IFERROR(_xlfn.AGGREGATE(15,6,(ROW(Combined_Data!$AI$2:$AI$3001)-1)/(Combined_Data!$AI$2:$AI$3001),306),"")</f>
        <v/>
      </c>
    </row>
    <row r="341" spans="1:15" ht="15" customHeight="1" x14ac:dyDescent="0.3">
      <c r="A341" s="41" t="str">
        <f>IFERROR(INDEX(Combined_Data!$C:$C,$O341+1),"")</f>
        <v/>
      </c>
      <c r="B341" s="41" t="str">
        <f>IFERROR(INDEX(Combined_Data!$E:$E,$O341+1),"")</f>
        <v/>
      </c>
      <c r="C341" s="41" t="str">
        <f>IFERROR(INDEX(Combined_Data!$B:$B,$O341+1),"")</f>
        <v/>
      </c>
      <c r="D341" s="41" t="str">
        <f>IFERROR(INDEX(Combined_Data!$D:$D,$O341+1),"")</f>
        <v/>
      </c>
      <c r="E341" s="41" t="str">
        <f>IFERROR(INDEX(Combined_Data!$G:$G,$O341+1),"")</f>
        <v/>
      </c>
      <c r="F341" s="42" t="str">
        <f>IFERROR(INDEX(Combined_Data!$I:$I,$O341+1),"")</f>
        <v/>
      </c>
      <c r="G341" s="41" t="str">
        <f>IFERROR(INDEX(Combined_Data!$K:$K,$O341+1),"")</f>
        <v/>
      </c>
      <c r="H341" s="41" t="str">
        <f>IFERROR(INDEX(Combined_Data!$M:$M,$O341+1),"")</f>
        <v/>
      </c>
      <c r="I341" s="41" t="str">
        <f>IFERROR(INDEX(Combined_Data!$N:$N,$O341+1),"")</f>
        <v/>
      </c>
      <c r="J341" s="43" t="str">
        <f>IFERROR(INDEX(Combined_Data!$S:$S,$O341+1),"")</f>
        <v/>
      </c>
      <c r="K341" s="44" t="str">
        <f>IFERROR(INDEX(Combined_Data!$AF:$AF,$O341+1),"")</f>
        <v/>
      </c>
      <c r="L341" s="41" t="str">
        <f>IFERROR(INDEX(Combined_Data!$AG:$AG,$O341+1),"")</f>
        <v/>
      </c>
      <c r="M341" s="41" t="str">
        <f>IFERROR(INDEX(Combined_Data!$AH:$AH,$O341+1),"")</f>
        <v/>
      </c>
      <c r="O341" t="str">
        <f>IFERROR(_xlfn.AGGREGATE(15,6,(ROW(Combined_Data!$AI$2:$AI$3001)-1)/(Combined_Data!$AI$2:$AI$3001),307),"")</f>
        <v/>
      </c>
    </row>
    <row r="342" spans="1:15" ht="15" customHeight="1" x14ac:dyDescent="0.3">
      <c r="A342" s="41" t="str">
        <f>IFERROR(INDEX(Combined_Data!$C:$C,$O342+1),"")</f>
        <v/>
      </c>
      <c r="B342" s="41" t="str">
        <f>IFERROR(INDEX(Combined_Data!$E:$E,$O342+1),"")</f>
        <v/>
      </c>
      <c r="C342" s="41" t="str">
        <f>IFERROR(INDEX(Combined_Data!$B:$B,$O342+1),"")</f>
        <v/>
      </c>
      <c r="D342" s="41" t="str">
        <f>IFERROR(INDEX(Combined_Data!$D:$D,$O342+1),"")</f>
        <v/>
      </c>
      <c r="E342" s="41" t="str">
        <f>IFERROR(INDEX(Combined_Data!$G:$G,$O342+1),"")</f>
        <v/>
      </c>
      <c r="F342" s="42" t="str">
        <f>IFERROR(INDEX(Combined_Data!$I:$I,$O342+1),"")</f>
        <v/>
      </c>
      <c r="G342" s="41" t="str">
        <f>IFERROR(INDEX(Combined_Data!$K:$K,$O342+1),"")</f>
        <v/>
      </c>
      <c r="H342" s="41" t="str">
        <f>IFERROR(INDEX(Combined_Data!$M:$M,$O342+1),"")</f>
        <v/>
      </c>
      <c r="I342" s="41" t="str">
        <f>IFERROR(INDEX(Combined_Data!$N:$N,$O342+1),"")</f>
        <v/>
      </c>
      <c r="J342" s="43" t="str">
        <f>IFERROR(INDEX(Combined_Data!$S:$S,$O342+1),"")</f>
        <v/>
      </c>
      <c r="K342" s="44" t="str">
        <f>IFERROR(INDEX(Combined_Data!$AF:$AF,$O342+1),"")</f>
        <v/>
      </c>
      <c r="L342" s="41" t="str">
        <f>IFERROR(INDEX(Combined_Data!$AG:$AG,$O342+1),"")</f>
        <v/>
      </c>
      <c r="M342" s="41" t="str">
        <f>IFERROR(INDEX(Combined_Data!$AH:$AH,$O342+1),"")</f>
        <v/>
      </c>
      <c r="O342" t="str">
        <f>IFERROR(_xlfn.AGGREGATE(15,6,(ROW(Combined_Data!$AI$2:$AI$3001)-1)/(Combined_Data!$AI$2:$AI$3001),308),"")</f>
        <v/>
      </c>
    </row>
    <row r="343" spans="1:15" ht="15" customHeight="1" x14ac:dyDescent="0.3">
      <c r="A343" s="41" t="str">
        <f>IFERROR(INDEX(Combined_Data!$C:$C,$O343+1),"")</f>
        <v/>
      </c>
      <c r="B343" s="41" t="str">
        <f>IFERROR(INDEX(Combined_Data!$E:$E,$O343+1),"")</f>
        <v/>
      </c>
      <c r="C343" s="41" t="str">
        <f>IFERROR(INDEX(Combined_Data!$B:$B,$O343+1),"")</f>
        <v/>
      </c>
      <c r="D343" s="41" t="str">
        <f>IFERROR(INDEX(Combined_Data!$D:$D,$O343+1),"")</f>
        <v/>
      </c>
      <c r="E343" s="41" t="str">
        <f>IFERROR(INDEX(Combined_Data!$G:$G,$O343+1),"")</f>
        <v/>
      </c>
      <c r="F343" s="42" t="str">
        <f>IFERROR(INDEX(Combined_Data!$I:$I,$O343+1),"")</f>
        <v/>
      </c>
      <c r="G343" s="41" t="str">
        <f>IFERROR(INDEX(Combined_Data!$K:$K,$O343+1),"")</f>
        <v/>
      </c>
      <c r="H343" s="41" t="str">
        <f>IFERROR(INDEX(Combined_Data!$M:$M,$O343+1),"")</f>
        <v/>
      </c>
      <c r="I343" s="41" t="str">
        <f>IFERROR(INDEX(Combined_Data!$N:$N,$O343+1),"")</f>
        <v/>
      </c>
      <c r="J343" s="43" t="str">
        <f>IFERROR(INDEX(Combined_Data!$S:$S,$O343+1),"")</f>
        <v/>
      </c>
      <c r="K343" s="44" t="str">
        <f>IFERROR(INDEX(Combined_Data!$AF:$AF,$O343+1),"")</f>
        <v/>
      </c>
      <c r="L343" s="41" t="str">
        <f>IFERROR(INDEX(Combined_Data!$AG:$AG,$O343+1),"")</f>
        <v/>
      </c>
      <c r="M343" s="41" t="str">
        <f>IFERROR(INDEX(Combined_Data!$AH:$AH,$O343+1),"")</f>
        <v/>
      </c>
      <c r="O343" t="str">
        <f>IFERROR(_xlfn.AGGREGATE(15,6,(ROW(Combined_Data!$AI$2:$AI$3001)-1)/(Combined_Data!$AI$2:$AI$3001),309),"")</f>
        <v/>
      </c>
    </row>
    <row r="344" spans="1:15" ht="15" customHeight="1" x14ac:dyDescent="0.3">
      <c r="A344" s="41" t="str">
        <f>IFERROR(INDEX(Combined_Data!$C:$C,$O344+1),"")</f>
        <v/>
      </c>
      <c r="B344" s="41" t="str">
        <f>IFERROR(INDEX(Combined_Data!$E:$E,$O344+1),"")</f>
        <v/>
      </c>
      <c r="C344" s="41" t="str">
        <f>IFERROR(INDEX(Combined_Data!$B:$B,$O344+1),"")</f>
        <v/>
      </c>
      <c r="D344" s="41" t="str">
        <f>IFERROR(INDEX(Combined_Data!$D:$D,$O344+1),"")</f>
        <v/>
      </c>
      <c r="E344" s="41" t="str">
        <f>IFERROR(INDEX(Combined_Data!$G:$G,$O344+1),"")</f>
        <v/>
      </c>
      <c r="F344" s="42" t="str">
        <f>IFERROR(INDEX(Combined_Data!$I:$I,$O344+1),"")</f>
        <v/>
      </c>
      <c r="G344" s="41" t="str">
        <f>IFERROR(INDEX(Combined_Data!$K:$K,$O344+1),"")</f>
        <v/>
      </c>
      <c r="H344" s="41" t="str">
        <f>IFERROR(INDEX(Combined_Data!$M:$M,$O344+1),"")</f>
        <v/>
      </c>
      <c r="I344" s="41" t="str">
        <f>IFERROR(INDEX(Combined_Data!$N:$N,$O344+1),"")</f>
        <v/>
      </c>
      <c r="J344" s="43" t="str">
        <f>IFERROR(INDEX(Combined_Data!$S:$S,$O344+1),"")</f>
        <v/>
      </c>
      <c r="K344" s="44" t="str">
        <f>IFERROR(INDEX(Combined_Data!$AF:$AF,$O344+1),"")</f>
        <v/>
      </c>
      <c r="L344" s="41" t="str">
        <f>IFERROR(INDEX(Combined_Data!$AG:$AG,$O344+1),"")</f>
        <v/>
      </c>
      <c r="M344" s="41" t="str">
        <f>IFERROR(INDEX(Combined_Data!$AH:$AH,$O344+1),"")</f>
        <v/>
      </c>
      <c r="O344" t="str">
        <f>IFERROR(_xlfn.AGGREGATE(15,6,(ROW(Combined_Data!$AI$2:$AI$3001)-1)/(Combined_Data!$AI$2:$AI$3001),310),"")</f>
        <v/>
      </c>
    </row>
    <row r="345" spans="1:15" ht="15" customHeight="1" x14ac:dyDescent="0.3">
      <c r="A345" s="41" t="str">
        <f>IFERROR(INDEX(Combined_Data!$C:$C,$O345+1),"")</f>
        <v/>
      </c>
      <c r="B345" s="41" t="str">
        <f>IFERROR(INDEX(Combined_Data!$E:$E,$O345+1),"")</f>
        <v/>
      </c>
      <c r="C345" s="41" t="str">
        <f>IFERROR(INDEX(Combined_Data!$B:$B,$O345+1),"")</f>
        <v/>
      </c>
      <c r="D345" s="41" t="str">
        <f>IFERROR(INDEX(Combined_Data!$D:$D,$O345+1),"")</f>
        <v/>
      </c>
      <c r="E345" s="41" t="str">
        <f>IFERROR(INDEX(Combined_Data!$G:$G,$O345+1),"")</f>
        <v/>
      </c>
      <c r="F345" s="42" t="str">
        <f>IFERROR(INDEX(Combined_Data!$I:$I,$O345+1),"")</f>
        <v/>
      </c>
      <c r="G345" s="41" t="str">
        <f>IFERROR(INDEX(Combined_Data!$K:$K,$O345+1),"")</f>
        <v/>
      </c>
      <c r="H345" s="41" t="str">
        <f>IFERROR(INDEX(Combined_Data!$M:$M,$O345+1),"")</f>
        <v/>
      </c>
      <c r="I345" s="41" t="str">
        <f>IFERROR(INDEX(Combined_Data!$N:$N,$O345+1),"")</f>
        <v/>
      </c>
      <c r="J345" s="43" t="str">
        <f>IFERROR(INDEX(Combined_Data!$S:$S,$O345+1),"")</f>
        <v/>
      </c>
      <c r="K345" s="44" t="str">
        <f>IFERROR(INDEX(Combined_Data!$AF:$AF,$O345+1),"")</f>
        <v/>
      </c>
      <c r="L345" s="41" t="str">
        <f>IFERROR(INDEX(Combined_Data!$AG:$AG,$O345+1),"")</f>
        <v/>
      </c>
      <c r="M345" s="41" t="str">
        <f>IFERROR(INDEX(Combined_Data!$AH:$AH,$O345+1),"")</f>
        <v/>
      </c>
      <c r="O345" t="str">
        <f>IFERROR(_xlfn.AGGREGATE(15,6,(ROW(Combined_Data!$AI$2:$AI$3001)-1)/(Combined_Data!$AI$2:$AI$3001),311),"")</f>
        <v/>
      </c>
    </row>
    <row r="346" spans="1:15" ht="15" customHeight="1" x14ac:dyDescent="0.3">
      <c r="A346" s="41" t="str">
        <f>IFERROR(INDEX(Combined_Data!$C:$C,$O346+1),"")</f>
        <v/>
      </c>
      <c r="B346" s="41" t="str">
        <f>IFERROR(INDEX(Combined_Data!$E:$E,$O346+1),"")</f>
        <v/>
      </c>
      <c r="C346" s="41" t="str">
        <f>IFERROR(INDEX(Combined_Data!$B:$B,$O346+1),"")</f>
        <v/>
      </c>
      <c r="D346" s="41" t="str">
        <f>IFERROR(INDEX(Combined_Data!$D:$D,$O346+1),"")</f>
        <v/>
      </c>
      <c r="E346" s="41" t="str">
        <f>IFERROR(INDEX(Combined_Data!$G:$G,$O346+1),"")</f>
        <v/>
      </c>
      <c r="F346" s="42" t="str">
        <f>IFERROR(INDEX(Combined_Data!$I:$I,$O346+1),"")</f>
        <v/>
      </c>
      <c r="G346" s="41" t="str">
        <f>IFERROR(INDEX(Combined_Data!$K:$K,$O346+1),"")</f>
        <v/>
      </c>
      <c r="H346" s="41" t="str">
        <f>IFERROR(INDEX(Combined_Data!$M:$M,$O346+1),"")</f>
        <v/>
      </c>
      <c r="I346" s="41" t="str">
        <f>IFERROR(INDEX(Combined_Data!$N:$N,$O346+1),"")</f>
        <v/>
      </c>
      <c r="J346" s="43" t="str">
        <f>IFERROR(INDEX(Combined_Data!$S:$S,$O346+1),"")</f>
        <v/>
      </c>
      <c r="K346" s="44" t="str">
        <f>IFERROR(INDEX(Combined_Data!$AF:$AF,$O346+1),"")</f>
        <v/>
      </c>
      <c r="L346" s="41" t="str">
        <f>IFERROR(INDEX(Combined_Data!$AG:$AG,$O346+1),"")</f>
        <v/>
      </c>
      <c r="M346" s="41" t="str">
        <f>IFERROR(INDEX(Combined_Data!$AH:$AH,$O346+1),"")</f>
        <v/>
      </c>
      <c r="O346" t="str">
        <f>IFERROR(_xlfn.AGGREGATE(15,6,(ROW(Combined_Data!$AI$2:$AI$3001)-1)/(Combined_Data!$AI$2:$AI$3001),312),"")</f>
        <v/>
      </c>
    </row>
    <row r="347" spans="1:15" ht="15" customHeight="1" x14ac:dyDescent="0.3">
      <c r="A347" s="41" t="str">
        <f>IFERROR(INDEX(Combined_Data!$C:$C,$O347+1),"")</f>
        <v/>
      </c>
      <c r="B347" s="41" t="str">
        <f>IFERROR(INDEX(Combined_Data!$E:$E,$O347+1),"")</f>
        <v/>
      </c>
      <c r="C347" s="41" t="str">
        <f>IFERROR(INDEX(Combined_Data!$B:$B,$O347+1),"")</f>
        <v/>
      </c>
      <c r="D347" s="41" t="str">
        <f>IFERROR(INDEX(Combined_Data!$D:$D,$O347+1),"")</f>
        <v/>
      </c>
      <c r="E347" s="41" t="str">
        <f>IFERROR(INDEX(Combined_Data!$G:$G,$O347+1),"")</f>
        <v/>
      </c>
      <c r="F347" s="42" t="str">
        <f>IFERROR(INDEX(Combined_Data!$I:$I,$O347+1),"")</f>
        <v/>
      </c>
      <c r="G347" s="41" t="str">
        <f>IFERROR(INDEX(Combined_Data!$K:$K,$O347+1),"")</f>
        <v/>
      </c>
      <c r="H347" s="41" t="str">
        <f>IFERROR(INDEX(Combined_Data!$M:$M,$O347+1),"")</f>
        <v/>
      </c>
      <c r="I347" s="41" t="str">
        <f>IFERROR(INDEX(Combined_Data!$N:$N,$O347+1),"")</f>
        <v/>
      </c>
      <c r="J347" s="43" t="str">
        <f>IFERROR(INDEX(Combined_Data!$S:$S,$O347+1),"")</f>
        <v/>
      </c>
      <c r="K347" s="44" t="str">
        <f>IFERROR(INDEX(Combined_Data!$AF:$AF,$O347+1),"")</f>
        <v/>
      </c>
      <c r="L347" s="41" t="str">
        <f>IFERROR(INDEX(Combined_Data!$AG:$AG,$O347+1),"")</f>
        <v/>
      </c>
      <c r="M347" s="41" t="str">
        <f>IFERROR(INDEX(Combined_Data!$AH:$AH,$O347+1),"")</f>
        <v/>
      </c>
      <c r="O347" t="str">
        <f>IFERROR(_xlfn.AGGREGATE(15,6,(ROW(Combined_Data!$AI$2:$AI$3001)-1)/(Combined_Data!$AI$2:$AI$3001),313),"")</f>
        <v/>
      </c>
    </row>
    <row r="348" spans="1:15" ht="15" customHeight="1" x14ac:dyDescent="0.3">
      <c r="A348" s="41" t="str">
        <f>IFERROR(INDEX(Combined_Data!$C:$C,$O348+1),"")</f>
        <v/>
      </c>
      <c r="B348" s="41" t="str">
        <f>IFERROR(INDEX(Combined_Data!$E:$E,$O348+1),"")</f>
        <v/>
      </c>
      <c r="C348" s="41" t="str">
        <f>IFERROR(INDEX(Combined_Data!$B:$B,$O348+1),"")</f>
        <v/>
      </c>
      <c r="D348" s="41" t="str">
        <f>IFERROR(INDEX(Combined_Data!$D:$D,$O348+1),"")</f>
        <v/>
      </c>
      <c r="E348" s="41" t="str">
        <f>IFERROR(INDEX(Combined_Data!$G:$G,$O348+1),"")</f>
        <v/>
      </c>
      <c r="F348" s="42" t="str">
        <f>IFERROR(INDEX(Combined_Data!$I:$I,$O348+1),"")</f>
        <v/>
      </c>
      <c r="G348" s="41" t="str">
        <f>IFERROR(INDEX(Combined_Data!$K:$K,$O348+1),"")</f>
        <v/>
      </c>
      <c r="H348" s="41" t="str">
        <f>IFERROR(INDEX(Combined_Data!$M:$M,$O348+1),"")</f>
        <v/>
      </c>
      <c r="I348" s="41" t="str">
        <f>IFERROR(INDEX(Combined_Data!$N:$N,$O348+1),"")</f>
        <v/>
      </c>
      <c r="J348" s="43" t="str">
        <f>IFERROR(INDEX(Combined_Data!$S:$S,$O348+1),"")</f>
        <v/>
      </c>
      <c r="K348" s="44" t="str">
        <f>IFERROR(INDEX(Combined_Data!$AF:$AF,$O348+1),"")</f>
        <v/>
      </c>
      <c r="L348" s="41" t="str">
        <f>IFERROR(INDEX(Combined_Data!$AG:$AG,$O348+1),"")</f>
        <v/>
      </c>
      <c r="M348" s="41" t="str">
        <f>IFERROR(INDEX(Combined_Data!$AH:$AH,$O348+1),"")</f>
        <v/>
      </c>
      <c r="O348" t="str">
        <f>IFERROR(_xlfn.AGGREGATE(15,6,(ROW(Combined_Data!$AI$2:$AI$3001)-1)/(Combined_Data!$AI$2:$AI$3001),314),"")</f>
        <v/>
      </c>
    </row>
    <row r="349" spans="1:15" ht="15" customHeight="1" x14ac:dyDescent="0.3">
      <c r="A349" s="41" t="str">
        <f>IFERROR(INDEX(Combined_Data!$C:$C,$O349+1),"")</f>
        <v/>
      </c>
      <c r="B349" s="41" t="str">
        <f>IFERROR(INDEX(Combined_Data!$E:$E,$O349+1),"")</f>
        <v/>
      </c>
      <c r="C349" s="41" t="str">
        <f>IFERROR(INDEX(Combined_Data!$B:$B,$O349+1),"")</f>
        <v/>
      </c>
      <c r="D349" s="41" t="str">
        <f>IFERROR(INDEX(Combined_Data!$D:$D,$O349+1),"")</f>
        <v/>
      </c>
      <c r="E349" s="41" t="str">
        <f>IFERROR(INDEX(Combined_Data!$G:$G,$O349+1),"")</f>
        <v/>
      </c>
      <c r="F349" s="42" t="str">
        <f>IFERROR(INDEX(Combined_Data!$I:$I,$O349+1),"")</f>
        <v/>
      </c>
      <c r="G349" s="41" t="str">
        <f>IFERROR(INDEX(Combined_Data!$K:$K,$O349+1),"")</f>
        <v/>
      </c>
      <c r="H349" s="41" t="str">
        <f>IFERROR(INDEX(Combined_Data!$M:$M,$O349+1),"")</f>
        <v/>
      </c>
      <c r="I349" s="41" t="str">
        <f>IFERROR(INDEX(Combined_Data!$N:$N,$O349+1),"")</f>
        <v/>
      </c>
      <c r="J349" s="43" t="str">
        <f>IFERROR(INDEX(Combined_Data!$S:$S,$O349+1),"")</f>
        <v/>
      </c>
      <c r="K349" s="44" t="str">
        <f>IFERROR(INDEX(Combined_Data!$AF:$AF,$O349+1),"")</f>
        <v/>
      </c>
      <c r="L349" s="41" t="str">
        <f>IFERROR(INDEX(Combined_Data!$AG:$AG,$O349+1),"")</f>
        <v/>
      </c>
      <c r="M349" s="41" t="str">
        <f>IFERROR(INDEX(Combined_Data!$AH:$AH,$O349+1),"")</f>
        <v/>
      </c>
      <c r="O349" t="str">
        <f>IFERROR(_xlfn.AGGREGATE(15,6,(ROW(Combined_Data!$AI$2:$AI$3001)-1)/(Combined_Data!$AI$2:$AI$3001),315),"")</f>
        <v/>
      </c>
    </row>
    <row r="350" spans="1:15" ht="15" customHeight="1" x14ac:dyDescent="0.3">
      <c r="A350" s="41" t="str">
        <f>IFERROR(INDEX(Combined_Data!$C:$C,$O350+1),"")</f>
        <v/>
      </c>
      <c r="B350" s="41" t="str">
        <f>IFERROR(INDEX(Combined_Data!$E:$E,$O350+1),"")</f>
        <v/>
      </c>
      <c r="C350" s="41" t="str">
        <f>IFERROR(INDEX(Combined_Data!$B:$B,$O350+1),"")</f>
        <v/>
      </c>
      <c r="D350" s="41" t="str">
        <f>IFERROR(INDEX(Combined_Data!$D:$D,$O350+1),"")</f>
        <v/>
      </c>
      <c r="E350" s="41" t="str">
        <f>IFERROR(INDEX(Combined_Data!$G:$G,$O350+1),"")</f>
        <v/>
      </c>
      <c r="F350" s="42" t="str">
        <f>IFERROR(INDEX(Combined_Data!$I:$I,$O350+1),"")</f>
        <v/>
      </c>
      <c r="G350" s="41" t="str">
        <f>IFERROR(INDEX(Combined_Data!$K:$K,$O350+1),"")</f>
        <v/>
      </c>
      <c r="H350" s="41" t="str">
        <f>IFERROR(INDEX(Combined_Data!$M:$M,$O350+1),"")</f>
        <v/>
      </c>
      <c r="I350" s="41" t="str">
        <f>IFERROR(INDEX(Combined_Data!$N:$N,$O350+1),"")</f>
        <v/>
      </c>
      <c r="J350" s="43" t="str">
        <f>IFERROR(INDEX(Combined_Data!$S:$S,$O350+1),"")</f>
        <v/>
      </c>
      <c r="K350" s="44" t="str">
        <f>IFERROR(INDEX(Combined_Data!$AF:$AF,$O350+1),"")</f>
        <v/>
      </c>
      <c r="L350" s="41" t="str">
        <f>IFERROR(INDEX(Combined_Data!$AG:$AG,$O350+1),"")</f>
        <v/>
      </c>
      <c r="M350" s="41" t="str">
        <f>IFERROR(INDEX(Combined_Data!$AH:$AH,$O350+1),"")</f>
        <v/>
      </c>
      <c r="O350" t="str">
        <f>IFERROR(_xlfn.AGGREGATE(15,6,(ROW(Combined_Data!$AI$2:$AI$3001)-1)/(Combined_Data!$AI$2:$AI$3001),316),"")</f>
        <v/>
      </c>
    </row>
    <row r="351" spans="1:15" ht="15" customHeight="1" x14ac:dyDescent="0.3">
      <c r="A351" s="41" t="str">
        <f>IFERROR(INDEX(Combined_Data!$C:$C,$O351+1),"")</f>
        <v/>
      </c>
      <c r="B351" s="41" t="str">
        <f>IFERROR(INDEX(Combined_Data!$E:$E,$O351+1),"")</f>
        <v/>
      </c>
      <c r="C351" s="41" t="str">
        <f>IFERROR(INDEX(Combined_Data!$B:$B,$O351+1),"")</f>
        <v/>
      </c>
      <c r="D351" s="41" t="str">
        <f>IFERROR(INDEX(Combined_Data!$D:$D,$O351+1),"")</f>
        <v/>
      </c>
      <c r="E351" s="41" t="str">
        <f>IFERROR(INDEX(Combined_Data!$G:$G,$O351+1),"")</f>
        <v/>
      </c>
      <c r="F351" s="42" t="str">
        <f>IFERROR(INDEX(Combined_Data!$I:$I,$O351+1),"")</f>
        <v/>
      </c>
      <c r="G351" s="41" t="str">
        <f>IFERROR(INDEX(Combined_Data!$K:$K,$O351+1),"")</f>
        <v/>
      </c>
      <c r="H351" s="41" t="str">
        <f>IFERROR(INDEX(Combined_Data!$M:$M,$O351+1),"")</f>
        <v/>
      </c>
      <c r="I351" s="41" t="str">
        <f>IFERROR(INDEX(Combined_Data!$N:$N,$O351+1),"")</f>
        <v/>
      </c>
      <c r="J351" s="43" t="str">
        <f>IFERROR(INDEX(Combined_Data!$S:$S,$O351+1),"")</f>
        <v/>
      </c>
      <c r="K351" s="44" t="str">
        <f>IFERROR(INDEX(Combined_Data!$AF:$AF,$O351+1),"")</f>
        <v/>
      </c>
      <c r="L351" s="41" t="str">
        <f>IFERROR(INDEX(Combined_Data!$AG:$AG,$O351+1),"")</f>
        <v/>
      </c>
      <c r="M351" s="41" t="str">
        <f>IFERROR(INDEX(Combined_Data!$AH:$AH,$O351+1),"")</f>
        <v/>
      </c>
      <c r="O351" t="str">
        <f>IFERROR(_xlfn.AGGREGATE(15,6,(ROW(Combined_Data!$AI$2:$AI$3001)-1)/(Combined_Data!$AI$2:$AI$3001),317),"")</f>
        <v/>
      </c>
    </row>
    <row r="352" spans="1:15" ht="15" customHeight="1" x14ac:dyDescent="0.3">
      <c r="A352" s="41" t="str">
        <f>IFERROR(INDEX(Combined_Data!$C:$C,$O352+1),"")</f>
        <v/>
      </c>
      <c r="B352" s="41" t="str">
        <f>IFERROR(INDEX(Combined_Data!$E:$E,$O352+1),"")</f>
        <v/>
      </c>
      <c r="C352" s="41" t="str">
        <f>IFERROR(INDEX(Combined_Data!$B:$B,$O352+1),"")</f>
        <v/>
      </c>
      <c r="D352" s="41" t="str">
        <f>IFERROR(INDEX(Combined_Data!$D:$D,$O352+1),"")</f>
        <v/>
      </c>
      <c r="E352" s="41" t="str">
        <f>IFERROR(INDEX(Combined_Data!$G:$G,$O352+1),"")</f>
        <v/>
      </c>
      <c r="F352" s="42" t="str">
        <f>IFERROR(INDEX(Combined_Data!$I:$I,$O352+1),"")</f>
        <v/>
      </c>
      <c r="G352" s="41" t="str">
        <f>IFERROR(INDEX(Combined_Data!$K:$K,$O352+1),"")</f>
        <v/>
      </c>
      <c r="H352" s="41" t="str">
        <f>IFERROR(INDEX(Combined_Data!$M:$M,$O352+1),"")</f>
        <v/>
      </c>
      <c r="I352" s="41" t="str">
        <f>IFERROR(INDEX(Combined_Data!$N:$N,$O352+1),"")</f>
        <v/>
      </c>
      <c r="J352" s="43" t="str">
        <f>IFERROR(INDEX(Combined_Data!$S:$S,$O352+1),"")</f>
        <v/>
      </c>
      <c r="K352" s="44" t="str">
        <f>IFERROR(INDEX(Combined_Data!$AF:$AF,$O352+1),"")</f>
        <v/>
      </c>
      <c r="L352" s="41" t="str">
        <f>IFERROR(INDEX(Combined_Data!$AG:$AG,$O352+1),"")</f>
        <v/>
      </c>
      <c r="M352" s="41" t="str">
        <f>IFERROR(INDEX(Combined_Data!$AH:$AH,$O352+1),"")</f>
        <v/>
      </c>
      <c r="O352" t="str">
        <f>IFERROR(_xlfn.AGGREGATE(15,6,(ROW(Combined_Data!$AI$2:$AI$3001)-1)/(Combined_Data!$AI$2:$AI$3001),318),"")</f>
        <v/>
      </c>
    </row>
    <row r="353" spans="1:15" ht="15" customHeight="1" x14ac:dyDescent="0.3">
      <c r="A353" s="41" t="str">
        <f>IFERROR(INDEX(Combined_Data!$C:$C,$O353+1),"")</f>
        <v/>
      </c>
      <c r="B353" s="41" t="str">
        <f>IFERROR(INDEX(Combined_Data!$E:$E,$O353+1),"")</f>
        <v/>
      </c>
      <c r="C353" s="41" t="str">
        <f>IFERROR(INDEX(Combined_Data!$B:$B,$O353+1),"")</f>
        <v/>
      </c>
      <c r="D353" s="41" t="str">
        <f>IFERROR(INDEX(Combined_Data!$D:$D,$O353+1),"")</f>
        <v/>
      </c>
      <c r="E353" s="41" t="str">
        <f>IFERROR(INDEX(Combined_Data!$G:$G,$O353+1),"")</f>
        <v/>
      </c>
      <c r="F353" s="42" t="str">
        <f>IFERROR(INDEX(Combined_Data!$I:$I,$O353+1),"")</f>
        <v/>
      </c>
      <c r="G353" s="41" t="str">
        <f>IFERROR(INDEX(Combined_Data!$K:$K,$O353+1),"")</f>
        <v/>
      </c>
      <c r="H353" s="41" t="str">
        <f>IFERROR(INDEX(Combined_Data!$M:$M,$O353+1),"")</f>
        <v/>
      </c>
      <c r="I353" s="41" t="str">
        <f>IFERROR(INDEX(Combined_Data!$N:$N,$O353+1),"")</f>
        <v/>
      </c>
      <c r="J353" s="43" t="str">
        <f>IFERROR(INDEX(Combined_Data!$S:$S,$O353+1),"")</f>
        <v/>
      </c>
      <c r="K353" s="44" t="str">
        <f>IFERROR(INDEX(Combined_Data!$AF:$AF,$O353+1),"")</f>
        <v/>
      </c>
      <c r="L353" s="41" t="str">
        <f>IFERROR(INDEX(Combined_Data!$AG:$AG,$O353+1),"")</f>
        <v/>
      </c>
      <c r="M353" s="41" t="str">
        <f>IFERROR(INDEX(Combined_Data!$AH:$AH,$O353+1),"")</f>
        <v/>
      </c>
      <c r="O353" t="str">
        <f>IFERROR(_xlfn.AGGREGATE(15,6,(ROW(Combined_Data!$AI$2:$AI$3001)-1)/(Combined_Data!$AI$2:$AI$3001),319),"")</f>
        <v/>
      </c>
    </row>
    <row r="354" spans="1:15" ht="15" customHeight="1" x14ac:dyDescent="0.3">
      <c r="A354" s="41" t="str">
        <f>IFERROR(INDEX(Combined_Data!$C:$C,$O354+1),"")</f>
        <v/>
      </c>
      <c r="B354" s="41" t="str">
        <f>IFERROR(INDEX(Combined_Data!$E:$E,$O354+1),"")</f>
        <v/>
      </c>
      <c r="C354" s="41" t="str">
        <f>IFERROR(INDEX(Combined_Data!$B:$B,$O354+1),"")</f>
        <v/>
      </c>
      <c r="D354" s="41" t="str">
        <f>IFERROR(INDEX(Combined_Data!$D:$D,$O354+1),"")</f>
        <v/>
      </c>
      <c r="E354" s="41" t="str">
        <f>IFERROR(INDEX(Combined_Data!$G:$G,$O354+1),"")</f>
        <v/>
      </c>
      <c r="F354" s="42" t="str">
        <f>IFERROR(INDEX(Combined_Data!$I:$I,$O354+1),"")</f>
        <v/>
      </c>
      <c r="G354" s="41" t="str">
        <f>IFERROR(INDEX(Combined_Data!$K:$K,$O354+1),"")</f>
        <v/>
      </c>
      <c r="H354" s="41" t="str">
        <f>IFERROR(INDEX(Combined_Data!$M:$M,$O354+1),"")</f>
        <v/>
      </c>
      <c r="I354" s="41" t="str">
        <f>IFERROR(INDEX(Combined_Data!$N:$N,$O354+1),"")</f>
        <v/>
      </c>
      <c r="J354" s="43" t="str">
        <f>IFERROR(INDEX(Combined_Data!$S:$S,$O354+1),"")</f>
        <v/>
      </c>
      <c r="K354" s="44" t="str">
        <f>IFERROR(INDEX(Combined_Data!$AF:$AF,$O354+1),"")</f>
        <v/>
      </c>
      <c r="L354" s="41" t="str">
        <f>IFERROR(INDEX(Combined_Data!$AG:$AG,$O354+1),"")</f>
        <v/>
      </c>
      <c r="M354" s="41" t="str">
        <f>IFERROR(INDEX(Combined_Data!$AH:$AH,$O354+1),"")</f>
        <v/>
      </c>
      <c r="O354" t="str">
        <f>IFERROR(_xlfn.AGGREGATE(15,6,(ROW(Combined_Data!$AI$2:$AI$3001)-1)/(Combined_Data!$AI$2:$AI$3001),320),"")</f>
        <v/>
      </c>
    </row>
    <row r="355" spans="1:15" ht="15" customHeight="1" x14ac:dyDescent="0.3">
      <c r="A355" s="41" t="str">
        <f>IFERROR(INDEX(Combined_Data!$C:$C,$O355+1),"")</f>
        <v/>
      </c>
      <c r="B355" s="41" t="str">
        <f>IFERROR(INDEX(Combined_Data!$E:$E,$O355+1),"")</f>
        <v/>
      </c>
      <c r="C355" s="41" t="str">
        <f>IFERROR(INDEX(Combined_Data!$B:$B,$O355+1),"")</f>
        <v/>
      </c>
      <c r="D355" s="41" t="str">
        <f>IFERROR(INDEX(Combined_Data!$D:$D,$O355+1),"")</f>
        <v/>
      </c>
      <c r="E355" s="41" t="str">
        <f>IFERROR(INDEX(Combined_Data!$G:$G,$O355+1),"")</f>
        <v/>
      </c>
      <c r="F355" s="42" t="str">
        <f>IFERROR(INDEX(Combined_Data!$I:$I,$O355+1),"")</f>
        <v/>
      </c>
      <c r="G355" s="41" t="str">
        <f>IFERROR(INDEX(Combined_Data!$K:$K,$O355+1),"")</f>
        <v/>
      </c>
      <c r="H355" s="41" t="str">
        <f>IFERROR(INDEX(Combined_Data!$M:$M,$O355+1),"")</f>
        <v/>
      </c>
      <c r="I355" s="41" t="str">
        <f>IFERROR(INDEX(Combined_Data!$N:$N,$O355+1),"")</f>
        <v/>
      </c>
      <c r="J355" s="43" t="str">
        <f>IFERROR(INDEX(Combined_Data!$S:$S,$O355+1),"")</f>
        <v/>
      </c>
      <c r="K355" s="44" t="str">
        <f>IFERROR(INDEX(Combined_Data!$AF:$AF,$O355+1),"")</f>
        <v/>
      </c>
      <c r="L355" s="41" t="str">
        <f>IFERROR(INDEX(Combined_Data!$AG:$AG,$O355+1),"")</f>
        <v/>
      </c>
      <c r="M355" s="41" t="str">
        <f>IFERROR(INDEX(Combined_Data!$AH:$AH,$O355+1),"")</f>
        <v/>
      </c>
      <c r="O355" t="str">
        <f>IFERROR(_xlfn.AGGREGATE(15,6,(ROW(Combined_Data!$AI$2:$AI$3001)-1)/(Combined_Data!$AI$2:$AI$3001),321),"")</f>
        <v/>
      </c>
    </row>
    <row r="356" spans="1:15" ht="15" customHeight="1" x14ac:dyDescent="0.3">
      <c r="A356" s="41" t="str">
        <f>IFERROR(INDEX(Combined_Data!$C:$C,$O356+1),"")</f>
        <v/>
      </c>
      <c r="B356" s="41" t="str">
        <f>IFERROR(INDEX(Combined_Data!$E:$E,$O356+1),"")</f>
        <v/>
      </c>
      <c r="C356" s="41" t="str">
        <f>IFERROR(INDEX(Combined_Data!$B:$B,$O356+1),"")</f>
        <v/>
      </c>
      <c r="D356" s="41" t="str">
        <f>IFERROR(INDEX(Combined_Data!$D:$D,$O356+1),"")</f>
        <v/>
      </c>
      <c r="E356" s="41" t="str">
        <f>IFERROR(INDEX(Combined_Data!$G:$G,$O356+1),"")</f>
        <v/>
      </c>
      <c r="F356" s="42" t="str">
        <f>IFERROR(INDEX(Combined_Data!$I:$I,$O356+1),"")</f>
        <v/>
      </c>
      <c r="G356" s="41" t="str">
        <f>IFERROR(INDEX(Combined_Data!$K:$K,$O356+1),"")</f>
        <v/>
      </c>
      <c r="H356" s="41" t="str">
        <f>IFERROR(INDEX(Combined_Data!$M:$M,$O356+1),"")</f>
        <v/>
      </c>
      <c r="I356" s="41" t="str">
        <f>IFERROR(INDEX(Combined_Data!$N:$N,$O356+1),"")</f>
        <v/>
      </c>
      <c r="J356" s="43" t="str">
        <f>IFERROR(INDEX(Combined_Data!$S:$S,$O356+1),"")</f>
        <v/>
      </c>
      <c r="K356" s="44" t="str">
        <f>IFERROR(INDEX(Combined_Data!$AF:$AF,$O356+1),"")</f>
        <v/>
      </c>
      <c r="L356" s="41" t="str">
        <f>IFERROR(INDEX(Combined_Data!$AG:$AG,$O356+1),"")</f>
        <v/>
      </c>
      <c r="M356" s="41" t="str">
        <f>IFERROR(INDEX(Combined_Data!$AH:$AH,$O356+1),"")</f>
        <v/>
      </c>
      <c r="O356" t="str">
        <f>IFERROR(_xlfn.AGGREGATE(15,6,(ROW(Combined_Data!$AI$2:$AI$3001)-1)/(Combined_Data!$AI$2:$AI$3001),322),"")</f>
        <v/>
      </c>
    </row>
    <row r="357" spans="1:15" ht="15" customHeight="1" x14ac:dyDescent="0.3">
      <c r="A357" s="41" t="str">
        <f>IFERROR(INDEX(Combined_Data!$C:$C,$O357+1),"")</f>
        <v/>
      </c>
      <c r="B357" s="41" t="str">
        <f>IFERROR(INDEX(Combined_Data!$E:$E,$O357+1),"")</f>
        <v/>
      </c>
      <c r="C357" s="41" t="str">
        <f>IFERROR(INDEX(Combined_Data!$B:$B,$O357+1),"")</f>
        <v/>
      </c>
      <c r="D357" s="41" t="str">
        <f>IFERROR(INDEX(Combined_Data!$D:$D,$O357+1),"")</f>
        <v/>
      </c>
      <c r="E357" s="41" t="str">
        <f>IFERROR(INDEX(Combined_Data!$G:$G,$O357+1),"")</f>
        <v/>
      </c>
      <c r="F357" s="42" t="str">
        <f>IFERROR(INDEX(Combined_Data!$I:$I,$O357+1),"")</f>
        <v/>
      </c>
      <c r="G357" s="41" t="str">
        <f>IFERROR(INDEX(Combined_Data!$K:$K,$O357+1),"")</f>
        <v/>
      </c>
      <c r="H357" s="41" t="str">
        <f>IFERROR(INDEX(Combined_Data!$M:$M,$O357+1),"")</f>
        <v/>
      </c>
      <c r="I357" s="41" t="str">
        <f>IFERROR(INDEX(Combined_Data!$N:$N,$O357+1),"")</f>
        <v/>
      </c>
      <c r="J357" s="43" t="str">
        <f>IFERROR(INDEX(Combined_Data!$S:$S,$O357+1),"")</f>
        <v/>
      </c>
      <c r="K357" s="44" t="str">
        <f>IFERROR(INDEX(Combined_Data!$AF:$AF,$O357+1),"")</f>
        <v/>
      </c>
      <c r="L357" s="41" t="str">
        <f>IFERROR(INDEX(Combined_Data!$AG:$AG,$O357+1),"")</f>
        <v/>
      </c>
      <c r="M357" s="41" t="str">
        <f>IFERROR(INDEX(Combined_Data!$AH:$AH,$O357+1),"")</f>
        <v/>
      </c>
      <c r="O357" t="str">
        <f>IFERROR(_xlfn.AGGREGATE(15,6,(ROW(Combined_Data!$AI$2:$AI$3001)-1)/(Combined_Data!$AI$2:$AI$3001),323),"")</f>
        <v/>
      </c>
    </row>
    <row r="358" spans="1:15" ht="15" customHeight="1" x14ac:dyDescent="0.3">
      <c r="A358" s="41" t="str">
        <f>IFERROR(INDEX(Combined_Data!$C:$C,$O358+1),"")</f>
        <v/>
      </c>
      <c r="B358" s="41" t="str">
        <f>IFERROR(INDEX(Combined_Data!$E:$E,$O358+1),"")</f>
        <v/>
      </c>
      <c r="C358" s="41" t="str">
        <f>IFERROR(INDEX(Combined_Data!$B:$B,$O358+1),"")</f>
        <v/>
      </c>
      <c r="D358" s="41" t="str">
        <f>IFERROR(INDEX(Combined_Data!$D:$D,$O358+1),"")</f>
        <v/>
      </c>
      <c r="E358" s="41" t="str">
        <f>IFERROR(INDEX(Combined_Data!$G:$G,$O358+1),"")</f>
        <v/>
      </c>
      <c r="F358" s="42" t="str">
        <f>IFERROR(INDEX(Combined_Data!$I:$I,$O358+1),"")</f>
        <v/>
      </c>
      <c r="G358" s="41" t="str">
        <f>IFERROR(INDEX(Combined_Data!$K:$K,$O358+1),"")</f>
        <v/>
      </c>
      <c r="H358" s="41" t="str">
        <f>IFERROR(INDEX(Combined_Data!$M:$M,$O358+1),"")</f>
        <v/>
      </c>
      <c r="I358" s="41" t="str">
        <f>IFERROR(INDEX(Combined_Data!$N:$N,$O358+1),"")</f>
        <v/>
      </c>
      <c r="J358" s="43" t="str">
        <f>IFERROR(INDEX(Combined_Data!$S:$S,$O358+1),"")</f>
        <v/>
      </c>
      <c r="K358" s="44" t="str">
        <f>IFERROR(INDEX(Combined_Data!$AF:$AF,$O358+1),"")</f>
        <v/>
      </c>
      <c r="L358" s="41" t="str">
        <f>IFERROR(INDEX(Combined_Data!$AG:$AG,$O358+1),"")</f>
        <v/>
      </c>
      <c r="M358" s="41" t="str">
        <f>IFERROR(INDEX(Combined_Data!$AH:$AH,$O358+1),"")</f>
        <v/>
      </c>
      <c r="O358" t="str">
        <f>IFERROR(_xlfn.AGGREGATE(15,6,(ROW(Combined_Data!$AI$2:$AI$3001)-1)/(Combined_Data!$AI$2:$AI$3001),324),"")</f>
        <v/>
      </c>
    </row>
    <row r="359" spans="1:15" ht="15" customHeight="1" x14ac:dyDescent="0.3">
      <c r="A359" s="41" t="str">
        <f>IFERROR(INDEX(Combined_Data!$C:$C,$O359+1),"")</f>
        <v/>
      </c>
      <c r="B359" s="41" t="str">
        <f>IFERROR(INDEX(Combined_Data!$E:$E,$O359+1),"")</f>
        <v/>
      </c>
      <c r="C359" s="41" t="str">
        <f>IFERROR(INDEX(Combined_Data!$B:$B,$O359+1),"")</f>
        <v/>
      </c>
      <c r="D359" s="41" t="str">
        <f>IFERROR(INDEX(Combined_Data!$D:$D,$O359+1),"")</f>
        <v/>
      </c>
      <c r="E359" s="41" t="str">
        <f>IFERROR(INDEX(Combined_Data!$G:$G,$O359+1),"")</f>
        <v/>
      </c>
      <c r="F359" s="42" t="str">
        <f>IFERROR(INDEX(Combined_Data!$I:$I,$O359+1),"")</f>
        <v/>
      </c>
      <c r="G359" s="41" t="str">
        <f>IFERROR(INDEX(Combined_Data!$K:$K,$O359+1),"")</f>
        <v/>
      </c>
      <c r="H359" s="41" t="str">
        <f>IFERROR(INDEX(Combined_Data!$M:$M,$O359+1),"")</f>
        <v/>
      </c>
      <c r="I359" s="41" t="str">
        <f>IFERROR(INDEX(Combined_Data!$N:$N,$O359+1),"")</f>
        <v/>
      </c>
      <c r="J359" s="43" t="str">
        <f>IFERROR(INDEX(Combined_Data!$S:$S,$O359+1),"")</f>
        <v/>
      </c>
      <c r="K359" s="44" t="str">
        <f>IFERROR(INDEX(Combined_Data!$AF:$AF,$O359+1),"")</f>
        <v/>
      </c>
      <c r="L359" s="41" t="str">
        <f>IFERROR(INDEX(Combined_Data!$AG:$AG,$O359+1),"")</f>
        <v/>
      </c>
      <c r="M359" s="41" t="str">
        <f>IFERROR(INDEX(Combined_Data!$AH:$AH,$O359+1),"")</f>
        <v/>
      </c>
      <c r="O359" t="str">
        <f>IFERROR(_xlfn.AGGREGATE(15,6,(ROW(Combined_Data!$AI$2:$AI$3001)-1)/(Combined_Data!$AI$2:$AI$3001),325),"")</f>
        <v/>
      </c>
    </row>
    <row r="360" spans="1:15" ht="15" customHeight="1" x14ac:dyDescent="0.3">
      <c r="A360" s="41" t="str">
        <f>IFERROR(INDEX(Combined_Data!$C:$C,$O360+1),"")</f>
        <v/>
      </c>
      <c r="B360" s="41" t="str">
        <f>IFERROR(INDEX(Combined_Data!$E:$E,$O360+1),"")</f>
        <v/>
      </c>
      <c r="C360" s="41" t="str">
        <f>IFERROR(INDEX(Combined_Data!$B:$B,$O360+1),"")</f>
        <v/>
      </c>
      <c r="D360" s="41" t="str">
        <f>IFERROR(INDEX(Combined_Data!$D:$D,$O360+1),"")</f>
        <v/>
      </c>
      <c r="E360" s="41" t="str">
        <f>IFERROR(INDEX(Combined_Data!$G:$G,$O360+1),"")</f>
        <v/>
      </c>
      <c r="F360" s="42" t="str">
        <f>IFERROR(INDEX(Combined_Data!$I:$I,$O360+1),"")</f>
        <v/>
      </c>
      <c r="G360" s="41" t="str">
        <f>IFERROR(INDEX(Combined_Data!$K:$K,$O360+1),"")</f>
        <v/>
      </c>
      <c r="H360" s="41" t="str">
        <f>IFERROR(INDEX(Combined_Data!$M:$M,$O360+1),"")</f>
        <v/>
      </c>
      <c r="I360" s="41" t="str">
        <f>IFERROR(INDEX(Combined_Data!$N:$N,$O360+1),"")</f>
        <v/>
      </c>
      <c r="J360" s="43" t="str">
        <f>IFERROR(INDEX(Combined_Data!$S:$S,$O360+1),"")</f>
        <v/>
      </c>
      <c r="K360" s="44" t="str">
        <f>IFERROR(INDEX(Combined_Data!$AF:$AF,$O360+1),"")</f>
        <v/>
      </c>
      <c r="L360" s="41" t="str">
        <f>IFERROR(INDEX(Combined_Data!$AG:$AG,$O360+1),"")</f>
        <v/>
      </c>
      <c r="M360" s="41" t="str">
        <f>IFERROR(INDEX(Combined_Data!$AH:$AH,$O360+1),"")</f>
        <v/>
      </c>
      <c r="O360" t="str">
        <f>IFERROR(_xlfn.AGGREGATE(15,6,(ROW(Combined_Data!$AI$2:$AI$3001)-1)/(Combined_Data!$AI$2:$AI$3001),326),"")</f>
        <v/>
      </c>
    </row>
    <row r="361" spans="1:15" ht="15" customHeight="1" x14ac:dyDescent="0.3">
      <c r="A361" s="41" t="str">
        <f>IFERROR(INDEX(Combined_Data!$C:$C,$O361+1),"")</f>
        <v/>
      </c>
      <c r="B361" s="41" t="str">
        <f>IFERROR(INDEX(Combined_Data!$E:$E,$O361+1),"")</f>
        <v/>
      </c>
      <c r="C361" s="41" t="str">
        <f>IFERROR(INDEX(Combined_Data!$B:$B,$O361+1),"")</f>
        <v/>
      </c>
      <c r="D361" s="41" t="str">
        <f>IFERROR(INDEX(Combined_Data!$D:$D,$O361+1),"")</f>
        <v/>
      </c>
      <c r="E361" s="41" t="str">
        <f>IFERROR(INDEX(Combined_Data!$G:$G,$O361+1),"")</f>
        <v/>
      </c>
      <c r="F361" s="42" t="str">
        <f>IFERROR(INDEX(Combined_Data!$I:$I,$O361+1),"")</f>
        <v/>
      </c>
      <c r="G361" s="41" t="str">
        <f>IFERROR(INDEX(Combined_Data!$K:$K,$O361+1),"")</f>
        <v/>
      </c>
      <c r="H361" s="41" t="str">
        <f>IFERROR(INDEX(Combined_Data!$M:$M,$O361+1),"")</f>
        <v/>
      </c>
      <c r="I361" s="41" t="str">
        <f>IFERROR(INDEX(Combined_Data!$N:$N,$O361+1),"")</f>
        <v/>
      </c>
      <c r="J361" s="43" t="str">
        <f>IFERROR(INDEX(Combined_Data!$S:$S,$O361+1),"")</f>
        <v/>
      </c>
      <c r="K361" s="44" t="str">
        <f>IFERROR(INDEX(Combined_Data!$AF:$AF,$O361+1),"")</f>
        <v/>
      </c>
      <c r="L361" s="41" t="str">
        <f>IFERROR(INDEX(Combined_Data!$AG:$AG,$O361+1),"")</f>
        <v/>
      </c>
      <c r="M361" s="41" t="str">
        <f>IFERROR(INDEX(Combined_Data!$AH:$AH,$O361+1),"")</f>
        <v/>
      </c>
      <c r="O361" t="str">
        <f>IFERROR(_xlfn.AGGREGATE(15,6,(ROW(Combined_Data!$AI$2:$AI$3001)-1)/(Combined_Data!$AI$2:$AI$3001),327),"")</f>
        <v/>
      </c>
    </row>
    <row r="362" spans="1:15" ht="15" customHeight="1" x14ac:dyDescent="0.3">
      <c r="A362" s="41" t="str">
        <f>IFERROR(INDEX(Combined_Data!$C:$C,$O362+1),"")</f>
        <v/>
      </c>
      <c r="B362" s="41" t="str">
        <f>IFERROR(INDEX(Combined_Data!$E:$E,$O362+1),"")</f>
        <v/>
      </c>
      <c r="C362" s="41" t="str">
        <f>IFERROR(INDEX(Combined_Data!$B:$B,$O362+1),"")</f>
        <v/>
      </c>
      <c r="D362" s="41" t="str">
        <f>IFERROR(INDEX(Combined_Data!$D:$D,$O362+1),"")</f>
        <v/>
      </c>
      <c r="E362" s="41" t="str">
        <f>IFERROR(INDEX(Combined_Data!$G:$G,$O362+1),"")</f>
        <v/>
      </c>
      <c r="F362" s="42" t="str">
        <f>IFERROR(INDEX(Combined_Data!$I:$I,$O362+1),"")</f>
        <v/>
      </c>
      <c r="G362" s="41" t="str">
        <f>IFERROR(INDEX(Combined_Data!$K:$K,$O362+1),"")</f>
        <v/>
      </c>
      <c r="H362" s="41" t="str">
        <f>IFERROR(INDEX(Combined_Data!$M:$M,$O362+1),"")</f>
        <v/>
      </c>
      <c r="I362" s="41" t="str">
        <f>IFERROR(INDEX(Combined_Data!$N:$N,$O362+1),"")</f>
        <v/>
      </c>
      <c r="J362" s="43" t="str">
        <f>IFERROR(INDEX(Combined_Data!$S:$S,$O362+1),"")</f>
        <v/>
      </c>
      <c r="K362" s="44" t="str">
        <f>IFERROR(INDEX(Combined_Data!$AF:$AF,$O362+1),"")</f>
        <v/>
      </c>
      <c r="L362" s="41" t="str">
        <f>IFERROR(INDEX(Combined_Data!$AG:$AG,$O362+1),"")</f>
        <v/>
      </c>
      <c r="M362" s="41" t="str">
        <f>IFERROR(INDEX(Combined_Data!$AH:$AH,$O362+1),"")</f>
        <v/>
      </c>
      <c r="O362" t="str">
        <f>IFERROR(_xlfn.AGGREGATE(15,6,(ROW(Combined_Data!$AI$2:$AI$3001)-1)/(Combined_Data!$AI$2:$AI$3001),328),"")</f>
        <v/>
      </c>
    </row>
    <row r="363" spans="1:15" ht="15" customHeight="1" x14ac:dyDescent="0.3">
      <c r="A363" s="41" t="str">
        <f>IFERROR(INDEX(Combined_Data!$C:$C,$O363+1),"")</f>
        <v/>
      </c>
      <c r="B363" s="41" t="str">
        <f>IFERROR(INDEX(Combined_Data!$E:$E,$O363+1),"")</f>
        <v/>
      </c>
      <c r="C363" s="41" t="str">
        <f>IFERROR(INDEX(Combined_Data!$B:$B,$O363+1),"")</f>
        <v/>
      </c>
      <c r="D363" s="41" t="str">
        <f>IFERROR(INDEX(Combined_Data!$D:$D,$O363+1),"")</f>
        <v/>
      </c>
      <c r="E363" s="41" t="str">
        <f>IFERROR(INDEX(Combined_Data!$G:$G,$O363+1),"")</f>
        <v/>
      </c>
      <c r="F363" s="42" t="str">
        <f>IFERROR(INDEX(Combined_Data!$I:$I,$O363+1),"")</f>
        <v/>
      </c>
      <c r="G363" s="41" t="str">
        <f>IFERROR(INDEX(Combined_Data!$K:$K,$O363+1),"")</f>
        <v/>
      </c>
      <c r="H363" s="41" t="str">
        <f>IFERROR(INDEX(Combined_Data!$M:$M,$O363+1),"")</f>
        <v/>
      </c>
      <c r="I363" s="41" t="str">
        <f>IFERROR(INDEX(Combined_Data!$N:$N,$O363+1),"")</f>
        <v/>
      </c>
      <c r="J363" s="43" t="str">
        <f>IFERROR(INDEX(Combined_Data!$S:$S,$O363+1),"")</f>
        <v/>
      </c>
      <c r="K363" s="44" t="str">
        <f>IFERROR(INDEX(Combined_Data!$AF:$AF,$O363+1),"")</f>
        <v/>
      </c>
      <c r="L363" s="41" t="str">
        <f>IFERROR(INDEX(Combined_Data!$AG:$AG,$O363+1),"")</f>
        <v/>
      </c>
      <c r="M363" s="41" t="str">
        <f>IFERROR(INDEX(Combined_Data!$AH:$AH,$O363+1),"")</f>
        <v/>
      </c>
      <c r="O363" t="str">
        <f>IFERROR(_xlfn.AGGREGATE(15,6,(ROW(Combined_Data!$AI$2:$AI$3001)-1)/(Combined_Data!$AI$2:$AI$3001),329),"")</f>
        <v/>
      </c>
    </row>
    <row r="364" spans="1:15" ht="15" customHeight="1" x14ac:dyDescent="0.3">
      <c r="A364" s="41" t="str">
        <f>IFERROR(INDEX(Combined_Data!$C:$C,$O364+1),"")</f>
        <v/>
      </c>
      <c r="B364" s="41" t="str">
        <f>IFERROR(INDEX(Combined_Data!$E:$E,$O364+1),"")</f>
        <v/>
      </c>
      <c r="C364" s="41" t="str">
        <f>IFERROR(INDEX(Combined_Data!$B:$B,$O364+1),"")</f>
        <v/>
      </c>
      <c r="D364" s="41" t="str">
        <f>IFERROR(INDEX(Combined_Data!$D:$D,$O364+1),"")</f>
        <v/>
      </c>
      <c r="E364" s="41" t="str">
        <f>IFERROR(INDEX(Combined_Data!$G:$G,$O364+1),"")</f>
        <v/>
      </c>
      <c r="F364" s="42" t="str">
        <f>IFERROR(INDEX(Combined_Data!$I:$I,$O364+1),"")</f>
        <v/>
      </c>
      <c r="G364" s="41" t="str">
        <f>IFERROR(INDEX(Combined_Data!$K:$K,$O364+1),"")</f>
        <v/>
      </c>
      <c r="H364" s="41" t="str">
        <f>IFERROR(INDEX(Combined_Data!$M:$M,$O364+1),"")</f>
        <v/>
      </c>
      <c r="I364" s="41" t="str">
        <f>IFERROR(INDEX(Combined_Data!$N:$N,$O364+1),"")</f>
        <v/>
      </c>
      <c r="J364" s="43" t="str">
        <f>IFERROR(INDEX(Combined_Data!$S:$S,$O364+1),"")</f>
        <v/>
      </c>
      <c r="K364" s="44" t="str">
        <f>IFERROR(INDEX(Combined_Data!$AF:$AF,$O364+1),"")</f>
        <v/>
      </c>
      <c r="L364" s="41" t="str">
        <f>IFERROR(INDEX(Combined_Data!$AG:$AG,$O364+1),"")</f>
        <v/>
      </c>
      <c r="M364" s="41" t="str">
        <f>IFERROR(INDEX(Combined_Data!$AH:$AH,$O364+1),"")</f>
        <v/>
      </c>
      <c r="O364" t="str">
        <f>IFERROR(_xlfn.AGGREGATE(15,6,(ROW(Combined_Data!$AI$2:$AI$3001)-1)/(Combined_Data!$AI$2:$AI$3001),330),"")</f>
        <v/>
      </c>
    </row>
    <row r="365" spans="1:15" ht="15" customHeight="1" x14ac:dyDescent="0.3">
      <c r="A365" s="41" t="str">
        <f>IFERROR(INDEX(Combined_Data!$C:$C,$O365+1),"")</f>
        <v/>
      </c>
      <c r="B365" s="41" t="str">
        <f>IFERROR(INDEX(Combined_Data!$E:$E,$O365+1),"")</f>
        <v/>
      </c>
      <c r="C365" s="41" t="str">
        <f>IFERROR(INDEX(Combined_Data!$B:$B,$O365+1),"")</f>
        <v/>
      </c>
      <c r="D365" s="41" t="str">
        <f>IFERROR(INDEX(Combined_Data!$D:$D,$O365+1),"")</f>
        <v/>
      </c>
      <c r="E365" s="41" t="str">
        <f>IFERROR(INDEX(Combined_Data!$G:$G,$O365+1),"")</f>
        <v/>
      </c>
      <c r="F365" s="42" t="str">
        <f>IFERROR(INDEX(Combined_Data!$I:$I,$O365+1),"")</f>
        <v/>
      </c>
      <c r="G365" s="41" t="str">
        <f>IFERROR(INDEX(Combined_Data!$K:$K,$O365+1),"")</f>
        <v/>
      </c>
      <c r="H365" s="41" t="str">
        <f>IFERROR(INDEX(Combined_Data!$M:$M,$O365+1),"")</f>
        <v/>
      </c>
      <c r="I365" s="41" t="str">
        <f>IFERROR(INDEX(Combined_Data!$N:$N,$O365+1),"")</f>
        <v/>
      </c>
      <c r="J365" s="43" t="str">
        <f>IFERROR(INDEX(Combined_Data!$S:$S,$O365+1),"")</f>
        <v/>
      </c>
      <c r="K365" s="44" t="str">
        <f>IFERROR(INDEX(Combined_Data!$AF:$AF,$O365+1),"")</f>
        <v/>
      </c>
      <c r="L365" s="41" t="str">
        <f>IFERROR(INDEX(Combined_Data!$AG:$AG,$O365+1),"")</f>
        <v/>
      </c>
      <c r="M365" s="41" t="str">
        <f>IFERROR(INDEX(Combined_Data!$AH:$AH,$O365+1),"")</f>
        <v/>
      </c>
      <c r="O365" t="str">
        <f>IFERROR(_xlfn.AGGREGATE(15,6,(ROW(Combined_Data!$AI$2:$AI$3001)-1)/(Combined_Data!$AI$2:$AI$3001),331),"")</f>
        <v/>
      </c>
    </row>
    <row r="366" spans="1:15" ht="15" customHeight="1" x14ac:dyDescent="0.3">
      <c r="A366" s="41" t="str">
        <f>IFERROR(INDEX(Combined_Data!$C:$C,$O366+1),"")</f>
        <v/>
      </c>
      <c r="B366" s="41" t="str">
        <f>IFERROR(INDEX(Combined_Data!$E:$E,$O366+1),"")</f>
        <v/>
      </c>
      <c r="C366" s="41" t="str">
        <f>IFERROR(INDEX(Combined_Data!$B:$B,$O366+1),"")</f>
        <v/>
      </c>
      <c r="D366" s="41" t="str">
        <f>IFERROR(INDEX(Combined_Data!$D:$D,$O366+1),"")</f>
        <v/>
      </c>
      <c r="E366" s="41" t="str">
        <f>IFERROR(INDEX(Combined_Data!$G:$G,$O366+1),"")</f>
        <v/>
      </c>
      <c r="F366" s="42" t="str">
        <f>IFERROR(INDEX(Combined_Data!$I:$I,$O366+1),"")</f>
        <v/>
      </c>
      <c r="G366" s="41" t="str">
        <f>IFERROR(INDEX(Combined_Data!$K:$K,$O366+1),"")</f>
        <v/>
      </c>
      <c r="H366" s="41" t="str">
        <f>IFERROR(INDEX(Combined_Data!$M:$M,$O366+1),"")</f>
        <v/>
      </c>
      <c r="I366" s="41" t="str">
        <f>IFERROR(INDEX(Combined_Data!$N:$N,$O366+1),"")</f>
        <v/>
      </c>
      <c r="J366" s="43" t="str">
        <f>IFERROR(INDEX(Combined_Data!$S:$S,$O366+1),"")</f>
        <v/>
      </c>
      <c r="K366" s="44" t="str">
        <f>IFERROR(INDEX(Combined_Data!$AF:$AF,$O366+1),"")</f>
        <v/>
      </c>
      <c r="L366" s="41" t="str">
        <f>IFERROR(INDEX(Combined_Data!$AG:$AG,$O366+1),"")</f>
        <v/>
      </c>
      <c r="M366" s="41" t="str">
        <f>IFERROR(INDEX(Combined_Data!$AH:$AH,$O366+1),"")</f>
        <v/>
      </c>
      <c r="O366" t="str">
        <f>IFERROR(_xlfn.AGGREGATE(15,6,(ROW(Combined_Data!$AI$2:$AI$3001)-1)/(Combined_Data!$AI$2:$AI$3001),332),"")</f>
        <v/>
      </c>
    </row>
    <row r="367" spans="1:15" ht="15" customHeight="1" x14ac:dyDescent="0.3">
      <c r="A367" s="41" t="str">
        <f>IFERROR(INDEX(Combined_Data!$C:$C,$O367+1),"")</f>
        <v/>
      </c>
      <c r="B367" s="41" t="str">
        <f>IFERROR(INDEX(Combined_Data!$E:$E,$O367+1),"")</f>
        <v/>
      </c>
      <c r="C367" s="41" t="str">
        <f>IFERROR(INDEX(Combined_Data!$B:$B,$O367+1),"")</f>
        <v/>
      </c>
      <c r="D367" s="41" t="str">
        <f>IFERROR(INDEX(Combined_Data!$D:$D,$O367+1),"")</f>
        <v/>
      </c>
      <c r="E367" s="41" t="str">
        <f>IFERROR(INDEX(Combined_Data!$G:$G,$O367+1),"")</f>
        <v/>
      </c>
      <c r="F367" s="42" t="str">
        <f>IFERROR(INDEX(Combined_Data!$I:$I,$O367+1),"")</f>
        <v/>
      </c>
      <c r="G367" s="41" t="str">
        <f>IFERROR(INDEX(Combined_Data!$K:$K,$O367+1),"")</f>
        <v/>
      </c>
      <c r="H367" s="41" t="str">
        <f>IFERROR(INDEX(Combined_Data!$M:$M,$O367+1),"")</f>
        <v/>
      </c>
      <c r="I367" s="41" t="str">
        <f>IFERROR(INDEX(Combined_Data!$N:$N,$O367+1),"")</f>
        <v/>
      </c>
      <c r="J367" s="43" t="str">
        <f>IFERROR(INDEX(Combined_Data!$S:$S,$O367+1),"")</f>
        <v/>
      </c>
      <c r="K367" s="44" t="str">
        <f>IFERROR(INDEX(Combined_Data!$AF:$AF,$O367+1),"")</f>
        <v/>
      </c>
      <c r="L367" s="41" t="str">
        <f>IFERROR(INDEX(Combined_Data!$AG:$AG,$O367+1),"")</f>
        <v/>
      </c>
      <c r="M367" s="41" t="str">
        <f>IFERROR(INDEX(Combined_Data!$AH:$AH,$O367+1),"")</f>
        <v/>
      </c>
      <c r="O367" t="str">
        <f>IFERROR(_xlfn.AGGREGATE(15,6,(ROW(Combined_Data!$AI$2:$AI$3001)-1)/(Combined_Data!$AI$2:$AI$3001),333),"")</f>
        <v/>
      </c>
    </row>
    <row r="368" spans="1:15" ht="15" customHeight="1" x14ac:dyDescent="0.3">
      <c r="A368" s="41" t="str">
        <f>IFERROR(INDEX(Combined_Data!$C:$C,$O368+1),"")</f>
        <v/>
      </c>
      <c r="B368" s="41" t="str">
        <f>IFERROR(INDEX(Combined_Data!$E:$E,$O368+1),"")</f>
        <v/>
      </c>
      <c r="C368" s="41" t="str">
        <f>IFERROR(INDEX(Combined_Data!$B:$B,$O368+1),"")</f>
        <v/>
      </c>
      <c r="D368" s="41" t="str">
        <f>IFERROR(INDEX(Combined_Data!$D:$D,$O368+1),"")</f>
        <v/>
      </c>
      <c r="E368" s="41" t="str">
        <f>IFERROR(INDEX(Combined_Data!$G:$G,$O368+1),"")</f>
        <v/>
      </c>
      <c r="F368" s="42" t="str">
        <f>IFERROR(INDEX(Combined_Data!$I:$I,$O368+1),"")</f>
        <v/>
      </c>
      <c r="G368" s="41" t="str">
        <f>IFERROR(INDEX(Combined_Data!$K:$K,$O368+1),"")</f>
        <v/>
      </c>
      <c r="H368" s="41" t="str">
        <f>IFERROR(INDEX(Combined_Data!$M:$M,$O368+1),"")</f>
        <v/>
      </c>
      <c r="I368" s="41" t="str">
        <f>IFERROR(INDEX(Combined_Data!$N:$N,$O368+1),"")</f>
        <v/>
      </c>
      <c r="J368" s="43" t="str">
        <f>IFERROR(INDEX(Combined_Data!$S:$S,$O368+1),"")</f>
        <v/>
      </c>
      <c r="K368" s="44" t="str">
        <f>IFERROR(INDEX(Combined_Data!$AF:$AF,$O368+1),"")</f>
        <v/>
      </c>
      <c r="L368" s="41" t="str">
        <f>IFERROR(INDEX(Combined_Data!$AG:$AG,$O368+1),"")</f>
        <v/>
      </c>
      <c r="M368" s="41" t="str">
        <f>IFERROR(INDEX(Combined_Data!$AH:$AH,$O368+1),"")</f>
        <v/>
      </c>
      <c r="O368" t="str">
        <f>IFERROR(_xlfn.AGGREGATE(15,6,(ROW(Combined_Data!$AI$2:$AI$3001)-1)/(Combined_Data!$AI$2:$AI$3001),334),"")</f>
        <v/>
      </c>
    </row>
    <row r="369" spans="1:15" ht="15" customHeight="1" x14ac:dyDescent="0.3">
      <c r="A369" s="41" t="str">
        <f>IFERROR(INDEX(Combined_Data!$C:$C,$O369+1),"")</f>
        <v/>
      </c>
      <c r="B369" s="41" t="str">
        <f>IFERROR(INDEX(Combined_Data!$E:$E,$O369+1),"")</f>
        <v/>
      </c>
      <c r="C369" s="41" t="str">
        <f>IFERROR(INDEX(Combined_Data!$B:$B,$O369+1),"")</f>
        <v/>
      </c>
      <c r="D369" s="41" t="str">
        <f>IFERROR(INDEX(Combined_Data!$D:$D,$O369+1),"")</f>
        <v/>
      </c>
      <c r="E369" s="41" t="str">
        <f>IFERROR(INDEX(Combined_Data!$G:$G,$O369+1),"")</f>
        <v/>
      </c>
      <c r="F369" s="42" t="str">
        <f>IFERROR(INDEX(Combined_Data!$I:$I,$O369+1),"")</f>
        <v/>
      </c>
      <c r="G369" s="41" t="str">
        <f>IFERROR(INDEX(Combined_Data!$K:$K,$O369+1),"")</f>
        <v/>
      </c>
      <c r="H369" s="41" t="str">
        <f>IFERROR(INDEX(Combined_Data!$M:$M,$O369+1),"")</f>
        <v/>
      </c>
      <c r="I369" s="41" t="str">
        <f>IFERROR(INDEX(Combined_Data!$N:$N,$O369+1),"")</f>
        <v/>
      </c>
      <c r="J369" s="43" t="str">
        <f>IFERROR(INDEX(Combined_Data!$S:$S,$O369+1),"")</f>
        <v/>
      </c>
      <c r="K369" s="44" t="str">
        <f>IFERROR(INDEX(Combined_Data!$AF:$AF,$O369+1),"")</f>
        <v/>
      </c>
      <c r="L369" s="41" t="str">
        <f>IFERROR(INDEX(Combined_Data!$AG:$AG,$O369+1),"")</f>
        <v/>
      </c>
      <c r="M369" s="41" t="str">
        <f>IFERROR(INDEX(Combined_Data!$AH:$AH,$O369+1),"")</f>
        <v/>
      </c>
      <c r="O369" t="str">
        <f>IFERROR(_xlfn.AGGREGATE(15,6,(ROW(Combined_Data!$AI$2:$AI$3001)-1)/(Combined_Data!$AI$2:$AI$3001),335),"")</f>
        <v/>
      </c>
    </row>
    <row r="370" spans="1:15" ht="15" customHeight="1" x14ac:dyDescent="0.3">
      <c r="A370" s="41" t="str">
        <f>IFERROR(INDEX(Combined_Data!$C:$C,$O370+1),"")</f>
        <v/>
      </c>
      <c r="B370" s="41" t="str">
        <f>IFERROR(INDEX(Combined_Data!$E:$E,$O370+1),"")</f>
        <v/>
      </c>
      <c r="C370" s="41" t="str">
        <f>IFERROR(INDEX(Combined_Data!$B:$B,$O370+1),"")</f>
        <v/>
      </c>
      <c r="D370" s="41" t="str">
        <f>IFERROR(INDEX(Combined_Data!$D:$D,$O370+1),"")</f>
        <v/>
      </c>
      <c r="E370" s="41" t="str">
        <f>IFERROR(INDEX(Combined_Data!$G:$G,$O370+1),"")</f>
        <v/>
      </c>
      <c r="F370" s="42" t="str">
        <f>IFERROR(INDEX(Combined_Data!$I:$I,$O370+1),"")</f>
        <v/>
      </c>
      <c r="G370" s="41" t="str">
        <f>IFERROR(INDEX(Combined_Data!$K:$K,$O370+1),"")</f>
        <v/>
      </c>
      <c r="H370" s="41" t="str">
        <f>IFERROR(INDEX(Combined_Data!$M:$M,$O370+1),"")</f>
        <v/>
      </c>
      <c r="I370" s="41" t="str">
        <f>IFERROR(INDEX(Combined_Data!$N:$N,$O370+1),"")</f>
        <v/>
      </c>
      <c r="J370" s="43" t="str">
        <f>IFERROR(INDEX(Combined_Data!$S:$S,$O370+1),"")</f>
        <v/>
      </c>
      <c r="K370" s="44" t="str">
        <f>IFERROR(INDEX(Combined_Data!$AF:$AF,$O370+1),"")</f>
        <v/>
      </c>
      <c r="L370" s="41" t="str">
        <f>IFERROR(INDEX(Combined_Data!$AG:$AG,$O370+1),"")</f>
        <v/>
      </c>
      <c r="M370" s="41" t="str">
        <f>IFERROR(INDEX(Combined_Data!$AH:$AH,$O370+1),"")</f>
        <v/>
      </c>
      <c r="O370" t="str">
        <f>IFERROR(_xlfn.AGGREGATE(15,6,(ROW(Combined_Data!$AI$2:$AI$3001)-1)/(Combined_Data!$AI$2:$AI$3001),336),"")</f>
        <v/>
      </c>
    </row>
    <row r="371" spans="1:15" ht="15" customHeight="1" x14ac:dyDescent="0.3">
      <c r="A371" s="41" t="str">
        <f>IFERROR(INDEX(Combined_Data!$C:$C,$O371+1),"")</f>
        <v/>
      </c>
      <c r="B371" s="41" t="str">
        <f>IFERROR(INDEX(Combined_Data!$E:$E,$O371+1),"")</f>
        <v/>
      </c>
      <c r="C371" s="41" t="str">
        <f>IFERROR(INDEX(Combined_Data!$B:$B,$O371+1),"")</f>
        <v/>
      </c>
      <c r="D371" s="41" t="str">
        <f>IFERROR(INDEX(Combined_Data!$D:$D,$O371+1),"")</f>
        <v/>
      </c>
      <c r="E371" s="41" t="str">
        <f>IFERROR(INDEX(Combined_Data!$G:$G,$O371+1),"")</f>
        <v/>
      </c>
      <c r="F371" s="42" t="str">
        <f>IFERROR(INDEX(Combined_Data!$I:$I,$O371+1),"")</f>
        <v/>
      </c>
      <c r="G371" s="41" t="str">
        <f>IFERROR(INDEX(Combined_Data!$K:$K,$O371+1),"")</f>
        <v/>
      </c>
      <c r="H371" s="41" t="str">
        <f>IFERROR(INDEX(Combined_Data!$M:$M,$O371+1),"")</f>
        <v/>
      </c>
      <c r="I371" s="41" t="str">
        <f>IFERROR(INDEX(Combined_Data!$N:$N,$O371+1),"")</f>
        <v/>
      </c>
      <c r="J371" s="43" t="str">
        <f>IFERROR(INDEX(Combined_Data!$S:$S,$O371+1),"")</f>
        <v/>
      </c>
      <c r="K371" s="44" t="str">
        <f>IFERROR(INDEX(Combined_Data!$AF:$AF,$O371+1),"")</f>
        <v/>
      </c>
      <c r="L371" s="41" t="str">
        <f>IFERROR(INDEX(Combined_Data!$AG:$AG,$O371+1),"")</f>
        <v/>
      </c>
      <c r="M371" s="41" t="str">
        <f>IFERROR(INDEX(Combined_Data!$AH:$AH,$O371+1),"")</f>
        <v/>
      </c>
      <c r="O371" t="str">
        <f>IFERROR(_xlfn.AGGREGATE(15,6,(ROW(Combined_Data!$AI$2:$AI$3001)-1)/(Combined_Data!$AI$2:$AI$3001),337),"")</f>
        <v/>
      </c>
    </row>
    <row r="372" spans="1:15" ht="15" customHeight="1" x14ac:dyDescent="0.3">
      <c r="A372" s="41" t="str">
        <f>IFERROR(INDEX(Combined_Data!$C:$C,$O372+1),"")</f>
        <v/>
      </c>
      <c r="B372" s="41" t="str">
        <f>IFERROR(INDEX(Combined_Data!$E:$E,$O372+1),"")</f>
        <v/>
      </c>
      <c r="C372" s="41" t="str">
        <f>IFERROR(INDEX(Combined_Data!$B:$B,$O372+1),"")</f>
        <v/>
      </c>
      <c r="D372" s="41" t="str">
        <f>IFERROR(INDEX(Combined_Data!$D:$D,$O372+1),"")</f>
        <v/>
      </c>
      <c r="E372" s="41" t="str">
        <f>IFERROR(INDEX(Combined_Data!$G:$G,$O372+1),"")</f>
        <v/>
      </c>
      <c r="F372" s="42" t="str">
        <f>IFERROR(INDEX(Combined_Data!$I:$I,$O372+1),"")</f>
        <v/>
      </c>
      <c r="G372" s="41" t="str">
        <f>IFERROR(INDEX(Combined_Data!$K:$K,$O372+1),"")</f>
        <v/>
      </c>
      <c r="H372" s="41" t="str">
        <f>IFERROR(INDEX(Combined_Data!$M:$M,$O372+1),"")</f>
        <v/>
      </c>
      <c r="I372" s="41" t="str">
        <f>IFERROR(INDEX(Combined_Data!$N:$N,$O372+1),"")</f>
        <v/>
      </c>
      <c r="J372" s="43" t="str">
        <f>IFERROR(INDEX(Combined_Data!$S:$S,$O372+1),"")</f>
        <v/>
      </c>
      <c r="K372" s="44" t="str">
        <f>IFERROR(INDEX(Combined_Data!$AF:$AF,$O372+1),"")</f>
        <v/>
      </c>
      <c r="L372" s="41" t="str">
        <f>IFERROR(INDEX(Combined_Data!$AG:$AG,$O372+1),"")</f>
        <v/>
      </c>
      <c r="M372" s="41" t="str">
        <f>IFERROR(INDEX(Combined_Data!$AH:$AH,$O372+1),"")</f>
        <v/>
      </c>
      <c r="O372" t="str">
        <f>IFERROR(_xlfn.AGGREGATE(15,6,(ROW(Combined_Data!$AI$2:$AI$3001)-1)/(Combined_Data!$AI$2:$AI$3001),338),"")</f>
        <v/>
      </c>
    </row>
    <row r="373" spans="1:15" ht="15" customHeight="1" x14ac:dyDescent="0.3">
      <c r="A373" s="41" t="str">
        <f>IFERROR(INDEX(Combined_Data!$C:$C,$O373+1),"")</f>
        <v/>
      </c>
      <c r="B373" s="41" t="str">
        <f>IFERROR(INDEX(Combined_Data!$E:$E,$O373+1),"")</f>
        <v/>
      </c>
      <c r="C373" s="41" t="str">
        <f>IFERROR(INDEX(Combined_Data!$B:$B,$O373+1),"")</f>
        <v/>
      </c>
      <c r="D373" s="41" t="str">
        <f>IFERROR(INDEX(Combined_Data!$D:$D,$O373+1),"")</f>
        <v/>
      </c>
      <c r="E373" s="41" t="str">
        <f>IFERROR(INDEX(Combined_Data!$G:$G,$O373+1),"")</f>
        <v/>
      </c>
      <c r="F373" s="42" t="str">
        <f>IFERROR(INDEX(Combined_Data!$I:$I,$O373+1),"")</f>
        <v/>
      </c>
      <c r="G373" s="41" t="str">
        <f>IFERROR(INDEX(Combined_Data!$K:$K,$O373+1),"")</f>
        <v/>
      </c>
      <c r="H373" s="41" t="str">
        <f>IFERROR(INDEX(Combined_Data!$M:$M,$O373+1),"")</f>
        <v/>
      </c>
      <c r="I373" s="41" t="str">
        <f>IFERROR(INDEX(Combined_Data!$N:$N,$O373+1),"")</f>
        <v/>
      </c>
      <c r="J373" s="43" t="str">
        <f>IFERROR(INDEX(Combined_Data!$S:$S,$O373+1),"")</f>
        <v/>
      </c>
      <c r="K373" s="44" t="str">
        <f>IFERROR(INDEX(Combined_Data!$AF:$AF,$O373+1),"")</f>
        <v/>
      </c>
      <c r="L373" s="41" t="str">
        <f>IFERROR(INDEX(Combined_Data!$AG:$AG,$O373+1),"")</f>
        <v/>
      </c>
      <c r="M373" s="41" t="str">
        <f>IFERROR(INDEX(Combined_Data!$AH:$AH,$O373+1),"")</f>
        <v/>
      </c>
      <c r="O373" t="str">
        <f>IFERROR(_xlfn.AGGREGATE(15,6,(ROW(Combined_Data!$AI$2:$AI$3001)-1)/(Combined_Data!$AI$2:$AI$3001),339),"")</f>
        <v/>
      </c>
    </row>
    <row r="374" spans="1:15" ht="15" customHeight="1" x14ac:dyDescent="0.3">
      <c r="A374" s="41" t="str">
        <f>IFERROR(INDEX(Combined_Data!$C:$C,$O374+1),"")</f>
        <v/>
      </c>
      <c r="B374" s="41" t="str">
        <f>IFERROR(INDEX(Combined_Data!$E:$E,$O374+1),"")</f>
        <v/>
      </c>
      <c r="C374" s="41" t="str">
        <f>IFERROR(INDEX(Combined_Data!$B:$B,$O374+1),"")</f>
        <v/>
      </c>
      <c r="D374" s="41" t="str">
        <f>IFERROR(INDEX(Combined_Data!$D:$D,$O374+1),"")</f>
        <v/>
      </c>
      <c r="E374" s="41" t="str">
        <f>IFERROR(INDEX(Combined_Data!$G:$G,$O374+1),"")</f>
        <v/>
      </c>
      <c r="F374" s="42" t="str">
        <f>IFERROR(INDEX(Combined_Data!$I:$I,$O374+1),"")</f>
        <v/>
      </c>
      <c r="G374" s="41" t="str">
        <f>IFERROR(INDEX(Combined_Data!$K:$K,$O374+1),"")</f>
        <v/>
      </c>
      <c r="H374" s="41" t="str">
        <f>IFERROR(INDEX(Combined_Data!$M:$M,$O374+1),"")</f>
        <v/>
      </c>
      <c r="I374" s="41" t="str">
        <f>IFERROR(INDEX(Combined_Data!$N:$N,$O374+1),"")</f>
        <v/>
      </c>
      <c r="J374" s="43" t="str">
        <f>IFERROR(INDEX(Combined_Data!$S:$S,$O374+1),"")</f>
        <v/>
      </c>
      <c r="K374" s="44" t="str">
        <f>IFERROR(INDEX(Combined_Data!$AF:$AF,$O374+1),"")</f>
        <v/>
      </c>
      <c r="L374" s="41" t="str">
        <f>IFERROR(INDEX(Combined_Data!$AG:$AG,$O374+1),"")</f>
        <v/>
      </c>
      <c r="M374" s="41" t="str">
        <f>IFERROR(INDEX(Combined_Data!$AH:$AH,$O374+1),"")</f>
        <v/>
      </c>
      <c r="O374" t="str">
        <f>IFERROR(_xlfn.AGGREGATE(15,6,(ROW(Combined_Data!$AI$2:$AI$3001)-1)/(Combined_Data!$AI$2:$AI$3001),340),"")</f>
        <v/>
      </c>
    </row>
    <row r="375" spans="1:15" ht="15" customHeight="1" x14ac:dyDescent="0.3">
      <c r="A375" s="41" t="str">
        <f>IFERROR(INDEX(Combined_Data!$C:$C,$O375+1),"")</f>
        <v/>
      </c>
      <c r="B375" s="41" t="str">
        <f>IFERROR(INDEX(Combined_Data!$E:$E,$O375+1),"")</f>
        <v/>
      </c>
      <c r="C375" s="41" t="str">
        <f>IFERROR(INDEX(Combined_Data!$B:$B,$O375+1),"")</f>
        <v/>
      </c>
      <c r="D375" s="41" t="str">
        <f>IFERROR(INDEX(Combined_Data!$D:$D,$O375+1),"")</f>
        <v/>
      </c>
      <c r="E375" s="41" t="str">
        <f>IFERROR(INDEX(Combined_Data!$G:$G,$O375+1),"")</f>
        <v/>
      </c>
      <c r="F375" s="42" t="str">
        <f>IFERROR(INDEX(Combined_Data!$I:$I,$O375+1),"")</f>
        <v/>
      </c>
      <c r="G375" s="41" t="str">
        <f>IFERROR(INDEX(Combined_Data!$K:$K,$O375+1),"")</f>
        <v/>
      </c>
      <c r="H375" s="41" t="str">
        <f>IFERROR(INDEX(Combined_Data!$M:$M,$O375+1),"")</f>
        <v/>
      </c>
      <c r="I375" s="41" t="str">
        <f>IFERROR(INDEX(Combined_Data!$N:$N,$O375+1),"")</f>
        <v/>
      </c>
      <c r="J375" s="43" t="str">
        <f>IFERROR(INDEX(Combined_Data!$S:$S,$O375+1),"")</f>
        <v/>
      </c>
      <c r="K375" s="44" t="str">
        <f>IFERROR(INDEX(Combined_Data!$AF:$AF,$O375+1),"")</f>
        <v/>
      </c>
      <c r="L375" s="41" t="str">
        <f>IFERROR(INDEX(Combined_Data!$AG:$AG,$O375+1),"")</f>
        <v/>
      </c>
      <c r="M375" s="41" t="str">
        <f>IFERROR(INDEX(Combined_Data!$AH:$AH,$O375+1),"")</f>
        <v/>
      </c>
      <c r="O375" t="str">
        <f>IFERROR(_xlfn.AGGREGATE(15,6,(ROW(Combined_Data!$AI$2:$AI$3001)-1)/(Combined_Data!$AI$2:$AI$3001),341),"")</f>
        <v/>
      </c>
    </row>
    <row r="376" spans="1:15" ht="15" customHeight="1" x14ac:dyDescent="0.3">
      <c r="A376" s="41" t="str">
        <f>IFERROR(INDEX(Combined_Data!$C:$C,$O376+1),"")</f>
        <v/>
      </c>
      <c r="B376" s="41" t="str">
        <f>IFERROR(INDEX(Combined_Data!$E:$E,$O376+1),"")</f>
        <v/>
      </c>
      <c r="C376" s="41" t="str">
        <f>IFERROR(INDEX(Combined_Data!$B:$B,$O376+1),"")</f>
        <v/>
      </c>
      <c r="D376" s="41" t="str">
        <f>IFERROR(INDEX(Combined_Data!$D:$D,$O376+1),"")</f>
        <v/>
      </c>
      <c r="E376" s="41" t="str">
        <f>IFERROR(INDEX(Combined_Data!$G:$G,$O376+1),"")</f>
        <v/>
      </c>
      <c r="F376" s="42" t="str">
        <f>IFERROR(INDEX(Combined_Data!$I:$I,$O376+1),"")</f>
        <v/>
      </c>
      <c r="G376" s="41" t="str">
        <f>IFERROR(INDEX(Combined_Data!$K:$K,$O376+1),"")</f>
        <v/>
      </c>
      <c r="H376" s="41" t="str">
        <f>IFERROR(INDEX(Combined_Data!$M:$M,$O376+1),"")</f>
        <v/>
      </c>
      <c r="I376" s="41" t="str">
        <f>IFERROR(INDEX(Combined_Data!$N:$N,$O376+1),"")</f>
        <v/>
      </c>
      <c r="J376" s="43" t="str">
        <f>IFERROR(INDEX(Combined_Data!$S:$S,$O376+1),"")</f>
        <v/>
      </c>
      <c r="K376" s="44" t="str">
        <f>IFERROR(INDEX(Combined_Data!$AF:$AF,$O376+1),"")</f>
        <v/>
      </c>
      <c r="L376" s="41" t="str">
        <f>IFERROR(INDEX(Combined_Data!$AG:$AG,$O376+1),"")</f>
        <v/>
      </c>
      <c r="M376" s="41" t="str">
        <f>IFERROR(INDEX(Combined_Data!$AH:$AH,$O376+1),"")</f>
        <v/>
      </c>
      <c r="O376" t="str">
        <f>IFERROR(_xlfn.AGGREGATE(15,6,(ROW(Combined_Data!$AI$2:$AI$3001)-1)/(Combined_Data!$AI$2:$AI$3001),342),"")</f>
        <v/>
      </c>
    </row>
    <row r="377" spans="1:15" ht="15" customHeight="1" x14ac:dyDescent="0.3">
      <c r="A377" s="41" t="str">
        <f>IFERROR(INDEX(Combined_Data!$C:$C,$O377+1),"")</f>
        <v/>
      </c>
      <c r="B377" s="41" t="str">
        <f>IFERROR(INDEX(Combined_Data!$E:$E,$O377+1),"")</f>
        <v/>
      </c>
      <c r="C377" s="41" t="str">
        <f>IFERROR(INDEX(Combined_Data!$B:$B,$O377+1),"")</f>
        <v/>
      </c>
      <c r="D377" s="41" t="str">
        <f>IFERROR(INDEX(Combined_Data!$D:$D,$O377+1),"")</f>
        <v/>
      </c>
      <c r="E377" s="41" t="str">
        <f>IFERROR(INDEX(Combined_Data!$G:$G,$O377+1),"")</f>
        <v/>
      </c>
      <c r="F377" s="42" t="str">
        <f>IFERROR(INDEX(Combined_Data!$I:$I,$O377+1),"")</f>
        <v/>
      </c>
      <c r="G377" s="41" t="str">
        <f>IFERROR(INDEX(Combined_Data!$K:$K,$O377+1),"")</f>
        <v/>
      </c>
      <c r="H377" s="41" t="str">
        <f>IFERROR(INDEX(Combined_Data!$M:$M,$O377+1),"")</f>
        <v/>
      </c>
      <c r="I377" s="41" t="str">
        <f>IFERROR(INDEX(Combined_Data!$N:$N,$O377+1),"")</f>
        <v/>
      </c>
      <c r="J377" s="43" t="str">
        <f>IFERROR(INDEX(Combined_Data!$S:$S,$O377+1),"")</f>
        <v/>
      </c>
      <c r="K377" s="44" t="str">
        <f>IFERROR(INDEX(Combined_Data!$AF:$AF,$O377+1),"")</f>
        <v/>
      </c>
      <c r="L377" s="41" t="str">
        <f>IFERROR(INDEX(Combined_Data!$AG:$AG,$O377+1),"")</f>
        <v/>
      </c>
      <c r="M377" s="41" t="str">
        <f>IFERROR(INDEX(Combined_Data!$AH:$AH,$O377+1),"")</f>
        <v/>
      </c>
      <c r="O377" t="str">
        <f>IFERROR(_xlfn.AGGREGATE(15,6,(ROW(Combined_Data!$AI$2:$AI$3001)-1)/(Combined_Data!$AI$2:$AI$3001),343),"")</f>
        <v/>
      </c>
    </row>
    <row r="378" spans="1:15" ht="15" customHeight="1" x14ac:dyDescent="0.3">
      <c r="A378" s="41" t="str">
        <f>IFERROR(INDEX(Combined_Data!$C:$C,$O378+1),"")</f>
        <v/>
      </c>
      <c r="B378" s="41" t="str">
        <f>IFERROR(INDEX(Combined_Data!$E:$E,$O378+1),"")</f>
        <v/>
      </c>
      <c r="C378" s="41" t="str">
        <f>IFERROR(INDEX(Combined_Data!$B:$B,$O378+1),"")</f>
        <v/>
      </c>
      <c r="D378" s="41" t="str">
        <f>IFERROR(INDEX(Combined_Data!$D:$D,$O378+1),"")</f>
        <v/>
      </c>
      <c r="E378" s="41" t="str">
        <f>IFERROR(INDEX(Combined_Data!$G:$G,$O378+1),"")</f>
        <v/>
      </c>
      <c r="F378" s="42" t="str">
        <f>IFERROR(INDEX(Combined_Data!$I:$I,$O378+1),"")</f>
        <v/>
      </c>
      <c r="G378" s="41" t="str">
        <f>IFERROR(INDEX(Combined_Data!$K:$K,$O378+1),"")</f>
        <v/>
      </c>
      <c r="H378" s="41" t="str">
        <f>IFERROR(INDEX(Combined_Data!$M:$M,$O378+1),"")</f>
        <v/>
      </c>
      <c r="I378" s="41" t="str">
        <f>IFERROR(INDEX(Combined_Data!$N:$N,$O378+1),"")</f>
        <v/>
      </c>
      <c r="J378" s="43" t="str">
        <f>IFERROR(INDEX(Combined_Data!$S:$S,$O378+1),"")</f>
        <v/>
      </c>
      <c r="K378" s="44" t="str">
        <f>IFERROR(INDEX(Combined_Data!$AF:$AF,$O378+1),"")</f>
        <v/>
      </c>
      <c r="L378" s="41" t="str">
        <f>IFERROR(INDEX(Combined_Data!$AG:$AG,$O378+1),"")</f>
        <v/>
      </c>
      <c r="M378" s="41" t="str">
        <f>IFERROR(INDEX(Combined_Data!$AH:$AH,$O378+1),"")</f>
        <v/>
      </c>
      <c r="O378" t="str">
        <f>IFERROR(_xlfn.AGGREGATE(15,6,(ROW(Combined_Data!$AI$2:$AI$3001)-1)/(Combined_Data!$AI$2:$AI$3001),344),"")</f>
        <v/>
      </c>
    </row>
    <row r="379" spans="1:15" ht="15" customHeight="1" x14ac:dyDescent="0.3">
      <c r="A379" s="41" t="str">
        <f>IFERROR(INDEX(Combined_Data!$C:$C,$O379+1),"")</f>
        <v/>
      </c>
      <c r="B379" s="41" t="str">
        <f>IFERROR(INDEX(Combined_Data!$E:$E,$O379+1),"")</f>
        <v/>
      </c>
      <c r="C379" s="41" t="str">
        <f>IFERROR(INDEX(Combined_Data!$B:$B,$O379+1),"")</f>
        <v/>
      </c>
      <c r="D379" s="41" t="str">
        <f>IFERROR(INDEX(Combined_Data!$D:$D,$O379+1),"")</f>
        <v/>
      </c>
      <c r="E379" s="41" t="str">
        <f>IFERROR(INDEX(Combined_Data!$G:$G,$O379+1),"")</f>
        <v/>
      </c>
      <c r="F379" s="42" t="str">
        <f>IFERROR(INDEX(Combined_Data!$I:$I,$O379+1),"")</f>
        <v/>
      </c>
      <c r="G379" s="41" t="str">
        <f>IFERROR(INDEX(Combined_Data!$K:$K,$O379+1),"")</f>
        <v/>
      </c>
      <c r="H379" s="41" t="str">
        <f>IFERROR(INDEX(Combined_Data!$M:$M,$O379+1),"")</f>
        <v/>
      </c>
      <c r="I379" s="41" t="str">
        <f>IFERROR(INDEX(Combined_Data!$N:$N,$O379+1),"")</f>
        <v/>
      </c>
      <c r="J379" s="43" t="str">
        <f>IFERROR(INDEX(Combined_Data!$S:$S,$O379+1),"")</f>
        <v/>
      </c>
      <c r="K379" s="44" t="str">
        <f>IFERROR(INDEX(Combined_Data!$AF:$AF,$O379+1),"")</f>
        <v/>
      </c>
      <c r="L379" s="41" t="str">
        <f>IFERROR(INDEX(Combined_Data!$AG:$AG,$O379+1),"")</f>
        <v/>
      </c>
      <c r="M379" s="41" t="str">
        <f>IFERROR(INDEX(Combined_Data!$AH:$AH,$O379+1),"")</f>
        <v/>
      </c>
      <c r="O379" t="str">
        <f>IFERROR(_xlfn.AGGREGATE(15,6,(ROW(Combined_Data!$AI$2:$AI$3001)-1)/(Combined_Data!$AI$2:$AI$3001),345),"")</f>
        <v/>
      </c>
    </row>
    <row r="380" spans="1:15" ht="15" customHeight="1" x14ac:dyDescent="0.3">
      <c r="A380" s="41" t="str">
        <f>IFERROR(INDEX(Combined_Data!$C:$C,$O380+1),"")</f>
        <v/>
      </c>
      <c r="B380" s="41" t="str">
        <f>IFERROR(INDEX(Combined_Data!$E:$E,$O380+1),"")</f>
        <v/>
      </c>
      <c r="C380" s="41" t="str">
        <f>IFERROR(INDEX(Combined_Data!$B:$B,$O380+1),"")</f>
        <v/>
      </c>
      <c r="D380" s="41" t="str">
        <f>IFERROR(INDEX(Combined_Data!$D:$D,$O380+1),"")</f>
        <v/>
      </c>
      <c r="E380" s="41" t="str">
        <f>IFERROR(INDEX(Combined_Data!$G:$G,$O380+1),"")</f>
        <v/>
      </c>
      <c r="F380" s="42" t="str">
        <f>IFERROR(INDEX(Combined_Data!$I:$I,$O380+1),"")</f>
        <v/>
      </c>
      <c r="G380" s="41" t="str">
        <f>IFERROR(INDEX(Combined_Data!$K:$K,$O380+1),"")</f>
        <v/>
      </c>
      <c r="H380" s="41" t="str">
        <f>IFERROR(INDEX(Combined_Data!$M:$M,$O380+1),"")</f>
        <v/>
      </c>
      <c r="I380" s="41" t="str">
        <f>IFERROR(INDEX(Combined_Data!$N:$N,$O380+1),"")</f>
        <v/>
      </c>
      <c r="J380" s="43" t="str">
        <f>IFERROR(INDEX(Combined_Data!$S:$S,$O380+1),"")</f>
        <v/>
      </c>
      <c r="K380" s="44" t="str">
        <f>IFERROR(INDEX(Combined_Data!$AF:$AF,$O380+1),"")</f>
        <v/>
      </c>
      <c r="L380" s="41" t="str">
        <f>IFERROR(INDEX(Combined_Data!$AG:$AG,$O380+1),"")</f>
        <v/>
      </c>
      <c r="M380" s="41" t="str">
        <f>IFERROR(INDEX(Combined_Data!$AH:$AH,$O380+1),"")</f>
        <v/>
      </c>
      <c r="O380" t="str">
        <f>IFERROR(_xlfn.AGGREGATE(15,6,(ROW(Combined_Data!$AI$2:$AI$3001)-1)/(Combined_Data!$AI$2:$AI$3001),346),"")</f>
        <v/>
      </c>
    </row>
    <row r="381" spans="1:15" ht="15" customHeight="1" x14ac:dyDescent="0.3">
      <c r="A381" s="41" t="str">
        <f>IFERROR(INDEX(Combined_Data!$C:$C,$O381+1),"")</f>
        <v/>
      </c>
      <c r="B381" s="41" t="str">
        <f>IFERROR(INDEX(Combined_Data!$E:$E,$O381+1),"")</f>
        <v/>
      </c>
      <c r="C381" s="41" t="str">
        <f>IFERROR(INDEX(Combined_Data!$B:$B,$O381+1),"")</f>
        <v/>
      </c>
      <c r="D381" s="41" t="str">
        <f>IFERROR(INDEX(Combined_Data!$D:$D,$O381+1),"")</f>
        <v/>
      </c>
      <c r="E381" s="41" t="str">
        <f>IFERROR(INDEX(Combined_Data!$G:$G,$O381+1),"")</f>
        <v/>
      </c>
      <c r="F381" s="42" t="str">
        <f>IFERROR(INDEX(Combined_Data!$I:$I,$O381+1),"")</f>
        <v/>
      </c>
      <c r="G381" s="41" t="str">
        <f>IFERROR(INDEX(Combined_Data!$K:$K,$O381+1),"")</f>
        <v/>
      </c>
      <c r="H381" s="41" t="str">
        <f>IFERROR(INDEX(Combined_Data!$M:$M,$O381+1),"")</f>
        <v/>
      </c>
      <c r="I381" s="41" t="str">
        <f>IFERROR(INDEX(Combined_Data!$N:$N,$O381+1),"")</f>
        <v/>
      </c>
      <c r="J381" s="43" t="str">
        <f>IFERROR(INDEX(Combined_Data!$S:$S,$O381+1),"")</f>
        <v/>
      </c>
      <c r="K381" s="44" t="str">
        <f>IFERROR(INDEX(Combined_Data!$AF:$AF,$O381+1),"")</f>
        <v/>
      </c>
      <c r="L381" s="41" t="str">
        <f>IFERROR(INDEX(Combined_Data!$AG:$AG,$O381+1),"")</f>
        <v/>
      </c>
      <c r="M381" s="41" t="str">
        <f>IFERROR(INDEX(Combined_Data!$AH:$AH,$O381+1),"")</f>
        <v/>
      </c>
      <c r="O381" t="str">
        <f>IFERROR(_xlfn.AGGREGATE(15,6,(ROW(Combined_Data!$AI$2:$AI$3001)-1)/(Combined_Data!$AI$2:$AI$3001),347),"")</f>
        <v/>
      </c>
    </row>
    <row r="382" spans="1:15" ht="15" customHeight="1" x14ac:dyDescent="0.3">
      <c r="A382" s="41" t="str">
        <f>IFERROR(INDEX(Combined_Data!$C:$C,$O382+1),"")</f>
        <v/>
      </c>
      <c r="B382" s="41" t="str">
        <f>IFERROR(INDEX(Combined_Data!$E:$E,$O382+1),"")</f>
        <v/>
      </c>
      <c r="C382" s="41" t="str">
        <f>IFERROR(INDEX(Combined_Data!$B:$B,$O382+1),"")</f>
        <v/>
      </c>
      <c r="D382" s="41" t="str">
        <f>IFERROR(INDEX(Combined_Data!$D:$D,$O382+1),"")</f>
        <v/>
      </c>
      <c r="E382" s="41" t="str">
        <f>IFERROR(INDEX(Combined_Data!$G:$G,$O382+1),"")</f>
        <v/>
      </c>
      <c r="F382" s="42" t="str">
        <f>IFERROR(INDEX(Combined_Data!$I:$I,$O382+1),"")</f>
        <v/>
      </c>
      <c r="G382" s="41" t="str">
        <f>IFERROR(INDEX(Combined_Data!$K:$K,$O382+1),"")</f>
        <v/>
      </c>
      <c r="H382" s="41" t="str">
        <f>IFERROR(INDEX(Combined_Data!$M:$M,$O382+1),"")</f>
        <v/>
      </c>
      <c r="I382" s="41" t="str">
        <f>IFERROR(INDEX(Combined_Data!$N:$N,$O382+1),"")</f>
        <v/>
      </c>
      <c r="J382" s="43" t="str">
        <f>IFERROR(INDEX(Combined_Data!$S:$S,$O382+1),"")</f>
        <v/>
      </c>
      <c r="K382" s="44" t="str">
        <f>IFERROR(INDEX(Combined_Data!$AF:$AF,$O382+1),"")</f>
        <v/>
      </c>
      <c r="L382" s="41" t="str">
        <f>IFERROR(INDEX(Combined_Data!$AG:$AG,$O382+1),"")</f>
        <v/>
      </c>
      <c r="M382" s="41" t="str">
        <f>IFERROR(INDEX(Combined_Data!$AH:$AH,$O382+1),"")</f>
        <v/>
      </c>
      <c r="O382" t="str">
        <f>IFERROR(_xlfn.AGGREGATE(15,6,(ROW(Combined_Data!$AI$2:$AI$3001)-1)/(Combined_Data!$AI$2:$AI$3001),348),"")</f>
        <v/>
      </c>
    </row>
    <row r="383" spans="1:15" ht="15" customHeight="1" x14ac:dyDescent="0.3">
      <c r="A383" s="41" t="str">
        <f>IFERROR(INDEX(Combined_Data!$C:$C,$O383+1),"")</f>
        <v/>
      </c>
      <c r="B383" s="41" t="str">
        <f>IFERROR(INDEX(Combined_Data!$E:$E,$O383+1),"")</f>
        <v/>
      </c>
      <c r="C383" s="41" t="str">
        <f>IFERROR(INDEX(Combined_Data!$B:$B,$O383+1),"")</f>
        <v/>
      </c>
      <c r="D383" s="41" t="str">
        <f>IFERROR(INDEX(Combined_Data!$D:$D,$O383+1),"")</f>
        <v/>
      </c>
      <c r="E383" s="41" t="str">
        <f>IFERROR(INDEX(Combined_Data!$G:$G,$O383+1),"")</f>
        <v/>
      </c>
      <c r="F383" s="42" t="str">
        <f>IFERROR(INDEX(Combined_Data!$I:$I,$O383+1),"")</f>
        <v/>
      </c>
      <c r="G383" s="41" t="str">
        <f>IFERROR(INDEX(Combined_Data!$K:$K,$O383+1),"")</f>
        <v/>
      </c>
      <c r="H383" s="41" t="str">
        <f>IFERROR(INDEX(Combined_Data!$M:$M,$O383+1),"")</f>
        <v/>
      </c>
      <c r="I383" s="41" t="str">
        <f>IFERROR(INDEX(Combined_Data!$N:$N,$O383+1),"")</f>
        <v/>
      </c>
      <c r="J383" s="43" t="str">
        <f>IFERROR(INDEX(Combined_Data!$S:$S,$O383+1),"")</f>
        <v/>
      </c>
      <c r="K383" s="44" t="str">
        <f>IFERROR(INDEX(Combined_Data!$AF:$AF,$O383+1),"")</f>
        <v/>
      </c>
      <c r="L383" s="41" t="str">
        <f>IFERROR(INDEX(Combined_Data!$AG:$AG,$O383+1),"")</f>
        <v/>
      </c>
      <c r="M383" s="41" t="str">
        <f>IFERROR(INDEX(Combined_Data!$AH:$AH,$O383+1),"")</f>
        <v/>
      </c>
      <c r="O383" t="str">
        <f>IFERROR(_xlfn.AGGREGATE(15,6,(ROW(Combined_Data!$AI$2:$AI$3001)-1)/(Combined_Data!$AI$2:$AI$3001),349),"")</f>
        <v/>
      </c>
    </row>
    <row r="384" spans="1:15" ht="15" customHeight="1" x14ac:dyDescent="0.3">
      <c r="A384" s="41" t="str">
        <f>IFERROR(INDEX(Combined_Data!$C:$C,$O384+1),"")</f>
        <v/>
      </c>
      <c r="B384" s="41" t="str">
        <f>IFERROR(INDEX(Combined_Data!$E:$E,$O384+1),"")</f>
        <v/>
      </c>
      <c r="C384" s="41" t="str">
        <f>IFERROR(INDEX(Combined_Data!$B:$B,$O384+1),"")</f>
        <v/>
      </c>
      <c r="D384" s="41" t="str">
        <f>IFERROR(INDEX(Combined_Data!$D:$D,$O384+1),"")</f>
        <v/>
      </c>
      <c r="E384" s="41" t="str">
        <f>IFERROR(INDEX(Combined_Data!$G:$G,$O384+1),"")</f>
        <v/>
      </c>
      <c r="F384" s="42" t="str">
        <f>IFERROR(INDEX(Combined_Data!$I:$I,$O384+1),"")</f>
        <v/>
      </c>
      <c r="G384" s="41" t="str">
        <f>IFERROR(INDEX(Combined_Data!$K:$K,$O384+1),"")</f>
        <v/>
      </c>
      <c r="H384" s="41" t="str">
        <f>IFERROR(INDEX(Combined_Data!$M:$M,$O384+1),"")</f>
        <v/>
      </c>
      <c r="I384" s="41" t="str">
        <f>IFERROR(INDEX(Combined_Data!$N:$N,$O384+1),"")</f>
        <v/>
      </c>
      <c r="J384" s="43" t="str">
        <f>IFERROR(INDEX(Combined_Data!$S:$S,$O384+1),"")</f>
        <v/>
      </c>
      <c r="K384" s="44" t="str">
        <f>IFERROR(INDEX(Combined_Data!$AF:$AF,$O384+1),"")</f>
        <v/>
      </c>
      <c r="L384" s="41" t="str">
        <f>IFERROR(INDEX(Combined_Data!$AG:$AG,$O384+1),"")</f>
        <v/>
      </c>
      <c r="M384" s="41" t="str">
        <f>IFERROR(INDEX(Combined_Data!$AH:$AH,$O384+1),"")</f>
        <v/>
      </c>
      <c r="O384" t="str">
        <f>IFERROR(_xlfn.AGGREGATE(15,6,(ROW(Combined_Data!$AI$2:$AI$3001)-1)/(Combined_Data!$AI$2:$AI$3001),350),"")</f>
        <v/>
      </c>
    </row>
    <row r="385" spans="1:15" ht="15" customHeight="1" x14ac:dyDescent="0.3">
      <c r="A385" s="41" t="str">
        <f>IFERROR(INDEX(Combined_Data!$C:$C,$O385+1),"")</f>
        <v/>
      </c>
      <c r="B385" s="41" t="str">
        <f>IFERROR(INDEX(Combined_Data!$E:$E,$O385+1),"")</f>
        <v/>
      </c>
      <c r="C385" s="41" t="str">
        <f>IFERROR(INDEX(Combined_Data!$B:$B,$O385+1),"")</f>
        <v/>
      </c>
      <c r="D385" s="41" t="str">
        <f>IFERROR(INDEX(Combined_Data!$D:$D,$O385+1),"")</f>
        <v/>
      </c>
      <c r="E385" s="41" t="str">
        <f>IFERROR(INDEX(Combined_Data!$G:$G,$O385+1),"")</f>
        <v/>
      </c>
      <c r="F385" s="42" t="str">
        <f>IFERROR(INDEX(Combined_Data!$I:$I,$O385+1),"")</f>
        <v/>
      </c>
      <c r="G385" s="41" t="str">
        <f>IFERROR(INDEX(Combined_Data!$K:$K,$O385+1),"")</f>
        <v/>
      </c>
      <c r="H385" s="41" t="str">
        <f>IFERROR(INDEX(Combined_Data!$M:$M,$O385+1),"")</f>
        <v/>
      </c>
      <c r="I385" s="41" t="str">
        <f>IFERROR(INDEX(Combined_Data!$N:$N,$O385+1),"")</f>
        <v/>
      </c>
      <c r="J385" s="43" t="str">
        <f>IFERROR(INDEX(Combined_Data!$S:$S,$O385+1),"")</f>
        <v/>
      </c>
      <c r="K385" s="44" t="str">
        <f>IFERROR(INDEX(Combined_Data!$AF:$AF,$O385+1),"")</f>
        <v/>
      </c>
      <c r="L385" s="41" t="str">
        <f>IFERROR(INDEX(Combined_Data!$AG:$AG,$O385+1),"")</f>
        <v/>
      </c>
      <c r="M385" s="41" t="str">
        <f>IFERROR(INDEX(Combined_Data!$AH:$AH,$O385+1),"")</f>
        <v/>
      </c>
      <c r="O385" t="str">
        <f>IFERROR(_xlfn.AGGREGATE(15,6,(ROW(Combined_Data!$AI$2:$AI$3001)-1)/(Combined_Data!$AI$2:$AI$3001),351),"")</f>
        <v/>
      </c>
    </row>
    <row r="386" spans="1:15" ht="15" customHeight="1" x14ac:dyDescent="0.3">
      <c r="A386" s="41" t="str">
        <f>IFERROR(INDEX(Combined_Data!$C:$C,$O386+1),"")</f>
        <v/>
      </c>
      <c r="B386" s="41" t="str">
        <f>IFERROR(INDEX(Combined_Data!$E:$E,$O386+1),"")</f>
        <v/>
      </c>
      <c r="C386" s="41" t="str">
        <f>IFERROR(INDEX(Combined_Data!$B:$B,$O386+1),"")</f>
        <v/>
      </c>
      <c r="D386" s="41" t="str">
        <f>IFERROR(INDEX(Combined_Data!$D:$D,$O386+1),"")</f>
        <v/>
      </c>
      <c r="E386" s="41" t="str">
        <f>IFERROR(INDEX(Combined_Data!$G:$G,$O386+1),"")</f>
        <v/>
      </c>
      <c r="F386" s="42" t="str">
        <f>IFERROR(INDEX(Combined_Data!$I:$I,$O386+1),"")</f>
        <v/>
      </c>
      <c r="G386" s="41" t="str">
        <f>IFERROR(INDEX(Combined_Data!$K:$K,$O386+1),"")</f>
        <v/>
      </c>
      <c r="H386" s="41" t="str">
        <f>IFERROR(INDEX(Combined_Data!$M:$M,$O386+1),"")</f>
        <v/>
      </c>
      <c r="I386" s="41" t="str">
        <f>IFERROR(INDEX(Combined_Data!$N:$N,$O386+1),"")</f>
        <v/>
      </c>
      <c r="J386" s="43" t="str">
        <f>IFERROR(INDEX(Combined_Data!$S:$S,$O386+1),"")</f>
        <v/>
      </c>
      <c r="K386" s="44" t="str">
        <f>IFERROR(INDEX(Combined_Data!$AF:$AF,$O386+1),"")</f>
        <v/>
      </c>
      <c r="L386" s="41" t="str">
        <f>IFERROR(INDEX(Combined_Data!$AG:$AG,$O386+1),"")</f>
        <v/>
      </c>
      <c r="M386" s="41" t="str">
        <f>IFERROR(INDEX(Combined_Data!$AH:$AH,$O386+1),"")</f>
        <v/>
      </c>
      <c r="O386" t="str">
        <f>IFERROR(_xlfn.AGGREGATE(15,6,(ROW(Combined_Data!$AI$2:$AI$3001)-1)/(Combined_Data!$AI$2:$AI$3001),352),"")</f>
        <v/>
      </c>
    </row>
    <row r="387" spans="1:15" ht="15" customHeight="1" x14ac:dyDescent="0.3">
      <c r="A387" s="41" t="str">
        <f>IFERROR(INDEX(Combined_Data!$C:$C,$O387+1),"")</f>
        <v/>
      </c>
      <c r="B387" s="41" t="str">
        <f>IFERROR(INDEX(Combined_Data!$E:$E,$O387+1),"")</f>
        <v/>
      </c>
      <c r="C387" s="41" t="str">
        <f>IFERROR(INDEX(Combined_Data!$B:$B,$O387+1),"")</f>
        <v/>
      </c>
      <c r="D387" s="41" t="str">
        <f>IFERROR(INDEX(Combined_Data!$D:$D,$O387+1),"")</f>
        <v/>
      </c>
      <c r="E387" s="41" t="str">
        <f>IFERROR(INDEX(Combined_Data!$G:$G,$O387+1),"")</f>
        <v/>
      </c>
      <c r="F387" s="42" t="str">
        <f>IFERROR(INDEX(Combined_Data!$I:$I,$O387+1),"")</f>
        <v/>
      </c>
      <c r="G387" s="41" t="str">
        <f>IFERROR(INDEX(Combined_Data!$K:$K,$O387+1),"")</f>
        <v/>
      </c>
      <c r="H387" s="41" t="str">
        <f>IFERROR(INDEX(Combined_Data!$M:$M,$O387+1),"")</f>
        <v/>
      </c>
      <c r="I387" s="41" t="str">
        <f>IFERROR(INDEX(Combined_Data!$N:$N,$O387+1),"")</f>
        <v/>
      </c>
      <c r="J387" s="43" t="str">
        <f>IFERROR(INDEX(Combined_Data!$S:$S,$O387+1),"")</f>
        <v/>
      </c>
      <c r="K387" s="44" t="str">
        <f>IFERROR(INDEX(Combined_Data!$AF:$AF,$O387+1),"")</f>
        <v/>
      </c>
      <c r="L387" s="41" t="str">
        <f>IFERROR(INDEX(Combined_Data!$AG:$AG,$O387+1),"")</f>
        <v/>
      </c>
      <c r="M387" s="41" t="str">
        <f>IFERROR(INDEX(Combined_Data!$AH:$AH,$O387+1),"")</f>
        <v/>
      </c>
      <c r="O387" t="str">
        <f>IFERROR(_xlfn.AGGREGATE(15,6,(ROW(Combined_Data!$AI$2:$AI$3001)-1)/(Combined_Data!$AI$2:$AI$3001),353),"")</f>
        <v/>
      </c>
    </row>
    <row r="388" spans="1:15" ht="15" customHeight="1" x14ac:dyDescent="0.3">
      <c r="A388" s="41" t="str">
        <f>IFERROR(INDEX(Combined_Data!$C:$C,$O388+1),"")</f>
        <v/>
      </c>
      <c r="B388" s="41" t="str">
        <f>IFERROR(INDEX(Combined_Data!$E:$E,$O388+1),"")</f>
        <v/>
      </c>
      <c r="C388" s="41" t="str">
        <f>IFERROR(INDEX(Combined_Data!$B:$B,$O388+1),"")</f>
        <v/>
      </c>
      <c r="D388" s="41" t="str">
        <f>IFERROR(INDEX(Combined_Data!$D:$D,$O388+1),"")</f>
        <v/>
      </c>
      <c r="E388" s="41" t="str">
        <f>IFERROR(INDEX(Combined_Data!$G:$G,$O388+1),"")</f>
        <v/>
      </c>
      <c r="F388" s="42" t="str">
        <f>IFERROR(INDEX(Combined_Data!$I:$I,$O388+1),"")</f>
        <v/>
      </c>
      <c r="G388" s="41" t="str">
        <f>IFERROR(INDEX(Combined_Data!$K:$K,$O388+1),"")</f>
        <v/>
      </c>
      <c r="H388" s="41" t="str">
        <f>IFERROR(INDEX(Combined_Data!$M:$M,$O388+1),"")</f>
        <v/>
      </c>
      <c r="I388" s="41" t="str">
        <f>IFERROR(INDEX(Combined_Data!$N:$N,$O388+1),"")</f>
        <v/>
      </c>
      <c r="J388" s="43" t="str">
        <f>IFERROR(INDEX(Combined_Data!$S:$S,$O388+1),"")</f>
        <v/>
      </c>
      <c r="K388" s="44" t="str">
        <f>IFERROR(INDEX(Combined_Data!$AF:$AF,$O388+1),"")</f>
        <v/>
      </c>
      <c r="L388" s="41" t="str">
        <f>IFERROR(INDEX(Combined_Data!$AG:$AG,$O388+1),"")</f>
        <v/>
      </c>
      <c r="M388" s="41" t="str">
        <f>IFERROR(INDEX(Combined_Data!$AH:$AH,$O388+1),"")</f>
        <v/>
      </c>
      <c r="O388" t="str">
        <f>IFERROR(_xlfn.AGGREGATE(15,6,(ROW(Combined_Data!$AI$2:$AI$3001)-1)/(Combined_Data!$AI$2:$AI$3001),354),"")</f>
        <v/>
      </c>
    </row>
    <row r="389" spans="1:15" ht="15" customHeight="1" x14ac:dyDescent="0.3">
      <c r="A389" s="41" t="str">
        <f>IFERROR(INDEX(Combined_Data!$C:$C,$O389+1),"")</f>
        <v/>
      </c>
      <c r="B389" s="41" t="str">
        <f>IFERROR(INDEX(Combined_Data!$E:$E,$O389+1),"")</f>
        <v/>
      </c>
      <c r="C389" s="41" t="str">
        <f>IFERROR(INDEX(Combined_Data!$B:$B,$O389+1),"")</f>
        <v/>
      </c>
      <c r="D389" s="41" t="str">
        <f>IFERROR(INDEX(Combined_Data!$D:$D,$O389+1),"")</f>
        <v/>
      </c>
      <c r="E389" s="41" t="str">
        <f>IFERROR(INDEX(Combined_Data!$G:$G,$O389+1),"")</f>
        <v/>
      </c>
      <c r="F389" s="42" t="str">
        <f>IFERROR(INDEX(Combined_Data!$I:$I,$O389+1),"")</f>
        <v/>
      </c>
      <c r="G389" s="41" t="str">
        <f>IFERROR(INDEX(Combined_Data!$K:$K,$O389+1),"")</f>
        <v/>
      </c>
      <c r="H389" s="41" t="str">
        <f>IFERROR(INDEX(Combined_Data!$M:$M,$O389+1),"")</f>
        <v/>
      </c>
      <c r="I389" s="41" t="str">
        <f>IFERROR(INDEX(Combined_Data!$N:$N,$O389+1),"")</f>
        <v/>
      </c>
      <c r="J389" s="43" t="str">
        <f>IFERROR(INDEX(Combined_Data!$S:$S,$O389+1),"")</f>
        <v/>
      </c>
      <c r="K389" s="44" t="str">
        <f>IFERROR(INDEX(Combined_Data!$AF:$AF,$O389+1),"")</f>
        <v/>
      </c>
      <c r="L389" s="41" t="str">
        <f>IFERROR(INDEX(Combined_Data!$AG:$AG,$O389+1),"")</f>
        <v/>
      </c>
      <c r="M389" s="41" t="str">
        <f>IFERROR(INDEX(Combined_Data!$AH:$AH,$O389+1),"")</f>
        <v/>
      </c>
      <c r="O389" t="str">
        <f>IFERROR(_xlfn.AGGREGATE(15,6,(ROW(Combined_Data!$AI$2:$AI$3001)-1)/(Combined_Data!$AI$2:$AI$3001),355),"")</f>
        <v/>
      </c>
    </row>
    <row r="390" spans="1:15" ht="15" customHeight="1" x14ac:dyDescent="0.3">
      <c r="A390" s="41" t="str">
        <f>IFERROR(INDEX(Combined_Data!$C:$C,$O390+1),"")</f>
        <v/>
      </c>
      <c r="B390" s="41" t="str">
        <f>IFERROR(INDEX(Combined_Data!$E:$E,$O390+1),"")</f>
        <v/>
      </c>
      <c r="C390" s="41" t="str">
        <f>IFERROR(INDEX(Combined_Data!$B:$B,$O390+1),"")</f>
        <v/>
      </c>
      <c r="D390" s="41" t="str">
        <f>IFERROR(INDEX(Combined_Data!$D:$D,$O390+1),"")</f>
        <v/>
      </c>
      <c r="E390" s="41" t="str">
        <f>IFERROR(INDEX(Combined_Data!$G:$G,$O390+1),"")</f>
        <v/>
      </c>
      <c r="F390" s="42" t="str">
        <f>IFERROR(INDEX(Combined_Data!$I:$I,$O390+1),"")</f>
        <v/>
      </c>
      <c r="G390" s="41" t="str">
        <f>IFERROR(INDEX(Combined_Data!$K:$K,$O390+1),"")</f>
        <v/>
      </c>
      <c r="H390" s="41" t="str">
        <f>IFERROR(INDEX(Combined_Data!$M:$M,$O390+1),"")</f>
        <v/>
      </c>
      <c r="I390" s="41" t="str">
        <f>IFERROR(INDEX(Combined_Data!$N:$N,$O390+1),"")</f>
        <v/>
      </c>
      <c r="J390" s="43" t="str">
        <f>IFERROR(INDEX(Combined_Data!$S:$S,$O390+1),"")</f>
        <v/>
      </c>
      <c r="K390" s="44" t="str">
        <f>IFERROR(INDEX(Combined_Data!$AF:$AF,$O390+1),"")</f>
        <v/>
      </c>
      <c r="L390" s="41" t="str">
        <f>IFERROR(INDEX(Combined_Data!$AG:$AG,$O390+1),"")</f>
        <v/>
      </c>
      <c r="M390" s="41" t="str">
        <f>IFERROR(INDEX(Combined_Data!$AH:$AH,$O390+1),"")</f>
        <v/>
      </c>
      <c r="O390" t="str">
        <f>IFERROR(_xlfn.AGGREGATE(15,6,(ROW(Combined_Data!$AI$2:$AI$3001)-1)/(Combined_Data!$AI$2:$AI$3001),356),"")</f>
        <v/>
      </c>
    </row>
    <row r="391" spans="1:15" ht="15" customHeight="1" x14ac:dyDescent="0.3">
      <c r="A391" s="41" t="str">
        <f>IFERROR(INDEX(Combined_Data!$C:$C,$O391+1),"")</f>
        <v/>
      </c>
      <c r="B391" s="41" t="str">
        <f>IFERROR(INDEX(Combined_Data!$E:$E,$O391+1),"")</f>
        <v/>
      </c>
      <c r="C391" s="41" t="str">
        <f>IFERROR(INDEX(Combined_Data!$B:$B,$O391+1),"")</f>
        <v/>
      </c>
      <c r="D391" s="41" t="str">
        <f>IFERROR(INDEX(Combined_Data!$D:$D,$O391+1),"")</f>
        <v/>
      </c>
      <c r="E391" s="41" t="str">
        <f>IFERROR(INDEX(Combined_Data!$G:$G,$O391+1),"")</f>
        <v/>
      </c>
      <c r="F391" s="42" t="str">
        <f>IFERROR(INDEX(Combined_Data!$I:$I,$O391+1),"")</f>
        <v/>
      </c>
      <c r="G391" s="41" t="str">
        <f>IFERROR(INDEX(Combined_Data!$K:$K,$O391+1),"")</f>
        <v/>
      </c>
      <c r="H391" s="41" t="str">
        <f>IFERROR(INDEX(Combined_Data!$M:$M,$O391+1),"")</f>
        <v/>
      </c>
      <c r="I391" s="41" t="str">
        <f>IFERROR(INDEX(Combined_Data!$N:$N,$O391+1),"")</f>
        <v/>
      </c>
      <c r="J391" s="43" t="str">
        <f>IFERROR(INDEX(Combined_Data!$S:$S,$O391+1),"")</f>
        <v/>
      </c>
      <c r="K391" s="44" t="str">
        <f>IFERROR(INDEX(Combined_Data!$AF:$AF,$O391+1),"")</f>
        <v/>
      </c>
      <c r="L391" s="41" t="str">
        <f>IFERROR(INDEX(Combined_Data!$AG:$AG,$O391+1),"")</f>
        <v/>
      </c>
      <c r="M391" s="41" t="str">
        <f>IFERROR(INDEX(Combined_Data!$AH:$AH,$O391+1),"")</f>
        <v/>
      </c>
      <c r="O391" t="str">
        <f>IFERROR(_xlfn.AGGREGATE(15,6,(ROW(Combined_Data!$AI$2:$AI$3001)-1)/(Combined_Data!$AI$2:$AI$3001),357),"")</f>
        <v/>
      </c>
    </row>
    <row r="392" spans="1:15" ht="15" customHeight="1" x14ac:dyDescent="0.3">
      <c r="A392" s="41" t="str">
        <f>IFERROR(INDEX(Combined_Data!$C:$C,$O392+1),"")</f>
        <v/>
      </c>
      <c r="B392" s="41" t="str">
        <f>IFERROR(INDEX(Combined_Data!$E:$E,$O392+1),"")</f>
        <v/>
      </c>
      <c r="C392" s="41" t="str">
        <f>IFERROR(INDEX(Combined_Data!$B:$B,$O392+1),"")</f>
        <v/>
      </c>
      <c r="D392" s="41" t="str">
        <f>IFERROR(INDEX(Combined_Data!$D:$D,$O392+1),"")</f>
        <v/>
      </c>
      <c r="E392" s="41" t="str">
        <f>IFERROR(INDEX(Combined_Data!$G:$G,$O392+1),"")</f>
        <v/>
      </c>
      <c r="F392" s="42" t="str">
        <f>IFERROR(INDEX(Combined_Data!$I:$I,$O392+1),"")</f>
        <v/>
      </c>
      <c r="G392" s="41" t="str">
        <f>IFERROR(INDEX(Combined_Data!$K:$K,$O392+1),"")</f>
        <v/>
      </c>
      <c r="H392" s="41" t="str">
        <f>IFERROR(INDEX(Combined_Data!$M:$M,$O392+1),"")</f>
        <v/>
      </c>
      <c r="I392" s="41" t="str">
        <f>IFERROR(INDEX(Combined_Data!$N:$N,$O392+1),"")</f>
        <v/>
      </c>
      <c r="J392" s="43" t="str">
        <f>IFERROR(INDEX(Combined_Data!$S:$S,$O392+1),"")</f>
        <v/>
      </c>
      <c r="K392" s="44" t="str">
        <f>IFERROR(INDEX(Combined_Data!$AF:$AF,$O392+1),"")</f>
        <v/>
      </c>
      <c r="L392" s="41" t="str">
        <f>IFERROR(INDEX(Combined_Data!$AG:$AG,$O392+1),"")</f>
        <v/>
      </c>
      <c r="M392" s="41" t="str">
        <f>IFERROR(INDEX(Combined_Data!$AH:$AH,$O392+1),"")</f>
        <v/>
      </c>
      <c r="O392" t="str">
        <f>IFERROR(_xlfn.AGGREGATE(15,6,(ROW(Combined_Data!$AI$2:$AI$3001)-1)/(Combined_Data!$AI$2:$AI$3001),358),"")</f>
        <v/>
      </c>
    </row>
    <row r="393" spans="1:15" ht="15" customHeight="1" x14ac:dyDescent="0.3">
      <c r="A393" s="41" t="str">
        <f>IFERROR(INDEX(Combined_Data!$C:$C,$O393+1),"")</f>
        <v/>
      </c>
      <c r="B393" s="41" t="str">
        <f>IFERROR(INDEX(Combined_Data!$E:$E,$O393+1),"")</f>
        <v/>
      </c>
      <c r="C393" s="41" t="str">
        <f>IFERROR(INDEX(Combined_Data!$B:$B,$O393+1),"")</f>
        <v/>
      </c>
      <c r="D393" s="41" t="str">
        <f>IFERROR(INDEX(Combined_Data!$D:$D,$O393+1),"")</f>
        <v/>
      </c>
      <c r="E393" s="41" t="str">
        <f>IFERROR(INDEX(Combined_Data!$G:$G,$O393+1),"")</f>
        <v/>
      </c>
      <c r="F393" s="42" t="str">
        <f>IFERROR(INDEX(Combined_Data!$I:$I,$O393+1),"")</f>
        <v/>
      </c>
      <c r="G393" s="41" t="str">
        <f>IFERROR(INDEX(Combined_Data!$K:$K,$O393+1),"")</f>
        <v/>
      </c>
      <c r="H393" s="41" t="str">
        <f>IFERROR(INDEX(Combined_Data!$M:$M,$O393+1),"")</f>
        <v/>
      </c>
      <c r="I393" s="41" t="str">
        <f>IFERROR(INDEX(Combined_Data!$N:$N,$O393+1),"")</f>
        <v/>
      </c>
      <c r="J393" s="43" t="str">
        <f>IFERROR(INDEX(Combined_Data!$S:$S,$O393+1),"")</f>
        <v/>
      </c>
      <c r="K393" s="44" t="str">
        <f>IFERROR(INDEX(Combined_Data!$AF:$AF,$O393+1),"")</f>
        <v/>
      </c>
      <c r="L393" s="41" t="str">
        <f>IFERROR(INDEX(Combined_Data!$AG:$AG,$O393+1),"")</f>
        <v/>
      </c>
      <c r="M393" s="41" t="str">
        <f>IFERROR(INDEX(Combined_Data!$AH:$AH,$O393+1),"")</f>
        <v/>
      </c>
      <c r="O393" t="str">
        <f>IFERROR(_xlfn.AGGREGATE(15,6,(ROW(Combined_Data!$AI$2:$AI$3001)-1)/(Combined_Data!$AI$2:$AI$3001),359),"")</f>
        <v/>
      </c>
    </row>
    <row r="394" spans="1:15" ht="15" customHeight="1" x14ac:dyDescent="0.3">
      <c r="A394" s="41" t="str">
        <f>IFERROR(INDEX(Combined_Data!$C:$C,$O394+1),"")</f>
        <v/>
      </c>
      <c r="B394" s="41" t="str">
        <f>IFERROR(INDEX(Combined_Data!$E:$E,$O394+1),"")</f>
        <v/>
      </c>
      <c r="C394" s="41" t="str">
        <f>IFERROR(INDEX(Combined_Data!$B:$B,$O394+1),"")</f>
        <v/>
      </c>
      <c r="D394" s="41" t="str">
        <f>IFERROR(INDEX(Combined_Data!$D:$D,$O394+1),"")</f>
        <v/>
      </c>
      <c r="E394" s="41" t="str">
        <f>IFERROR(INDEX(Combined_Data!$G:$G,$O394+1),"")</f>
        <v/>
      </c>
      <c r="F394" s="42" t="str">
        <f>IFERROR(INDEX(Combined_Data!$I:$I,$O394+1),"")</f>
        <v/>
      </c>
      <c r="G394" s="41" t="str">
        <f>IFERROR(INDEX(Combined_Data!$K:$K,$O394+1),"")</f>
        <v/>
      </c>
      <c r="H394" s="41" t="str">
        <f>IFERROR(INDEX(Combined_Data!$M:$M,$O394+1),"")</f>
        <v/>
      </c>
      <c r="I394" s="41" t="str">
        <f>IFERROR(INDEX(Combined_Data!$N:$N,$O394+1),"")</f>
        <v/>
      </c>
      <c r="J394" s="43" t="str">
        <f>IFERROR(INDEX(Combined_Data!$S:$S,$O394+1),"")</f>
        <v/>
      </c>
      <c r="K394" s="44" t="str">
        <f>IFERROR(INDEX(Combined_Data!$AF:$AF,$O394+1),"")</f>
        <v/>
      </c>
      <c r="L394" s="41" t="str">
        <f>IFERROR(INDEX(Combined_Data!$AG:$AG,$O394+1),"")</f>
        <v/>
      </c>
      <c r="M394" s="41" t="str">
        <f>IFERROR(INDEX(Combined_Data!$AH:$AH,$O394+1),"")</f>
        <v/>
      </c>
      <c r="O394" t="str">
        <f>IFERROR(_xlfn.AGGREGATE(15,6,(ROW(Combined_Data!$AI$2:$AI$3001)-1)/(Combined_Data!$AI$2:$AI$3001),360),"")</f>
        <v/>
      </c>
    </row>
    <row r="395" spans="1:15" ht="15" customHeight="1" x14ac:dyDescent="0.3">
      <c r="A395" s="41" t="str">
        <f>IFERROR(INDEX(Combined_Data!$C:$C,$O395+1),"")</f>
        <v/>
      </c>
      <c r="B395" s="41" t="str">
        <f>IFERROR(INDEX(Combined_Data!$E:$E,$O395+1),"")</f>
        <v/>
      </c>
      <c r="C395" s="41" t="str">
        <f>IFERROR(INDEX(Combined_Data!$B:$B,$O395+1),"")</f>
        <v/>
      </c>
      <c r="D395" s="41" t="str">
        <f>IFERROR(INDEX(Combined_Data!$D:$D,$O395+1),"")</f>
        <v/>
      </c>
      <c r="E395" s="41" t="str">
        <f>IFERROR(INDEX(Combined_Data!$G:$G,$O395+1),"")</f>
        <v/>
      </c>
      <c r="F395" s="42" t="str">
        <f>IFERROR(INDEX(Combined_Data!$I:$I,$O395+1),"")</f>
        <v/>
      </c>
      <c r="G395" s="41" t="str">
        <f>IFERROR(INDEX(Combined_Data!$K:$K,$O395+1),"")</f>
        <v/>
      </c>
      <c r="H395" s="41" t="str">
        <f>IFERROR(INDEX(Combined_Data!$M:$M,$O395+1),"")</f>
        <v/>
      </c>
      <c r="I395" s="41" t="str">
        <f>IFERROR(INDEX(Combined_Data!$N:$N,$O395+1),"")</f>
        <v/>
      </c>
      <c r="J395" s="43" t="str">
        <f>IFERROR(INDEX(Combined_Data!$S:$S,$O395+1),"")</f>
        <v/>
      </c>
      <c r="K395" s="44" t="str">
        <f>IFERROR(INDEX(Combined_Data!$AF:$AF,$O395+1),"")</f>
        <v/>
      </c>
      <c r="L395" s="41" t="str">
        <f>IFERROR(INDEX(Combined_Data!$AG:$AG,$O395+1),"")</f>
        <v/>
      </c>
      <c r="M395" s="41" t="str">
        <f>IFERROR(INDEX(Combined_Data!$AH:$AH,$O395+1),"")</f>
        <v/>
      </c>
      <c r="O395" t="str">
        <f>IFERROR(_xlfn.AGGREGATE(15,6,(ROW(Combined_Data!$AI$2:$AI$3001)-1)/(Combined_Data!$AI$2:$AI$3001),361),"")</f>
        <v/>
      </c>
    </row>
    <row r="396" spans="1:15" ht="15" customHeight="1" x14ac:dyDescent="0.3">
      <c r="A396" s="41" t="str">
        <f>IFERROR(INDEX(Combined_Data!$C:$C,$O396+1),"")</f>
        <v/>
      </c>
      <c r="B396" s="41" t="str">
        <f>IFERROR(INDEX(Combined_Data!$E:$E,$O396+1),"")</f>
        <v/>
      </c>
      <c r="C396" s="41" t="str">
        <f>IFERROR(INDEX(Combined_Data!$B:$B,$O396+1),"")</f>
        <v/>
      </c>
      <c r="D396" s="41" t="str">
        <f>IFERROR(INDEX(Combined_Data!$D:$D,$O396+1),"")</f>
        <v/>
      </c>
      <c r="E396" s="41" t="str">
        <f>IFERROR(INDEX(Combined_Data!$G:$G,$O396+1),"")</f>
        <v/>
      </c>
      <c r="F396" s="42" t="str">
        <f>IFERROR(INDEX(Combined_Data!$I:$I,$O396+1),"")</f>
        <v/>
      </c>
      <c r="G396" s="41" t="str">
        <f>IFERROR(INDEX(Combined_Data!$K:$K,$O396+1),"")</f>
        <v/>
      </c>
      <c r="H396" s="41" t="str">
        <f>IFERROR(INDEX(Combined_Data!$M:$M,$O396+1),"")</f>
        <v/>
      </c>
      <c r="I396" s="41" t="str">
        <f>IFERROR(INDEX(Combined_Data!$N:$N,$O396+1),"")</f>
        <v/>
      </c>
      <c r="J396" s="43" t="str">
        <f>IFERROR(INDEX(Combined_Data!$S:$S,$O396+1),"")</f>
        <v/>
      </c>
      <c r="K396" s="44" t="str">
        <f>IFERROR(INDEX(Combined_Data!$AF:$AF,$O396+1),"")</f>
        <v/>
      </c>
      <c r="L396" s="41" t="str">
        <f>IFERROR(INDEX(Combined_Data!$AG:$AG,$O396+1),"")</f>
        <v/>
      </c>
      <c r="M396" s="41" t="str">
        <f>IFERROR(INDEX(Combined_Data!$AH:$AH,$O396+1),"")</f>
        <v/>
      </c>
      <c r="O396" t="str">
        <f>IFERROR(_xlfn.AGGREGATE(15,6,(ROW(Combined_Data!$AI$2:$AI$3001)-1)/(Combined_Data!$AI$2:$AI$3001),362),"")</f>
        <v/>
      </c>
    </row>
    <row r="397" spans="1:15" ht="15" customHeight="1" x14ac:dyDescent="0.3">
      <c r="A397" s="41" t="str">
        <f>IFERROR(INDEX(Combined_Data!$C:$C,$O397+1),"")</f>
        <v/>
      </c>
      <c r="B397" s="41" t="str">
        <f>IFERROR(INDEX(Combined_Data!$E:$E,$O397+1),"")</f>
        <v/>
      </c>
      <c r="C397" s="41" t="str">
        <f>IFERROR(INDEX(Combined_Data!$B:$B,$O397+1),"")</f>
        <v/>
      </c>
      <c r="D397" s="41" t="str">
        <f>IFERROR(INDEX(Combined_Data!$D:$D,$O397+1),"")</f>
        <v/>
      </c>
      <c r="E397" s="41" t="str">
        <f>IFERROR(INDEX(Combined_Data!$G:$G,$O397+1),"")</f>
        <v/>
      </c>
      <c r="F397" s="42" t="str">
        <f>IFERROR(INDEX(Combined_Data!$I:$I,$O397+1),"")</f>
        <v/>
      </c>
      <c r="G397" s="41" t="str">
        <f>IFERROR(INDEX(Combined_Data!$K:$K,$O397+1),"")</f>
        <v/>
      </c>
      <c r="H397" s="41" t="str">
        <f>IFERROR(INDEX(Combined_Data!$M:$M,$O397+1),"")</f>
        <v/>
      </c>
      <c r="I397" s="41" t="str">
        <f>IFERROR(INDEX(Combined_Data!$N:$N,$O397+1),"")</f>
        <v/>
      </c>
      <c r="J397" s="43" t="str">
        <f>IFERROR(INDEX(Combined_Data!$S:$S,$O397+1),"")</f>
        <v/>
      </c>
      <c r="K397" s="44" t="str">
        <f>IFERROR(INDEX(Combined_Data!$AF:$AF,$O397+1),"")</f>
        <v/>
      </c>
      <c r="L397" s="41" t="str">
        <f>IFERROR(INDEX(Combined_Data!$AG:$AG,$O397+1),"")</f>
        <v/>
      </c>
      <c r="M397" s="41" t="str">
        <f>IFERROR(INDEX(Combined_Data!$AH:$AH,$O397+1),"")</f>
        <v/>
      </c>
      <c r="O397" t="str">
        <f>IFERROR(_xlfn.AGGREGATE(15,6,(ROW(Combined_Data!$AI$2:$AI$3001)-1)/(Combined_Data!$AI$2:$AI$3001),363),"")</f>
        <v/>
      </c>
    </row>
    <row r="398" spans="1:15" ht="15" customHeight="1" x14ac:dyDescent="0.3">
      <c r="A398" s="41" t="str">
        <f>IFERROR(INDEX(Combined_Data!$C:$C,$O398+1),"")</f>
        <v/>
      </c>
      <c r="B398" s="41" t="str">
        <f>IFERROR(INDEX(Combined_Data!$E:$E,$O398+1),"")</f>
        <v/>
      </c>
      <c r="C398" s="41" t="str">
        <f>IFERROR(INDEX(Combined_Data!$B:$B,$O398+1),"")</f>
        <v/>
      </c>
      <c r="D398" s="41" t="str">
        <f>IFERROR(INDEX(Combined_Data!$D:$D,$O398+1),"")</f>
        <v/>
      </c>
      <c r="E398" s="41" t="str">
        <f>IFERROR(INDEX(Combined_Data!$G:$G,$O398+1),"")</f>
        <v/>
      </c>
      <c r="F398" s="42" t="str">
        <f>IFERROR(INDEX(Combined_Data!$I:$I,$O398+1),"")</f>
        <v/>
      </c>
      <c r="G398" s="41" t="str">
        <f>IFERROR(INDEX(Combined_Data!$K:$K,$O398+1),"")</f>
        <v/>
      </c>
      <c r="H398" s="41" t="str">
        <f>IFERROR(INDEX(Combined_Data!$M:$M,$O398+1),"")</f>
        <v/>
      </c>
      <c r="I398" s="41" t="str">
        <f>IFERROR(INDEX(Combined_Data!$N:$N,$O398+1),"")</f>
        <v/>
      </c>
      <c r="J398" s="43" t="str">
        <f>IFERROR(INDEX(Combined_Data!$S:$S,$O398+1),"")</f>
        <v/>
      </c>
      <c r="K398" s="44" t="str">
        <f>IFERROR(INDEX(Combined_Data!$AF:$AF,$O398+1),"")</f>
        <v/>
      </c>
      <c r="L398" s="41" t="str">
        <f>IFERROR(INDEX(Combined_Data!$AG:$AG,$O398+1),"")</f>
        <v/>
      </c>
      <c r="M398" s="41" t="str">
        <f>IFERROR(INDEX(Combined_Data!$AH:$AH,$O398+1),"")</f>
        <v/>
      </c>
      <c r="O398" t="str">
        <f>IFERROR(_xlfn.AGGREGATE(15,6,(ROW(Combined_Data!$AI$2:$AI$3001)-1)/(Combined_Data!$AI$2:$AI$3001),364),"")</f>
        <v/>
      </c>
    </row>
    <row r="399" spans="1:15" ht="15" customHeight="1" x14ac:dyDescent="0.3">
      <c r="A399" s="41" t="str">
        <f>IFERROR(INDEX(Combined_Data!$C:$C,$O399+1),"")</f>
        <v/>
      </c>
      <c r="B399" s="41" t="str">
        <f>IFERROR(INDEX(Combined_Data!$E:$E,$O399+1),"")</f>
        <v/>
      </c>
      <c r="C399" s="41" t="str">
        <f>IFERROR(INDEX(Combined_Data!$B:$B,$O399+1),"")</f>
        <v/>
      </c>
      <c r="D399" s="41" t="str">
        <f>IFERROR(INDEX(Combined_Data!$D:$D,$O399+1),"")</f>
        <v/>
      </c>
      <c r="E399" s="41" t="str">
        <f>IFERROR(INDEX(Combined_Data!$G:$G,$O399+1),"")</f>
        <v/>
      </c>
      <c r="F399" s="42" t="str">
        <f>IFERROR(INDEX(Combined_Data!$I:$I,$O399+1),"")</f>
        <v/>
      </c>
      <c r="G399" s="41" t="str">
        <f>IFERROR(INDEX(Combined_Data!$K:$K,$O399+1),"")</f>
        <v/>
      </c>
      <c r="H399" s="41" t="str">
        <f>IFERROR(INDEX(Combined_Data!$M:$M,$O399+1),"")</f>
        <v/>
      </c>
      <c r="I399" s="41" t="str">
        <f>IFERROR(INDEX(Combined_Data!$N:$N,$O399+1),"")</f>
        <v/>
      </c>
      <c r="J399" s="43" t="str">
        <f>IFERROR(INDEX(Combined_Data!$S:$S,$O399+1),"")</f>
        <v/>
      </c>
      <c r="K399" s="44" t="str">
        <f>IFERROR(INDEX(Combined_Data!$AF:$AF,$O399+1),"")</f>
        <v/>
      </c>
      <c r="L399" s="41" t="str">
        <f>IFERROR(INDEX(Combined_Data!$AG:$AG,$O399+1),"")</f>
        <v/>
      </c>
      <c r="M399" s="41" t="str">
        <f>IFERROR(INDEX(Combined_Data!$AH:$AH,$O399+1),"")</f>
        <v/>
      </c>
      <c r="O399" t="str">
        <f>IFERROR(_xlfn.AGGREGATE(15,6,(ROW(Combined_Data!$AI$2:$AI$3001)-1)/(Combined_Data!$AI$2:$AI$3001),365),"")</f>
        <v/>
      </c>
    </row>
    <row r="400" spans="1:15" ht="15" customHeight="1" x14ac:dyDescent="0.3">
      <c r="A400" s="41" t="str">
        <f>IFERROR(INDEX(Combined_Data!$C:$C,$O400+1),"")</f>
        <v/>
      </c>
      <c r="B400" s="41" t="str">
        <f>IFERROR(INDEX(Combined_Data!$E:$E,$O400+1),"")</f>
        <v/>
      </c>
      <c r="C400" s="41" t="str">
        <f>IFERROR(INDEX(Combined_Data!$B:$B,$O400+1),"")</f>
        <v/>
      </c>
      <c r="D400" s="41" t="str">
        <f>IFERROR(INDEX(Combined_Data!$D:$D,$O400+1),"")</f>
        <v/>
      </c>
      <c r="E400" s="41" t="str">
        <f>IFERROR(INDEX(Combined_Data!$G:$G,$O400+1),"")</f>
        <v/>
      </c>
      <c r="F400" s="42" t="str">
        <f>IFERROR(INDEX(Combined_Data!$I:$I,$O400+1),"")</f>
        <v/>
      </c>
      <c r="G400" s="41" t="str">
        <f>IFERROR(INDEX(Combined_Data!$K:$K,$O400+1),"")</f>
        <v/>
      </c>
      <c r="H400" s="41" t="str">
        <f>IFERROR(INDEX(Combined_Data!$M:$M,$O400+1),"")</f>
        <v/>
      </c>
      <c r="I400" s="41" t="str">
        <f>IFERROR(INDEX(Combined_Data!$N:$N,$O400+1),"")</f>
        <v/>
      </c>
      <c r="J400" s="43" t="str">
        <f>IFERROR(INDEX(Combined_Data!$S:$S,$O400+1),"")</f>
        <v/>
      </c>
      <c r="K400" s="44" t="str">
        <f>IFERROR(INDEX(Combined_Data!$AF:$AF,$O400+1),"")</f>
        <v/>
      </c>
      <c r="L400" s="41" t="str">
        <f>IFERROR(INDEX(Combined_Data!$AG:$AG,$O400+1),"")</f>
        <v/>
      </c>
      <c r="M400" s="41" t="str">
        <f>IFERROR(INDEX(Combined_Data!$AH:$AH,$O400+1),"")</f>
        <v/>
      </c>
      <c r="O400" t="str">
        <f>IFERROR(_xlfn.AGGREGATE(15,6,(ROW(Combined_Data!$AI$2:$AI$3001)-1)/(Combined_Data!$AI$2:$AI$3001),366),"")</f>
        <v/>
      </c>
    </row>
    <row r="401" spans="1:15" ht="15" customHeight="1" x14ac:dyDescent="0.3">
      <c r="A401" s="41" t="str">
        <f>IFERROR(INDEX(Combined_Data!$C:$C,$O401+1),"")</f>
        <v/>
      </c>
      <c r="B401" s="41" t="str">
        <f>IFERROR(INDEX(Combined_Data!$E:$E,$O401+1),"")</f>
        <v/>
      </c>
      <c r="C401" s="41" t="str">
        <f>IFERROR(INDEX(Combined_Data!$B:$B,$O401+1),"")</f>
        <v/>
      </c>
      <c r="D401" s="41" t="str">
        <f>IFERROR(INDEX(Combined_Data!$D:$D,$O401+1),"")</f>
        <v/>
      </c>
      <c r="E401" s="41" t="str">
        <f>IFERROR(INDEX(Combined_Data!$G:$G,$O401+1),"")</f>
        <v/>
      </c>
      <c r="F401" s="42" t="str">
        <f>IFERROR(INDEX(Combined_Data!$I:$I,$O401+1),"")</f>
        <v/>
      </c>
      <c r="G401" s="41" t="str">
        <f>IFERROR(INDEX(Combined_Data!$K:$K,$O401+1),"")</f>
        <v/>
      </c>
      <c r="H401" s="41" t="str">
        <f>IFERROR(INDEX(Combined_Data!$M:$M,$O401+1),"")</f>
        <v/>
      </c>
      <c r="I401" s="41" t="str">
        <f>IFERROR(INDEX(Combined_Data!$N:$N,$O401+1),"")</f>
        <v/>
      </c>
      <c r="J401" s="43" t="str">
        <f>IFERROR(INDEX(Combined_Data!$S:$S,$O401+1),"")</f>
        <v/>
      </c>
      <c r="K401" s="44" t="str">
        <f>IFERROR(INDEX(Combined_Data!$AF:$AF,$O401+1),"")</f>
        <v/>
      </c>
      <c r="L401" s="41" t="str">
        <f>IFERROR(INDEX(Combined_Data!$AG:$AG,$O401+1),"")</f>
        <v/>
      </c>
      <c r="M401" s="41" t="str">
        <f>IFERROR(INDEX(Combined_Data!$AH:$AH,$O401+1),"")</f>
        <v/>
      </c>
      <c r="O401" t="str">
        <f>IFERROR(_xlfn.AGGREGATE(15,6,(ROW(Combined_Data!$AI$2:$AI$3001)-1)/(Combined_Data!$AI$2:$AI$3001),367),"")</f>
        <v/>
      </c>
    </row>
    <row r="402" spans="1:15" ht="15" customHeight="1" x14ac:dyDescent="0.3">
      <c r="A402" s="41" t="str">
        <f>IFERROR(INDEX(Combined_Data!$C:$C,$O402+1),"")</f>
        <v/>
      </c>
      <c r="B402" s="41" t="str">
        <f>IFERROR(INDEX(Combined_Data!$E:$E,$O402+1),"")</f>
        <v/>
      </c>
      <c r="C402" s="41" t="str">
        <f>IFERROR(INDEX(Combined_Data!$B:$B,$O402+1),"")</f>
        <v/>
      </c>
      <c r="D402" s="41" t="str">
        <f>IFERROR(INDEX(Combined_Data!$D:$D,$O402+1),"")</f>
        <v/>
      </c>
      <c r="E402" s="41" t="str">
        <f>IFERROR(INDEX(Combined_Data!$G:$G,$O402+1),"")</f>
        <v/>
      </c>
      <c r="F402" s="42" t="str">
        <f>IFERROR(INDEX(Combined_Data!$I:$I,$O402+1),"")</f>
        <v/>
      </c>
      <c r="G402" s="41" t="str">
        <f>IFERROR(INDEX(Combined_Data!$K:$K,$O402+1),"")</f>
        <v/>
      </c>
      <c r="H402" s="41" t="str">
        <f>IFERROR(INDEX(Combined_Data!$M:$M,$O402+1),"")</f>
        <v/>
      </c>
      <c r="I402" s="41" t="str">
        <f>IFERROR(INDEX(Combined_Data!$N:$N,$O402+1),"")</f>
        <v/>
      </c>
      <c r="J402" s="43" t="str">
        <f>IFERROR(INDEX(Combined_Data!$S:$S,$O402+1),"")</f>
        <v/>
      </c>
      <c r="K402" s="44" t="str">
        <f>IFERROR(INDEX(Combined_Data!$AF:$AF,$O402+1),"")</f>
        <v/>
      </c>
      <c r="L402" s="41" t="str">
        <f>IFERROR(INDEX(Combined_Data!$AG:$AG,$O402+1),"")</f>
        <v/>
      </c>
      <c r="M402" s="41" t="str">
        <f>IFERROR(INDEX(Combined_Data!$AH:$AH,$O402+1),"")</f>
        <v/>
      </c>
      <c r="O402" t="str">
        <f>IFERROR(_xlfn.AGGREGATE(15,6,(ROW(Combined_Data!$AI$2:$AI$3001)-1)/(Combined_Data!$AI$2:$AI$3001),368),"")</f>
        <v/>
      </c>
    </row>
    <row r="403" spans="1:15" ht="15" customHeight="1" x14ac:dyDescent="0.3">
      <c r="A403" s="41" t="str">
        <f>IFERROR(INDEX(Combined_Data!$C:$C,$O403+1),"")</f>
        <v/>
      </c>
      <c r="B403" s="41" t="str">
        <f>IFERROR(INDEX(Combined_Data!$E:$E,$O403+1),"")</f>
        <v/>
      </c>
      <c r="C403" s="41" t="str">
        <f>IFERROR(INDEX(Combined_Data!$B:$B,$O403+1),"")</f>
        <v/>
      </c>
      <c r="D403" s="41" t="str">
        <f>IFERROR(INDEX(Combined_Data!$D:$D,$O403+1),"")</f>
        <v/>
      </c>
      <c r="E403" s="41" t="str">
        <f>IFERROR(INDEX(Combined_Data!$G:$G,$O403+1),"")</f>
        <v/>
      </c>
      <c r="F403" s="42" t="str">
        <f>IFERROR(INDEX(Combined_Data!$I:$I,$O403+1),"")</f>
        <v/>
      </c>
      <c r="G403" s="41" t="str">
        <f>IFERROR(INDEX(Combined_Data!$K:$K,$O403+1),"")</f>
        <v/>
      </c>
      <c r="H403" s="41" t="str">
        <f>IFERROR(INDEX(Combined_Data!$M:$M,$O403+1),"")</f>
        <v/>
      </c>
      <c r="I403" s="41" t="str">
        <f>IFERROR(INDEX(Combined_Data!$N:$N,$O403+1),"")</f>
        <v/>
      </c>
      <c r="J403" s="43" t="str">
        <f>IFERROR(INDEX(Combined_Data!$S:$S,$O403+1),"")</f>
        <v/>
      </c>
      <c r="K403" s="44" t="str">
        <f>IFERROR(INDEX(Combined_Data!$AF:$AF,$O403+1),"")</f>
        <v/>
      </c>
      <c r="L403" s="41" t="str">
        <f>IFERROR(INDEX(Combined_Data!$AG:$AG,$O403+1),"")</f>
        <v/>
      </c>
      <c r="M403" s="41" t="str">
        <f>IFERROR(INDEX(Combined_Data!$AH:$AH,$O403+1),"")</f>
        <v/>
      </c>
      <c r="O403" t="str">
        <f>IFERROR(_xlfn.AGGREGATE(15,6,(ROW(Combined_Data!$AI$2:$AI$3001)-1)/(Combined_Data!$AI$2:$AI$3001),369),"")</f>
        <v/>
      </c>
    </row>
    <row r="404" spans="1:15" ht="15" customHeight="1" x14ac:dyDescent="0.3">
      <c r="A404" s="41" t="str">
        <f>IFERROR(INDEX(Combined_Data!$C:$C,$O404+1),"")</f>
        <v/>
      </c>
      <c r="B404" s="41" t="str">
        <f>IFERROR(INDEX(Combined_Data!$E:$E,$O404+1),"")</f>
        <v/>
      </c>
      <c r="C404" s="41" t="str">
        <f>IFERROR(INDEX(Combined_Data!$B:$B,$O404+1),"")</f>
        <v/>
      </c>
      <c r="D404" s="41" t="str">
        <f>IFERROR(INDEX(Combined_Data!$D:$D,$O404+1),"")</f>
        <v/>
      </c>
      <c r="E404" s="41" t="str">
        <f>IFERROR(INDEX(Combined_Data!$G:$G,$O404+1),"")</f>
        <v/>
      </c>
      <c r="F404" s="42" t="str">
        <f>IFERROR(INDEX(Combined_Data!$I:$I,$O404+1),"")</f>
        <v/>
      </c>
      <c r="G404" s="41" t="str">
        <f>IFERROR(INDEX(Combined_Data!$K:$K,$O404+1),"")</f>
        <v/>
      </c>
      <c r="H404" s="41" t="str">
        <f>IFERROR(INDEX(Combined_Data!$M:$M,$O404+1),"")</f>
        <v/>
      </c>
      <c r="I404" s="41" t="str">
        <f>IFERROR(INDEX(Combined_Data!$N:$N,$O404+1),"")</f>
        <v/>
      </c>
      <c r="J404" s="43" t="str">
        <f>IFERROR(INDEX(Combined_Data!$S:$S,$O404+1),"")</f>
        <v/>
      </c>
      <c r="K404" s="44" t="str">
        <f>IFERROR(INDEX(Combined_Data!$AF:$AF,$O404+1),"")</f>
        <v/>
      </c>
      <c r="L404" s="41" t="str">
        <f>IFERROR(INDEX(Combined_Data!$AG:$AG,$O404+1),"")</f>
        <v/>
      </c>
      <c r="M404" s="41" t="str">
        <f>IFERROR(INDEX(Combined_Data!$AH:$AH,$O404+1),"")</f>
        <v/>
      </c>
      <c r="O404" t="str">
        <f>IFERROR(_xlfn.AGGREGATE(15,6,(ROW(Combined_Data!$AI$2:$AI$3001)-1)/(Combined_Data!$AI$2:$AI$3001),370),"")</f>
        <v/>
      </c>
    </row>
    <row r="405" spans="1:15" ht="15" customHeight="1" x14ac:dyDescent="0.3">
      <c r="A405" s="41" t="str">
        <f>IFERROR(INDEX(Combined_Data!$C:$C,$O405+1),"")</f>
        <v/>
      </c>
      <c r="B405" s="41" t="str">
        <f>IFERROR(INDEX(Combined_Data!$E:$E,$O405+1),"")</f>
        <v/>
      </c>
      <c r="C405" s="41" t="str">
        <f>IFERROR(INDEX(Combined_Data!$B:$B,$O405+1),"")</f>
        <v/>
      </c>
      <c r="D405" s="41" t="str">
        <f>IFERROR(INDEX(Combined_Data!$D:$D,$O405+1),"")</f>
        <v/>
      </c>
      <c r="E405" s="41" t="str">
        <f>IFERROR(INDEX(Combined_Data!$G:$G,$O405+1),"")</f>
        <v/>
      </c>
      <c r="F405" s="42" t="str">
        <f>IFERROR(INDEX(Combined_Data!$I:$I,$O405+1),"")</f>
        <v/>
      </c>
      <c r="G405" s="41" t="str">
        <f>IFERROR(INDEX(Combined_Data!$K:$K,$O405+1),"")</f>
        <v/>
      </c>
      <c r="H405" s="41" t="str">
        <f>IFERROR(INDEX(Combined_Data!$M:$M,$O405+1),"")</f>
        <v/>
      </c>
      <c r="I405" s="41" t="str">
        <f>IFERROR(INDEX(Combined_Data!$N:$N,$O405+1),"")</f>
        <v/>
      </c>
      <c r="J405" s="43" t="str">
        <f>IFERROR(INDEX(Combined_Data!$S:$S,$O405+1),"")</f>
        <v/>
      </c>
      <c r="K405" s="44" t="str">
        <f>IFERROR(INDEX(Combined_Data!$AF:$AF,$O405+1),"")</f>
        <v/>
      </c>
      <c r="L405" s="41" t="str">
        <f>IFERROR(INDEX(Combined_Data!$AG:$AG,$O405+1),"")</f>
        <v/>
      </c>
      <c r="M405" s="41" t="str">
        <f>IFERROR(INDEX(Combined_Data!$AH:$AH,$O405+1),"")</f>
        <v/>
      </c>
      <c r="O405" t="str">
        <f>IFERROR(_xlfn.AGGREGATE(15,6,(ROW(Combined_Data!$AI$2:$AI$3001)-1)/(Combined_Data!$AI$2:$AI$3001),371),"")</f>
        <v/>
      </c>
    </row>
    <row r="406" spans="1:15" ht="15" customHeight="1" x14ac:dyDescent="0.3">
      <c r="A406" s="41" t="str">
        <f>IFERROR(INDEX(Combined_Data!$C:$C,$O406+1),"")</f>
        <v/>
      </c>
      <c r="B406" s="41" t="str">
        <f>IFERROR(INDEX(Combined_Data!$E:$E,$O406+1),"")</f>
        <v/>
      </c>
      <c r="C406" s="41" t="str">
        <f>IFERROR(INDEX(Combined_Data!$B:$B,$O406+1),"")</f>
        <v/>
      </c>
      <c r="D406" s="41" t="str">
        <f>IFERROR(INDEX(Combined_Data!$D:$D,$O406+1),"")</f>
        <v/>
      </c>
      <c r="E406" s="41" t="str">
        <f>IFERROR(INDEX(Combined_Data!$G:$G,$O406+1),"")</f>
        <v/>
      </c>
      <c r="F406" s="42" t="str">
        <f>IFERROR(INDEX(Combined_Data!$I:$I,$O406+1),"")</f>
        <v/>
      </c>
      <c r="G406" s="41" t="str">
        <f>IFERROR(INDEX(Combined_Data!$K:$K,$O406+1),"")</f>
        <v/>
      </c>
      <c r="H406" s="41" t="str">
        <f>IFERROR(INDEX(Combined_Data!$M:$M,$O406+1),"")</f>
        <v/>
      </c>
      <c r="I406" s="41" t="str">
        <f>IFERROR(INDEX(Combined_Data!$N:$N,$O406+1),"")</f>
        <v/>
      </c>
      <c r="J406" s="43" t="str">
        <f>IFERROR(INDEX(Combined_Data!$S:$S,$O406+1),"")</f>
        <v/>
      </c>
      <c r="K406" s="44" t="str">
        <f>IFERROR(INDEX(Combined_Data!$AF:$AF,$O406+1),"")</f>
        <v/>
      </c>
      <c r="L406" s="41" t="str">
        <f>IFERROR(INDEX(Combined_Data!$AG:$AG,$O406+1),"")</f>
        <v/>
      </c>
      <c r="M406" s="41" t="str">
        <f>IFERROR(INDEX(Combined_Data!$AH:$AH,$O406+1),"")</f>
        <v/>
      </c>
      <c r="O406" t="str">
        <f>IFERROR(_xlfn.AGGREGATE(15,6,(ROW(Combined_Data!$AI$2:$AI$3001)-1)/(Combined_Data!$AI$2:$AI$3001),372),"")</f>
        <v/>
      </c>
    </row>
    <row r="407" spans="1:15" ht="15" customHeight="1" x14ac:dyDescent="0.3">
      <c r="A407" s="41" t="str">
        <f>IFERROR(INDEX(Combined_Data!$C:$C,$O407+1),"")</f>
        <v/>
      </c>
      <c r="B407" s="41" t="str">
        <f>IFERROR(INDEX(Combined_Data!$E:$E,$O407+1),"")</f>
        <v/>
      </c>
      <c r="C407" s="41" t="str">
        <f>IFERROR(INDEX(Combined_Data!$B:$B,$O407+1),"")</f>
        <v/>
      </c>
      <c r="D407" s="41" t="str">
        <f>IFERROR(INDEX(Combined_Data!$D:$D,$O407+1),"")</f>
        <v/>
      </c>
      <c r="E407" s="41" t="str">
        <f>IFERROR(INDEX(Combined_Data!$G:$G,$O407+1),"")</f>
        <v/>
      </c>
      <c r="F407" s="42" t="str">
        <f>IFERROR(INDEX(Combined_Data!$I:$I,$O407+1),"")</f>
        <v/>
      </c>
      <c r="G407" s="41" t="str">
        <f>IFERROR(INDEX(Combined_Data!$K:$K,$O407+1),"")</f>
        <v/>
      </c>
      <c r="H407" s="41" t="str">
        <f>IFERROR(INDEX(Combined_Data!$M:$M,$O407+1),"")</f>
        <v/>
      </c>
      <c r="I407" s="41" t="str">
        <f>IFERROR(INDEX(Combined_Data!$N:$N,$O407+1),"")</f>
        <v/>
      </c>
      <c r="J407" s="43" t="str">
        <f>IFERROR(INDEX(Combined_Data!$S:$S,$O407+1),"")</f>
        <v/>
      </c>
      <c r="K407" s="44" t="str">
        <f>IFERROR(INDEX(Combined_Data!$AF:$AF,$O407+1),"")</f>
        <v/>
      </c>
      <c r="L407" s="41" t="str">
        <f>IFERROR(INDEX(Combined_Data!$AG:$AG,$O407+1),"")</f>
        <v/>
      </c>
      <c r="M407" s="41" t="str">
        <f>IFERROR(INDEX(Combined_Data!$AH:$AH,$O407+1),"")</f>
        <v/>
      </c>
      <c r="O407" t="str">
        <f>IFERROR(_xlfn.AGGREGATE(15,6,(ROW(Combined_Data!$AI$2:$AI$3001)-1)/(Combined_Data!$AI$2:$AI$3001),373),"")</f>
        <v/>
      </c>
    </row>
    <row r="408" spans="1:15" ht="15" customHeight="1" x14ac:dyDescent="0.3">
      <c r="A408" s="41" t="str">
        <f>IFERROR(INDEX(Combined_Data!$C:$C,$O408+1),"")</f>
        <v/>
      </c>
      <c r="B408" s="41" t="str">
        <f>IFERROR(INDEX(Combined_Data!$E:$E,$O408+1),"")</f>
        <v/>
      </c>
      <c r="C408" s="41" t="str">
        <f>IFERROR(INDEX(Combined_Data!$B:$B,$O408+1),"")</f>
        <v/>
      </c>
      <c r="D408" s="41" t="str">
        <f>IFERROR(INDEX(Combined_Data!$D:$D,$O408+1),"")</f>
        <v/>
      </c>
      <c r="E408" s="41" t="str">
        <f>IFERROR(INDEX(Combined_Data!$G:$G,$O408+1),"")</f>
        <v/>
      </c>
      <c r="F408" s="42" t="str">
        <f>IFERROR(INDEX(Combined_Data!$I:$I,$O408+1),"")</f>
        <v/>
      </c>
      <c r="G408" s="41" t="str">
        <f>IFERROR(INDEX(Combined_Data!$K:$K,$O408+1),"")</f>
        <v/>
      </c>
      <c r="H408" s="41" t="str">
        <f>IFERROR(INDEX(Combined_Data!$M:$M,$O408+1),"")</f>
        <v/>
      </c>
      <c r="I408" s="41" t="str">
        <f>IFERROR(INDEX(Combined_Data!$N:$N,$O408+1),"")</f>
        <v/>
      </c>
      <c r="J408" s="43" t="str">
        <f>IFERROR(INDEX(Combined_Data!$S:$S,$O408+1),"")</f>
        <v/>
      </c>
      <c r="K408" s="44" t="str">
        <f>IFERROR(INDEX(Combined_Data!$AF:$AF,$O408+1),"")</f>
        <v/>
      </c>
      <c r="L408" s="41" t="str">
        <f>IFERROR(INDEX(Combined_Data!$AG:$AG,$O408+1),"")</f>
        <v/>
      </c>
      <c r="M408" s="41" t="str">
        <f>IFERROR(INDEX(Combined_Data!$AH:$AH,$O408+1),"")</f>
        <v/>
      </c>
      <c r="O408" t="str">
        <f>IFERROR(_xlfn.AGGREGATE(15,6,(ROW(Combined_Data!$AI$2:$AI$3001)-1)/(Combined_Data!$AI$2:$AI$3001),374),"")</f>
        <v/>
      </c>
    </row>
    <row r="409" spans="1:15" ht="15" customHeight="1" x14ac:dyDescent="0.3">
      <c r="A409" s="41" t="str">
        <f>IFERROR(INDEX(Combined_Data!$C:$C,$O409+1),"")</f>
        <v/>
      </c>
      <c r="B409" s="41" t="str">
        <f>IFERROR(INDEX(Combined_Data!$E:$E,$O409+1),"")</f>
        <v/>
      </c>
      <c r="C409" s="41" t="str">
        <f>IFERROR(INDEX(Combined_Data!$B:$B,$O409+1),"")</f>
        <v/>
      </c>
      <c r="D409" s="41" t="str">
        <f>IFERROR(INDEX(Combined_Data!$D:$D,$O409+1),"")</f>
        <v/>
      </c>
      <c r="E409" s="41" t="str">
        <f>IFERROR(INDEX(Combined_Data!$G:$G,$O409+1),"")</f>
        <v/>
      </c>
      <c r="F409" s="42" t="str">
        <f>IFERROR(INDEX(Combined_Data!$I:$I,$O409+1),"")</f>
        <v/>
      </c>
      <c r="G409" s="41" t="str">
        <f>IFERROR(INDEX(Combined_Data!$K:$K,$O409+1),"")</f>
        <v/>
      </c>
      <c r="H409" s="41" t="str">
        <f>IFERROR(INDEX(Combined_Data!$M:$M,$O409+1),"")</f>
        <v/>
      </c>
      <c r="I409" s="41" t="str">
        <f>IFERROR(INDEX(Combined_Data!$N:$N,$O409+1),"")</f>
        <v/>
      </c>
      <c r="J409" s="43" t="str">
        <f>IFERROR(INDEX(Combined_Data!$S:$S,$O409+1),"")</f>
        <v/>
      </c>
      <c r="K409" s="44" t="str">
        <f>IFERROR(INDEX(Combined_Data!$AF:$AF,$O409+1),"")</f>
        <v/>
      </c>
      <c r="L409" s="41" t="str">
        <f>IFERROR(INDEX(Combined_Data!$AG:$AG,$O409+1),"")</f>
        <v/>
      </c>
      <c r="M409" s="41" t="str">
        <f>IFERROR(INDEX(Combined_Data!$AH:$AH,$O409+1),"")</f>
        <v/>
      </c>
      <c r="O409" t="str">
        <f>IFERROR(_xlfn.AGGREGATE(15,6,(ROW(Combined_Data!$AI$2:$AI$3001)-1)/(Combined_Data!$AI$2:$AI$3001),375),"")</f>
        <v/>
      </c>
    </row>
    <row r="410" spans="1:15" ht="15" customHeight="1" x14ac:dyDescent="0.3">
      <c r="A410" s="41" t="str">
        <f>IFERROR(INDEX(Combined_Data!$C:$C,$O410+1),"")</f>
        <v/>
      </c>
      <c r="B410" s="41" t="str">
        <f>IFERROR(INDEX(Combined_Data!$E:$E,$O410+1),"")</f>
        <v/>
      </c>
      <c r="C410" s="41" t="str">
        <f>IFERROR(INDEX(Combined_Data!$B:$B,$O410+1),"")</f>
        <v/>
      </c>
      <c r="D410" s="41" t="str">
        <f>IFERROR(INDEX(Combined_Data!$D:$D,$O410+1),"")</f>
        <v/>
      </c>
      <c r="E410" s="41" t="str">
        <f>IFERROR(INDEX(Combined_Data!$G:$G,$O410+1),"")</f>
        <v/>
      </c>
      <c r="F410" s="42" t="str">
        <f>IFERROR(INDEX(Combined_Data!$I:$I,$O410+1),"")</f>
        <v/>
      </c>
      <c r="G410" s="41" t="str">
        <f>IFERROR(INDEX(Combined_Data!$K:$K,$O410+1),"")</f>
        <v/>
      </c>
      <c r="H410" s="41" t="str">
        <f>IFERROR(INDEX(Combined_Data!$M:$M,$O410+1),"")</f>
        <v/>
      </c>
      <c r="I410" s="41" t="str">
        <f>IFERROR(INDEX(Combined_Data!$N:$N,$O410+1),"")</f>
        <v/>
      </c>
      <c r="J410" s="43" t="str">
        <f>IFERROR(INDEX(Combined_Data!$S:$S,$O410+1),"")</f>
        <v/>
      </c>
      <c r="K410" s="44" t="str">
        <f>IFERROR(INDEX(Combined_Data!$AF:$AF,$O410+1),"")</f>
        <v/>
      </c>
      <c r="L410" s="41" t="str">
        <f>IFERROR(INDEX(Combined_Data!$AG:$AG,$O410+1),"")</f>
        <v/>
      </c>
      <c r="M410" s="41" t="str">
        <f>IFERROR(INDEX(Combined_Data!$AH:$AH,$O410+1),"")</f>
        <v/>
      </c>
      <c r="O410" t="str">
        <f>IFERROR(_xlfn.AGGREGATE(15,6,(ROW(Combined_Data!$AI$2:$AI$3001)-1)/(Combined_Data!$AI$2:$AI$3001),376),"")</f>
        <v/>
      </c>
    </row>
    <row r="411" spans="1:15" ht="15" customHeight="1" x14ac:dyDescent="0.3">
      <c r="A411" s="41" t="str">
        <f>IFERROR(INDEX(Combined_Data!$C:$C,$O411+1),"")</f>
        <v/>
      </c>
      <c r="B411" s="41" t="str">
        <f>IFERROR(INDEX(Combined_Data!$E:$E,$O411+1),"")</f>
        <v/>
      </c>
      <c r="C411" s="41" t="str">
        <f>IFERROR(INDEX(Combined_Data!$B:$B,$O411+1),"")</f>
        <v/>
      </c>
      <c r="D411" s="41" t="str">
        <f>IFERROR(INDEX(Combined_Data!$D:$D,$O411+1),"")</f>
        <v/>
      </c>
      <c r="E411" s="41" t="str">
        <f>IFERROR(INDEX(Combined_Data!$G:$G,$O411+1),"")</f>
        <v/>
      </c>
      <c r="F411" s="42" t="str">
        <f>IFERROR(INDEX(Combined_Data!$I:$I,$O411+1),"")</f>
        <v/>
      </c>
      <c r="G411" s="41" t="str">
        <f>IFERROR(INDEX(Combined_Data!$K:$K,$O411+1),"")</f>
        <v/>
      </c>
      <c r="H411" s="41" t="str">
        <f>IFERROR(INDEX(Combined_Data!$M:$M,$O411+1),"")</f>
        <v/>
      </c>
      <c r="I411" s="41" t="str">
        <f>IFERROR(INDEX(Combined_Data!$N:$N,$O411+1),"")</f>
        <v/>
      </c>
      <c r="J411" s="43" t="str">
        <f>IFERROR(INDEX(Combined_Data!$S:$S,$O411+1),"")</f>
        <v/>
      </c>
      <c r="K411" s="44" t="str">
        <f>IFERROR(INDEX(Combined_Data!$AF:$AF,$O411+1),"")</f>
        <v/>
      </c>
      <c r="L411" s="41" t="str">
        <f>IFERROR(INDEX(Combined_Data!$AG:$AG,$O411+1),"")</f>
        <v/>
      </c>
      <c r="M411" s="41" t="str">
        <f>IFERROR(INDEX(Combined_Data!$AH:$AH,$O411+1),"")</f>
        <v/>
      </c>
      <c r="O411" t="str">
        <f>IFERROR(_xlfn.AGGREGATE(15,6,(ROW(Combined_Data!$AI$2:$AI$3001)-1)/(Combined_Data!$AI$2:$AI$3001),377),"")</f>
        <v/>
      </c>
    </row>
    <row r="412" spans="1:15" ht="15" customHeight="1" x14ac:dyDescent="0.3">
      <c r="A412" s="41" t="str">
        <f>IFERROR(INDEX(Combined_Data!$C:$C,$O412+1),"")</f>
        <v/>
      </c>
      <c r="B412" s="41" t="str">
        <f>IFERROR(INDEX(Combined_Data!$E:$E,$O412+1),"")</f>
        <v/>
      </c>
      <c r="C412" s="41" t="str">
        <f>IFERROR(INDEX(Combined_Data!$B:$B,$O412+1),"")</f>
        <v/>
      </c>
      <c r="D412" s="41" t="str">
        <f>IFERROR(INDEX(Combined_Data!$D:$D,$O412+1),"")</f>
        <v/>
      </c>
      <c r="E412" s="41" t="str">
        <f>IFERROR(INDEX(Combined_Data!$G:$G,$O412+1),"")</f>
        <v/>
      </c>
      <c r="F412" s="42" t="str">
        <f>IFERROR(INDEX(Combined_Data!$I:$I,$O412+1),"")</f>
        <v/>
      </c>
      <c r="G412" s="41" t="str">
        <f>IFERROR(INDEX(Combined_Data!$K:$K,$O412+1),"")</f>
        <v/>
      </c>
      <c r="H412" s="41" t="str">
        <f>IFERROR(INDEX(Combined_Data!$M:$M,$O412+1),"")</f>
        <v/>
      </c>
      <c r="I412" s="41" t="str">
        <f>IFERROR(INDEX(Combined_Data!$N:$N,$O412+1),"")</f>
        <v/>
      </c>
      <c r="J412" s="43" t="str">
        <f>IFERROR(INDEX(Combined_Data!$S:$S,$O412+1),"")</f>
        <v/>
      </c>
      <c r="K412" s="44" t="str">
        <f>IFERROR(INDEX(Combined_Data!$AF:$AF,$O412+1),"")</f>
        <v/>
      </c>
      <c r="L412" s="41" t="str">
        <f>IFERROR(INDEX(Combined_Data!$AG:$AG,$O412+1),"")</f>
        <v/>
      </c>
      <c r="M412" s="41" t="str">
        <f>IFERROR(INDEX(Combined_Data!$AH:$AH,$O412+1),"")</f>
        <v/>
      </c>
      <c r="O412" t="str">
        <f>IFERROR(_xlfn.AGGREGATE(15,6,(ROW(Combined_Data!$AI$2:$AI$3001)-1)/(Combined_Data!$AI$2:$AI$3001),378),"")</f>
        <v/>
      </c>
    </row>
    <row r="413" spans="1:15" ht="15" customHeight="1" x14ac:dyDescent="0.3">
      <c r="A413" s="41" t="str">
        <f>IFERROR(INDEX(Combined_Data!$C:$C,$O413+1),"")</f>
        <v/>
      </c>
      <c r="B413" s="41" t="str">
        <f>IFERROR(INDEX(Combined_Data!$E:$E,$O413+1),"")</f>
        <v/>
      </c>
      <c r="C413" s="41" t="str">
        <f>IFERROR(INDEX(Combined_Data!$B:$B,$O413+1),"")</f>
        <v/>
      </c>
      <c r="D413" s="41" t="str">
        <f>IFERROR(INDEX(Combined_Data!$D:$D,$O413+1),"")</f>
        <v/>
      </c>
      <c r="E413" s="41" t="str">
        <f>IFERROR(INDEX(Combined_Data!$G:$G,$O413+1),"")</f>
        <v/>
      </c>
      <c r="F413" s="42" t="str">
        <f>IFERROR(INDEX(Combined_Data!$I:$I,$O413+1),"")</f>
        <v/>
      </c>
      <c r="G413" s="41" t="str">
        <f>IFERROR(INDEX(Combined_Data!$K:$K,$O413+1),"")</f>
        <v/>
      </c>
      <c r="H413" s="41" t="str">
        <f>IFERROR(INDEX(Combined_Data!$M:$M,$O413+1),"")</f>
        <v/>
      </c>
      <c r="I413" s="41" t="str">
        <f>IFERROR(INDEX(Combined_Data!$N:$N,$O413+1),"")</f>
        <v/>
      </c>
      <c r="J413" s="43" t="str">
        <f>IFERROR(INDEX(Combined_Data!$S:$S,$O413+1),"")</f>
        <v/>
      </c>
      <c r="K413" s="44" t="str">
        <f>IFERROR(INDEX(Combined_Data!$AF:$AF,$O413+1),"")</f>
        <v/>
      </c>
      <c r="L413" s="41" t="str">
        <f>IFERROR(INDEX(Combined_Data!$AG:$AG,$O413+1),"")</f>
        <v/>
      </c>
      <c r="M413" s="41" t="str">
        <f>IFERROR(INDEX(Combined_Data!$AH:$AH,$O413+1),"")</f>
        <v/>
      </c>
      <c r="O413" t="str">
        <f>IFERROR(_xlfn.AGGREGATE(15,6,(ROW(Combined_Data!$AI$2:$AI$3001)-1)/(Combined_Data!$AI$2:$AI$3001),379),"")</f>
        <v/>
      </c>
    </row>
    <row r="414" spans="1:15" ht="15" customHeight="1" x14ac:dyDescent="0.3">
      <c r="A414" s="41" t="str">
        <f>IFERROR(INDEX(Combined_Data!$C:$C,$O414+1),"")</f>
        <v/>
      </c>
      <c r="B414" s="41" t="str">
        <f>IFERROR(INDEX(Combined_Data!$E:$E,$O414+1),"")</f>
        <v/>
      </c>
      <c r="C414" s="41" t="str">
        <f>IFERROR(INDEX(Combined_Data!$B:$B,$O414+1),"")</f>
        <v/>
      </c>
      <c r="D414" s="41" t="str">
        <f>IFERROR(INDEX(Combined_Data!$D:$D,$O414+1),"")</f>
        <v/>
      </c>
      <c r="E414" s="41" t="str">
        <f>IFERROR(INDEX(Combined_Data!$G:$G,$O414+1),"")</f>
        <v/>
      </c>
      <c r="F414" s="42" t="str">
        <f>IFERROR(INDEX(Combined_Data!$I:$I,$O414+1),"")</f>
        <v/>
      </c>
      <c r="G414" s="41" t="str">
        <f>IFERROR(INDEX(Combined_Data!$K:$K,$O414+1),"")</f>
        <v/>
      </c>
      <c r="H414" s="41" t="str">
        <f>IFERROR(INDEX(Combined_Data!$M:$M,$O414+1),"")</f>
        <v/>
      </c>
      <c r="I414" s="41" t="str">
        <f>IFERROR(INDEX(Combined_Data!$N:$N,$O414+1),"")</f>
        <v/>
      </c>
      <c r="J414" s="43" t="str">
        <f>IFERROR(INDEX(Combined_Data!$S:$S,$O414+1),"")</f>
        <v/>
      </c>
      <c r="K414" s="44" t="str">
        <f>IFERROR(INDEX(Combined_Data!$AF:$AF,$O414+1),"")</f>
        <v/>
      </c>
      <c r="L414" s="41" t="str">
        <f>IFERROR(INDEX(Combined_Data!$AG:$AG,$O414+1),"")</f>
        <v/>
      </c>
      <c r="M414" s="41" t="str">
        <f>IFERROR(INDEX(Combined_Data!$AH:$AH,$O414+1),"")</f>
        <v/>
      </c>
      <c r="O414" t="str">
        <f>IFERROR(_xlfn.AGGREGATE(15,6,(ROW(Combined_Data!$AI$2:$AI$3001)-1)/(Combined_Data!$AI$2:$AI$3001),380),"")</f>
        <v/>
      </c>
    </row>
    <row r="415" spans="1:15" ht="15" customHeight="1" x14ac:dyDescent="0.3">
      <c r="A415" s="41" t="str">
        <f>IFERROR(INDEX(Combined_Data!$C:$C,$O415+1),"")</f>
        <v/>
      </c>
      <c r="B415" s="41" t="str">
        <f>IFERROR(INDEX(Combined_Data!$E:$E,$O415+1),"")</f>
        <v/>
      </c>
      <c r="C415" s="41" t="str">
        <f>IFERROR(INDEX(Combined_Data!$B:$B,$O415+1),"")</f>
        <v/>
      </c>
      <c r="D415" s="41" t="str">
        <f>IFERROR(INDEX(Combined_Data!$D:$D,$O415+1),"")</f>
        <v/>
      </c>
      <c r="E415" s="41" t="str">
        <f>IFERROR(INDEX(Combined_Data!$G:$G,$O415+1),"")</f>
        <v/>
      </c>
      <c r="F415" s="42" t="str">
        <f>IFERROR(INDEX(Combined_Data!$I:$I,$O415+1),"")</f>
        <v/>
      </c>
      <c r="G415" s="41" t="str">
        <f>IFERROR(INDEX(Combined_Data!$K:$K,$O415+1),"")</f>
        <v/>
      </c>
      <c r="H415" s="41" t="str">
        <f>IFERROR(INDEX(Combined_Data!$M:$M,$O415+1),"")</f>
        <v/>
      </c>
      <c r="I415" s="41" t="str">
        <f>IFERROR(INDEX(Combined_Data!$N:$N,$O415+1),"")</f>
        <v/>
      </c>
      <c r="J415" s="43" t="str">
        <f>IFERROR(INDEX(Combined_Data!$S:$S,$O415+1),"")</f>
        <v/>
      </c>
      <c r="K415" s="44" t="str">
        <f>IFERROR(INDEX(Combined_Data!$AF:$AF,$O415+1),"")</f>
        <v/>
      </c>
      <c r="L415" s="41" t="str">
        <f>IFERROR(INDEX(Combined_Data!$AG:$AG,$O415+1),"")</f>
        <v/>
      </c>
      <c r="M415" s="41" t="str">
        <f>IFERROR(INDEX(Combined_Data!$AH:$AH,$O415+1),"")</f>
        <v/>
      </c>
      <c r="O415" t="str">
        <f>IFERROR(_xlfn.AGGREGATE(15,6,(ROW(Combined_Data!$AI$2:$AI$3001)-1)/(Combined_Data!$AI$2:$AI$3001),381),"")</f>
        <v/>
      </c>
    </row>
    <row r="416" spans="1:15" ht="15" customHeight="1" x14ac:dyDescent="0.3">
      <c r="A416" s="41" t="str">
        <f>IFERROR(INDEX(Combined_Data!$C:$C,$O416+1),"")</f>
        <v/>
      </c>
      <c r="B416" s="41" t="str">
        <f>IFERROR(INDEX(Combined_Data!$E:$E,$O416+1),"")</f>
        <v/>
      </c>
      <c r="C416" s="41" t="str">
        <f>IFERROR(INDEX(Combined_Data!$B:$B,$O416+1),"")</f>
        <v/>
      </c>
      <c r="D416" s="41" t="str">
        <f>IFERROR(INDEX(Combined_Data!$D:$D,$O416+1),"")</f>
        <v/>
      </c>
      <c r="E416" s="41" t="str">
        <f>IFERROR(INDEX(Combined_Data!$G:$G,$O416+1),"")</f>
        <v/>
      </c>
      <c r="F416" s="42" t="str">
        <f>IFERROR(INDEX(Combined_Data!$I:$I,$O416+1),"")</f>
        <v/>
      </c>
      <c r="G416" s="41" t="str">
        <f>IFERROR(INDEX(Combined_Data!$K:$K,$O416+1),"")</f>
        <v/>
      </c>
      <c r="H416" s="41" t="str">
        <f>IFERROR(INDEX(Combined_Data!$M:$M,$O416+1),"")</f>
        <v/>
      </c>
      <c r="I416" s="41" t="str">
        <f>IFERROR(INDEX(Combined_Data!$N:$N,$O416+1),"")</f>
        <v/>
      </c>
      <c r="J416" s="43" t="str">
        <f>IFERROR(INDEX(Combined_Data!$S:$S,$O416+1),"")</f>
        <v/>
      </c>
      <c r="K416" s="44" t="str">
        <f>IFERROR(INDEX(Combined_Data!$AF:$AF,$O416+1),"")</f>
        <v/>
      </c>
      <c r="L416" s="41" t="str">
        <f>IFERROR(INDEX(Combined_Data!$AG:$AG,$O416+1),"")</f>
        <v/>
      </c>
      <c r="M416" s="41" t="str">
        <f>IFERROR(INDEX(Combined_Data!$AH:$AH,$O416+1),"")</f>
        <v/>
      </c>
      <c r="O416" t="str">
        <f>IFERROR(_xlfn.AGGREGATE(15,6,(ROW(Combined_Data!$AI$2:$AI$3001)-1)/(Combined_Data!$AI$2:$AI$3001),382),"")</f>
        <v/>
      </c>
    </row>
    <row r="417" spans="1:15" ht="15" customHeight="1" x14ac:dyDescent="0.3">
      <c r="A417" s="41" t="str">
        <f>IFERROR(INDEX(Combined_Data!$C:$C,$O417+1),"")</f>
        <v/>
      </c>
      <c r="B417" s="41" t="str">
        <f>IFERROR(INDEX(Combined_Data!$E:$E,$O417+1),"")</f>
        <v/>
      </c>
      <c r="C417" s="41" t="str">
        <f>IFERROR(INDEX(Combined_Data!$B:$B,$O417+1),"")</f>
        <v/>
      </c>
      <c r="D417" s="41" t="str">
        <f>IFERROR(INDEX(Combined_Data!$D:$D,$O417+1),"")</f>
        <v/>
      </c>
      <c r="E417" s="41" t="str">
        <f>IFERROR(INDEX(Combined_Data!$G:$G,$O417+1),"")</f>
        <v/>
      </c>
      <c r="F417" s="42" t="str">
        <f>IFERROR(INDEX(Combined_Data!$I:$I,$O417+1),"")</f>
        <v/>
      </c>
      <c r="G417" s="41" t="str">
        <f>IFERROR(INDEX(Combined_Data!$K:$K,$O417+1),"")</f>
        <v/>
      </c>
      <c r="H417" s="41" t="str">
        <f>IFERROR(INDEX(Combined_Data!$M:$M,$O417+1),"")</f>
        <v/>
      </c>
      <c r="I417" s="41" t="str">
        <f>IFERROR(INDEX(Combined_Data!$N:$N,$O417+1),"")</f>
        <v/>
      </c>
      <c r="J417" s="43" t="str">
        <f>IFERROR(INDEX(Combined_Data!$S:$S,$O417+1),"")</f>
        <v/>
      </c>
      <c r="K417" s="44" t="str">
        <f>IFERROR(INDEX(Combined_Data!$AF:$AF,$O417+1),"")</f>
        <v/>
      </c>
      <c r="L417" s="41" t="str">
        <f>IFERROR(INDEX(Combined_Data!$AG:$AG,$O417+1),"")</f>
        <v/>
      </c>
      <c r="M417" s="41" t="str">
        <f>IFERROR(INDEX(Combined_Data!$AH:$AH,$O417+1),"")</f>
        <v/>
      </c>
      <c r="O417" t="str">
        <f>IFERROR(_xlfn.AGGREGATE(15,6,(ROW(Combined_Data!$AI$2:$AI$3001)-1)/(Combined_Data!$AI$2:$AI$3001),383),"")</f>
        <v/>
      </c>
    </row>
    <row r="418" spans="1:15" ht="15" customHeight="1" x14ac:dyDescent="0.3">
      <c r="A418" s="41" t="str">
        <f>IFERROR(INDEX(Combined_Data!$C:$C,$O418+1),"")</f>
        <v/>
      </c>
      <c r="B418" s="41" t="str">
        <f>IFERROR(INDEX(Combined_Data!$E:$E,$O418+1),"")</f>
        <v/>
      </c>
      <c r="C418" s="41" t="str">
        <f>IFERROR(INDEX(Combined_Data!$B:$B,$O418+1),"")</f>
        <v/>
      </c>
      <c r="D418" s="41" t="str">
        <f>IFERROR(INDEX(Combined_Data!$D:$D,$O418+1),"")</f>
        <v/>
      </c>
      <c r="E418" s="41" t="str">
        <f>IFERROR(INDEX(Combined_Data!$G:$G,$O418+1),"")</f>
        <v/>
      </c>
      <c r="F418" s="42" t="str">
        <f>IFERROR(INDEX(Combined_Data!$I:$I,$O418+1),"")</f>
        <v/>
      </c>
      <c r="G418" s="41" t="str">
        <f>IFERROR(INDEX(Combined_Data!$K:$K,$O418+1),"")</f>
        <v/>
      </c>
      <c r="H418" s="41" t="str">
        <f>IFERROR(INDEX(Combined_Data!$M:$M,$O418+1),"")</f>
        <v/>
      </c>
      <c r="I418" s="41" t="str">
        <f>IFERROR(INDEX(Combined_Data!$N:$N,$O418+1),"")</f>
        <v/>
      </c>
      <c r="J418" s="43" t="str">
        <f>IFERROR(INDEX(Combined_Data!$S:$S,$O418+1),"")</f>
        <v/>
      </c>
      <c r="K418" s="44" t="str">
        <f>IFERROR(INDEX(Combined_Data!$AF:$AF,$O418+1),"")</f>
        <v/>
      </c>
      <c r="L418" s="41" t="str">
        <f>IFERROR(INDEX(Combined_Data!$AG:$AG,$O418+1),"")</f>
        <v/>
      </c>
      <c r="M418" s="41" t="str">
        <f>IFERROR(INDEX(Combined_Data!$AH:$AH,$O418+1),"")</f>
        <v/>
      </c>
      <c r="O418" t="str">
        <f>IFERROR(_xlfn.AGGREGATE(15,6,(ROW(Combined_Data!$AI$2:$AI$3001)-1)/(Combined_Data!$AI$2:$AI$3001),384),"")</f>
        <v/>
      </c>
    </row>
    <row r="419" spans="1:15" ht="15" customHeight="1" x14ac:dyDescent="0.3">
      <c r="A419" s="41" t="str">
        <f>IFERROR(INDEX(Combined_Data!$C:$C,$O419+1),"")</f>
        <v/>
      </c>
      <c r="B419" s="41" t="str">
        <f>IFERROR(INDEX(Combined_Data!$E:$E,$O419+1),"")</f>
        <v/>
      </c>
      <c r="C419" s="41" t="str">
        <f>IFERROR(INDEX(Combined_Data!$B:$B,$O419+1),"")</f>
        <v/>
      </c>
      <c r="D419" s="41" t="str">
        <f>IFERROR(INDEX(Combined_Data!$D:$D,$O419+1),"")</f>
        <v/>
      </c>
      <c r="E419" s="41" t="str">
        <f>IFERROR(INDEX(Combined_Data!$G:$G,$O419+1),"")</f>
        <v/>
      </c>
      <c r="F419" s="42" t="str">
        <f>IFERROR(INDEX(Combined_Data!$I:$I,$O419+1),"")</f>
        <v/>
      </c>
      <c r="G419" s="41" t="str">
        <f>IFERROR(INDEX(Combined_Data!$K:$K,$O419+1),"")</f>
        <v/>
      </c>
      <c r="H419" s="41" t="str">
        <f>IFERROR(INDEX(Combined_Data!$M:$M,$O419+1),"")</f>
        <v/>
      </c>
      <c r="I419" s="41" t="str">
        <f>IFERROR(INDEX(Combined_Data!$N:$N,$O419+1),"")</f>
        <v/>
      </c>
      <c r="J419" s="43" t="str">
        <f>IFERROR(INDEX(Combined_Data!$S:$S,$O419+1),"")</f>
        <v/>
      </c>
      <c r="K419" s="44" t="str">
        <f>IFERROR(INDEX(Combined_Data!$AF:$AF,$O419+1),"")</f>
        <v/>
      </c>
      <c r="L419" s="41" t="str">
        <f>IFERROR(INDEX(Combined_Data!$AG:$AG,$O419+1),"")</f>
        <v/>
      </c>
      <c r="M419" s="41" t="str">
        <f>IFERROR(INDEX(Combined_Data!$AH:$AH,$O419+1),"")</f>
        <v/>
      </c>
      <c r="O419" t="str">
        <f>IFERROR(_xlfn.AGGREGATE(15,6,(ROW(Combined_Data!$AI$2:$AI$3001)-1)/(Combined_Data!$AI$2:$AI$3001),385),"")</f>
        <v/>
      </c>
    </row>
    <row r="420" spans="1:15" ht="15" customHeight="1" x14ac:dyDescent="0.3">
      <c r="A420" s="41" t="str">
        <f>IFERROR(INDEX(Combined_Data!$C:$C,$O420+1),"")</f>
        <v/>
      </c>
      <c r="B420" s="41" t="str">
        <f>IFERROR(INDEX(Combined_Data!$E:$E,$O420+1),"")</f>
        <v/>
      </c>
      <c r="C420" s="41" t="str">
        <f>IFERROR(INDEX(Combined_Data!$B:$B,$O420+1),"")</f>
        <v/>
      </c>
      <c r="D420" s="41" t="str">
        <f>IFERROR(INDEX(Combined_Data!$D:$D,$O420+1),"")</f>
        <v/>
      </c>
      <c r="E420" s="41" t="str">
        <f>IFERROR(INDEX(Combined_Data!$G:$G,$O420+1),"")</f>
        <v/>
      </c>
      <c r="F420" s="42" t="str">
        <f>IFERROR(INDEX(Combined_Data!$I:$I,$O420+1),"")</f>
        <v/>
      </c>
      <c r="G420" s="41" t="str">
        <f>IFERROR(INDEX(Combined_Data!$K:$K,$O420+1),"")</f>
        <v/>
      </c>
      <c r="H420" s="41" t="str">
        <f>IFERROR(INDEX(Combined_Data!$M:$M,$O420+1),"")</f>
        <v/>
      </c>
      <c r="I420" s="41" t="str">
        <f>IFERROR(INDEX(Combined_Data!$N:$N,$O420+1),"")</f>
        <v/>
      </c>
      <c r="J420" s="43" t="str">
        <f>IFERROR(INDEX(Combined_Data!$S:$S,$O420+1),"")</f>
        <v/>
      </c>
      <c r="K420" s="44" t="str">
        <f>IFERROR(INDEX(Combined_Data!$AF:$AF,$O420+1),"")</f>
        <v/>
      </c>
      <c r="L420" s="41" t="str">
        <f>IFERROR(INDEX(Combined_Data!$AG:$AG,$O420+1),"")</f>
        <v/>
      </c>
      <c r="M420" s="41" t="str">
        <f>IFERROR(INDEX(Combined_Data!$AH:$AH,$O420+1),"")</f>
        <v/>
      </c>
      <c r="O420" t="str">
        <f>IFERROR(_xlfn.AGGREGATE(15,6,(ROW(Combined_Data!$AI$2:$AI$3001)-1)/(Combined_Data!$AI$2:$AI$3001),386),"")</f>
        <v/>
      </c>
    </row>
    <row r="421" spans="1:15" ht="15" customHeight="1" x14ac:dyDescent="0.3">
      <c r="A421" s="41" t="str">
        <f>IFERROR(INDEX(Combined_Data!$C:$C,$O421+1),"")</f>
        <v/>
      </c>
      <c r="B421" s="41" t="str">
        <f>IFERROR(INDEX(Combined_Data!$E:$E,$O421+1),"")</f>
        <v/>
      </c>
      <c r="C421" s="41" t="str">
        <f>IFERROR(INDEX(Combined_Data!$B:$B,$O421+1),"")</f>
        <v/>
      </c>
      <c r="D421" s="41" t="str">
        <f>IFERROR(INDEX(Combined_Data!$D:$D,$O421+1),"")</f>
        <v/>
      </c>
      <c r="E421" s="41" t="str">
        <f>IFERROR(INDEX(Combined_Data!$G:$G,$O421+1),"")</f>
        <v/>
      </c>
      <c r="F421" s="42" t="str">
        <f>IFERROR(INDEX(Combined_Data!$I:$I,$O421+1),"")</f>
        <v/>
      </c>
      <c r="G421" s="41" t="str">
        <f>IFERROR(INDEX(Combined_Data!$K:$K,$O421+1),"")</f>
        <v/>
      </c>
      <c r="H421" s="41" t="str">
        <f>IFERROR(INDEX(Combined_Data!$M:$M,$O421+1),"")</f>
        <v/>
      </c>
      <c r="I421" s="41" t="str">
        <f>IFERROR(INDEX(Combined_Data!$N:$N,$O421+1),"")</f>
        <v/>
      </c>
      <c r="J421" s="43" t="str">
        <f>IFERROR(INDEX(Combined_Data!$S:$S,$O421+1),"")</f>
        <v/>
      </c>
      <c r="K421" s="44" t="str">
        <f>IFERROR(INDEX(Combined_Data!$AF:$AF,$O421+1),"")</f>
        <v/>
      </c>
      <c r="L421" s="41" t="str">
        <f>IFERROR(INDEX(Combined_Data!$AG:$AG,$O421+1),"")</f>
        <v/>
      </c>
      <c r="M421" s="41" t="str">
        <f>IFERROR(INDEX(Combined_Data!$AH:$AH,$O421+1),"")</f>
        <v/>
      </c>
      <c r="O421" t="str">
        <f>IFERROR(_xlfn.AGGREGATE(15,6,(ROW(Combined_Data!$AI$2:$AI$3001)-1)/(Combined_Data!$AI$2:$AI$3001),387),"")</f>
        <v/>
      </c>
    </row>
    <row r="422" spans="1:15" ht="15" customHeight="1" x14ac:dyDescent="0.3">
      <c r="A422" s="41" t="str">
        <f>IFERROR(INDEX(Combined_Data!$C:$C,$O422+1),"")</f>
        <v/>
      </c>
      <c r="B422" s="41" t="str">
        <f>IFERROR(INDEX(Combined_Data!$E:$E,$O422+1),"")</f>
        <v/>
      </c>
      <c r="C422" s="41" t="str">
        <f>IFERROR(INDEX(Combined_Data!$B:$B,$O422+1),"")</f>
        <v/>
      </c>
      <c r="D422" s="41" t="str">
        <f>IFERROR(INDEX(Combined_Data!$D:$D,$O422+1),"")</f>
        <v/>
      </c>
      <c r="E422" s="41" t="str">
        <f>IFERROR(INDEX(Combined_Data!$G:$G,$O422+1),"")</f>
        <v/>
      </c>
      <c r="F422" s="42" t="str">
        <f>IFERROR(INDEX(Combined_Data!$I:$I,$O422+1),"")</f>
        <v/>
      </c>
      <c r="G422" s="41" t="str">
        <f>IFERROR(INDEX(Combined_Data!$K:$K,$O422+1),"")</f>
        <v/>
      </c>
      <c r="H422" s="41" t="str">
        <f>IFERROR(INDEX(Combined_Data!$M:$M,$O422+1),"")</f>
        <v/>
      </c>
      <c r="I422" s="41" t="str">
        <f>IFERROR(INDEX(Combined_Data!$N:$N,$O422+1),"")</f>
        <v/>
      </c>
      <c r="J422" s="43" t="str">
        <f>IFERROR(INDEX(Combined_Data!$S:$S,$O422+1),"")</f>
        <v/>
      </c>
      <c r="K422" s="44" t="str">
        <f>IFERROR(INDEX(Combined_Data!$AF:$AF,$O422+1),"")</f>
        <v/>
      </c>
      <c r="L422" s="41" t="str">
        <f>IFERROR(INDEX(Combined_Data!$AG:$AG,$O422+1),"")</f>
        <v/>
      </c>
      <c r="M422" s="41" t="str">
        <f>IFERROR(INDEX(Combined_Data!$AH:$AH,$O422+1),"")</f>
        <v/>
      </c>
      <c r="O422" t="str">
        <f>IFERROR(_xlfn.AGGREGATE(15,6,(ROW(Combined_Data!$AI$2:$AI$3001)-1)/(Combined_Data!$AI$2:$AI$3001),388),"")</f>
        <v/>
      </c>
    </row>
    <row r="423" spans="1:15" ht="15" customHeight="1" x14ac:dyDescent="0.3">
      <c r="A423" s="41" t="str">
        <f>IFERROR(INDEX(Combined_Data!$C:$C,$O423+1),"")</f>
        <v/>
      </c>
      <c r="B423" s="41" t="str">
        <f>IFERROR(INDEX(Combined_Data!$E:$E,$O423+1),"")</f>
        <v/>
      </c>
      <c r="C423" s="41" t="str">
        <f>IFERROR(INDEX(Combined_Data!$B:$B,$O423+1),"")</f>
        <v/>
      </c>
      <c r="D423" s="41" t="str">
        <f>IFERROR(INDEX(Combined_Data!$D:$D,$O423+1),"")</f>
        <v/>
      </c>
      <c r="E423" s="41" t="str">
        <f>IFERROR(INDEX(Combined_Data!$G:$G,$O423+1),"")</f>
        <v/>
      </c>
      <c r="F423" s="42" t="str">
        <f>IFERROR(INDEX(Combined_Data!$I:$I,$O423+1),"")</f>
        <v/>
      </c>
      <c r="G423" s="41" t="str">
        <f>IFERROR(INDEX(Combined_Data!$K:$K,$O423+1),"")</f>
        <v/>
      </c>
      <c r="H423" s="41" t="str">
        <f>IFERROR(INDEX(Combined_Data!$M:$M,$O423+1),"")</f>
        <v/>
      </c>
      <c r="I423" s="41" t="str">
        <f>IFERROR(INDEX(Combined_Data!$N:$N,$O423+1),"")</f>
        <v/>
      </c>
      <c r="J423" s="43" t="str">
        <f>IFERROR(INDEX(Combined_Data!$S:$S,$O423+1),"")</f>
        <v/>
      </c>
      <c r="K423" s="44" t="str">
        <f>IFERROR(INDEX(Combined_Data!$AF:$AF,$O423+1),"")</f>
        <v/>
      </c>
      <c r="L423" s="41" t="str">
        <f>IFERROR(INDEX(Combined_Data!$AG:$AG,$O423+1),"")</f>
        <v/>
      </c>
      <c r="M423" s="41" t="str">
        <f>IFERROR(INDEX(Combined_Data!$AH:$AH,$O423+1),"")</f>
        <v/>
      </c>
      <c r="O423" t="str">
        <f>IFERROR(_xlfn.AGGREGATE(15,6,(ROW(Combined_Data!$AI$2:$AI$3001)-1)/(Combined_Data!$AI$2:$AI$3001),389),"")</f>
        <v/>
      </c>
    </row>
    <row r="424" spans="1:15" ht="15" customHeight="1" x14ac:dyDescent="0.3">
      <c r="A424" s="41" t="str">
        <f>IFERROR(INDEX(Combined_Data!$C:$C,$O424+1),"")</f>
        <v/>
      </c>
      <c r="B424" s="41" t="str">
        <f>IFERROR(INDEX(Combined_Data!$E:$E,$O424+1),"")</f>
        <v/>
      </c>
      <c r="C424" s="41" t="str">
        <f>IFERROR(INDEX(Combined_Data!$B:$B,$O424+1),"")</f>
        <v/>
      </c>
      <c r="D424" s="41" t="str">
        <f>IFERROR(INDEX(Combined_Data!$D:$D,$O424+1),"")</f>
        <v/>
      </c>
      <c r="E424" s="41" t="str">
        <f>IFERROR(INDEX(Combined_Data!$G:$G,$O424+1),"")</f>
        <v/>
      </c>
      <c r="F424" s="42" t="str">
        <f>IFERROR(INDEX(Combined_Data!$I:$I,$O424+1),"")</f>
        <v/>
      </c>
      <c r="G424" s="41" t="str">
        <f>IFERROR(INDEX(Combined_Data!$K:$K,$O424+1),"")</f>
        <v/>
      </c>
      <c r="H424" s="41" t="str">
        <f>IFERROR(INDEX(Combined_Data!$M:$M,$O424+1),"")</f>
        <v/>
      </c>
      <c r="I424" s="41" t="str">
        <f>IFERROR(INDEX(Combined_Data!$N:$N,$O424+1),"")</f>
        <v/>
      </c>
      <c r="J424" s="43" t="str">
        <f>IFERROR(INDEX(Combined_Data!$S:$S,$O424+1),"")</f>
        <v/>
      </c>
      <c r="K424" s="44" t="str">
        <f>IFERROR(INDEX(Combined_Data!$AF:$AF,$O424+1),"")</f>
        <v/>
      </c>
      <c r="L424" s="41" t="str">
        <f>IFERROR(INDEX(Combined_Data!$AG:$AG,$O424+1),"")</f>
        <v/>
      </c>
      <c r="M424" s="41" t="str">
        <f>IFERROR(INDEX(Combined_Data!$AH:$AH,$O424+1),"")</f>
        <v/>
      </c>
      <c r="O424" t="str">
        <f>IFERROR(_xlfn.AGGREGATE(15,6,(ROW(Combined_Data!$AI$2:$AI$3001)-1)/(Combined_Data!$AI$2:$AI$3001),390),"")</f>
        <v/>
      </c>
    </row>
    <row r="425" spans="1:15" ht="15" customHeight="1" x14ac:dyDescent="0.3">
      <c r="A425" s="41" t="str">
        <f>IFERROR(INDEX(Combined_Data!$C:$C,$O425+1),"")</f>
        <v/>
      </c>
      <c r="B425" s="41" t="str">
        <f>IFERROR(INDEX(Combined_Data!$E:$E,$O425+1),"")</f>
        <v/>
      </c>
      <c r="C425" s="41" t="str">
        <f>IFERROR(INDEX(Combined_Data!$B:$B,$O425+1),"")</f>
        <v/>
      </c>
      <c r="D425" s="41" t="str">
        <f>IFERROR(INDEX(Combined_Data!$D:$D,$O425+1),"")</f>
        <v/>
      </c>
      <c r="E425" s="41" t="str">
        <f>IFERROR(INDEX(Combined_Data!$G:$G,$O425+1),"")</f>
        <v/>
      </c>
      <c r="F425" s="42" t="str">
        <f>IFERROR(INDEX(Combined_Data!$I:$I,$O425+1),"")</f>
        <v/>
      </c>
      <c r="G425" s="41" t="str">
        <f>IFERROR(INDEX(Combined_Data!$K:$K,$O425+1),"")</f>
        <v/>
      </c>
      <c r="H425" s="41" t="str">
        <f>IFERROR(INDEX(Combined_Data!$M:$M,$O425+1),"")</f>
        <v/>
      </c>
      <c r="I425" s="41" t="str">
        <f>IFERROR(INDEX(Combined_Data!$N:$N,$O425+1),"")</f>
        <v/>
      </c>
      <c r="J425" s="43" t="str">
        <f>IFERROR(INDEX(Combined_Data!$S:$S,$O425+1),"")</f>
        <v/>
      </c>
      <c r="K425" s="44" t="str">
        <f>IFERROR(INDEX(Combined_Data!$AF:$AF,$O425+1),"")</f>
        <v/>
      </c>
      <c r="L425" s="41" t="str">
        <f>IFERROR(INDEX(Combined_Data!$AG:$AG,$O425+1),"")</f>
        <v/>
      </c>
      <c r="M425" s="41" t="str">
        <f>IFERROR(INDEX(Combined_Data!$AH:$AH,$O425+1),"")</f>
        <v/>
      </c>
      <c r="O425" t="str">
        <f>IFERROR(_xlfn.AGGREGATE(15,6,(ROW(Combined_Data!$AI$2:$AI$3001)-1)/(Combined_Data!$AI$2:$AI$3001),391),"")</f>
        <v/>
      </c>
    </row>
    <row r="426" spans="1:15" ht="15" customHeight="1" x14ac:dyDescent="0.3">
      <c r="A426" s="41" t="str">
        <f>IFERROR(INDEX(Combined_Data!$C:$C,$O426+1),"")</f>
        <v/>
      </c>
      <c r="B426" s="41" t="str">
        <f>IFERROR(INDEX(Combined_Data!$E:$E,$O426+1),"")</f>
        <v/>
      </c>
      <c r="C426" s="41" t="str">
        <f>IFERROR(INDEX(Combined_Data!$B:$B,$O426+1),"")</f>
        <v/>
      </c>
      <c r="D426" s="41" t="str">
        <f>IFERROR(INDEX(Combined_Data!$D:$D,$O426+1),"")</f>
        <v/>
      </c>
      <c r="E426" s="41" t="str">
        <f>IFERROR(INDEX(Combined_Data!$G:$G,$O426+1),"")</f>
        <v/>
      </c>
      <c r="F426" s="42" t="str">
        <f>IFERROR(INDEX(Combined_Data!$I:$I,$O426+1),"")</f>
        <v/>
      </c>
      <c r="G426" s="41" t="str">
        <f>IFERROR(INDEX(Combined_Data!$K:$K,$O426+1),"")</f>
        <v/>
      </c>
      <c r="H426" s="41" t="str">
        <f>IFERROR(INDEX(Combined_Data!$M:$M,$O426+1),"")</f>
        <v/>
      </c>
      <c r="I426" s="41" t="str">
        <f>IFERROR(INDEX(Combined_Data!$N:$N,$O426+1),"")</f>
        <v/>
      </c>
      <c r="J426" s="43" t="str">
        <f>IFERROR(INDEX(Combined_Data!$S:$S,$O426+1),"")</f>
        <v/>
      </c>
      <c r="K426" s="44" t="str">
        <f>IFERROR(INDEX(Combined_Data!$AF:$AF,$O426+1),"")</f>
        <v/>
      </c>
      <c r="L426" s="41" t="str">
        <f>IFERROR(INDEX(Combined_Data!$AG:$AG,$O426+1),"")</f>
        <v/>
      </c>
      <c r="M426" s="41" t="str">
        <f>IFERROR(INDEX(Combined_Data!$AH:$AH,$O426+1),"")</f>
        <v/>
      </c>
      <c r="O426" t="str">
        <f>IFERROR(_xlfn.AGGREGATE(15,6,(ROW(Combined_Data!$AI$2:$AI$3001)-1)/(Combined_Data!$AI$2:$AI$3001),392),"")</f>
        <v/>
      </c>
    </row>
    <row r="427" spans="1:15" ht="15" customHeight="1" x14ac:dyDescent="0.3">
      <c r="A427" s="41" t="str">
        <f>IFERROR(INDEX(Combined_Data!$C:$C,$O427+1),"")</f>
        <v/>
      </c>
      <c r="B427" s="41" t="str">
        <f>IFERROR(INDEX(Combined_Data!$E:$E,$O427+1),"")</f>
        <v/>
      </c>
      <c r="C427" s="41" t="str">
        <f>IFERROR(INDEX(Combined_Data!$B:$B,$O427+1),"")</f>
        <v/>
      </c>
      <c r="D427" s="41" t="str">
        <f>IFERROR(INDEX(Combined_Data!$D:$D,$O427+1),"")</f>
        <v/>
      </c>
      <c r="E427" s="41" t="str">
        <f>IFERROR(INDEX(Combined_Data!$G:$G,$O427+1),"")</f>
        <v/>
      </c>
      <c r="F427" s="42" t="str">
        <f>IFERROR(INDEX(Combined_Data!$I:$I,$O427+1),"")</f>
        <v/>
      </c>
      <c r="G427" s="41" t="str">
        <f>IFERROR(INDEX(Combined_Data!$K:$K,$O427+1),"")</f>
        <v/>
      </c>
      <c r="H427" s="41" t="str">
        <f>IFERROR(INDEX(Combined_Data!$M:$M,$O427+1),"")</f>
        <v/>
      </c>
      <c r="I427" s="41" t="str">
        <f>IFERROR(INDEX(Combined_Data!$N:$N,$O427+1),"")</f>
        <v/>
      </c>
      <c r="J427" s="43" t="str">
        <f>IFERROR(INDEX(Combined_Data!$S:$S,$O427+1),"")</f>
        <v/>
      </c>
      <c r="K427" s="44" t="str">
        <f>IFERROR(INDEX(Combined_Data!$AF:$AF,$O427+1),"")</f>
        <v/>
      </c>
      <c r="L427" s="41" t="str">
        <f>IFERROR(INDEX(Combined_Data!$AG:$AG,$O427+1),"")</f>
        <v/>
      </c>
      <c r="M427" s="41" t="str">
        <f>IFERROR(INDEX(Combined_Data!$AH:$AH,$O427+1),"")</f>
        <v/>
      </c>
      <c r="O427" t="str">
        <f>IFERROR(_xlfn.AGGREGATE(15,6,(ROW(Combined_Data!$AI$2:$AI$3001)-1)/(Combined_Data!$AI$2:$AI$3001),393),"")</f>
        <v/>
      </c>
    </row>
    <row r="428" spans="1:15" ht="15" customHeight="1" x14ac:dyDescent="0.3">
      <c r="A428" s="41" t="str">
        <f>IFERROR(INDEX(Combined_Data!$C:$C,$O428+1),"")</f>
        <v/>
      </c>
      <c r="B428" s="41" t="str">
        <f>IFERROR(INDEX(Combined_Data!$E:$E,$O428+1),"")</f>
        <v/>
      </c>
      <c r="C428" s="41" t="str">
        <f>IFERROR(INDEX(Combined_Data!$B:$B,$O428+1),"")</f>
        <v/>
      </c>
      <c r="D428" s="41" t="str">
        <f>IFERROR(INDEX(Combined_Data!$D:$D,$O428+1),"")</f>
        <v/>
      </c>
      <c r="E428" s="41" t="str">
        <f>IFERROR(INDEX(Combined_Data!$G:$G,$O428+1),"")</f>
        <v/>
      </c>
      <c r="F428" s="42" t="str">
        <f>IFERROR(INDEX(Combined_Data!$I:$I,$O428+1),"")</f>
        <v/>
      </c>
      <c r="G428" s="41" t="str">
        <f>IFERROR(INDEX(Combined_Data!$K:$K,$O428+1),"")</f>
        <v/>
      </c>
      <c r="H428" s="41" t="str">
        <f>IFERROR(INDEX(Combined_Data!$M:$M,$O428+1),"")</f>
        <v/>
      </c>
      <c r="I428" s="41" t="str">
        <f>IFERROR(INDEX(Combined_Data!$N:$N,$O428+1),"")</f>
        <v/>
      </c>
      <c r="J428" s="43" t="str">
        <f>IFERROR(INDEX(Combined_Data!$S:$S,$O428+1),"")</f>
        <v/>
      </c>
      <c r="K428" s="44" t="str">
        <f>IFERROR(INDEX(Combined_Data!$AF:$AF,$O428+1),"")</f>
        <v/>
      </c>
      <c r="L428" s="41" t="str">
        <f>IFERROR(INDEX(Combined_Data!$AG:$AG,$O428+1),"")</f>
        <v/>
      </c>
      <c r="M428" s="41" t="str">
        <f>IFERROR(INDEX(Combined_Data!$AH:$AH,$O428+1),"")</f>
        <v/>
      </c>
      <c r="O428" t="str">
        <f>IFERROR(_xlfn.AGGREGATE(15,6,(ROW(Combined_Data!$AI$2:$AI$3001)-1)/(Combined_Data!$AI$2:$AI$3001),394),"")</f>
        <v/>
      </c>
    </row>
    <row r="429" spans="1:15" ht="15" customHeight="1" x14ac:dyDescent="0.3">
      <c r="A429" s="41" t="str">
        <f>IFERROR(INDEX(Combined_Data!$C:$C,$O429+1),"")</f>
        <v/>
      </c>
      <c r="B429" s="41" t="str">
        <f>IFERROR(INDEX(Combined_Data!$E:$E,$O429+1),"")</f>
        <v/>
      </c>
      <c r="C429" s="41" t="str">
        <f>IFERROR(INDEX(Combined_Data!$B:$B,$O429+1),"")</f>
        <v/>
      </c>
      <c r="D429" s="41" t="str">
        <f>IFERROR(INDEX(Combined_Data!$D:$D,$O429+1),"")</f>
        <v/>
      </c>
      <c r="E429" s="41" t="str">
        <f>IFERROR(INDEX(Combined_Data!$G:$G,$O429+1),"")</f>
        <v/>
      </c>
      <c r="F429" s="42" t="str">
        <f>IFERROR(INDEX(Combined_Data!$I:$I,$O429+1),"")</f>
        <v/>
      </c>
      <c r="G429" s="41" t="str">
        <f>IFERROR(INDEX(Combined_Data!$K:$K,$O429+1),"")</f>
        <v/>
      </c>
      <c r="H429" s="41" t="str">
        <f>IFERROR(INDEX(Combined_Data!$M:$M,$O429+1),"")</f>
        <v/>
      </c>
      <c r="I429" s="41" t="str">
        <f>IFERROR(INDEX(Combined_Data!$N:$N,$O429+1),"")</f>
        <v/>
      </c>
      <c r="J429" s="43" t="str">
        <f>IFERROR(INDEX(Combined_Data!$S:$S,$O429+1),"")</f>
        <v/>
      </c>
      <c r="K429" s="44" t="str">
        <f>IFERROR(INDEX(Combined_Data!$AF:$AF,$O429+1),"")</f>
        <v/>
      </c>
      <c r="L429" s="41" t="str">
        <f>IFERROR(INDEX(Combined_Data!$AG:$AG,$O429+1),"")</f>
        <v/>
      </c>
      <c r="M429" s="41" t="str">
        <f>IFERROR(INDEX(Combined_Data!$AH:$AH,$O429+1),"")</f>
        <v/>
      </c>
      <c r="O429" t="str">
        <f>IFERROR(_xlfn.AGGREGATE(15,6,(ROW(Combined_Data!$AI$2:$AI$3001)-1)/(Combined_Data!$AI$2:$AI$3001),395),"")</f>
        <v/>
      </c>
    </row>
    <row r="430" spans="1:15" ht="15" customHeight="1" x14ac:dyDescent="0.3">
      <c r="A430" s="41" t="str">
        <f>IFERROR(INDEX(Combined_Data!$C:$C,$O430+1),"")</f>
        <v/>
      </c>
      <c r="B430" s="41" t="str">
        <f>IFERROR(INDEX(Combined_Data!$E:$E,$O430+1),"")</f>
        <v/>
      </c>
      <c r="C430" s="41" t="str">
        <f>IFERROR(INDEX(Combined_Data!$B:$B,$O430+1),"")</f>
        <v/>
      </c>
      <c r="D430" s="41" t="str">
        <f>IFERROR(INDEX(Combined_Data!$D:$D,$O430+1),"")</f>
        <v/>
      </c>
      <c r="E430" s="41" t="str">
        <f>IFERROR(INDEX(Combined_Data!$G:$G,$O430+1),"")</f>
        <v/>
      </c>
      <c r="F430" s="42" t="str">
        <f>IFERROR(INDEX(Combined_Data!$I:$I,$O430+1),"")</f>
        <v/>
      </c>
      <c r="G430" s="41" t="str">
        <f>IFERROR(INDEX(Combined_Data!$K:$K,$O430+1),"")</f>
        <v/>
      </c>
      <c r="H430" s="41" t="str">
        <f>IFERROR(INDEX(Combined_Data!$M:$M,$O430+1),"")</f>
        <v/>
      </c>
      <c r="I430" s="41" t="str">
        <f>IFERROR(INDEX(Combined_Data!$N:$N,$O430+1),"")</f>
        <v/>
      </c>
      <c r="J430" s="43" t="str">
        <f>IFERROR(INDEX(Combined_Data!$S:$S,$O430+1),"")</f>
        <v/>
      </c>
      <c r="K430" s="44" t="str">
        <f>IFERROR(INDEX(Combined_Data!$AF:$AF,$O430+1),"")</f>
        <v/>
      </c>
      <c r="L430" s="41" t="str">
        <f>IFERROR(INDEX(Combined_Data!$AG:$AG,$O430+1),"")</f>
        <v/>
      </c>
      <c r="M430" s="41" t="str">
        <f>IFERROR(INDEX(Combined_Data!$AH:$AH,$O430+1),"")</f>
        <v/>
      </c>
      <c r="O430" t="str">
        <f>IFERROR(_xlfn.AGGREGATE(15,6,(ROW(Combined_Data!$AI$2:$AI$3001)-1)/(Combined_Data!$AI$2:$AI$3001),396),"")</f>
        <v/>
      </c>
    </row>
    <row r="431" spans="1:15" ht="15" customHeight="1" x14ac:dyDescent="0.3">
      <c r="A431" s="41" t="str">
        <f>IFERROR(INDEX(Combined_Data!$C:$C,$O431+1),"")</f>
        <v/>
      </c>
      <c r="B431" s="41" t="str">
        <f>IFERROR(INDEX(Combined_Data!$E:$E,$O431+1),"")</f>
        <v/>
      </c>
      <c r="C431" s="41" t="str">
        <f>IFERROR(INDEX(Combined_Data!$B:$B,$O431+1),"")</f>
        <v/>
      </c>
      <c r="D431" s="41" t="str">
        <f>IFERROR(INDEX(Combined_Data!$D:$D,$O431+1),"")</f>
        <v/>
      </c>
      <c r="E431" s="41" t="str">
        <f>IFERROR(INDEX(Combined_Data!$G:$G,$O431+1),"")</f>
        <v/>
      </c>
      <c r="F431" s="42" t="str">
        <f>IFERROR(INDEX(Combined_Data!$I:$I,$O431+1),"")</f>
        <v/>
      </c>
      <c r="G431" s="41" t="str">
        <f>IFERROR(INDEX(Combined_Data!$K:$K,$O431+1),"")</f>
        <v/>
      </c>
      <c r="H431" s="41" t="str">
        <f>IFERROR(INDEX(Combined_Data!$M:$M,$O431+1),"")</f>
        <v/>
      </c>
      <c r="I431" s="41" t="str">
        <f>IFERROR(INDEX(Combined_Data!$N:$N,$O431+1),"")</f>
        <v/>
      </c>
      <c r="J431" s="43" t="str">
        <f>IFERROR(INDEX(Combined_Data!$S:$S,$O431+1),"")</f>
        <v/>
      </c>
      <c r="K431" s="44" t="str">
        <f>IFERROR(INDEX(Combined_Data!$AF:$AF,$O431+1),"")</f>
        <v/>
      </c>
      <c r="L431" s="41" t="str">
        <f>IFERROR(INDEX(Combined_Data!$AG:$AG,$O431+1),"")</f>
        <v/>
      </c>
      <c r="M431" s="41" t="str">
        <f>IFERROR(INDEX(Combined_Data!$AH:$AH,$O431+1),"")</f>
        <v/>
      </c>
      <c r="O431" t="str">
        <f>IFERROR(_xlfn.AGGREGATE(15,6,(ROW(Combined_Data!$AI$2:$AI$3001)-1)/(Combined_Data!$AI$2:$AI$3001),397),"")</f>
        <v/>
      </c>
    </row>
    <row r="432" spans="1:15" ht="15" customHeight="1" x14ac:dyDescent="0.3">
      <c r="A432" s="41" t="str">
        <f>IFERROR(INDEX(Combined_Data!$C:$C,$O432+1),"")</f>
        <v/>
      </c>
      <c r="B432" s="41" t="str">
        <f>IFERROR(INDEX(Combined_Data!$E:$E,$O432+1),"")</f>
        <v/>
      </c>
      <c r="C432" s="41" t="str">
        <f>IFERROR(INDEX(Combined_Data!$B:$B,$O432+1),"")</f>
        <v/>
      </c>
      <c r="D432" s="41" t="str">
        <f>IFERROR(INDEX(Combined_Data!$D:$D,$O432+1),"")</f>
        <v/>
      </c>
      <c r="E432" s="41" t="str">
        <f>IFERROR(INDEX(Combined_Data!$G:$G,$O432+1),"")</f>
        <v/>
      </c>
      <c r="F432" s="42" t="str">
        <f>IFERROR(INDEX(Combined_Data!$I:$I,$O432+1),"")</f>
        <v/>
      </c>
      <c r="G432" s="41" t="str">
        <f>IFERROR(INDEX(Combined_Data!$K:$K,$O432+1),"")</f>
        <v/>
      </c>
      <c r="H432" s="41" t="str">
        <f>IFERROR(INDEX(Combined_Data!$M:$M,$O432+1),"")</f>
        <v/>
      </c>
      <c r="I432" s="41" t="str">
        <f>IFERROR(INDEX(Combined_Data!$N:$N,$O432+1),"")</f>
        <v/>
      </c>
      <c r="J432" s="43" t="str">
        <f>IFERROR(INDEX(Combined_Data!$S:$S,$O432+1),"")</f>
        <v/>
      </c>
      <c r="K432" s="44" t="str">
        <f>IFERROR(INDEX(Combined_Data!$AF:$AF,$O432+1),"")</f>
        <v/>
      </c>
      <c r="L432" s="41" t="str">
        <f>IFERROR(INDEX(Combined_Data!$AG:$AG,$O432+1),"")</f>
        <v/>
      </c>
      <c r="M432" s="41" t="str">
        <f>IFERROR(INDEX(Combined_Data!$AH:$AH,$O432+1),"")</f>
        <v/>
      </c>
      <c r="O432" t="str">
        <f>IFERROR(_xlfn.AGGREGATE(15,6,(ROW(Combined_Data!$AI$2:$AI$3001)-1)/(Combined_Data!$AI$2:$AI$3001),398),"")</f>
        <v/>
      </c>
    </row>
    <row r="433" spans="1:15" ht="15" customHeight="1" x14ac:dyDescent="0.3">
      <c r="A433" s="41" t="str">
        <f>IFERROR(INDEX(Combined_Data!$C:$C,$O433+1),"")</f>
        <v/>
      </c>
      <c r="B433" s="41" t="str">
        <f>IFERROR(INDEX(Combined_Data!$E:$E,$O433+1),"")</f>
        <v/>
      </c>
      <c r="C433" s="41" t="str">
        <f>IFERROR(INDEX(Combined_Data!$B:$B,$O433+1),"")</f>
        <v/>
      </c>
      <c r="D433" s="41" t="str">
        <f>IFERROR(INDEX(Combined_Data!$D:$D,$O433+1),"")</f>
        <v/>
      </c>
      <c r="E433" s="41" t="str">
        <f>IFERROR(INDEX(Combined_Data!$G:$G,$O433+1),"")</f>
        <v/>
      </c>
      <c r="F433" s="42" t="str">
        <f>IFERROR(INDEX(Combined_Data!$I:$I,$O433+1),"")</f>
        <v/>
      </c>
      <c r="G433" s="41" t="str">
        <f>IFERROR(INDEX(Combined_Data!$K:$K,$O433+1),"")</f>
        <v/>
      </c>
      <c r="H433" s="41" t="str">
        <f>IFERROR(INDEX(Combined_Data!$M:$M,$O433+1),"")</f>
        <v/>
      </c>
      <c r="I433" s="41" t="str">
        <f>IFERROR(INDEX(Combined_Data!$N:$N,$O433+1),"")</f>
        <v/>
      </c>
      <c r="J433" s="43" t="str">
        <f>IFERROR(INDEX(Combined_Data!$S:$S,$O433+1),"")</f>
        <v/>
      </c>
      <c r="K433" s="44" t="str">
        <f>IFERROR(INDEX(Combined_Data!$AF:$AF,$O433+1),"")</f>
        <v/>
      </c>
      <c r="L433" s="41" t="str">
        <f>IFERROR(INDEX(Combined_Data!$AG:$AG,$O433+1),"")</f>
        <v/>
      </c>
      <c r="M433" s="41" t="str">
        <f>IFERROR(INDEX(Combined_Data!$AH:$AH,$O433+1),"")</f>
        <v/>
      </c>
      <c r="O433" t="str">
        <f>IFERROR(_xlfn.AGGREGATE(15,6,(ROW(Combined_Data!$AI$2:$AI$3001)-1)/(Combined_Data!$AI$2:$AI$3001),399),"")</f>
        <v/>
      </c>
    </row>
    <row r="434" spans="1:15" ht="15" customHeight="1" x14ac:dyDescent="0.3">
      <c r="A434" s="41" t="str">
        <f>IFERROR(INDEX(Combined_Data!$C:$C,$O434+1),"")</f>
        <v/>
      </c>
      <c r="B434" s="41" t="str">
        <f>IFERROR(INDEX(Combined_Data!$E:$E,$O434+1),"")</f>
        <v/>
      </c>
      <c r="C434" s="41" t="str">
        <f>IFERROR(INDEX(Combined_Data!$B:$B,$O434+1),"")</f>
        <v/>
      </c>
      <c r="D434" s="41" t="str">
        <f>IFERROR(INDEX(Combined_Data!$D:$D,$O434+1),"")</f>
        <v/>
      </c>
      <c r="E434" s="41" t="str">
        <f>IFERROR(INDEX(Combined_Data!$G:$G,$O434+1),"")</f>
        <v/>
      </c>
      <c r="F434" s="42" t="str">
        <f>IFERROR(INDEX(Combined_Data!$I:$I,$O434+1),"")</f>
        <v/>
      </c>
      <c r="G434" s="41" t="str">
        <f>IFERROR(INDEX(Combined_Data!$K:$K,$O434+1),"")</f>
        <v/>
      </c>
      <c r="H434" s="41" t="str">
        <f>IFERROR(INDEX(Combined_Data!$M:$M,$O434+1),"")</f>
        <v/>
      </c>
      <c r="I434" s="41" t="str">
        <f>IFERROR(INDEX(Combined_Data!$N:$N,$O434+1),"")</f>
        <v/>
      </c>
      <c r="J434" s="43" t="str">
        <f>IFERROR(INDEX(Combined_Data!$S:$S,$O434+1),"")</f>
        <v/>
      </c>
      <c r="K434" s="44" t="str">
        <f>IFERROR(INDEX(Combined_Data!$AF:$AF,$O434+1),"")</f>
        <v/>
      </c>
      <c r="L434" s="41" t="str">
        <f>IFERROR(INDEX(Combined_Data!$AG:$AG,$O434+1),"")</f>
        <v/>
      </c>
      <c r="M434" s="41" t="str">
        <f>IFERROR(INDEX(Combined_Data!$AH:$AH,$O434+1),"")</f>
        <v/>
      </c>
      <c r="O434" t="str">
        <f>IFERROR(_xlfn.AGGREGATE(15,6,(ROW(Combined_Data!$AI$2:$AI$3001)-1)/(Combined_Data!$AI$2:$AI$3001),400),"")</f>
        <v/>
      </c>
    </row>
    <row r="436" spans="1:15" ht="15" customHeight="1" x14ac:dyDescent="0.3">
      <c r="A436" s="83" t="s">
        <v>118</v>
      </c>
      <c r="B436" s="83"/>
      <c r="C436" s="83"/>
      <c r="D436" s="83"/>
      <c r="E436" s="83"/>
      <c r="F436" s="83"/>
      <c r="G436" s="83"/>
      <c r="H436" s="83"/>
      <c r="I436" s="83"/>
      <c r="J436" s="83"/>
      <c r="K436" s="83"/>
      <c r="L436" s="83"/>
      <c r="M436" s="83"/>
    </row>
  </sheetData>
  <mergeCells count="24">
    <mergeCell ref="K11:L11"/>
    <mergeCell ref="A13:D13"/>
    <mergeCell ref="F13:I13"/>
    <mergeCell ref="A33:M33"/>
    <mergeCell ref="A436:M436"/>
    <mergeCell ref="A11:B11"/>
    <mergeCell ref="C11:D11"/>
    <mergeCell ref="E11:F11"/>
    <mergeCell ref="G11:H11"/>
    <mergeCell ref="I11:J11"/>
    <mergeCell ref="A9:M9"/>
    <mergeCell ref="A10:B10"/>
    <mergeCell ref="C10:D10"/>
    <mergeCell ref="E10:F10"/>
    <mergeCell ref="G10:H10"/>
    <mergeCell ref="I10:J10"/>
    <mergeCell ref="K10:L10"/>
    <mergeCell ref="A2:M2"/>
    <mergeCell ref="A4:D4"/>
    <mergeCell ref="B5:D5"/>
    <mergeCell ref="F5:M8"/>
    <mergeCell ref="B6:D6"/>
    <mergeCell ref="B7:D7"/>
    <mergeCell ref="B8:D8"/>
  </mergeCells>
  <conditionalFormatting sqref="L35:L434">
    <cfRule type="expression" dxfId="5" priority="2">
      <formula>$L35="Likely Ghost"</formula>
    </cfRule>
    <cfRule type="expression" dxfId="4" priority="3">
      <formula>$L35="Uncertain"</formula>
    </cfRule>
    <cfRule type="expression" dxfId="3" priority="4">
      <formula>$L35="Likely Genuine"</formula>
    </cfRule>
  </conditionalFormatting>
  <pageMargins left="0.75" right="0.75" top="1" bottom="1" header="0.511811023622047" footer="0.511811023622047"/>
  <pageSetup paperSize="9" orientation="portrait" horizontalDpi="300" verticalDpi="300"/>
  <drawing r:id="rId1"/>
  <extLst>
    <ext xmlns:x14="http://schemas.microsoft.com/office/spreadsheetml/2009/9/main" uri="{CCE6A557-97BC-4b89-ADB6-D9C93CAAB3DF}">
      <x14:dataValidations xmlns:xm="http://schemas.microsoft.com/office/excel/2006/main" count="4">
        <x14:dataValidation type="list" xr:uid="{00000000-0002-0000-0200-000000000000}">
          <x14:formula1>
            <xm:f>_Lists!$A$1:$A$1305</xm:f>
          </x14:formula1>
          <x14:formula2>
            <xm:f>0</xm:f>
          </x14:formula2>
          <xm:sqref>B5</xm:sqref>
        </x14:dataValidation>
        <x14:dataValidation type="list" xr:uid="{00000000-0002-0000-0200-000001000000}">
          <x14:formula1>
            <xm:f>_Lists!$B$1:$B$4</xm:f>
          </x14:formula1>
          <x14:formula2>
            <xm:f>0</xm:f>
          </x14:formula2>
          <xm:sqref>B6</xm:sqref>
        </x14:dataValidation>
        <x14:dataValidation type="list" xr:uid="{00000000-0002-0000-0200-000002000000}">
          <x14:formula1>
            <xm:f>_Lists!$C$1:$C$13</xm:f>
          </x14:formula1>
          <x14:formula2>
            <xm:f>0</xm:f>
          </x14:formula2>
          <xm:sqref>B7</xm:sqref>
        </x14:dataValidation>
        <x14:dataValidation type="list" xr:uid="{00000000-0002-0000-0200-000003000000}">
          <x14:formula1>
            <xm:f>_Lists!$D$1:$D$4</xm:f>
          </x14:formula1>
          <x14:formula2>
            <xm:f>0</xm:f>
          </x14:formula2>
          <xm:sqref>B8</xm:sqref>
        </x14:dataValidation>
      </x14:dataValidations>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J17"/>
  <sheetViews>
    <sheetView showGridLines="0" zoomScaleNormal="100" workbookViewId="0">
      <selection activeCell="K5" sqref="K5"/>
    </sheetView>
  </sheetViews>
  <sheetFormatPr defaultColWidth="8.6640625" defaultRowHeight="14.4" x14ac:dyDescent="0.3"/>
  <cols>
    <col min="1" max="1" width="22" customWidth="1"/>
    <col min="2" max="4" width="12" customWidth="1"/>
    <col min="7" max="7" width="13" customWidth="1"/>
    <col min="8" max="8" width="24" customWidth="1"/>
    <col min="9" max="9" width="18" customWidth="1"/>
    <col min="10" max="10" width="13" customWidth="1"/>
  </cols>
  <sheetData>
    <row r="1" spans="1:10" ht="27.75" customHeight="1" x14ac:dyDescent="0.3">
      <c r="A1" s="14" t="s">
        <v>119</v>
      </c>
      <c r="B1" s="14"/>
      <c r="C1" s="14"/>
      <c r="D1" s="14"/>
      <c r="E1" s="14"/>
      <c r="F1" s="14"/>
    </row>
    <row r="2" spans="1:10" ht="18" customHeight="1" x14ac:dyDescent="0.3">
      <c r="A2" s="13" t="s">
        <v>120</v>
      </c>
      <c r="B2" s="13"/>
      <c r="C2" s="13"/>
      <c r="D2" s="13"/>
      <c r="E2" s="13"/>
      <c r="F2" s="13"/>
    </row>
    <row r="4" spans="1:10" ht="15" customHeight="1" x14ac:dyDescent="0.3">
      <c r="A4" s="32" t="s">
        <v>121</v>
      </c>
      <c r="G4" s="32" t="s">
        <v>122</v>
      </c>
    </row>
    <row r="5" spans="1:10" ht="23.25" customHeight="1" x14ac:dyDescent="0.3">
      <c r="A5" s="19" t="s">
        <v>93</v>
      </c>
      <c r="B5" s="19" t="s">
        <v>80</v>
      </c>
      <c r="C5" s="19" t="s">
        <v>81</v>
      </c>
      <c r="D5" s="19" t="s">
        <v>82</v>
      </c>
      <c r="G5" s="45" t="s">
        <v>77</v>
      </c>
      <c r="H5" s="45" t="s">
        <v>123</v>
      </c>
      <c r="I5" s="45" t="s">
        <v>124</v>
      </c>
      <c r="J5" s="45" t="s">
        <v>75</v>
      </c>
    </row>
    <row r="6" spans="1:10" ht="15" customHeight="1" x14ac:dyDescent="0.3">
      <c r="A6" s="46" t="s">
        <v>125</v>
      </c>
      <c r="B6" s="47">
        <f>COUNTIFS(Combined_Data!$D$2:$D$3001,"Software Engineer",Combined_Data!$B$2:$B$3001,"LinkedIn")</f>
        <v>701</v>
      </c>
      <c r="C6" s="47">
        <f>COUNTIFS(Combined_Data!$D$2:$D$3001,"Software Engineer",Combined_Data!$B$2:$B$3001,"Indeed")</f>
        <v>288</v>
      </c>
      <c r="D6" s="47">
        <f>COUNTIFS(Combined_Data!$D$2:$D$3001,"Software Engineer",Combined_Data!$B$2:$B$3001,"Glassdoor")</f>
        <v>209</v>
      </c>
      <c r="G6" s="48" t="s">
        <v>80</v>
      </c>
      <c r="H6" s="47">
        <f>IFERROR(AVERAGEIFS(Combined_Data!$S$2:$S$3001,Combined_Data!$B$2:$B$3001,"LinkedIn",Combined_Data!$T$2:$T$3001,TRUE()),0)</f>
        <v>0</v>
      </c>
      <c r="I6" s="47">
        <f>COUNTIFS(Combined_Data!$B$2:$B$3001,"LinkedIn",Combined_Data!$T$2:$T$3001,TRUE())</f>
        <v>0</v>
      </c>
      <c r="J6" s="49">
        <f>COUNTIFS(Combined_Data!$B$2:$B$3001,"LinkedIn",Combined_Data!$AG$2:$AG$3001,"Likely Ghost")/COUNTIF(Combined_Data!$B$2:$B$3001,"LinkedIn")*100</f>
        <v>7.7</v>
      </c>
    </row>
    <row r="7" spans="1:10" ht="15" customHeight="1" x14ac:dyDescent="0.3">
      <c r="A7" s="50" t="s">
        <v>126</v>
      </c>
      <c r="B7" s="51">
        <f>COUNTIFS(Combined_Data!$D$2:$D$3001,"Other",Combined_Data!$B$2:$B$3001,"LinkedIn")</f>
        <v>63</v>
      </c>
      <c r="C7" s="51">
        <f>COUNTIFS(Combined_Data!$D$2:$D$3001,"Other",Combined_Data!$B$2:$B$3001,"Indeed")</f>
        <v>466</v>
      </c>
      <c r="D7" s="51">
        <f>COUNTIFS(Combined_Data!$D$2:$D$3001,"Other",Combined_Data!$B$2:$B$3001,"Glassdoor")</f>
        <v>227</v>
      </c>
      <c r="G7" s="52" t="s">
        <v>81</v>
      </c>
      <c r="H7" s="51">
        <f>IFERROR(AVERAGEIFS(Combined_Data!$S$2:$S$3001,Combined_Data!$B$2:$B$3001,"Indeed",Combined_Data!$T$2:$T$3001,TRUE()),0)</f>
        <v>712321.27702702698</v>
      </c>
      <c r="I7" s="51">
        <f>COUNTIFS(Combined_Data!$B$2:$B$3001,"Indeed",Combined_Data!$T$2:$T$3001,TRUE())</f>
        <v>148</v>
      </c>
      <c r="J7" s="53">
        <f>COUNTIFS(Combined_Data!$B$2:$B$3001,"Indeed",Combined_Data!$AG$2:$AG$3001,"Likely Ghost")/COUNTIF(Combined_Data!$B$2:$B$3001,"Indeed")*100</f>
        <v>4.3999999999999995</v>
      </c>
    </row>
    <row r="8" spans="1:10" ht="15" customHeight="1" x14ac:dyDescent="0.3">
      <c r="A8" s="46" t="s">
        <v>127</v>
      </c>
      <c r="B8" s="47">
        <f>COUNTIFS(Combined_Data!$D$2:$D$3001,"Data Analyst",Combined_Data!$B$2:$B$3001,"LinkedIn")</f>
        <v>0</v>
      </c>
      <c r="C8" s="47">
        <f>COUNTIFS(Combined_Data!$D$2:$D$3001,"Data Analyst",Combined_Data!$B$2:$B$3001,"Indeed")</f>
        <v>93</v>
      </c>
      <c r="D8" s="47">
        <f>COUNTIFS(Combined_Data!$D$2:$D$3001,"Data Analyst",Combined_Data!$B$2:$B$3001,"Glassdoor")</f>
        <v>178</v>
      </c>
      <c r="G8" s="48" t="s">
        <v>82</v>
      </c>
      <c r="H8" s="47">
        <f>IFERROR(AVERAGEIFS(Combined_Data!$S$2:$S$3001,Combined_Data!$B$2:$B$3001,"Glassdoor",Combined_Data!$T$2:$T$3001,TRUE()),0)</f>
        <v>608706.69401330373</v>
      </c>
      <c r="I8" s="47">
        <f>COUNTIFS(Combined_Data!$B$2:$B$3001,"Glassdoor",Combined_Data!$T$2:$T$3001,TRUE())</f>
        <v>451</v>
      </c>
      <c r="J8" s="49">
        <f>COUNTIFS(Combined_Data!$B$2:$B$3001,"Glassdoor",Combined_Data!$AG$2:$AG$3001,"Likely Ghost")/COUNTIF(Combined_Data!$B$2:$B$3001,"Glassdoor")*100</f>
        <v>2.5</v>
      </c>
    </row>
    <row r="9" spans="1:10" ht="15" customHeight="1" x14ac:dyDescent="0.3">
      <c r="A9" s="50" t="s">
        <v>128</v>
      </c>
      <c r="B9" s="51">
        <f>COUNTIFS(Combined_Data!$D$2:$D$3001,"ML Engineer",Combined_Data!$B$2:$B$3001,"LinkedIn")</f>
        <v>1</v>
      </c>
      <c r="C9" s="51">
        <f>COUNTIFS(Combined_Data!$D$2:$D$3001,"ML Engineer",Combined_Data!$B$2:$B$3001,"Indeed")</f>
        <v>14</v>
      </c>
      <c r="D9" s="51">
        <f>COUNTIFS(Combined_Data!$D$2:$D$3001,"ML Engineer",Combined_Data!$B$2:$B$3001,"Glassdoor")</f>
        <v>189</v>
      </c>
    </row>
    <row r="10" spans="1:10" ht="15" customHeight="1" x14ac:dyDescent="0.3">
      <c r="A10" s="46" t="s">
        <v>129</v>
      </c>
      <c r="B10" s="47">
        <f>COUNTIFS(Combined_Data!$D$2:$D$3001,"Frontend Engineer",Combined_Data!$B$2:$B$3001,"LinkedIn")</f>
        <v>30</v>
      </c>
      <c r="C10" s="47">
        <f>COUNTIFS(Combined_Data!$D$2:$D$3001,"Frontend Engineer",Combined_Data!$B$2:$B$3001,"Indeed")</f>
        <v>5</v>
      </c>
      <c r="D10" s="47">
        <f>COUNTIFS(Combined_Data!$D$2:$D$3001,"Frontend Engineer",Combined_Data!$B$2:$B$3001,"Glassdoor")</f>
        <v>119</v>
      </c>
    </row>
    <row r="11" spans="1:10" ht="15" customHeight="1" x14ac:dyDescent="0.3">
      <c r="A11" s="50" t="s">
        <v>130</v>
      </c>
      <c r="B11" s="51">
        <f>COUNTIFS(Combined_Data!$D$2:$D$3001,"Full Stack Engineer",Combined_Data!$B$2:$B$3001,"LinkedIn")</f>
        <v>79</v>
      </c>
      <c r="C11" s="51">
        <f>COUNTIFS(Combined_Data!$D$2:$D$3001,"Full Stack Engineer",Combined_Data!$B$2:$B$3001,"Indeed")</f>
        <v>56</v>
      </c>
      <c r="D11" s="51">
        <f>COUNTIFS(Combined_Data!$D$2:$D$3001,"Full Stack Engineer",Combined_Data!$B$2:$B$3001,"Glassdoor")</f>
        <v>14</v>
      </c>
    </row>
    <row r="12" spans="1:10" ht="15" customHeight="1" x14ac:dyDescent="0.3">
      <c r="A12" s="46" t="s">
        <v>131</v>
      </c>
      <c r="B12" s="47">
        <f>COUNTIFS(Combined_Data!$D$2:$D$3001,"Backend Engineer",Combined_Data!$B$2:$B$3001,"LinkedIn")</f>
        <v>121</v>
      </c>
      <c r="C12" s="47">
        <f>COUNTIFS(Combined_Data!$D$2:$D$3001,"Backend Engineer",Combined_Data!$B$2:$B$3001,"Indeed")</f>
        <v>16</v>
      </c>
      <c r="D12" s="47">
        <f>COUNTIFS(Combined_Data!$D$2:$D$3001,"Backend Engineer",Combined_Data!$B$2:$B$3001,"Glassdoor")</f>
        <v>6</v>
      </c>
    </row>
    <row r="13" spans="1:10" ht="15" customHeight="1" x14ac:dyDescent="0.3">
      <c r="A13" s="50" t="s">
        <v>132</v>
      </c>
      <c r="B13" s="51">
        <f>COUNTIFS(Combined_Data!$D$2:$D$3001,"Data Scientist",Combined_Data!$B$2:$B$3001,"LinkedIn")</f>
        <v>0</v>
      </c>
      <c r="C13" s="51">
        <f>COUNTIFS(Combined_Data!$D$2:$D$3001,"Data Scientist",Combined_Data!$B$2:$B$3001,"Indeed")</f>
        <v>9</v>
      </c>
      <c r="D13" s="51">
        <f>COUNTIFS(Combined_Data!$D$2:$D$3001,"Data Scientist",Combined_Data!$B$2:$B$3001,"Glassdoor")</f>
        <v>36</v>
      </c>
    </row>
    <row r="14" spans="1:10" ht="15" customHeight="1" x14ac:dyDescent="0.3">
      <c r="A14" s="46" t="s">
        <v>133</v>
      </c>
      <c r="B14" s="47">
        <f>COUNTIFS(Combined_Data!$D$2:$D$3001,"Data Engineer",Combined_Data!$B$2:$B$3001,"LinkedIn")</f>
        <v>0</v>
      </c>
      <c r="C14" s="47">
        <f>COUNTIFS(Combined_Data!$D$2:$D$3001,"Data Engineer",Combined_Data!$B$2:$B$3001,"Indeed")</f>
        <v>14</v>
      </c>
      <c r="D14" s="47">
        <f>COUNTIFS(Combined_Data!$D$2:$D$3001,"Data Engineer",Combined_Data!$B$2:$B$3001,"Glassdoor")</f>
        <v>22</v>
      </c>
    </row>
    <row r="15" spans="1:10" ht="15" customHeight="1" x14ac:dyDescent="0.3">
      <c r="A15" s="50" t="s">
        <v>134</v>
      </c>
      <c r="B15" s="51">
        <f>COUNTIFS(Combined_Data!$D$2:$D$3001,"DevOps Engineer",Combined_Data!$B$2:$B$3001,"LinkedIn")</f>
        <v>0</v>
      </c>
      <c r="C15" s="51">
        <f>COUNTIFS(Combined_Data!$D$2:$D$3001,"DevOps Engineer",Combined_Data!$B$2:$B$3001,"Indeed")</f>
        <v>24</v>
      </c>
      <c r="D15" s="51">
        <f>COUNTIFS(Combined_Data!$D$2:$D$3001,"DevOps Engineer",Combined_Data!$B$2:$B$3001,"Glassdoor")</f>
        <v>0</v>
      </c>
    </row>
    <row r="16" spans="1:10" ht="15" customHeight="1" x14ac:dyDescent="0.3">
      <c r="A16" s="46" t="s">
        <v>135</v>
      </c>
      <c r="B16" s="47">
        <f>COUNTIFS(Combined_Data!$D$2:$D$3001,"QA/Test Engineer",Combined_Data!$B$2:$B$3001,"LinkedIn")</f>
        <v>5</v>
      </c>
      <c r="C16" s="47">
        <f>COUNTIFS(Combined_Data!$D$2:$D$3001,"QA/Test Engineer",Combined_Data!$B$2:$B$3001,"Indeed")</f>
        <v>9</v>
      </c>
      <c r="D16" s="47">
        <f>COUNTIFS(Combined_Data!$D$2:$D$3001,"QA/Test Engineer",Combined_Data!$B$2:$B$3001,"Glassdoor")</f>
        <v>0</v>
      </c>
    </row>
    <row r="17" spans="1:4" ht="15" customHeight="1" x14ac:dyDescent="0.3">
      <c r="A17" s="50" t="s">
        <v>136</v>
      </c>
      <c r="B17" s="51">
        <f>COUNTIFS(Combined_Data!$D$2:$D$3001,"Product Manager",Combined_Data!$B$2:$B$3001,"LinkedIn")</f>
        <v>0</v>
      </c>
      <c r="C17" s="51">
        <f>COUNTIFS(Combined_Data!$D$2:$D$3001,"Product Manager",Combined_Data!$B$2:$B$3001,"Indeed")</f>
        <v>6</v>
      </c>
      <c r="D17" s="51">
        <f>COUNTIFS(Combined_Data!$D$2:$D$3001,"Product Manager",Combined_Data!$B$2:$B$3001,"Glassdoor")</f>
        <v>0</v>
      </c>
    </row>
  </sheetData>
  <mergeCells count="2">
    <mergeCell ref="A1:F1"/>
    <mergeCell ref="A2:F2"/>
  </mergeCells>
  <pageMargins left="0.75" right="0.75" top="1" bottom="1" header="0.511811023622047" footer="0.511811023622047"/>
  <pageSetup paperSize="9" orientation="portrait" horizontalDpi="300" verticalDpi="300"/>
  <drawing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F24"/>
  <sheetViews>
    <sheetView showGridLines="0" zoomScaleNormal="100" workbookViewId="0"/>
  </sheetViews>
  <sheetFormatPr defaultColWidth="8.6640625" defaultRowHeight="14.4" x14ac:dyDescent="0.3"/>
  <cols>
    <col min="1" max="1" width="28" customWidth="1"/>
    <col min="2" max="2" width="14" customWidth="1"/>
    <col min="3" max="3" width="13" customWidth="1"/>
    <col min="4" max="4" width="12" customWidth="1"/>
    <col min="5" max="6" width="16" customWidth="1"/>
  </cols>
  <sheetData>
    <row r="1" spans="1:6" ht="27.75" customHeight="1" x14ac:dyDescent="0.3">
      <c r="A1" s="14" t="s">
        <v>137</v>
      </c>
      <c r="B1" s="14"/>
      <c r="C1" s="14"/>
      <c r="D1" s="14"/>
      <c r="E1" s="14"/>
      <c r="F1" s="14"/>
    </row>
    <row r="2" spans="1:6" ht="18" customHeight="1" x14ac:dyDescent="0.3">
      <c r="A2" s="13" t="s">
        <v>138</v>
      </c>
      <c r="B2" s="13"/>
      <c r="C2" s="13"/>
      <c r="D2" s="13"/>
      <c r="E2" s="13"/>
      <c r="F2" s="13"/>
    </row>
    <row r="4" spans="1:6" ht="23.25" customHeight="1" x14ac:dyDescent="0.3">
      <c r="A4" s="19" t="s">
        <v>109</v>
      </c>
      <c r="B4" s="19" t="s">
        <v>139</v>
      </c>
      <c r="C4" s="19" t="s">
        <v>72</v>
      </c>
      <c r="D4" s="19" t="s">
        <v>75</v>
      </c>
      <c r="E4" s="19" t="s">
        <v>79</v>
      </c>
      <c r="F4" s="19" t="s">
        <v>140</v>
      </c>
    </row>
    <row r="5" spans="1:6" ht="15" customHeight="1" x14ac:dyDescent="0.3">
      <c r="A5" s="39" t="s">
        <v>141</v>
      </c>
      <c r="B5" s="47">
        <f>COUNTIF(Combined_Data!$E$2:$E$3001,"Accenture in India")</f>
        <v>429</v>
      </c>
      <c r="C5" s="47">
        <f>COUNTIFS(Combined_Data!$E$2:$E$3001,"Accenture in India",Combined_Data!$AG$2:$AG$3001,"Likely Ghost")</f>
        <v>77</v>
      </c>
      <c r="D5" s="49">
        <f t="shared" ref="D5:D24" si="0">C5/B5*100</f>
        <v>17.948717948717949</v>
      </c>
      <c r="E5" s="49">
        <f>AVERAGEIF(Combined_Data!$E$2:$E$3001,"Accenture in India",Combined_Data!$AF$2:$AF$3001)</f>
        <v>45.448717948717935</v>
      </c>
      <c r="F5" s="54">
        <f t="shared" ref="F5:F24" si="1">100-E5</f>
        <v>54.551282051282065</v>
      </c>
    </row>
    <row r="6" spans="1:6" ht="15" customHeight="1" x14ac:dyDescent="0.3">
      <c r="A6" s="55" t="s">
        <v>142</v>
      </c>
      <c r="B6" s="51">
        <f>COUNTIF(Combined_Data!$E$2:$E$3001,"Wipro")</f>
        <v>81</v>
      </c>
      <c r="C6" s="51">
        <f>COUNTIFS(Combined_Data!$E$2:$E$3001,"Wipro",Combined_Data!$AG$2:$AG$3001,"Likely Ghost")</f>
        <v>9</v>
      </c>
      <c r="D6" s="53">
        <f t="shared" si="0"/>
        <v>11.111111111111111</v>
      </c>
      <c r="E6" s="53">
        <f>AVERAGEIF(Combined_Data!$E$2:$E$3001,"Wipro",Combined_Data!$AF$2:$AF$3001)</f>
        <v>44.477777777777817</v>
      </c>
      <c r="F6" s="56">
        <f t="shared" si="1"/>
        <v>55.522222222222183</v>
      </c>
    </row>
    <row r="7" spans="1:6" ht="15" customHeight="1" x14ac:dyDescent="0.3">
      <c r="A7" s="39" t="s">
        <v>143</v>
      </c>
      <c r="B7" s="47">
        <f>COUNTIF(Combined_Data!$E$2:$E$3001,"Accenture")</f>
        <v>64</v>
      </c>
      <c r="C7" s="47">
        <f>COUNTIFS(Combined_Data!$E$2:$E$3001,"Accenture",Combined_Data!$AG$2:$AG$3001,"Likely Ghost")</f>
        <v>23</v>
      </c>
      <c r="D7" s="49">
        <f t="shared" si="0"/>
        <v>35.9375</v>
      </c>
      <c r="E7" s="49">
        <f>AVERAGEIF(Combined_Data!$E$2:$E$3001,"Accenture",Combined_Data!$AF$2:$AF$3001)</f>
        <v>48.00312499999999</v>
      </c>
      <c r="F7" s="54">
        <f t="shared" si="1"/>
        <v>51.99687500000001</v>
      </c>
    </row>
    <row r="8" spans="1:6" ht="15" customHeight="1" x14ac:dyDescent="0.3">
      <c r="A8" s="55" t="s">
        <v>144</v>
      </c>
      <c r="B8" s="51">
        <f>COUNTIF(Combined_Data!$E$2:$E$3001,"Capgemini")</f>
        <v>50</v>
      </c>
      <c r="C8" s="51">
        <f>COUNTIFS(Combined_Data!$E$2:$E$3001,"Capgemini",Combined_Data!$AG$2:$AG$3001,"Likely Ghost")</f>
        <v>0</v>
      </c>
      <c r="D8" s="53">
        <f t="shared" si="0"/>
        <v>0</v>
      </c>
      <c r="E8" s="53">
        <f>AVERAGEIF(Combined_Data!$E$2:$E$3001,"Capgemini",Combined_Data!$AF$2:$AF$3001)</f>
        <v>28.027999999999992</v>
      </c>
      <c r="F8" s="56">
        <f t="shared" si="1"/>
        <v>71.972000000000008</v>
      </c>
    </row>
    <row r="9" spans="1:6" ht="15" customHeight="1" x14ac:dyDescent="0.3">
      <c r="A9" s="39" t="s">
        <v>145</v>
      </c>
      <c r="B9" s="47">
        <f>COUNTIF(Combined_Data!$E$2:$E$3001,"Calpion")</f>
        <v>42</v>
      </c>
      <c r="C9" s="47">
        <f>COUNTIFS(Combined_Data!$E$2:$E$3001,"Calpion",Combined_Data!$AG$2:$AG$3001,"Likely Ghost")</f>
        <v>0</v>
      </c>
      <c r="D9" s="49">
        <f t="shared" si="0"/>
        <v>0</v>
      </c>
      <c r="E9" s="49">
        <f>AVERAGEIF(Combined_Data!$E$2:$E$3001,"Calpion",Combined_Data!$AF$2:$AF$3001)</f>
        <v>14.3</v>
      </c>
      <c r="F9" s="54">
        <f t="shared" si="1"/>
        <v>85.7</v>
      </c>
    </row>
    <row r="10" spans="1:6" ht="15" customHeight="1" x14ac:dyDescent="0.3">
      <c r="A10" s="55" t="s">
        <v>146</v>
      </c>
      <c r="B10" s="51">
        <f>COUNTIF(Combined_Data!$E$2:$E$3001,"Amazon.com")</f>
        <v>33</v>
      </c>
      <c r="C10" s="51">
        <f>COUNTIFS(Combined_Data!$E$2:$E$3001,"Amazon.com",Combined_Data!$AG$2:$AG$3001,"Likely Ghost")</f>
        <v>0</v>
      </c>
      <c r="D10" s="53">
        <f t="shared" si="0"/>
        <v>0</v>
      </c>
      <c r="E10" s="53">
        <f>AVERAGEIF(Combined_Data!$E$2:$E$3001,"Amazon.com",Combined_Data!$AF$2:$AF$3001)</f>
        <v>16.900000000000006</v>
      </c>
      <c r="F10" s="56">
        <f t="shared" si="1"/>
        <v>83.1</v>
      </c>
    </row>
    <row r="11" spans="1:6" ht="15" customHeight="1" x14ac:dyDescent="0.3">
      <c r="A11" s="39" t="s">
        <v>147</v>
      </c>
      <c r="B11" s="47">
        <f>COUNTIF(Combined_Data!$E$2:$E$3001,"Infosys")</f>
        <v>24</v>
      </c>
      <c r="C11" s="47">
        <f>COUNTIFS(Combined_Data!$E$2:$E$3001,"Infosys",Combined_Data!$AG$2:$AG$3001,"Likely Ghost")</f>
        <v>0</v>
      </c>
      <c r="D11" s="49">
        <f t="shared" si="0"/>
        <v>0</v>
      </c>
      <c r="E11" s="49">
        <f>AVERAGEIF(Combined_Data!$E$2:$E$3001,"Infosys",Combined_Data!$AF$2:$AF$3001)</f>
        <v>29.195833333333329</v>
      </c>
      <c r="F11" s="54">
        <f t="shared" si="1"/>
        <v>70.804166666666674</v>
      </c>
    </row>
    <row r="12" spans="1:6" ht="15" customHeight="1" x14ac:dyDescent="0.3">
      <c r="A12" s="55" t="s">
        <v>148</v>
      </c>
      <c r="B12" s="51">
        <f>COUNTIF(Combined_Data!$E$2:$E$3001,"U.S. Bank")</f>
        <v>18</v>
      </c>
      <c r="C12" s="51">
        <f>COUNTIFS(Combined_Data!$E$2:$E$3001,"U.S. Bank",Combined_Data!$AG$2:$AG$3001,"Likely Ghost")</f>
        <v>0</v>
      </c>
      <c r="D12" s="53">
        <f t="shared" si="0"/>
        <v>0</v>
      </c>
      <c r="E12" s="53">
        <f>AVERAGEIF(Combined_Data!$E$2:$E$3001,"U.S. Bank",Combined_Data!$AF$2:$AF$3001)</f>
        <v>14.300000000000004</v>
      </c>
      <c r="F12" s="56">
        <f t="shared" si="1"/>
        <v>85.699999999999989</v>
      </c>
    </row>
    <row r="13" spans="1:6" ht="15" customHeight="1" x14ac:dyDescent="0.3">
      <c r="A13" s="39" t="s">
        <v>149</v>
      </c>
      <c r="B13" s="47">
        <f>COUNTIF(Combined_Data!$E$2:$E$3001,"Citi")</f>
        <v>18</v>
      </c>
      <c r="C13" s="47">
        <f>COUNTIFS(Combined_Data!$E$2:$E$3001,"Citi",Combined_Data!$AG$2:$AG$3001,"Likely Ghost")</f>
        <v>0</v>
      </c>
      <c r="D13" s="49">
        <f t="shared" si="0"/>
        <v>0</v>
      </c>
      <c r="E13" s="49">
        <f>AVERAGEIF(Combined_Data!$E$2:$E$3001,"Citi",Combined_Data!$AF$2:$AF$3001)</f>
        <v>19.066666666666674</v>
      </c>
      <c r="F13" s="54">
        <f t="shared" si="1"/>
        <v>80.933333333333323</v>
      </c>
    </row>
    <row r="14" spans="1:6" ht="15" customHeight="1" x14ac:dyDescent="0.3">
      <c r="A14" s="55" t="s">
        <v>150</v>
      </c>
      <c r="B14" s="51">
        <f>COUNTIF(Combined_Data!$E$2:$E$3001,"Citigroup Inc.")</f>
        <v>18</v>
      </c>
      <c r="C14" s="51">
        <f>COUNTIFS(Combined_Data!$E$2:$E$3001,"Citigroup Inc.",Combined_Data!$AG$2:$AG$3001,"Likely Ghost")</f>
        <v>1</v>
      </c>
      <c r="D14" s="53">
        <f t="shared" si="0"/>
        <v>5.5555555555555554</v>
      </c>
      <c r="E14" s="53">
        <f>AVERAGEIF(Combined_Data!$E$2:$E$3001,"Citigroup Inc.",Combined_Data!$AF$2:$AF$3001)</f>
        <v>37.333333333333343</v>
      </c>
      <c r="F14" s="56">
        <f t="shared" si="1"/>
        <v>62.666666666666657</v>
      </c>
    </row>
    <row r="15" spans="1:6" ht="15" customHeight="1" x14ac:dyDescent="0.3">
      <c r="A15" s="39" t="s">
        <v>151</v>
      </c>
      <c r="B15" s="47">
        <f>COUNTIF(Combined_Data!$E$2:$E$3001,"Amazon.com, Inc.")</f>
        <v>17</v>
      </c>
      <c r="C15" s="47">
        <f>COUNTIFS(Combined_Data!$E$2:$E$3001,"Amazon.com, Inc.",Combined_Data!$AG$2:$AG$3001,"Likely Ghost")</f>
        <v>0</v>
      </c>
      <c r="D15" s="49">
        <f t="shared" si="0"/>
        <v>0</v>
      </c>
      <c r="E15" s="49">
        <f>AVERAGEIF(Combined_Data!$E$2:$E$3001,"Amazon.com, Inc.",Combined_Data!$AF$2:$AF$3001)</f>
        <v>37.011764705882349</v>
      </c>
      <c r="F15" s="54">
        <f t="shared" si="1"/>
        <v>62.988235294117651</v>
      </c>
    </row>
    <row r="16" spans="1:6" ht="15" customHeight="1" x14ac:dyDescent="0.3">
      <c r="A16" s="55" t="s">
        <v>152</v>
      </c>
      <c r="B16" s="51">
        <f>COUNTIF(Combined_Data!$E$2:$E$3001,"Accenture Ltd")</f>
        <v>17</v>
      </c>
      <c r="C16" s="51">
        <f>COUNTIFS(Combined_Data!$E$2:$E$3001,"Accenture Ltd",Combined_Data!$AG$2:$AG$3001,"Likely Ghost")</f>
        <v>4</v>
      </c>
      <c r="D16" s="53">
        <f t="shared" si="0"/>
        <v>23.52941176470588</v>
      </c>
      <c r="E16" s="53">
        <f>AVERAGEIF(Combined_Data!$E$2:$E$3001,"Accenture Ltd",Combined_Data!$AF$2:$AF$3001)</f>
        <v>43.71764705882353</v>
      </c>
      <c r="F16" s="56">
        <f t="shared" si="1"/>
        <v>56.28235294117647</v>
      </c>
    </row>
    <row r="17" spans="1:6" ht="15" customHeight="1" x14ac:dyDescent="0.3">
      <c r="A17" s="39" t="s">
        <v>153</v>
      </c>
      <c r="B17" s="47">
        <f>COUNTIF(Combined_Data!$E$2:$E$3001,"Deloitte")</f>
        <v>16</v>
      </c>
      <c r="C17" s="47">
        <f>COUNTIFS(Combined_Data!$E$2:$E$3001,"Deloitte",Combined_Data!$AG$2:$AG$3001,"Likely Ghost")</f>
        <v>0</v>
      </c>
      <c r="D17" s="49">
        <f t="shared" si="0"/>
        <v>0</v>
      </c>
      <c r="E17" s="49">
        <f>AVERAGEIF(Combined_Data!$E$2:$E$3001,"Deloitte",Combined_Data!$AF$2:$AF$3001)</f>
        <v>25.918750000000003</v>
      </c>
      <c r="F17" s="54">
        <f t="shared" si="1"/>
        <v>74.081249999999997</v>
      </c>
    </row>
    <row r="18" spans="1:6" ht="15" customHeight="1" x14ac:dyDescent="0.3">
      <c r="A18" s="55" t="s">
        <v>154</v>
      </c>
      <c r="B18" s="51">
        <f>COUNTIF(Combined_Data!$E$2:$E$3001,"Optum, Inc.")</f>
        <v>16</v>
      </c>
      <c r="C18" s="51">
        <f>COUNTIFS(Combined_Data!$E$2:$E$3001,"Optum, Inc.",Combined_Data!$AG$2:$AG$3001,"Likely Ghost")</f>
        <v>0</v>
      </c>
      <c r="D18" s="53">
        <f t="shared" si="0"/>
        <v>0</v>
      </c>
      <c r="E18" s="53">
        <f>AVERAGEIF(Combined_Data!$E$2:$E$3001,"Optum, Inc.",Combined_Data!$AF$2:$AF$3001)</f>
        <v>39.324999999999996</v>
      </c>
      <c r="F18" s="56">
        <f t="shared" si="1"/>
        <v>60.675000000000004</v>
      </c>
    </row>
    <row r="19" spans="1:6" ht="15" customHeight="1" x14ac:dyDescent="0.3">
      <c r="A19" s="39" t="s">
        <v>155</v>
      </c>
      <c r="B19" s="47">
        <f>COUNTIF(Combined_Data!$E$2:$E$3001,"Amazon")</f>
        <v>16</v>
      </c>
      <c r="C19" s="47">
        <f>COUNTIFS(Combined_Data!$E$2:$E$3001,"Amazon",Combined_Data!$AG$2:$AG$3001,"Likely Ghost")</f>
        <v>0</v>
      </c>
      <c r="D19" s="49">
        <f t="shared" si="0"/>
        <v>0</v>
      </c>
      <c r="E19" s="49">
        <f>AVERAGEIF(Combined_Data!$E$2:$E$3001,"Amazon",Combined_Data!$AF$2:$AF$3001)</f>
        <v>16.087500000000002</v>
      </c>
      <c r="F19" s="54">
        <f t="shared" si="1"/>
        <v>83.912499999999994</v>
      </c>
    </row>
    <row r="20" spans="1:6" ht="15" customHeight="1" x14ac:dyDescent="0.3">
      <c r="A20" s="55" t="s">
        <v>156</v>
      </c>
      <c r="B20" s="51">
        <f>COUNTIF(Combined_Data!$E$2:$E$3001,"JPMorganChase")</f>
        <v>15</v>
      </c>
      <c r="C20" s="51">
        <f>COUNTIFS(Combined_Data!$E$2:$E$3001,"JPMorganChase",Combined_Data!$AG$2:$AG$3001,"Likely Ghost")</f>
        <v>0</v>
      </c>
      <c r="D20" s="53">
        <f t="shared" si="0"/>
        <v>0</v>
      </c>
      <c r="E20" s="53">
        <f>AVERAGEIF(Combined_Data!$E$2:$E$3001,"JPMorganChase",Combined_Data!$AF$2:$AF$3001)</f>
        <v>20.97333333333334</v>
      </c>
      <c r="F20" s="56">
        <f t="shared" si="1"/>
        <v>79.026666666666657</v>
      </c>
    </row>
    <row r="21" spans="1:6" ht="15" customHeight="1" x14ac:dyDescent="0.3">
      <c r="A21" s="39" t="s">
        <v>157</v>
      </c>
      <c r="B21" s="47">
        <f>COUNTIF(Combined_Data!$E$2:$E$3001,"ExlService Holdings, Inc.")</f>
        <v>15</v>
      </c>
      <c r="C21" s="47">
        <f>COUNTIFS(Combined_Data!$E$2:$E$3001,"ExlService Holdings, Inc.",Combined_Data!$AG$2:$AG$3001,"Likely Ghost")</f>
        <v>1</v>
      </c>
      <c r="D21" s="49">
        <f t="shared" si="0"/>
        <v>6.666666666666667</v>
      </c>
      <c r="E21" s="49">
        <f>AVERAGEIF(Combined_Data!$E$2:$E$3001,"ExlService Holdings, Inc.",Combined_Data!$AF$2:$AF$3001)</f>
        <v>40.033333333333324</v>
      </c>
      <c r="F21" s="54">
        <f t="shared" si="1"/>
        <v>59.966666666666676</v>
      </c>
    </row>
    <row r="22" spans="1:6" ht="15" customHeight="1" x14ac:dyDescent="0.3">
      <c r="A22" s="55" t="s">
        <v>158</v>
      </c>
      <c r="B22" s="51">
        <f>COUNTIF(Combined_Data!$E$2:$E$3001,"Persistent Systems")</f>
        <v>15</v>
      </c>
      <c r="C22" s="51">
        <f>COUNTIFS(Combined_Data!$E$2:$E$3001,"Persistent Systems",Combined_Data!$AG$2:$AG$3001,"Likely Ghost")</f>
        <v>0</v>
      </c>
      <c r="D22" s="53">
        <f t="shared" si="0"/>
        <v>0</v>
      </c>
      <c r="E22" s="53">
        <f>AVERAGEIF(Combined_Data!$E$2:$E$3001,"Persistent Systems",Combined_Data!$AF$2:$AF$3001)</f>
        <v>19.06666666666667</v>
      </c>
      <c r="F22" s="56">
        <f t="shared" si="1"/>
        <v>80.933333333333337</v>
      </c>
    </row>
    <row r="23" spans="1:6" ht="15" customHeight="1" x14ac:dyDescent="0.3">
      <c r="A23" s="39" t="s">
        <v>159</v>
      </c>
      <c r="B23" s="47">
        <f>COUNTIF(Combined_Data!$E$2:$E$3001,"Cisco")</f>
        <v>14</v>
      </c>
      <c r="C23" s="47">
        <f>COUNTIFS(Combined_Data!$E$2:$E$3001,"Cisco",Combined_Data!$AG$2:$AG$3001,"Likely Ghost")</f>
        <v>0</v>
      </c>
      <c r="D23" s="49">
        <f t="shared" si="0"/>
        <v>0</v>
      </c>
      <c r="E23" s="49">
        <f>AVERAGEIF(Combined_Data!$E$2:$E$3001,"Cisco",Combined_Data!$AF$2:$AF$3001)</f>
        <v>15.321428571428578</v>
      </c>
      <c r="F23" s="54">
        <f t="shared" si="1"/>
        <v>84.678571428571416</v>
      </c>
    </row>
    <row r="24" spans="1:6" ht="15" customHeight="1" x14ac:dyDescent="0.3">
      <c r="A24" s="55" t="s">
        <v>160</v>
      </c>
      <c r="B24" s="51">
        <f>COUNTIF(Combined_Data!$E$2:$E$3001,"Husky Injection Molding")</f>
        <v>14</v>
      </c>
      <c r="C24" s="51">
        <f>COUNTIFS(Combined_Data!$E$2:$E$3001,"Husky Injection Molding",Combined_Data!$AG$2:$AG$3001,"Likely Ghost")</f>
        <v>0</v>
      </c>
      <c r="D24" s="53">
        <f t="shared" si="0"/>
        <v>0</v>
      </c>
      <c r="E24" s="53">
        <f>AVERAGEIF(Combined_Data!$E$2:$E$3001,"Husky Injection Molding",Combined_Data!$AF$2:$AF$3001)</f>
        <v>14.300000000000002</v>
      </c>
      <c r="F24" s="56">
        <f t="shared" si="1"/>
        <v>85.7</v>
      </c>
    </row>
  </sheetData>
  <mergeCells count="2">
    <mergeCell ref="A1:F1"/>
    <mergeCell ref="A2:F2"/>
  </mergeCells>
  <conditionalFormatting sqref="F5:F24">
    <cfRule type="colorScale" priority="2">
      <colorScale>
        <cfvo type="min"/>
        <cfvo type="percentile" val="50"/>
        <cfvo type="max"/>
        <color rgb="FFC0524B"/>
        <color rgb="FFE8A33D"/>
        <color rgb="FF3F8F63"/>
      </colorScale>
    </cfRule>
  </conditionalFormatting>
  <pageMargins left="0.75" right="0.75" top="1" bottom="1" header="0.511811023622047" footer="0.511811023622047"/>
  <pageSetup paperSize="9" orientation="portrait" horizontalDpi="300" verticalDpi="300"/>
  <drawing r:id="rId1"/>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F16"/>
  <sheetViews>
    <sheetView showGridLines="0" zoomScaleNormal="100" workbookViewId="0"/>
  </sheetViews>
  <sheetFormatPr defaultColWidth="8.6640625" defaultRowHeight="14.4" x14ac:dyDescent="0.3"/>
  <cols>
    <col min="1" max="1" width="20" customWidth="1"/>
    <col min="2" max="2" width="14" customWidth="1"/>
    <col min="3" max="3" width="13" customWidth="1"/>
    <col min="4" max="4" width="12" customWidth="1"/>
    <col min="5" max="5" width="14" customWidth="1"/>
    <col min="6" max="6" width="22" customWidth="1"/>
  </cols>
  <sheetData>
    <row r="1" spans="1:6" ht="27.75" customHeight="1" x14ac:dyDescent="0.3">
      <c r="A1" s="14" t="s">
        <v>161</v>
      </c>
      <c r="B1" s="14"/>
      <c r="C1" s="14"/>
      <c r="D1" s="14"/>
      <c r="E1" s="14"/>
      <c r="F1" s="14"/>
    </row>
    <row r="2" spans="1:6" ht="18" customHeight="1" x14ac:dyDescent="0.3">
      <c r="A2" s="13" t="s">
        <v>162</v>
      </c>
      <c r="B2" s="13"/>
      <c r="C2" s="13"/>
      <c r="D2" s="13"/>
      <c r="E2" s="13"/>
      <c r="F2" s="13"/>
    </row>
    <row r="4" spans="1:6" ht="23.25" customHeight="1" x14ac:dyDescent="0.3">
      <c r="A4" s="19" t="s">
        <v>93</v>
      </c>
      <c r="B4" s="19" t="s">
        <v>139</v>
      </c>
      <c r="C4" s="19" t="s">
        <v>72</v>
      </c>
      <c r="D4" s="19" t="s">
        <v>75</v>
      </c>
      <c r="E4" s="19" t="s">
        <v>78</v>
      </c>
      <c r="F4" s="19" t="s">
        <v>123</v>
      </c>
    </row>
    <row r="5" spans="1:6" ht="15" customHeight="1" x14ac:dyDescent="0.3">
      <c r="A5" s="46" t="s">
        <v>125</v>
      </c>
      <c r="B5" s="47">
        <f>COUNTIF(Combined_Data!$D$2:$D$3001,"Software Engineer")</f>
        <v>1198</v>
      </c>
      <c r="C5" s="47">
        <f>COUNTIFS(Combined_Data!$D$2:$D$3001,"Software Engineer",Combined_Data!$AG$2:$AG$3001,"Likely Ghost")</f>
        <v>93</v>
      </c>
      <c r="D5" s="49">
        <f t="shared" ref="D5:D16" si="0">C5/B5*100</f>
        <v>7.7629382303839725</v>
      </c>
      <c r="E5" s="54">
        <f>AVERAGEIF(Combined_Data!$D$2:$D$3001,"Software Engineer",Combined_Data!$K$2:$K$3001)</f>
        <v>32.650500834724554</v>
      </c>
      <c r="F5" s="47">
        <f>IFERROR(AVERAGEIFS(Combined_Data!$S$2:$S$3001,Combined_Data!$D$2:$D$3001,"Software Engineer",Combined_Data!$T$2:$T$3001,TRUE()),0)</f>
        <v>582718.109375</v>
      </c>
    </row>
    <row r="6" spans="1:6" ht="15" customHeight="1" x14ac:dyDescent="0.3">
      <c r="A6" s="50" t="s">
        <v>126</v>
      </c>
      <c r="B6" s="51">
        <f>COUNTIF(Combined_Data!$D$2:$D$3001,"Other")</f>
        <v>756</v>
      </c>
      <c r="C6" s="51">
        <f>COUNTIFS(Combined_Data!$D$2:$D$3001,"Other",Combined_Data!$AG$2:$AG$3001,"Likely Ghost")</f>
        <v>26</v>
      </c>
      <c r="D6" s="53">
        <f t="shared" si="0"/>
        <v>3.4391534391534391</v>
      </c>
      <c r="E6" s="56">
        <f>AVERAGEIF(Combined_Data!$D$2:$D$3001,"Other",Combined_Data!$K$2:$K$3001)</f>
        <v>16.557936507936503</v>
      </c>
      <c r="F6" s="51">
        <f>IFERROR(AVERAGEIFS(Combined_Data!$S$2:$S$3001,Combined_Data!$D$2:$D$3001,"Other",Combined_Data!$T$2:$T$3001,TRUE()),0)</f>
        <v>613551.15333333332</v>
      </c>
    </row>
    <row r="7" spans="1:6" ht="15" customHeight="1" x14ac:dyDescent="0.3">
      <c r="A7" s="46" t="s">
        <v>127</v>
      </c>
      <c r="B7" s="47">
        <f>COUNTIF(Combined_Data!$D$2:$D$3001,"Data Analyst")</f>
        <v>271</v>
      </c>
      <c r="C7" s="47">
        <f>COUNTIFS(Combined_Data!$D$2:$D$3001,"Data Analyst",Combined_Data!$AG$2:$AG$3001,"Likely Ghost")</f>
        <v>10</v>
      </c>
      <c r="D7" s="49">
        <f t="shared" si="0"/>
        <v>3.6900369003690034</v>
      </c>
      <c r="E7" s="54">
        <f>AVERAGEIF(Combined_Data!$D$2:$D$3001,"Data Analyst",Combined_Data!$K$2:$K$3001)</f>
        <v>29.85239852398524</v>
      </c>
      <c r="F7" s="47">
        <f>IFERROR(AVERAGEIFS(Combined_Data!$S$2:$S$3001,Combined_Data!$D$2:$D$3001,"Data Analyst",Combined_Data!$T$2:$T$3001,TRUE()),0)</f>
        <v>563160.41599999997</v>
      </c>
    </row>
    <row r="8" spans="1:6" ht="15" customHeight="1" x14ac:dyDescent="0.3">
      <c r="A8" s="50" t="s">
        <v>128</v>
      </c>
      <c r="B8" s="51">
        <f>COUNTIF(Combined_Data!$D$2:$D$3001,"ML Engineer")</f>
        <v>204</v>
      </c>
      <c r="C8" s="51">
        <f>COUNTIFS(Combined_Data!$D$2:$D$3001,"ML Engineer",Combined_Data!$AG$2:$AG$3001,"Likely Ghost")</f>
        <v>12</v>
      </c>
      <c r="D8" s="53">
        <f t="shared" si="0"/>
        <v>5.8823529411764701</v>
      </c>
      <c r="E8" s="56">
        <f>AVERAGEIF(Combined_Data!$D$2:$D$3001,"ML Engineer",Combined_Data!$K$2:$K$3001)</f>
        <v>53.192647058823525</v>
      </c>
      <c r="F8" s="51">
        <f>IFERROR(AVERAGEIFS(Combined_Data!$S$2:$S$3001,Combined_Data!$D$2:$D$3001,"ML Engineer",Combined_Data!$T$2:$T$3001,TRUE()),0)</f>
        <v>638042.19999999995</v>
      </c>
    </row>
    <row r="9" spans="1:6" ht="15" customHeight="1" x14ac:dyDescent="0.3">
      <c r="A9" s="46" t="s">
        <v>129</v>
      </c>
      <c r="B9" s="47">
        <f>COUNTIF(Combined_Data!$D$2:$D$3001,"Frontend Engineer")</f>
        <v>154</v>
      </c>
      <c r="C9" s="47">
        <f>COUNTIFS(Combined_Data!$D$2:$D$3001,"Frontend Engineer",Combined_Data!$AG$2:$AG$3001,"Likely Ghost")</f>
        <v>3</v>
      </c>
      <c r="D9" s="49">
        <f t="shared" si="0"/>
        <v>1.948051948051948</v>
      </c>
      <c r="E9" s="54">
        <f>AVERAGEIF(Combined_Data!$D$2:$D$3001,"Frontend Engineer",Combined_Data!$K$2:$K$3001)</f>
        <v>92.096753246753238</v>
      </c>
      <c r="F9" s="47">
        <f>IFERROR(AVERAGEIFS(Combined_Data!$S$2:$S$3001,Combined_Data!$D$2:$D$3001,"Frontend Engineer",Combined_Data!$T$2:$T$3001,TRUE()),0)</f>
        <v>633805.32857142854</v>
      </c>
    </row>
    <row r="10" spans="1:6" ht="15" customHeight="1" x14ac:dyDescent="0.3">
      <c r="A10" s="50" t="s">
        <v>130</v>
      </c>
      <c r="B10" s="51">
        <f>COUNTIF(Combined_Data!$D$2:$D$3001,"Full Stack Engineer")</f>
        <v>149</v>
      </c>
      <c r="C10" s="51">
        <f>COUNTIFS(Combined_Data!$D$2:$D$3001,"Full Stack Engineer",Combined_Data!$AG$2:$AG$3001,"Likely Ghost")</f>
        <v>1</v>
      </c>
      <c r="D10" s="53">
        <f t="shared" si="0"/>
        <v>0.67114093959731547</v>
      </c>
      <c r="E10" s="56">
        <f>AVERAGEIF(Combined_Data!$D$2:$D$3001,"Full Stack Engineer",Combined_Data!$K$2:$K$3001)</f>
        <v>28.612080536912721</v>
      </c>
      <c r="F10" s="51">
        <f>IFERROR(AVERAGEIFS(Combined_Data!$S$2:$S$3001,Combined_Data!$D$2:$D$3001,"Full Stack Engineer",Combined_Data!$T$2:$T$3001,TRUE()),0)</f>
        <v>1387600.2</v>
      </c>
    </row>
    <row r="11" spans="1:6" ht="15" customHeight="1" x14ac:dyDescent="0.3">
      <c r="A11" s="46" t="s">
        <v>131</v>
      </c>
      <c r="B11" s="47">
        <f>COUNTIF(Combined_Data!$D$2:$D$3001,"Backend Engineer")</f>
        <v>143</v>
      </c>
      <c r="C11" s="47">
        <f>COUNTIFS(Combined_Data!$D$2:$D$3001,"Backend Engineer",Combined_Data!$AG$2:$AG$3001,"Likely Ghost")</f>
        <v>0</v>
      </c>
      <c r="D11" s="49">
        <f t="shared" si="0"/>
        <v>0</v>
      </c>
      <c r="E11" s="54">
        <f>AVERAGEIF(Combined_Data!$D$2:$D$3001,"Backend Engineer",Combined_Data!$K$2:$K$3001)</f>
        <v>71.73986013986017</v>
      </c>
      <c r="F11" s="47">
        <f>IFERROR(AVERAGEIFS(Combined_Data!$S$2:$S$3001,Combined_Data!$D$2:$D$3001,"Backend Engineer",Combined_Data!$T$2:$T$3001,TRUE()),0)</f>
        <v>929815.25</v>
      </c>
    </row>
    <row r="12" spans="1:6" ht="15" customHeight="1" x14ac:dyDescent="0.3">
      <c r="A12" s="50" t="s">
        <v>132</v>
      </c>
      <c r="B12" s="51">
        <f>COUNTIF(Combined_Data!$D$2:$D$3001,"Data Scientist")</f>
        <v>45</v>
      </c>
      <c r="C12" s="51">
        <f>COUNTIFS(Combined_Data!$D$2:$D$3001,"Data Scientist",Combined_Data!$AG$2:$AG$3001,"Likely Ghost")</f>
        <v>1</v>
      </c>
      <c r="D12" s="53">
        <f t="shared" si="0"/>
        <v>2.2222222222222223</v>
      </c>
      <c r="E12" s="56">
        <f>AVERAGEIF(Combined_Data!$D$2:$D$3001,"Data Scientist",Combined_Data!$K$2:$K$3001)</f>
        <v>52.620000000000005</v>
      </c>
      <c r="F12" s="51">
        <f>IFERROR(AVERAGEIFS(Combined_Data!$S$2:$S$3001,Combined_Data!$D$2:$D$3001,"Data Scientist",Combined_Data!$T$2:$T$3001,TRUE()),0)</f>
        <v>596326.92307692312</v>
      </c>
    </row>
    <row r="13" spans="1:6" ht="15" customHeight="1" x14ac:dyDescent="0.3">
      <c r="A13" s="46" t="s">
        <v>133</v>
      </c>
      <c r="B13" s="47">
        <f>COUNTIF(Combined_Data!$D$2:$D$3001,"Data Engineer")</f>
        <v>36</v>
      </c>
      <c r="C13" s="47">
        <f>COUNTIFS(Combined_Data!$D$2:$D$3001,"Data Engineer",Combined_Data!$AG$2:$AG$3001,"Likely Ghost")</f>
        <v>0</v>
      </c>
      <c r="D13" s="49">
        <f t="shared" si="0"/>
        <v>0</v>
      </c>
      <c r="E13" s="54">
        <f>AVERAGEIF(Combined_Data!$D$2:$D$3001,"Data Engineer",Combined_Data!$K$2:$K$3001)</f>
        <v>26.308333333333334</v>
      </c>
      <c r="F13" s="47">
        <f>IFERROR(AVERAGEIFS(Combined_Data!$S$2:$S$3001,Combined_Data!$D$2:$D$3001,"Data Engineer",Combined_Data!$T$2:$T$3001,TRUE()),0)</f>
        <v>906050</v>
      </c>
    </row>
    <row r="14" spans="1:6" ht="15" customHeight="1" x14ac:dyDescent="0.3">
      <c r="A14" s="50" t="s">
        <v>134</v>
      </c>
      <c r="B14" s="51">
        <f>COUNTIF(Combined_Data!$D$2:$D$3001,"DevOps Engineer")</f>
        <v>24</v>
      </c>
      <c r="C14" s="51">
        <f>COUNTIFS(Combined_Data!$D$2:$D$3001,"DevOps Engineer",Combined_Data!$AG$2:$AG$3001,"Likely Ghost")</f>
        <v>0</v>
      </c>
      <c r="D14" s="53">
        <f t="shared" si="0"/>
        <v>0</v>
      </c>
      <c r="E14" s="56">
        <f>AVERAGEIF(Combined_Data!$D$2:$D$3001,"DevOps Engineer",Combined_Data!$K$2:$K$3001)</f>
        <v>0.22083333333333341</v>
      </c>
      <c r="F14" s="51">
        <f>IFERROR(AVERAGEIFS(Combined_Data!$S$2:$S$3001,Combined_Data!$D$2:$D$3001,"DevOps Engineer",Combined_Data!$T$2:$T$3001,TRUE()),0)</f>
        <v>787010.66666666663</v>
      </c>
    </row>
    <row r="15" spans="1:6" ht="15" customHeight="1" x14ac:dyDescent="0.3">
      <c r="A15" s="46" t="s">
        <v>135</v>
      </c>
      <c r="B15" s="47">
        <f>COUNTIF(Combined_Data!$D$2:$D$3001,"QA/Test Engineer")</f>
        <v>14</v>
      </c>
      <c r="C15" s="47">
        <f>COUNTIFS(Combined_Data!$D$2:$D$3001,"QA/Test Engineer",Combined_Data!$AG$2:$AG$3001,"Likely Ghost")</f>
        <v>0</v>
      </c>
      <c r="D15" s="49">
        <f t="shared" si="0"/>
        <v>0</v>
      </c>
      <c r="E15" s="54">
        <f>AVERAGEIF(Combined_Data!$D$2:$D$3001,"QA/Test Engineer",Combined_Data!$K$2:$K$3001)</f>
        <v>16.135714285714283</v>
      </c>
      <c r="F15" s="47">
        <f>IFERROR(AVERAGEIFS(Combined_Data!$S$2:$S$3001,Combined_Data!$D$2:$D$3001,"QA/Test Engineer",Combined_Data!$T$2:$T$3001,TRUE()),0)</f>
        <v>919910</v>
      </c>
    </row>
    <row r="16" spans="1:6" ht="15" customHeight="1" x14ac:dyDescent="0.3">
      <c r="A16" s="50" t="s">
        <v>136</v>
      </c>
      <c r="B16" s="51">
        <f>COUNTIF(Combined_Data!$D$2:$D$3001,"Product Manager")</f>
        <v>6</v>
      </c>
      <c r="C16" s="51">
        <f>COUNTIFS(Combined_Data!$D$2:$D$3001,"Product Manager",Combined_Data!$AG$2:$AG$3001,"Likely Ghost")</f>
        <v>0</v>
      </c>
      <c r="D16" s="53">
        <f t="shared" si="0"/>
        <v>0</v>
      </c>
      <c r="E16" s="56">
        <f>AVERAGEIF(Combined_Data!$D$2:$D$3001,"Product Manager",Combined_Data!$K$2:$K$3001)</f>
        <v>0.93333333333333324</v>
      </c>
      <c r="F16" s="51">
        <f>IFERROR(AVERAGEIFS(Combined_Data!$S$2:$S$3001,Combined_Data!$D$2:$D$3001,"Product Manager",Combined_Data!$T$2:$T$3001,TRUE()),0)</f>
        <v>0</v>
      </c>
    </row>
  </sheetData>
  <mergeCells count="2">
    <mergeCell ref="A1:F1"/>
    <mergeCell ref="A2:F2"/>
  </mergeCells>
  <pageMargins left="0.75" right="0.75" top="1" bottom="1" header="0.511811023622047" footer="0.511811023622047"/>
  <pageSetup paperSize="9" orientation="portrait" horizontalDpi="300" verticalDpi="300"/>
  <drawing r:id="rId1"/>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dimension ref="A1:F21"/>
  <sheetViews>
    <sheetView showGridLines="0" zoomScaleNormal="100" workbookViewId="0"/>
  </sheetViews>
  <sheetFormatPr defaultColWidth="8.6640625" defaultRowHeight="14.4" x14ac:dyDescent="0.3"/>
  <cols>
    <col min="1" max="1" width="26" customWidth="1"/>
    <col min="2" max="2" width="15" customWidth="1"/>
    <col min="3" max="3" width="13" customWidth="1"/>
    <col min="4" max="4" width="12" customWidth="1"/>
    <col min="5" max="5" width="13" customWidth="1"/>
    <col min="6" max="6" width="15" customWidth="1"/>
  </cols>
  <sheetData>
    <row r="1" spans="1:6" ht="19.5" customHeight="1" x14ac:dyDescent="0.4">
      <c r="A1" s="34" t="s">
        <v>163</v>
      </c>
    </row>
    <row r="2" spans="1:6" ht="15" customHeight="1" x14ac:dyDescent="0.3">
      <c r="A2" s="35" t="s">
        <v>164</v>
      </c>
    </row>
    <row r="4" spans="1:6" ht="23.25" customHeight="1" x14ac:dyDescent="0.3">
      <c r="A4" s="57" t="s">
        <v>110</v>
      </c>
      <c r="B4" s="57" t="s">
        <v>139</v>
      </c>
      <c r="C4" s="57" t="s">
        <v>72</v>
      </c>
      <c r="D4" s="57" t="s">
        <v>75</v>
      </c>
      <c r="E4" s="57" t="s">
        <v>78</v>
      </c>
      <c r="F4" s="57" t="s">
        <v>79</v>
      </c>
    </row>
    <row r="5" spans="1:6" ht="15" customHeight="1" x14ac:dyDescent="0.3">
      <c r="A5" s="39" t="s">
        <v>165</v>
      </c>
      <c r="B5" s="39">
        <f>COUNTIF(Combined_Data!$G$2:$G$3001,"Not Specified")</f>
        <v>1550</v>
      </c>
      <c r="C5" s="39">
        <f>COUNTIFS(Combined_Data!$G$2:$G$3001,"Not Specified",Combined_Data!$AG$2:$AG$3001,"Likely Ghost")</f>
        <v>55</v>
      </c>
      <c r="D5" s="49">
        <f t="shared" ref="D5:D19" si="0">IFERROR(C5/B5*100,0)</f>
        <v>3.5483870967741935</v>
      </c>
      <c r="E5" s="54">
        <f>IFERROR(AVERAGEIF(Combined_Data!$G$2:$G$3001,"Not Specified",Combined_Data!$K$2:$K$3001),0)</f>
        <v>22.924774193548384</v>
      </c>
      <c r="F5" s="49">
        <f>IFERROR(AVERAGEIF(Combined_Data!$G$2:$G$3001,"Not Specified",Combined_Data!$AF$2:$AF$3001),0)</f>
        <v>24.343354838709573</v>
      </c>
    </row>
    <row r="6" spans="1:6" ht="15" customHeight="1" x14ac:dyDescent="0.3">
      <c r="A6" s="39" t="s">
        <v>166</v>
      </c>
      <c r="B6" s="39">
        <f>COUNTIF(Combined_Data!$G$2:$G$3001,"Bengaluru")</f>
        <v>359</v>
      </c>
      <c r="C6" s="39">
        <f>COUNTIFS(Combined_Data!$G$2:$G$3001,"Bengaluru",Combined_Data!$AG$2:$AG$3001,"Likely Ghost")</f>
        <v>16</v>
      </c>
      <c r="D6" s="49">
        <f t="shared" si="0"/>
        <v>4.4568245125348191</v>
      </c>
      <c r="E6" s="54">
        <f>IFERROR(AVERAGEIF(Combined_Data!$G$2:$G$3001,"Bengaluru",Combined_Data!$K$2:$K$3001),0)</f>
        <v>40.203342618384404</v>
      </c>
      <c r="F6" s="49">
        <f>IFERROR(AVERAGEIF(Combined_Data!$G$2:$G$3001,"Bengaluru",Combined_Data!$AF$2:$AF$3001),0)</f>
        <v>24.612256267409499</v>
      </c>
    </row>
    <row r="7" spans="1:6" ht="15" customHeight="1" x14ac:dyDescent="0.3">
      <c r="A7" s="39" t="s">
        <v>167</v>
      </c>
      <c r="B7" s="39">
        <f>COUNTIF(Combined_Data!$G$2:$G$3001,"Chennai")</f>
        <v>165</v>
      </c>
      <c r="C7" s="39">
        <f>COUNTIFS(Combined_Data!$G$2:$G$3001,"Chennai",Combined_Data!$AG$2:$AG$3001,"Likely Ghost")</f>
        <v>8</v>
      </c>
      <c r="D7" s="49">
        <f t="shared" si="0"/>
        <v>4.8484848484848486</v>
      </c>
      <c r="E7" s="54">
        <f>IFERROR(AVERAGEIF(Combined_Data!$G$2:$G$3001,"Chennai",Combined_Data!$K$2:$K$3001),0)</f>
        <v>44.478787878787877</v>
      </c>
      <c r="F7" s="49">
        <f>IFERROR(AVERAGEIF(Combined_Data!$G$2:$G$3001,"Chennai",Combined_Data!$AF$2:$AF$3001),0)</f>
        <v>27.728484848484896</v>
      </c>
    </row>
    <row r="8" spans="1:6" ht="15" customHeight="1" x14ac:dyDescent="0.3">
      <c r="A8" s="39" t="s">
        <v>168</v>
      </c>
      <c r="B8" s="39">
        <f>COUNTIF(Combined_Data!$G$2:$G$3001,"Pune Division")</f>
        <v>78</v>
      </c>
      <c r="C8" s="39">
        <f>COUNTIFS(Combined_Data!$G$2:$G$3001,"Pune Division",Combined_Data!$AG$2:$AG$3001,"Likely Ghost")</f>
        <v>5</v>
      </c>
      <c r="D8" s="49">
        <f t="shared" si="0"/>
        <v>6.4102564102564097</v>
      </c>
      <c r="E8" s="54">
        <f>IFERROR(AVERAGEIF(Combined_Data!$G$2:$G$3001,"Pune Division",Combined_Data!$K$2:$K$3001),0)</f>
        <v>30.910256410256409</v>
      </c>
      <c r="F8" s="49">
        <f>IFERROR(AVERAGEIF(Combined_Data!$G$2:$G$3001,"Pune Division",Combined_Data!$AF$2:$AF$3001),0)</f>
        <v>32.443589743589747</v>
      </c>
    </row>
    <row r="9" spans="1:6" ht="15" customHeight="1" x14ac:dyDescent="0.3">
      <c r="A9" s="39" t="s">
        <v>169</v>
      </c>
      <c r="B9" s="39">
        <f>COUNTIF(Combined_Data!$G$2:$G$3001,"Hyderabad")</f>
        <v>75</v>
      </c>
      <c r="C9" s="39">
        <f>COUNTIFS(Combined_Data!$G$2:$G$3001,"Hyderabad",Combined_Data!$AG$2:$AG$3001,"Likely Ghost")</f>
        <v>4</v>
      </c>
      <c r="D9" s="49">
        <f t="shared" si="0"/>
        <v>5.3333333333333339</v>
      </c>
      <c r="E9" s="54">
        <f>IFERROR(AVERAGEIF(Combined_Data!$G$2:$G$3001,"Hyderabad",Combined_Data!$K$2:$K$3001),0)</f>
        <v>30.306666666666668</v>
      </c>
      <c r="F9" s="49">
        <f>IFERROR(AVERAGEIF(Combined_Data!$G$2:$G$3001,"Hyderabad",Combined_Data!$AF$2:$AF$3001),0)</f>
        <v>34.696000000000012</v>
      </c>
    </row>
    <row r="10" spans="1:6" ht="15" customHeight="1" x14ac:dyDescent="0.3">
      <c r="A10" s="39" t="s">
        <v>170</v>
      </c>
      <c r="B10" s="39">
        <f>COUNTIF(Combined_Data!$G$2:$G$3001,"Mumbai Metropolitan Region")</f>
        <v>54</v>
      </c>
      <c r="C10" s="39">
        <f>COUNTIFS(Combined_Data!$G$2:$G$3001,"Mumbai Metropolitan Region",Combined_Data!$AG$2:$AG$3001,"Likely Ghost")</f>
        <v>6</v>
      </c>
      <c r="D10" s="49">
        <f t="shared" si="0"/>
        <v>11.111111111111111</v>
      </c>
      <c r="E10" s="54">
        <f>IFERROR(AVERAGEIF(Combined_Data!$G$2:$G$3001,"Mumbai Metropolitan Region",Combined_Data!$K$2:$K$3001),0)</f>
        <v>68.518518518518519</v>
      </c>
      <c r="F10" s="49">
        <f>IFERROR(AVERAGEIF(Combined_Data!$G$2:$G$3001,"Mumbai Metropolitan Region",Combined_Data!$AF$2:$AF$3001),0)</f>
        <v>37.592592592592588</v>
      </c>
    </row>
    <row r="11" spans="1:6" ht="15" customHeight="1" x14ac:dyDescent="0.3">
      <c r="A11" s="39" t="s">
        <v>171</v>
      </c>
      <c r="B11" s="39">
        <f>COUNTIF(Combined_Data!$G$2:$G$3001,"Mumbai")</f>
        <v>51</v>
      </c>
      <c r="C11" s="39">
        <f>COUNTIFS(Combined_Data!$G$2:$G$3001,"Mumbai",Combined_Data!$AG$2:$AG$3001,"Likely Ghost")</f>
        <v>10</v>
      </c>
      <c r="D11" s="49">
        <f t="shared" si="0"/>
        <v>19.607843137254903</v>
      </c>
      <c r="E11" s="54">
        <f>IFERROR(AVERAGEIF(Combined_Data!$G$2:$G$3001,"Mumbai",Combined_Data!$K$2:$K$3001),0)</f>
        <v>50.882352941176471</v>
      </c>
      <c r="F11" s="49">
        <f>IFERROR(AVERAGEIF(Combined_Data!$G$2:$G$3001,"Mumbai",Combined_Data!$AF$2:$AF$3001),0)</f>
        <v>30.823529411764689</v>
      </c>
    </row>
    <row r="12" spans="1:6" ht="15" customHeight="1" x14ac:dyDescent="0.3">
      <c r="A12" s="39" t="s">
        <v>172</v>
      </c>
      <c r="B12" s="39">
        <f>COUNTIF(Combined_Data!$G$2:$G$3001,"Coimbatore")</f>
        <v>50</v>
      </c>
      <c r="C12" s="39">
        <f>COUNTIFS(Combined_Data!$G$2:$G$3001,"Coimbatore",Combined_Data!$AG$2:$AG$3001,"Likely Ghost")</f>
        <v>7</v>
      </c>
      <c r="D12" s="49">
        <f t="shared" si="0"/>
        <v>14.000000000000002</v>
      </c>
      <c r="E12" s="54">
        <f>IFERROR(AVERAGEIF(Combined_Data!$G$2:$G$3001,"Coimbatore",Combined_Data!$K$2:$K$3001),0)</f>
        <v>29.02</v>
      </c>
      <c r="F12" s="49">
        <f>IFERROR(AVERAGEIF(Combined_Data!$G$2:$G$3001,"Coimbatore",Combined_Data!$AF$2:$AF$3001),0)</f>
        <v>37.166000000000004</v>
      </c>
    </row>
    <row r="13" spans="1:6" ht="15" customHeight="1" x14ac:dyDescent="0.3">
      <c r="A13" s="39" t="s">
        <v>173</v>
      </c>
      <c r="B13" s="39">
        <f>COUNTIF(Combined_Data!$G$2:$G$3001,"Jaipur")</f>
        <v>47</v>
      </c>
      <c r="C13" s="39">
        <f>COUNTIFS(Combined_Data!$G$2:$G$3001,"Jaipur",Combined_Data!$AG$2:$AG$3001,"Likely Ghost")</f>
        <v>4</v>
      </c>
      <c r="D13" s="49">
        <f t="shared" si="0"/>
        <v>8.5106382978723403</v>
      </c>
      <c r="E13" s="54">
        <f>IFERROR(AVERAGEIF(Combined_Data!$G$2:$G$3001,"Jaipur",Combined_Data!$K$2:$K$3001),0)</f>
        <v>28.148936170212767</v>
      </c>
      <c r="F13" s="49">
        <f>IFERROR(AVERAGEIF(Combined_Data!$G$2:$G$3001,"Jaipur",Combined_Data!$AF$2:$AF$3001),0)</f>
        <v>41.67446808510639</v>
      </c>
    </row>
    <row r="14" spans="1:6" ht="15" customHeight="1" x14ac:dyDescent="0.3">
      <c r="A14" s="39" t="s">
        <v>174</v>
      </c>
      <c r="B14" s="39">
        <f>COUNTIF(Combined_Data!$G$2:$G$3001,"Gurugram")</f>
        <v>46</v>
      </c>
      <c r="C14" s="39">
        <f>COUNTIFS(Combined_Data!$G$2:$G$3001,"Gurugram",Combined_Data!$AG$2:$AG$3001,"Likely Ghost")</f>
        <v>3</v>
      </c>
      <c r="D14" s="49">
        <f t="shared" si="0"/>
        <v>6.5217391304347823</v>
      </c>
      <c r="E14" s="54">
        <f>IFERROR(AVERAGEIF(Combined_Data!$G$2:$G$3001,"Gurugram",Combined_Data!$K$2:$K$3001),0)</f>
        <v>25.652173913043477</v>
      </c>
      <c r="F14" s="49">
        <f>IFERROR(AVERAGEIF(Combined_Data!$G$2:$G$3001,"Gurugram",Combined_Data!$AF$2:$AF$3001),0)</f>
        <v>33.878260869565217</v>
      </c>
    </row>
    <row r="15" spans="1:6" ht="15" customHeight="1" x14ac:dyDescent="0.3">
      <c r="A15" s="39" t="s">
        <v>175</v>
      </c>
      <c r="B15" s="39">
        <f>COUNTIF(Combined_Data!$G$2:$G$3001,"Pune")</f>
        <v>46</v>
      </c>
      <c r="C15" s="39">
        <f>COUNTIFS(Combined_Data!$G$2:$G$3001,"Pune",Combined_Data!$AG$2:$AG$3001,"Likely Ghost")</f>
        <v>0</v>
      </c>
      <c r="D15" s="49">
        <f t="shared" si="0"/>
        <v>0</v>
      </c>
      <c r="E15" s="54">
        <f>IFERROR(AVERAGEIF(Combined_Data!$G$2:$G$3001,"Pune",Combined_Data!$K$2:$K$3001),0)</f>
        <v>62.673913043478258</v>
      </c>
      <c r="F15" s="49">
        <f>IFERROR(AVERAGEIF(Combined_Data!$G$2:$G$3001,"Pune",Combined_Data!$AF$2:$AF$3001),0)</f>
        <v>15.232608695652173</v>
      </c>
    </row>
    <row r="16" spans="1:6" ht="15" customHeight="1" x14ac:dyDescent="0.3">
      <c r="A16" s="39" t="s">
        <v>176</v>
      </c>
      <c r="B16" s="39">
        <f>COUNTIF(Combined_Data!$G$2:$G$3001,"Gurgaon")</f>
        <v>33</v>
      </c>
      <c r="C16" s="39">
        <f>COUNTIFS(Combined_Data!$G$2:$G$3001,"Gurgaon",Combined_Data!$AG$2:$AG$3001,"Likely Ghost")</f>
        <v>0</v>
      </c>
      <c r="D16" s="49">
        <f t="shared" si="0"/>
        <v>0</v>
      </c>
      <c r="E16" s="54">
        <f>IFERROR(AVERAGEIF(Combined_Data!$G$2:$G$3001,"Gurgaon",Combined_Data!$K$2:$K$3001),0)</f>
        <v>58.909090909090907</v>
      </c>
      <c r="F16" s="49">
        <f>IFERROR(AVERAGEIF(Combined_Data!$G$2:$G$3001,"Gurgaon",Combined_Data!$AF$2:$AF$3001),0)</f>
        <v>21.233333333333338</v>
      </c>
    </row>
    <row r="17" spans="1:6" ht="15" customHeight="1" x14ac:dyDescent="0.3">
      <c r="A17" s="39" t="s">
        <v>177</v>
      </c>
      <c r="B17" s="39">
        <f>COUNTIF(Combined_Data!$G$2:$G$3001,"Remote")</f>
        <v>32</v>
      </c>
      <c r="C17" s="39">
        <f>COUNTIFS(Combined_Data!$G$2:$G$3001,"Remote",Combined_Data!$AG$2:$AG$3001,"Likely Ghost")</f>
        <v>3</v>
      </c>
      <c r="D17" s="49">
        <f t="shared" si="0"/>
        <v>9.375</v>
      </c>
      <c r="E17" s="54">
        <f>IFERROR(AVERAGEIF(Combined_Data!$G$2:$G$3001,"Remote",Combined_Data!$K$2:$K$3001),0)</f>
        <v>0.64687499999999987</v>
      </c>
      <c r="F17" s="49">
        <f>IFERROR(AVERAGEIF(Combined_Data!$G$2:$G$3001,"Remote",Combined_Data!$AF$2:$AF$3001),0)</f>
        <v>23.228125000000002</v>
      </c>
    </row>
    <row r="18" spans="1:6" ht="15" customHeight="1" x14ac:dyDescent="0.3">
      <c r="A18" s="39" t="s">
        <v>178</v>
      </c>
      <c r="B18" s="39">
        <f>COUNTIF(Combined_Data!$G$2:$G$3001,"India")</f>
        <v>30</v>
      </c>
      <c r="C18" s="39">
        <f>COUNTIFS(Combined_Data!$G$2:$G$3001,"India",Combined_Data!$AG$2:$AG$3001,"Likely Ghost")</f>
        <v>0</v>
      </c>
      <c r="D18" s="49">
        <f t="shared" si="0"/>
        <v>0</v>
      </c>
      <c r="E18" s="54">
        <f>IFERROR(AVERAGEIF(Combined_Data!$G$2:$G$3001,"India",Combined_Data!$K$2:$K$3001),0)</f>
        <v>32.1</v>
      </c>
      <c r="F18" s="49">
        <f>IFERROR(AVERAGEIF(Combined_Data!$G$2:$G$3001,"India",Combined_Data!$AF$2:$AF$3001),0)</f>
        <v>21.926666666666673</v>
      </c>
    </row>
    <row r="19" spans="1:6" ht="15" customHeight="1" x14ac:dyDescent="0.3">
      <c r="A19" s="39" t="s">
        <v>179</v>
      </c>
      <c r="B19" s="39">
        <f>COUNTIF(Combined_Data!$G$2:$G$3001,"Navi Mumbai")</f>
        <v>28</v>
      </c>
      <c r="C19" s="39">
        <f>COUNTIFS(Combined_Data!$G$2:$G$3001,"Navi Mumbai",Combined_Data!$AG$2:$AG$3001,"Likely Ghost")</f>
        <v>5</v>
      </c>
      <c r="D19" s="49">
        <f t="shared" si="0"/>
        <v>17.857142857142858</v>
      </c>
      <c r="E19" s="54">
        <f>IFERROR(AVERAGEIF(Combined_Data!$G$2:$G$3001,"Navi Mumbai",Combined_Data!$K$2:$K$3001),0)</f>
        <v>34.178571428571431</v>
      </c>
      <c r="F19" s="49">
        <f>IFERROR(AVERAGEIF(Combined_Data!$G$2:$G$3001,"Navi Mumbai",Combined_Data!$AF$2:$AF$3001),0)</f>
        <v>42.371428571428559</v>
      </c>
    </row>
    <row r="21" spans="1:6" ht="15" customHeight="1" x14ac:dyDescent="0.3">
      <c r="A21" s="83" t="s">
        <v>180</v>
      </c>
      <c r="B21" s="83"/>
      <c r="C21" s="83"/>
      <c r="D21" s="83"/>
      <c r="E21" s="83"/>
      <c r="F21" s="83"/>
    </row>
  </sheetData>
  <mergeCells count="1">
    <mergeCell ref="A21:F21"/>
  </mergeCells>
  <pageMargins left="0.75" right="0.75" top="1" bottom="1" header="0.511811023622047" footer="0.511811023622047"/>
  <pageSetup paperSize="9" orientation="portrait" horizontalDpi="300" verticalDpi="300"/>
  <drawing r:id="rId1"/>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dimension ref="A1:E23"/>
  <sheetViews>
    <sheetView showGridLines="0" zoomScaleNormal="100" workbookViewId="0"/>
  </sheetViews>
  <sheetFormatPr defaultColWidth="8.6640625" defaultRowHeight="14.4" x14ac:dyDescent="0.3"/>
  <cols>
    <col min="1" max="1" width="24" customWidth="1"/>
    <col min="2" max="2" width="15" customWidth="1"/>
    <col min="3" max="3" width="13" customWidth="1"/>
    <col min="4" max="4" width="12" customWidth="1"/>
    <col min="5" max="5" width="15" customWidth="1"/>
  </cols>
  <sheetData>
    <row r="1" spans="1:5" ht="19.5" customHeight="1" x14ac:dyDescent="0.4">
      <c r="A1" s="34" t="s">
        <v>181</v>
      </c>
    </row>
    <row r="2" spans="1:5" ht="15" customHeight="1" x14ac:dyDescent="0.3">
      <c r="A2" s="35" t="s">
        <v>182</v>
      </c>
    </row>
    <row r="4" spans="1:5" ht="23.25" customHeight="1" x14ac:dyDescent="0.3">
      <c r="A4" s="57" t="s">
        <v>113</v>
      </c>
      <c r="B4" s="57" t="s">
        <v>139</v>
      </c>
      <c r="C4" s="57" t="s">
        <v>72</v>
      </c>
      <c r="D4" s="57" t="s">
        <v>75</v>
      </c>
      <c r="E4" s="57" t="s">
        <v>79</v>
      </c>
    </row>
    <row r="5" spans="1:5" ht="15" customHeight="1" x14ac:dyDescent="0.3">
      <c r="A5" s="39" t="s">
        <v>183</v>
      </c>
      <c r="B5" s="39">
        <f>COUNTIF(Combined_Data!$M$2:$M$3001,"Not Captured by Scraper")</f>
        <v>2000</v>
      </c>
      <c r="C5" s="39">
        <f>COUNTIFS(Combined_Data!$M$2:$M$3001,"Not Captured by Scraper",Combined_Data!$AG$2:$AG$3001,"Likely Ghost")</f>
        <v>69</v>
      </c>
      <c r="D5" s="49">
        <f t="shared" ref="D5:D12" si="0">IFERROR(C5/B5*100,0)</f>
        <v>3.45</v>
      </c>
      <c r="E5" s="49">
        <f>IFERROR(AVERAGEIF(Combined_Data!$M$2:$M$3001,"Not Captured by Scraper",Combined_Data!$AF$2:$AF$3001),0)</f>
        <v>22.955200000000026</v>
      </c>
    </row>
    <row r="6" spans="1:5" ht="15" customHeight="1" x14ac:dyDescent="0.3">
      <c r="A6" s="39" t="s">
        <v>184</v>
      </c>
      <c r="B6" s="39">
        <f>COUNTIF(Combined_Data!$M$2:$M$3001,"Mid-Senior level")</f>
        <v>579</v>
      </c>
      <c r="C6" s="39">
        <f>COUNTIFS(Combined_Data!$M$2:$M$3001,"Mid-Senior level",Combined_Data!$AG$2:$AG$3001,"Likely Ghost")</f>
        <v>77</v>
      </c>
      <c r="D6" s="49">
        <f t="shared" si="0"/>
        <v>13.298791018998275</v>
      </c>
      <c r="E6" s="49">
        <f>IFERROR(AVERAGEIF(Combined_Data!$M$2:$M$3001,"Mid-Senior level",Combined_Data!$AF$2:$AF$3001),0)</f>
        <v>39.65129533678742</v>
      </c>
    </row>
    <row r="7" spans="1:5" ht="15" customHeight="1" x14ac:dyDescent="0.3">
      <c r="A7" s="39" t="s">
        <v>185</v>
      </c>
      <c r="B7" s="39">
        <f>COUNTIF(Combined_Data!$M$2:$M$3001,"Not Applicable")</f>
        <v>295</v>
      </c>
      <c r="C7" s="39">
        <f>COUNTIFS(Combined_Data!$M$2:$M$3001,"Not Applicable",Combined_Data!$AG$2:$AG$3001,"Likely Ghost")</f>
        <v>0</v>
      </c>
      <c r="D7" s="49">
        <f t="shared" si="0"/>
        <v>0</v>
      </c>
      <c r="E7" s="49">
        <f>IFERROR(AVERAGEIF(Combined_Data!$M$2:$M$3001,"Not Applicable",Combined_Data!$AF$2:$AF$3001),0)</f>
        <v>23.1708474576272</v>
      </c>
    </row>
    <row r="8" spans="1:5" ht="15" customHeight="1" x14ac:dyDescent="0.3">
      <c r="A8" s="39" t="s">
        <v>186</v>
      </c>
      <c r="B8" s="39">
        <f>COUNTIF(Combined_Data!$M$2:$M$3001,"Associate")</f>
        <v>69</v>
      </c>
      <c r="C8" s="39">
        <f>COUNTIFS(Combined_Data!$M$2:$M$3001,"Associate",Combined_Data!$AG$2:$AG$3001,"Likely Ghost")</f>
        <v>0</v>
      </c>
      <c r="D8" s="49">
        <f t="shared" si="0"/>
        <v>0</v>
      </c>
      <c r="E8" s="49">
        <f>IFERROR(AVERAGEIF(Combined_Data!$M$2:$M$3001,"Associate",Combined_Data!$AF$2:$AF$3001),0)</f>
        <v>24.66231884057969</v>
      </c>
    </row>
    <row r="9" spans="1:5" ht="15" customHeight="1" x14ac:dyDescent="0.3">
      <c r="A9" s="39" t="s">
        <v>187</v>
      </c>
      <c r="B9" s="39">
        <f>COUNTIF(Combined_Data!$M$2:$M$3001,"Entry level")</f>
        <v>44</v>
      </c>
      <c r="C9" s="39">
        <f>COUNTIFS(Combined_Data!$M$2:$M$3001,"Entry level",Combined_Data!$AG$2:$AG$3001,"Likely Ghost")</f>
        <v>0</v>
      </c>
      <c r="D9" s="49">
        <f t="shared" si="0"/>
        <v>0</v>
      </c>
      <c r="E9" s="49">
        <f>IFERROR(AVERAGEIF(Combined_Data!$M$2:$M$3001,"Entry level",Combined_Data!$AF$2:$AF$3001),0)</f>
        <v>30.224999999999991</v>
      </c>
    </row>
    <row r="10" spans="1:5" ht="15" customHeight="1" x14ac:dyDescent="0.3">
      <c r="A10" s="39" t="s">
        <v>188</v>
      </c>
      <c r="B10" s="39">
        <f>COUNTIF(Combined_Data!$M$2:$M$3001,"Internship")</f>
        <v>8</v>
      </c>
      <c r="C10" s="39">
        <f>COUNTIFS(Combined_Data!$M$2:$M$3001,"Internship",Combined_Data!$AG$2:$AG$3001,"Likely Ghost")</f>
        <v>0</v>
      </c>
      <c r="D10" s="49">
        <f t="shared" si="0"/>
        <v>0</v>
      </c>
      <c r="E10" s="49">
        <f>IFERROR(AVERAGEIF(Combined_Data!$M$2:$M$3001,"Internship",Combined_Data!$AF$2:$AF$3001),0)</f>
        <v>23.237500000000001</v>
      </c>
    </row>
    <row r="11" spans="1:5" ht="15" customHeight="1" x14ac:dyDescent="0.3">
      <c r="A11" s="39" t="s">
        <v>189</v>
      </c>
      <c r="B11" s="39">
        <f>COUNTIF(Combined_Data!$M$2:$M$3001,"Director")</f>
        <v>4</v>
      </c>
      <c r="C11" s="39">
        <f>COUNTIFS(Combined_Data!$M$2:$M$3001,"Director",Combined_Data!$AG$2:$AG$3001,"Likely Ghost")</f>
        <v>0</v>
      </c>
      <c r="D11" s="49">
        <f t="shared" si="0"/>
        <v>0</v>
      </c>
      <c r="E11" s="49">
        <f>IFERROR(AVERAGEIF(Combined_Data!$M$2:$M$3001,"Director",Combined_Data!$AF$2:$AF$3001),0)</f>
        <v>21.450000000000003</v>
      </c>
    </row>
    <row r="12" spans="1:5" ht="15" customHeight="1" x14ac:dyDescent="0.3">
      <c r="A12" s="39" t="s">
        <v>190</v>
      </c>
      <c r="B12" s="39">
        <f>COUNTIF(Combined_Data!$M$2:$M$3001,"Executive")</f>
        <v>1</v>
      </c>
      <c r="C12" s="39">
        <f>COUNTIFS(Combined_Data!$M$2:$M$3001,"Executive",Combined_Data!$AG$2:$AG$3001,"Likely Ghost")</f>
        <v>0</v>
      </c>
      <c r="D12" s="49">
        <f t="shared" si="0"/>
        <v>0</v>
      </c>
      <c r="E12" s="49">
        <f>IFERROR(AVERAGEIF(Combined_Data!$M$2:$M$3001,"Executive",Combined_Data!$AF$2:$AF$3001),0)</f>
        <v>42.9</v>
      </c>
    </row>
    <row r="15" spans="1:5" ht="23.25" customHeight="1" x14ac:dyDescent="0.3">
      <c r="A15" s="57" t="s">
        <v>191</v>
      </c>
      <c r="B15" s="57" t="s">
        <v>139</v>
      </c>
      <c r="C15" s="57" t="s">
        <v>72</v>
      </c>
      <c r="D15" s="57" t="s">
        <v>75</v>
      </c>
      <c r="E15" s="57" t="s">
        <v>79</v>
      </c>
    </row>
    <row r="16" spans="1:5" ht="15" customHeight="1" x14ac:dyDescent="0.3">
      <c r="A16" s="39" t="s">
        <v>192</v>
      </c>
      <c r="B16" s="39">
        <f>COUNTIF(Combined_Data!$L$2:$L$3001,"Full-time")</f>
        <v>1609</v>
      </c>
      <c r="C16" s="39">
        <f>COUNTIFS(Combined_Data!$L$2:$L$3001,"Full-time",Combined_Data!$AG$2:$AG$3001,"Likely Ghost")</f>
        <v>88</v>
      </c>
      <c r="D16" s="49">
        <f t="shared" ref="D16:D23" si="1">IFERROR(C16/B16*100,0)</f>
        <v>5.4692355500310752</v>
      </c>
      <c r="E16" s="49">
        <f>IFERROR(AVERAGEIF(Combined_Data!$L$2:$L$3001,"Full-time",Combined_Data!$AF$2:$AF$3001),0)</f>
        <v>28.603418272219006</v>
      </c>
    </row>
    <row r="17" spans="1:5" ht="15" customHeight="1" x14ac:dyDescent="0.3">
      <c r="A17" s="39" t="s">
        <v>183</v>
      </c>
      <c r="B17" s="39">
        <f>COUNTIF(Combined_Data!$L$2:$L$3001,"Not Captured by Scraper")</f>
        <v>1335</v>
      </c>
      <c r="C17" s="39">
        <f>COUNTIFS(Combined_Data!$L$2:$L$3001,"Not Captured by Scraper",Combined_Data!$AG$2:$AG$3001,"Likely Ghost")</f>
        <v>55</v>
      </c>
      <c r="D17" s="49">
        <f t="shared" si="1"/>
        <v>4.119850187265917</v>
      </c>
      <c r="E17" s="49">
        <f>IFERROR(AVERAGEIF(Combined_Data!$L$2:$L$3001,"Not Captured by Scraper",Combined_Data!$AF$2:$AF$3001),0)</f>
        <v>23.807790262171917</v>
      </c>
    </row>
    <row r="18" spans="1:5" ht="15" customHeight="1" x14ac:dyDescent="0.3">
      <c r="A18" s="39" t="s">
        <v>193</v>
      </c>
      <c r="B18" s="39">
        <f>COUNTIF(Combined_Data!$L$2:$L$3001,"Temporary")</f>
        <v>15</v>
      </c>
      <c r="C18" s="39">
        <f>COUNTIFS(Combined_Data!$L$2:$L$3001,"Temporary",Combined_Data!$AG$2:$AG$3001,"Likely Ghost")</f>
        <v>1</v>
      </c>
      <c r="D18" s="49">
        <f t="shared" si="1"/>
        <v>6.666666666666667</v>
      </c>
      <c r="E18" s="49">
        <f>IFERROR(AVERAGEIF(Combined_Data!$L$2:$L$3001,"Temporary",Combined_Data!$AF$2:$AF$3001),0)</f>
        <v>23.826666666666664</v>
      </c>
    </row>
    <row r="19" spans="1:5" ht="15" customHeight="1" x14ac:dyDescent="0.3">
      <c r="A19" s="39" t="s">
        <v>194</v>
      </c>
      <c r="B19" s="39">
        <f>COUNTIF(Combined_Data!$L$2:$L$3001,"Contract")</f>
        <v>14</v>
      </c>
      <c r="C19" s="39">
        <f>COUNTIFS(Combined_Data!$L$2:$L$3001,"Contract",Combined_Data!$AG$2:$AG$3001,"Likely Ghost")</f>
        <v>0</v>
      </c>
      <c r="D19" s="49">
        <f t="shared" si="1"/>
        <v>0</v>
      </c>
      <c r="E19" s="49">
        <f>IFERROR(AVERAGEIF(Combined_Data!$L$2:$L$3001,"Contract",Combined_Data!$AF$2:$AF$3001),0)</f>
        <v>20.428571428571427</v>
      </c>
    </row>
    <row r="20" spans="1:5" ht="15" customHeight="1" x14ac:dyDescent="0.3">
      <c r="A20" s="39" t="s">
        <v>188</v>
      </c>
      <c r="B20" s="39">
        <f>COUNTIF(Combined_Data!$L$2:$L$3001,"Internship")</f>
        <v>10</v>
      </c>
      <c r="C20" s="39">
        <f>COUNTIFS(Combined_Data!$L$2:$L$3001,"Internship",Combined_Data!$AG$2:$AG$3001,"Likely Ghost")</f>
        <v>0</v>
      </c>
      <c r="D20" s="49">
        <f t="shared" si="1"/>
        <v>0</v>
      </c>
      <c r="E20" s="49">
        <f>IFERROR(AVERAGEIF(Combined_Data!$L$2:$L$3001,"Internship",Combined_Data!$AF$2:$AF$3001),0)</f>
        <v>21.45</v>
      </c>
    </row>
    <row r="21" spans="1:5" ht="15" customHeight="1" x14ac:dyDescent="0.3">
      <c r="A21" s="39" t="s">
        <v>195</v>
      </c>
      <c r="B21" s="39">
        <f>COUNTIF(Combined_Data!$L$2:$L$3001,"Entry Level")</f>
        <v>9</v>
      </c>
      <c r="C21" s="39">
        <f>COUNTIFS(Combined_Data!$L$2:$L$3001,"Entry Level",Combined_Data!$AG$2:$AG$3001,"Likely Ghost")</f>
        <v>2</v>
      </c>
      <c r="D21" s="49">
        <f t="shared" si="1"/>
        <v>22.222222222222221</v>
      </c>
      <c r="E21" s="49">
        <f>IFERROR(AVERAGEIF(Combined_Data!$L$2:$L$3001,"Entry Level",Combined_Data!$AF$2:$AF$3001),0)</f>
        <v>28.577777777777783</v>
      </c>
    </row>
    <row r="22" spans="1:5" ht="15" customHeight="1" x14ac:dyDescent="0.3">
      <c r="A22" s="39" t="s">
        <v>196</v>
      </c>
      <c r="B22" s="39">
        <f>COUNTIF(Combined_Data!$L$2:$L$3001,"Part-time")</f>
        <v>7</v>
      </c>
      <c r="C22" s="39">
        <f>COUNTIFS(Combined_Data!$L$2:$L$3001,"Part-time",Combined_Data!$AG$2:$AG$3001,"Likely Ghost")</f>
        <v>0</v>
      </c>
      <c r="D22" s="49">
        <f t="shared" si="1"/>
        <v>0</v>
      </c>
      <c r="E22" s="49">
        <f>IFERROR(AVERAGEIF(Combined_Data!$L$2:$L$3001,"Part-time",Combined_Data!$AF$2:$AF$3001),0)</f>
        <v>14.299999999999999</v>
      </c>
    </row>
    <row r="23" spans="1:5" ht="15" customHeight="1" x14ac:dyDescent="0.3">
      <c r="A23" s="39" t="s">
        <v>197</v>
      </c>
      <c r="B23" s="39">
        <f>COUNTIF(Combined_Data!$L$2:$L$3001,"Volunteer")</f>
        <v>1</v>
      </c>
      <c r="C23" s="39">
        <f>COUNTIFS(Combined_Data!$L$2:$L$3001,"Volunteer",Combined_Data!$AG$2:$AG$3001,"Likely Ghost")</f>
        <v>0</v>
      </c>
      <c r="D23" s="49">
        <f t="shared" si="1"/>
        <v>0</v>
      </c>
      <c r="E23" s="49">
        <f>IFERROR(AVERAGEIF(Combined_Data!$L$2:$L$3001,"Volunteer",Combined_Data!$AF$2:$AF$3001),0)</f>
        <v>28.6</v>
      </c>
    </row>
  </sheetData>
  <pageMargins left="0.75" right="0.75" top="1" bottom="1" header="0.511811023622047" footer="0.511811023622047"/>
  <pageSetup paperSize="9" orientation="portrait" horizontalDpi="300" verticalDpi="300"/>
  <drawing r:id="rId1"/>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dimension ref="A1:E32"/>
  <sheetViews>
    <sheetView showGridLines="0" zoomScaleNormal="100" workbookViewId="0"/>
  </sheetViews>
  <sheetFormatPr defaultColWidth="8.6640625" defaultRowHeight="14.4" x14ac:dyDescent="0.3"/>
  <cols>
    <col min="1" max="1" width="16" customWidth="1"/>
    <col min="2" max="4" width="15" customWidth="1"/>
    <col min="5" max="5" width="22" customWidth="1"/>
  </cols>
  <sheetData>
    <row r="1" spans="1:5" ht="19.5" customHeight="1" x14ac:dyDescent="0.4">
      <c r="A1" s="34" t="s">
        <v>198</v>
      </c>
    </row>
    <row r="2" spans="1:5" ht="15" customHeight="1" x14ac:dyDescent="0.3">
      <c r="A2" s="35" t="s">
        <v>199</v>
      </c>
    </row>
    <row r="4" spans="1:5" ht="23.25" customHeight="1" x14ac:dyDescent="0.3">
      <c r="A4" s="57" t="s">
        <v>77</v>
      </c>
      <c r="B4" s="57" t="s">
        <v>139</v>
      </c>
      <c r="C4" s="57" t="s">
        <v>200</v>
      </c>
      <c r="D4" s="57" t="s">
        <v>201</v>
      </c>
      <c r="E4" s="57" t="s">
        <v>202</v>
      </c>
    </row>
    <row r="5" spans="1:5" ht="15" customHeight="1" x14ac:dyDescent="0.3">
      <c r="A5" s="39" t="s">
        <v>80</v>
      </c>
      <c r="B5" s="39">
        <f>COUNTIF(Combined_Data!$B$2:$B$3001,"LinkedIn")</f>
        <v>1000</v>
      </c>
      <c r="C5" s="39">
        <f>COUNTIFS(Combined_Data!$B$2:$B$3001,"LinkedIn",Combined_Data!$T$2:$T$3001,TRUE())</f>
        <v>0</v>
      </c>
      <c r="D5" s="49">
        <f>IFERROR(C5/B5*100,0)</f>
        <v>0</v>
      </c>
      <c r="E5" s="58">
        <f>IFERROR(AVERAGEIFS(Combined_Data!$S$2:$S$3001,Combined_Data!$B$2:$B$3001,"LinkedIn",Combined_Data!$T$2:$T$3001,TRUE()),0)</f>
        <v>0</v>
      </c>
    </row>
    <row r="6" spans="1:5" ht="15" customHeight="1" x14ac:dyDescent="0.3">
      <c r="A6" s="39" t="s">
        <v>81</v>
      </c>
      <c r="B6" s="39">
        <f>COUNTIF(Combined_Data!$B$2:$B$3001,"Indeed")</f>
        <v>1000</v>
      </c>
      <c r="C6" s="39">
        <f>COUNTIFS(Combined_Data!$B$2:$B$3001,"Indeed",Combined_Data!$T$2:$T$3001,TRUE())</f>
        <v>148</v>
      </c>
      <c r="D6" s="49">
        <f>IFERROR(C6/B6*100,0)</f>
        <v>14.799999999999999</v>
      </c>
      <c r="E6" s="58">
        <f>IFERROR(AVERAGEIFS(Combined_Data!$S$2:$S$3001,Combined_Data!$B$2:$B$3001,"Indeed",Combined_Data!$T$2:$T$3001,TRUE()),0)</f>
        <v>712321.27702702698</v>
      </c>
    </row>
    <row r="7" spans="1:5" ht="15" customHeight="1" x14ac:dyDescent="0.3">
      <c r="A7" s="39" t="s">
        <v>82</v>
      </c>
      <c r="B7" s="39">
        <f>COUNTIF(Combined_Data!$B$2:$B$3001,"Glassdoor")</f>
        <v>1000</v>
      </c>
      <c r="C7" s="39">
        <f>COUNTIFS(Combined_Data!$B$2:$B$3001,"Glassdoor",Combined_Data!$T$2:$T$3001,TRUE())</f>
        <v>451</v>
      </c>
      <c r="D7" s="49">
        <f>IFERROR(C7/B7*100,0)</f>
        <v>45.1</v>
      </c>
      <c r="E7" s="58">
        <f>IFERROR(AVERAGEIFS(Combined_Data!$S$2:$S$3001,Combined_Data!$B$2:$B$3001,"Glassdoor",Combined_Data!$T$2:$T$3001,TRUE()),0)</f>
        <v>608706.69401330373</v>
      </c>
    </row>
    <row r="10" spans="1:5" ht="23.25" customHeight="1" x14ac:dyDescent="0.3">
      <c r="A10" s="57" t="s">
        <v>93</v>
      </c>
      <c r="B10" s="57" t="s">
        <v>139</v>
      </c>
      <c r="C10" s="57" t="s">
        <v>200</v>
      </c>
      <c r="D10" s="57" t="s">
        <v>201</v>
      </c>
      <c r="E10" s="57" t="s">
        <v>202</v>
      </c>
    </row>
    <row r="11" spans="1:5" ht="15" customHeight="1" x14ac:dyDescent="0.3">
      <c r="A11" s="39" t="s">
        <v>125</v>
      </c>
      <c r="B11" s="39">
        <f>COUNTIF(Combined_Data!$D$2:$D$3001,"Software Engineer")</f>
        <v>1198</v>
      </c>
      <c r="C11" s="39">
        <f>COUNTIFS(Combined_Data!$D$2:$D$3001,"Software Engineer",Combined_Data!$T$2:$T$3001,TRUE())</f>
        <v>128</v>
      </c>
      <c r="D11" s="49">
        <f t="shared" ref="D11:D22" si="0">IFERROR(C11/B11*100,0)</f>
        <v>10.684474123539232</v>
      </c>
      <c r="E11" s="58">
        <f>IFERROR(AVERAGEIFS(Combined_Data!$S$2:$S$3001,Combined_Data!$D$2:$D$3001,"Software Engineer",Combined_Data!$T$2:$T$3001,TRUE()),0)</f>
        <v>582718.109375</v>
      </c>
    </row>
    <row r="12" spans="1:5" ht="15" customHeight="1" x14ac:dyDescent="0.3">
      <c r="A12" s="39" t="s">
        <v>126</v>
      </c>
      <c r="B12" s="39">
        <f>COUNTIF(Combined_Data!$D$2:$D$3001,"Other")</f>
        <v>756</v>
      </c>
      <c r="C12" s="39">
        <f>COUNTIFS(Combined_Data!$D$2:$D$3001,"Other",Combined_Data!$T$2:$T$3001,TRUE())</f>
        <v>150</v>
      </c>
      <c r="D12" s="49">
        <f t="shared" si="0"/>
        <v>19.841269841269842</v>
      </c>
      <c r="E12" s="58">
        <f>IFERROR(AVERAGEIFS(Combined_Data!$S$2:$S$3001,Combined_Data!$D$2:$D$3001,"Other",Combined_Data!$T$2:$T$3001,TRUE()),0)</f>
        <v>613551.15333333332</v>
      </c>
    </row>
    <row r="13" spans="1:5" ht="15" customHeight="1" x14ac:dyDescent="0.3">
      <c r="A13" s="39" t="s">
        <v>127</v>
      </c>
      <c r="B13" s="39">
        <f>COUNTIF(Combined_Data!$D$2:$D$3001,"Data Analyst")</f>
        <v>271</v>
      </c>
      <c r="C13" s="39">
        <f>COUNTIFS(Combined_Data!$D$2:$D$3001,"Data Analyst",Combined_Data!$T$2:$T$3001,TRUE())</f>
        <v>125</v>
      </c>
      <c r="D13" s="49">
        <f t="shared" si="0"/>
        <v>46.125461254612546</v>
      </c>
      <c r="E13" s="58">
        <f>IFERROR(AVERAGEIFS(Combined_Data!$S$2:$S$3001,Combined_Data!$D$2:$D$3001,"Data Analyst",Combined_Data!$T$2:$T$3001,TRUE()),0)</f>
        <v>563160.41599999997</v>
      </c>
    </row>
    <row r="14" spans="1:5" ht="15" customHeight="1" x14ac:dyDescent="0.3">
      <c r="A14" s="39" t="s">
        <v>128</v>
      </c>
      <c r="B14" s="39">
        <f>COUNTIF(Combined_Data!$D$2:$D$3001,"ML Engineer")</f>
        <v>204</v>
      </c>
      <c r="C14" s="39">
        <f>COUNTIFS(Combined_Data!$D$2:$D$3001,"ML Engineer",Combined_Data!$T$2:$T$3001,TRUE())</f>
        <v>70</v>
      </c>
      <c r="D14" s="49">
        <f t="shared" si="0"/>
        <v>34.313725490196077</v>
      </c>
      <c r="E14" s="58">
        <f>IFERROR(AVERAGEIFS(Combined_Data!$S$2:$S$3001,Combined_Data!$D$2:$D$3001,"ML Engineer",Combined_Data!$T$2:$T$3001,TRUE()),0)</f>
        <v>638042.19999999995</v>
      </c>
    </row>
    <row r="15" spans="1:5" ht="15" customHeight="1" x14ac:dyDescent="0.3">
      <c r="A15" s="39" t="s">
        <v>129</v>
      </c>
      <c r="B15" s="39">
        <f>COUNTIF(Combined_Data!$D$2:$D$3001,"Frontend Engineer")</f>
        <v>154</v>
      </c>
      <c r="C15" s="39">
        <f>COUNTIFS(Combined_Data!$D$2:$D$3001,"Frontend Engineer",Combined_Data!$T$2:$T$3001,TRUE())</f>
        <v>70</v>
      </c>
      <c r="D15" s="49">
        <f t="shared" si="0"/>
        <v>45.454545454545453</v>
      </c>
      <c r="E15" s="58">
        <f>IFERROR(AVERAGEIFS(Combined_Data!$S$2:$S$3001,Combined_Data!$D$2:$D$3001,"Frontend Engineer",Combined_Data!$T$2:$T$3001,TRUE()),0)</f>
        <v>633805.32857142854</v>
      </c>
    </row>
    <row r="16" spans="1:5" ht="15" customHeight="1" x14ac:dyDescent="0.3">
      <c r="A16" s="39" t="s">
        <v>130</v>
      </c>
      <c r="B16" s="39">
        <f>COUNTIF(Combined_Data!$D$2:$D$3001,"Full Stack Engineer")</f>
        <v>149</v>
      </c>
      <c r="C16" s="39">
        <f>COUNTIFS(Combined_Data!$D$2:$D$3001,"Full Stack Engineer",Combined_Data!$T$2:$T$3001,TRUE())</f>
        <v>15</v>
      </c>
      <c r="D16" s="49">
        <f t="shared" si="0"/>
        <v>10.067114093959731</v>
      </c>
      <c r="E16" s="58">
        <f>IFERROR(AVERAGEIFS(Combined_Data!$S$2:$S$3001,Combined_Data!$D$2:$D$3001,"Full Stack Engineer",Combined_Data!$T$2:$T$3001,TRUE()),0)</f>
        <v>1387600.2</v>
      </c>
    </row>
    <row r="17" spans="1:5" ht="15" customHeight="1" x14ac:dyDescent="0.3">
      <c r="A17" s="39" t="s">
        <v>131</v>
      </c>
      <c r="B17" s="39">
        <f>COUNTIF(Combined_Data!$D$2:$D$3001,"Backend Engineer")</f>
        <v>143</v>
      </c>
      <c r="C17" s="39">
        <f>COUNTIFS(Combined_Data!$D$2:$D$3001,"Backend Engineer",Combined_Data!$T$2:$T$3001,TRUE())</f>
        <v>12</v>
      </c>
      <c r="D17" s="49">
        <f t="shared" si="0"/>
        <v>8.3916083916083917</v>
      </c>
      <c r="E17" s="58">
        <f>IFERROR(AVERAGEIFS(Combined_Data!$S$2:$S$3001,Combined_Data!$D$2:$D$3001,"Backend Engineer",Combined_Data!$T$2:$T$3001,TRUE()),0)</f>
        <v>929815.25</v>
      </c>
    </row>
    <row r="18" spans="1:5" ht="15" customHeight="1" x14ac:dyDescent="0.3">
      <c r="A18" s="39" t="s">
        <v>132</v>
      </c>
      <c r="B18" s="39">
        <f>COUNTIF(Combined_Data!$D$2:$D$3001,"Data Scientist")</f>
        <v>45</v>
      </c>
      <c r="C18" s="39">
        <f>COUNTIFS(Combined_Data!$D$2:$D$3001,"Data Scientist",Combined_Data!$T$2:$T$3001,TRUE())</f>
        <v>13</v>
      </c>
      <c r="D18" s="49">
        <f t="shared" si="0"/>
        <v>28.888888888888886</v>
      </c>
      <c r="E18" s="58">
        <f>IFERROR(AVERAGEIFS(Combined_Data!$S$2:$S$3001,Combined_Data!$D$2:$D$3001,"Data Scientist",Combined_Data!$T$2:$T$3001,TRUE()),0)</f>
        <v>596326.92307692312</v>
      </c>
    </row>
    <row r="19" spans="1:5" ht="15" customHeight="1" x14ac:dyDescent="0.3">
      <c r="A19" s="39" t="s">
        <v>133</v>
      </c>
      <c r="B19" s="39">
        <f>COUNTIF(Combined_Data!$D$2:$D$3001,"Data Engineer")</f>
        <v>36</v>
      </c>
      <c r="C19" s="39">
        <f>COUNTIFS(Combined_Data!$D$2:$D$3001,"Data Engineer",Combined_Data!$T$2:$T$3001,TRUE())</f>
        <v>10</v>
      </c>
      <c r="D19" s="49">
        <f t="shared" si="0"/>
        <v>27.777777777777779</v>
      </c>
      <c r="E19" s="58">
        <f>IFERROR(AVERAGEIFS(Combined_Data!$S$2:$S$3001,Combined_Data!$D$2:$D$3001,"Data Engineer",Combined_Data!$T$2:$T$3001,TRUE()),0)</f>
        <v>906050</v>
      </c>
    </row>
    <row r="20" spans="1:5" ht="15" customHeight="1" x14ac:dyDescent="0.3">
      <c r="A20" s="39" t="s">
        <v>134</v>
      </c>
      <c r="B20" s="39">
        <f>COUNTIF(Combined_Data!$D$2:$D$3001,"DevOps Engineer")</f>
        <v>24</v>
      </c>
      <c r="C20" s="39">
        <f>COUNTIFS(Combined_Data!$D$2:$D$3001,"DevOps Engineer",Combined_Data!$T$2:$T$3001,TRUE())</f>
        <v>3</v>
      </c>
      <c r="D20" s="49">
        <f t="shared" si="0"/>
        <v>12.5</v>
      </c>
      <c r="E20" s="58">
        <f>IFERROR(AVERAGEIFS(Combined_Data!$S$2:$S$3001,Combined_Data!$D$2:$D$3001,"DevOps Engineer",Combined_Data!$T$2:$T$3001,TRUE()),0)</f>
        <v>787010.66666666663</v>
      </c>
    </row>
    <row r="21" spans="1:5" ht="15" customHeight="1" x14ac:dyDescent="0.3">
      <c r="A21" s="39" t="s">
        <v>135</v>
      </c>
      <c r="B21" s="39">
        <f>COUNTIF(Combined_Data!$D$2:$D$3001,"QA/Test Engineer")</f>
        <v>14</v>
      </c>
      <c r="C21" s="39">
        <f>COUNTIFS(Combined_Data!$D$2:$D$3001,"QA/Test Engineer",Combined_Data!$T$2:$T$3001,TRUE())</f>
        <v>3</v>
      </c>
      <c r="D21" s="49">
        <f t="shared" si="0"/>
        <v>21.428571428571427</v>
      </c>
      <c r="E21" s="58">
        <f>IFERROR(AVERAGEIFS(Combined_Data!$S$2:$S$3001,Combined_Data!$D$2:$D$3001,"QA/Test Engineer",Combined_Data!$T$2:$T$3001,TRUE()),0)</f>
        <v>919910</v>
      </c>
    </row>
    <row r="22" spans="1:5" ht="15" customHeight="1" x14ac:dyDescent="0.3">
      <c r="A22" s="39" t="s">
        <v>136</v>
      </c>
      <c r="B22" s="39">
        <f>COUNTIF(Combined_Data!$D$2:$D$3001,"Product Manager")</f>
        <v>6</v>
      </c>
      <c r="C22" s="39">
        <f>COUNTIFS(Combined_Data!$D$2:$D$3001,"Product Manager",Combined_Data!$T$2:$T$3001,TRUE())</f>
        <v>0</v>
      </c>
      <c r="D22" s="49">
        <f t="shared" si="0"/>
        <v>0</v>
      </c>
      <c r="E22" s="58">
        <f>IFERROR(AVERAGEIFS(Combined_Data!$S$2:$S$3001,Combined_Data!$D$2:$D$3001,"Product Manager",Combined_Data!$T$2:$T$3001,TRUE()),0)</f>
        <v>0</v>
      </c>
    </row>
    <row r="25" spans="1:5" ht="23.25" customHeight="1" x14ac:dyDescent="0.3">
      <c r="A25" s="57" t="s">
        <v>203</v>
      </c>
      <c r="B25" s="57" t="s">
        <v>106</v>
      </c>
      <c r="C25" s="57" t="s">
        <v>204</v>
      </c>
    </row>
    <row r="26" spans="1:5" ht="15" customHeight="1" x14ac:dyDescent="0.3">
      <c r="A26" s="39" t="s">
        <v>205</v>
      </c>
      <c r="B26" s="39">
        <f>COUNTIFS(Combined_Data!$T$2:$T$3001,TRUE(),Combined_Data!$S$2:$S$3001,"&gt;="&amp;0,Combined_Data!$S$2:$S$3001,"&lt;"&amp;600000)</f>
        <v>358</v>
      </c>
      <c r="C26" s="49">
        <f>IFERROR(B26/COUNTIF(Combined_Data!$T$2:$T$3001,TRUE())*100,0)</f>
        <v>59.766277128547586</v>
      </c>
    </row>
    <row r="27" spans="1:5" ht="15" customHeight="1" x14ac:dyDescent="0.3">
      <c r="A27" s="39" t="s">
        <v>206</v>
      </c>
      <c r="B27" s="39">
        <f>COUNTIFS(Combined_Data!$T$2:$T$3001,TRUE(),Combined_Data!$S$2:$S$3001,"&gt;="&amp;600000,Combined_Data!$S$2:$S$3001,"&lt;"&amp;1200000)</f>
        <v>205</v>
      </c>
      <c r="C27" s="49">
        <f>IFERROR(B27/COUNTIF(Combined_Data!$T$2:$T$3001,TRUE())*100,0)</f>
        <v>34.223706176961606</v>
      </c>
    </row>
    <row r="28" spans="1:5" ht="15" customHeight="1" x14ac:dyDescent="0.3">
      <c r="A28" s="39" t="s">
        <v>207</v>
      </c>
      <c r="B28" s="39">
        <f>COUNTIFS(Combined_Data!$T$2:$T$3001,TRUE(),Combined_Data!$S$2:$S$3001,"&gt;="&amp;1200000,Combined_Data!$S$2:$S$3001,"&lt;"&amp;2000000)</f>
        <v>23</v>
      </c>
      <c r="C28" s="49">
        <f>IFERROR(B28/COUNTIF(Combined_Data!$T$2:$T$3001,TRUE())*100,0)</f>
        <v>3.8397328881469113</v>
      </c>
    </row>
    <row r="29" spans="1:5" ht="15" customHeight="1" x14ac:dyDescent="0.3">
      <c r="A29" s="39" t="s">
        <v>208</v>
      </c>
      <c r="B29" s="39">
        <f>COUNTIFS(Combined_Data!$T$2:$T$3001,TRUE(),Combined_Data!$S$2:$S$3001,"&gt;="&amp;2000000,Combined_Data!$S$2:$S$3001,"&lt;"&amp;3500000)</f>
        <v>8</v>
      </c>
      <c r="C29" s="49">
        <f>IFERROR(B29/COUNTIF(Combined_Data!$T$2:$T$3001,TRUE())*100,0)</f>
        <v>1.335559265442404</v>
      </c>
    </row>
    <row r="30" spans="1:5" ht="15" customHeight="1" x14ac:dyDescent="0.3">
      <c r="A30" s="39" t="s">
        <v>209</v>
      </c>
      <c r="B30" s="39">
        <f>COUNTIFS(Combined_Data!$T$2:$T$3001,TRUE(),Combined_Data!$S$2:$S$3001,"&gt;="&amp;3500000,Combined_Data!$S$2:$S$3001,"&lt;"&amp;999999999)</f>
        <v>5</v>
      </c>
      <c r="C30" s="49">
        <f>IFERROR(B30/COUNTIF(Combined_Data!$T$2:$T$3001,TRUE())*100,0)</f>
        <v>0.8347245409015025</v>
      </c>
    </row>
    <row r="32" spans="1:5" ht="15" customHeight="1" x14ac:dyDescent="0.3">
      <c r="A32" s="83" t="s">
        <v>210</v>
      </c>
      <c r="B32" s="83"/>
      <c r="C32" s="83"/>
      <c r="D32" s="83"/>
      <c r="E32" s="83"/>
    </row>
  </sheetData>
  <mergeCells count="1">
    <mergeCell ref="A32:E32"/>
  </mergeCells>
  <pageMargins left="0.75" right="0.75" top="1" bottom="1" header="0.511811023622047" footer="0.511811023622047"/>
  <pageSetup paperSize="9" orientation="portrait" horizontalDpi="300" verticalDpi="300"/>
  <drawing r:id="rId1"/>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dimension ref="A1:AI3001"/>
  <sheetViews>
    <sheetView showGridLines="0" zoomScaleNormal="100" workbookViewId="0">
      <pane xSplit="2" ySplit="1" topLeftCell="C2" activePane="bottomRight" state="frozen"/>
      <selection pane="topRight" activeCell="C1" sqref="C1"/>
      <selection pane="bottomLeft" activeCell="A2" sqref="A2"/>
      <selection pane="bottomRight"/>
    </sheetView>
  </sheetViews>
  <sheetFormatPr defaultColWidth="8.6640625" defaultRowHeight="14.4" x14ac:dyDescent="0.3"/>
  <cols>
    <col min="1" max="1" width="14" customWidth="1"/>
    <col min="2" max="2" width="11" customWidth="1"/>
    <col min="3" max="3" width="30" customWidth="1"/>
    <col min="4" max="4" width="18" customWidth="1"/>
    <col min="5" max="5" width="26" customWidth="1"/>
    <col min="6" max="6" width="12" customWidth="1"/>
    <col min="7" max="7" width="16" customWidth="1"/>
    <col min="8" max="8" width="14" customWidth="1"/>
    <col min="9" max="10" width="12" customWidth="1"/>
    <col min="11" max="11" width="10" customWidth="1"/>
    <col min="12" max="12" width="16" customWidth="1"/>
    <col min="13" max="13" width="18" customWidth="1"/>
    <col min="14" max="14" width="12" customWidth="1"/>
    <col min="15" max="16" width="11" customWidth="1"/>
    <col min="17" max="17" width="10" customWidth="1"/>
    <col min="18" max="19" width="14" customWidth="1"/>
    <col min="20" max="20" width="13" customWidth="1"/>
    <col min="21" max="21" width="10" customWidth="1"/>
    <col min="22" max="22" width="12" customWidth="1"/>
    <col min="23" max="23" width="42" customWidth="1"/>
    <col min="24" max="24" width="14" customWidth="1"/>
    <col min="25" max="25" width="13" customWidth="1"/>
    <col min="26" max="32" width="10" customWidth="1"/>
    <col min="33" max="33" width="15" customWidth="1"/>
    <col min="34" max="34" width="42" customWidth="1"/>
    <col min="35" max="35" width="12" customWidth="1"/>
  </cols>
  <sheetData>
    <row r="1" spans="1:35" ht="31.5" customHeight="1" x14ac:dyDescent="0.3">
      <c r="A1" s="59" t="s">
        <v>211</v>
      </c>
      <c r="B1" s="59" t="s">
        <v>77</v>
      </c>
      <c r="C1" s="59" t="s">
        <v>108</v>
      </c>
      <c r="D1" s="59" t="s">
        <v>93</v>
      </c>
      <c r="E1" s="59" t="s">
        <v>109</v>
      </c>
      <c r="F1" s="59" t="s">
        <v>212</v>
      </c>
      <c r="G1" s="59" t="s">
        <v>110</v>
      </c>
      <c r="H1" s="59" t="s">
        <v>213</v>
      </c>
      <c r="I1" s="59" t="s">
        <v>111</v>
      </c>
      <c r="J1" s="59" t="s">
        <v>214</v>
      </c>
      <c r="K1" s="59" t="s">
        <v>112</v>
      </c>
      <c r="L1" s="59" t="s">
        <v>191</v>
      </c>
      <c r="M1" s="59" t="s">
        <v>113</v>
      </c>
      <c r="N1" s="59" t="s">
        <v>114</v>
      </c>
      <c r="O1" s="59" t="s">
        <v>215</v>
      </c>
      <c r="P1" s="59" t="s">
        <v>216</v>
      </c>
      <c r="Q1" s="59" t="s">
        <v>217</v>
      </c>
      <c r="R1" s="59" t="s">
        <v>218</v>
      </c>
      <c r="S1" s="59" t="s">
        <v>115</v>
      </c>
      <c r="T1" s="59" t="s">
        <v>219</v>
      </c>
      <c r="U1" s="59" t="s">
        <v>220</v>
      </c>
      <c r="V1" s="59" t="s">
        <v>221</v>
      </c>
      <c r="W1" s="59" t="s">
        <v>222</v>
      </c>
      <c r="X1" s="59" t="s">
        <v>223</v>
      </c>
      <c r="Y1" s="59" t="s">
        <v>224</v>
      </c>
      <c r="Z1" s="59" t="s">
        <v>225</v>
      </c>
      <c r="AA1" s="59" t="s">
        <v>226</v>
      </c>
      <c r="AB1" s="59" t="s">
        <v>227</v>
      </c>
      <c r="AC1" s="59" t="s">
        <v>228</v>
      </c>
      <c r="AD1" s="59" t="s">
        <v>229</v>
      </c>
      <c r="AE1" s="59" t="s">
        <v>230</v>
      </c>
      <c r="AF1" s="59" t="s">
        <v>116</v>
      </c>
      <c r="AG1" s="59" t="s">
        <v>231</v>
      </c>
      <c r="AH1" s="59" t="s">
        <v>117</v>
      </c>
      <c r="AI1" s="36" t="s">
        <v>232</v>
      </c>
    </row>
    <row r="2" spans="1:35" ht="15" customHeight="1" x14ac:dyDescent="0.3">
      <c r="A2" s="60" t="s">
        <v>233</v>
      </c>
      <c r="B2" s="60" t="s">
        <v>80</v>
      </c>
      <c r="C2" s="60" t="s">
        <v>125</v>
      </c>
      <c r="D2" s="60" t="s">
        <v>125</v>
      </c>
      <c r="E2" s="60" t="s">
        <v>234</v>
      </c>
      <c r="F2" s="60" t="b">
        <f>TRUE()</f>
        <v>1</v>
      </c>
      <c r="G2" s="60" t="s">
        <v>166</v>
      </c>
      <c r="H2" s="60" t="s">
        <v>235</v>
      </c>
      <c r="I2" s="61">
        <v>46190</v>
      </c>
      <c r="J2" s="61">
        <v>46210</v>
      </c>
      <c r="K2" s="60">
        <v>20</v>
      </c>
      <c r="L2" s="60" t="s">
        <v>192</v>
      </c>
      <c r="M2" s="60" t="s">
        <v>185</v>
      </c>
      <c r="N2" s="60" t="b">
        <f>FALSE()</f>
        <v>0</v>
      </c>
      <c r="O2" s="60"/>
      <c r="P2" s="60"/>
      <c r="Q2" s="60" t="s">
        <v>236</v>
      </c>
      <c r="R2" s="60" t="s">
        <v>237</v>
      </c>
      <c r="S2" s="60"/>
      <c r="T2" s="60" t="b">
        <f>FALSE()</f>
        <v>0</v>
      </c>
      <c r="U2" s="60" t="b">
        <f>FALSE()</f>
        <v>0</v>
      </c>
      <c r="V2" s="60">
        <v>563</v>
      </c>
      <c r="W2" s="62" t="s">
        <v>238</v>
      </c>
      <c r="X2" s="60">
        <v>1</v>
      </c>
      <c r="Y2" s="63">
        <v>0.01</v>
      </c>
      <c r="Z2" s="60" t="b">
        <f>FALSE()</f>
        <v>0</v>
      </c>
      <c r="AA2" s="60" t="b">
        <f>TRUE()</f>
        <v>1</v>
      </c>
      <c r="AB2" s="60" t="b">
        <f>FALSE()</f>
        <v>0</v>
      </c>
      <c r="AC2" s="60" t="b">
        <f>TRUE()</f>
        <v>1</v>
      </c>
      <c r="AD2" s="60" t="b">
        <f>FALSE()</f>
        <v>0</v>
      </c>
      <c r="AE2" s="60">
        <v>2</v>
      </c>
      <c r="AF2" s="64">
        <v>28.6</v>
      </c>
      <c r="AG2" s="60" t="s">
        <v>73</v>
      </c>
      <c r="AH2" s="60" t="s">
        <v>239</v>
      </c>
      <c r="AI2">
        <f>IF(AND(OR(Company_Explorer!$B$5="All Companies",$E2=Company_Explorer!$B$5),OR(Company_Explorer!$B$6="All Platforms",$B2=Company_Explorer!$B$6),OR(Company_Explorer!$B$7="All Roles",$D2=Company_Explorer!$B$7),OR(Company_Explorer!$B$8="All Ghost Labels",$AG2=Company_Explorer!$B$8)),1,0)</f>
        <v>0</v>
      </c>
    </row>
    <row r="3" spans="1:35" ht="15" customHeight="1" x14ac:dyDescent="0.3">
      <c r="A3" s="65" t="s">
        <v>240</v>
      </c>
      <c r="B3" s="65" t="s">
        <v>80</v>
      </c>
      <c r="C3" s="65" t="s">
        <v>241</v>
      </c>
      <c r="D3" s="65" t="s">
        <v>125</v>
      </c>
      <c r="E3" s="65" t="s">
        <v>242</v>
      </c>
      <c r="F3" s="65" t="b">
        <f>TRUE()</f>
        <v>1</v>
      </c>
      <c r="G3" s="65" t="s">
        <v>166</v>
      </c>
      <c r="H3" s="65" t="s">
        <v>235</v>
      </c>
      <c r="I3" s="66">
        <v>46204</v>
      </c>
      <c r="J3" s="66">
        <v>46210</v>
      </c>
      <c r="K3" s="65">
        <v>6</v>
      </c>
      <c r="L3" s="65" t="s">
        <v>192</v>
      </c>
      <c r="M3" s="65" t="s">
        <v>185</v>
      </c>
      <c r="N3" s="65" t="b">
        <f>FALSE()</f>
        <v>0</v>
      </c>
      <c r="O3" s="65"/>
      <c r="P3" s="65"/>
      <c r="Q3" s="65" t="s">
        <v>236</v>
      </c>
      <c r="R3" s="65" t="s">
        <v>237</v>
      </c>
      <c r="S3" s="65"/>
      <c r="T3" s="65" t="b">
        <f>FALSE()</f>
        <v>0</v>
      </c>
      <c r="U3" s="65" t="b">
        <f>FALSE()</f>
        <v>0</v>
      </c>
      <c r="V3" s="65">
        <v>541</v>
      </c>
      <c r="W3" s="67" t="s">
        <v>243</v>
      </c>
      <c r="X3" s="65">
        <v>1</v>
      </c>
      <c r="Y3" s="68">
        <v>0.01</v>
      </c>
      <c r="Z3" s="65" t="b">
        <f>FALSE()</f>
        <v>0</v>
      </c>
      <c r="AA3" s="65" t="b">
        <f>TRUE()</f>
        <v>1</v>
      </c>
      <c r="AB3" s="65" t="b">
        <f>FALSE()</f>
        <v>0</v>
      </c>
      <c r="AC3" s="65" t="b">
        <f>FALSE()</f>
        <v>0</v>
      </c>
      <c r="AD3" s="65" t="b">
        <f>FALSE()</f>
        <v>0</v>
      </c>
      <c r="AE3" s="65">
        <v>1</v>
      </c>
      <c r="AF3" s="69">
        <v>14.3</v>
      </c>
      <c r="AG3" s="65" t="s">
        <v>74</v>
      </c>
      <c r="AH3" s="65" t="s">
        <v>244</v>
      </c>
      <c r="AI3">
        <f>IF(AND(OR(Company_Explorer!$B$5="All Companies",$E3=Company_Explorer!$B$5),OR(Company_Explorer!$B$6="All Platforms",$B3=Company_Explorer!$B$6),OR(Company_Explorer!$B$7="All Roles",$D3=Company_Explorer!$B$7),OR(Company_Explorer!$B$8="All Ghost Labels",$AG3=Company_Explorer!$B$8)),1,0)</f>
        <v>0</v>
      </c>
    </row>
    <row r="4" spans="1:35" ht="15" customHeight="1" x14ac:dyDescent="0.3">
      <c r="A4" s="60" t="s">
        <v>245</v>
      </c>
      <c r="B4" s="60" t="s">
        <v>80</v>
      </c>
      <c r="C4" s="60" t="s">
        <v>246</v>
      </c>
      <c r="D4" s="60" t="s">
        <v>125</v>
      </c>
      <c r="E4" s="60" t="s">
        <v>247</v>
      </c>
      <c r="F4" s="60" t="b">
        <f>TRUE()</f>
        <v>1</v>
      </c>
      <c r="G4" s="60" t="s">
        <v>166</v>
      </c>
      <c r="H4" s="60" t="s">
        <v>235</v>
      </c>
      <c r="I4" s="61">
        <v>46197</v>
      </c>
      <c r="J4" s="61">
        <v>46210</v>
      </c>
      <c r="K4" s="60">
        <v>13</v>
      </c>
      <c r="L4" s="60" t="s">
        <v>192</v>
      </c>
      <c r="M4" s="60" t="s">
        <v>185</v>
      </c>
      <c r="N4" s="60" t="b">
        <f>FALSE()</f>
        <v>0</v>
      </c>
      <c r="O4" s="60"/>
      <c r="P4" s="60"/>
      <c r="Q4" s="60" t="s">
        <v>236</v>
      </c>
      <c r="R4" s="60" t="s">
        <v>237</v>
      </c>
      <c r="S4" s="60"/>
      <c r="T4" s="60" t="b">
        <f>FALSE()</f>
        <v>0</v>
      </c>
      <c r="U4" s="60" t="b">
        <f>FALSE()</f>
        <v>0</v>
      </c>
      <c r="V4" s="60">
        <v>642</v>
      </c>
      <c r="W4" s="62" t="s">
        <v>248</v>
      </c>
      <c r="X4" s="60">
        <v>9</v>
      </c>
      <c r="Y4" s="63">
        <v>0.06</v>
      </c>
      <c r="Z4" s="60" t="b">
        <f>FALSE()</f>
        <v>0</v>
      </c>
      <c r="AA4" s="60" t="b">
        <f>TRUE()</f>
        <v>1</v>
      </c>
      <c r="AB4" s="60" t="b">
        <f>FALSE()</f>
        <v>0</v>
      </c>
      <c r="AC4" s="60" t="b">
        <f>FALSE()</f>
        <v>0</v>
      </c>
      <c r="AD4" s="60" t="b">
        <f>FALSE()</f>
        <v>0</v>
      </c>
      <c r="AE4" s="60">
        <v>1</v>
      </c>
      <c r="AF4" s="64">
        <v>14.3</v>
      </c>
      <c r="AG4" s="60" t="s">
        <v>74</v>
      </c>
      <c r="AH4" s="60" t="s">
        <v>249</v>
      </c>
      <c r="AI4">
        <f>IF(AND(OR(Company_Explorer!$B$5="All Companies",$E4=Company_Explorer!$B$5),OR(Company_Explorer!$B$6="All Platforms",$B4=Company_Explorer!$B$6),OR(Company_Explorer!$B$7="All Roles",$D4=Company_Explorer!$B$7),OR(Company_Explorer!$B$8="All Ghost Labels",$AG4=Company_Explorer!$B$8)),1,0)</f>
        <v>0</v>
      </c>
    </row>
    <row r="5" spans="1:35" ht="15" customHeight="1" x14ac:dyDescent="0.3">
      <c r="A5" s="65" t="s">
        <v>250</v>
      </c>
      <c r="B5" s="65" t="s">
        <v>80</v>
      </c>
      <c r="C5" s="65" t="s">
        <v>251</v>
      </c>
      <c r="D5" s="65" t="s">
        <v>125</v>
      </c>
      <c r="E5" s="65" t="s">
        <v>252</v>
      </c>
      <c r="F5" s="65" t="b">
        <f>TRUE()</f>
        <v>1</v>
      </c>
      <c r="G5" s="65" t="s">
        <v>253</v>
      </c>
      <c r="H5" s="65" t="s">
        <v>254</v>
      </c>
      <c r="I5" s="66">
        <v>46196</v>
      </c>
      <c r="J5" s="66">
        <v>46210</v>
      </c>
      <c r="K5" s="65">
        <v>14</v>
      </c>
      <c r="L5" s="65" t="s">
        <v>192</v>
      </c>
      <c r="M5" s="65" t="s">
        <v>184</v>
      </c>
      <c r="N5" s="65" t="b">
        <f>FALSE()</f>
        <v>0</v>
      </c>
      <c r="O5" s="65"/>
      <c r="P5" s="65"/>
      <c r="Q5" s="65" t="s">
        <v>236</v>
      </c>
      <c r="R5" s="65" t="s">
        <v>237</v>
      </c>
      <c r="S5" s="65"/>
      <c r="T5" s="65" t="b">
        <f>FALSE()</f>
        <v>0</v>
      </c>
      <c r="U5" s="65" t="b">
        <f>FALSE()</f>
        <v>0</v>
      </c>
      <c r="V5" s="65">
        <v>665</v>
      </c>
      <c r="W5" s="65" t="s">
        <v>255</v>
      </c>
      <c r="X5" s="65">
        <v>2</v>
      </c>
      <c r="Y5" s="68">
        <v>0.01</v>
      </c>
      <c r="Z5" s="65" t="b">
        <f>FALSE()</f>
        <v>0</v>
      </c>
      <c r="AA5" s="65" t="b">
        <f>TRUE()</f>
        <v>1</v>
      </c>
      <c r="AB5" s="65" t="b">
        <f>FALSE()</f>
        <v>0</v>
      </c>
      <c r="AC5" s="65" t="b">
        <f>FALSE()</f>
        <v>0</v>
      </c>
      <c r="AD5" s="65" t="b">
        <f>FALSE()</f>
        <v>0</v>
      </c>
      <c r="AE5" s="65">
        <v>1</v>
      </c>
      <c r="AF5" s="69">
        <v>14.3</v>
      </c>
      <c r="AG5" s="65" t="s">
        <v>74</v>
      </c>
      <c r="AH5" s="65" t="s">
        <v>256</v>
      </c>
      <c r="AI5">
        <f>IF(AND(OR(Company_Explorer!$B$5="All Companies",$E5=Company_Explorer!$B$5),OR(Company_Explorer!$B$6="All Platforms",$B5=Company_Explorer!$B$6),OR(Company_Explorer!$B$7="All Roles",$D5=Company_Explorer!$B$7),OR(Company_Explorer!$B$8="All Ghost Labels",$AG5=Company_Explorer!$B$8)),1,0)</f>
        <v>0</v>
      </c>
    </row>
    <row r="6" spans="1:35" ht="15" customHeight="1" x14ac:dyDescent="0.3">
      <c r="A6" s="60" t="s">
        <v>257</v>
      </c>
      <c r="B6" s="60" t="s">
        <v>80</v>
      </c>
      <c r="C6" s="60" t="s">
        <v>258</v>
      </c>
      <c r="D6" s="60" t="s">
        <v>125</v>
      </c>
      <c r="E6" s="60" t="s">
        <v>141</v>
      </c>
      <c r="F6" s="60" t="b">
        <f>TRUE()</f>
        <v>1</v>
      </c>
      <c r="G6" s="60" t="s">
        <v>166</v>
      </c>
      <c r="H6" s="60" t="s">
        <v>235</v>
      </c>
      <c r="I6" s="61">
        <v>46198</v>
      </c>
      <c r="J6" s="61">
        <v>46210</v>
      </c>
      <c r="K6" s="60">
        <v>12</v>
      </c>
      <c r="L6" s="60" t="s">
        <v>192</v>
      </c>
      <c r="M6" s="60" t="s">
        <v>184</v>
      </c>
      <c r="N6" s="60" t="b">
        <f>FALSE()</f>
        <v>0</v>
      </c>
      <c r="O6" s="60"/>
      <c r="P6" s="60"/>
      <c r="Q6" s="60" t="s">
        <v>236</v>
      </c>
      <c r="R6" s="60" t="s">
        <v>237</v>
      </c>
      <c r="S6" s="60"/>
      <c r="T6" s="60" t="b">
        <f>FALSE()</f>
        <v>0</v>
      </c>
      <c r="U6" s="60" t="b">
        <f>FALSE()</f>
        <v>0</v>
      </c>
      <c r="V6" s="60">
        <v>320</v>
      </c>
      <c r="W6" s="62" t="s">
        <v>259</v>
      </c>
      <c r="X6" s="60">
        <v>429</v>
      </c>
      <c r="Y6" s="63">
        <v>2.66</v>
      </c>
      <c r="Z6" s="60" t="b">
        <f>FALSE()</f>
        <v>0</v>
      </c>
      <c r="AA6" s="60" t="b">
        <f>TRUE()</f>
        <v>1</v>
      </c>
      <c r="AB6" s="60" t="b">
        <f>FALSE()</f>
        <v>0</v>
      </c>
      <c r="AC6" s="60" t="b">
        <f>FALSE()</f>
        <v>0</v>
      </c>
      <c r="AD6" s="60" t="b">
        <f>TRUE()</f>
        <v>1</v>
      </c>
      <c r="AE6" s="60">
        <v>3</v>
      </c>
      <c r="AF6" s="64">
        <v>42.9</v>
      </c>
      <c r="AG6" s="60" t="s">
        <v>73</v>
      </c>
      <c r="AH6" s="60" t="s">
        <v>260</v>
      </c>
      <c r="AI6">
        <f>IF(AND(OR(Company_Explorer!$B$5="All Companies",$E6=Company_Explorer!$B$5),OR(Company_Explorer!$B$6="All Platforms",$B6=Company_Explorer!$B$6),OR(Company_Explorer!$B$7="All Roles",$D6=Company_Explorer!$B$7),OR(Company_Explorer!$B$8="All Ghost Labels",$AG6=Company_Explorer!$B$8)),1,0)</f>
        <v>0</v>
      </c>
    </row>
    <row r="7" spans="1:35" ht="15" customHeight="1" x14ac:dyDescent="0.3">
      <c r="A7" s="65" t="s">
        <v>261</v>
      </c>
      <c r="B7" s="65" t="s">
        <v>80</v>
      </c>
      <c r="C7" s="65" t="s">
        <v>258</v>
      </c>
      <c r="D7" s="65" t="s">
        <v>125</v>
      </c>
      <c r="E7" s="65" t="s">
        <v>141</v>
      </c>
      <c r="F7" s="65" t="b">
        <f>TRUE()</f>
        <v>1</v>
      </c>
      <c r="G7" s="65" t="s">
        <v>262</v>
      </c>
      <c r="H7" s="65" t="s">
        <v>263</v>
      </c>
      <c r="I7" s="66">
        <v>46206</v>
      </c>
      <c r="J7" s="66">
        <v>46210</v>
      </c>
      <c r="K7" s="65">
        <v>4</v>
      </c>
      <c r="L7" s="65" t="s">
        <v>192</v>
      </c>
      <c r="M7" s="65" t="s">
        <v>187</v>
      </c>
      <c r="N7" s="65" t="b">
        <f>FALSE()</f>
        <v>0</v>
      </c>
      <c r="O7" s="65"/>
      <c r="P7" s="65"/>
      <c r="Q7" s="65" t="s">
        <v>236</v>
      </c>
      <c r="R7" s="65" t="s">
        <v>237</v>
      </c>
      <c r="S7" s="65"/>
      <c r="T7" s="65" t="b">
        <f>FALSE()</f>
        <v>0</v>
      </c>
      <c r="U7" s="65" t="b">
        <f>FALSE()</f>
        <v>0</v>
      </c>
      <c r="V7" s="65">
        <v>326</v>
      </c>
      <c r="W7" s="67" t="s">
        <v>264</v>
      </c>
      <c r="X7" s="65">
        <v>429</v>
      </c>
      <c r="Y7" s="68">
        <v>2.66</v>
      </c>
      <c r="Z7" s="65" t="b">
        <f>FALSE()</f>
        <v>0</v>
      </c>
      <c r="AA7" s="65" t="b">
        <f>TRUE()</f>
        <v>1</v>
      </c>
      <c r="AB7" s="65" t="b">
        <f>FALSE()</f>
        <v>0</v>
      </c>
      <c r="AC7" s="65" t="b">
        <f>FALSE()</f>
        <v>0</v>
      </c>
      <c r="AD7" s="65" t="b">
        <f>TRUE()</f>
        <v>1</v>
      </c>
      <c r="AE7" s="65">
        <v>3</v>
      </c>
      <c r="AF7" s="69">
        <v>42.9</v>
      </c>
      <c r="AG7" s="65" t="s">
        <v>73</v>
      </c>
      <c r="AH7" s="65" t="s">
        <v>265</v>
      </c>
      <c r="AI7">
        <f>IF(AND(OR(Company_Explorer!$B$5="All Companies",$E7=Company_Explorer!$B$5),OR(Company_Explorer!$B$6="All Platforms",$B7=Company_Explorer!$B$6),OR(Company_Explorer!$B$7="All Roles",$D7=Company_Explorer!$B$7),OR(Company_Explorer!$B$8="All Ghost Labels",$AG7=Company_Explorer!$B$8)),1,0)</f>
        <v>0</v>
      </c>
    </row>
    <row r="8" spans="1:35" ht="15" customHeight="1" x14ac:dyDescent="0.3">
      <c r="A8" s="60" t="s">
        <v>266</v>
      </c>
      <c r="B8" s="60" t="s">
        <v>80</v>
      </c>
      <c r="C8" s="60" t="s">
        <v>267</v>
      </c>
      <c r="D8" s="60" t="s">
        <v>129</v>
      </c>
      <c r="E8" s="60" t="s">
        <v>268</v>
      </c>
      <c r="F8" s="60" t="b">
        <f>TRUE()</f>
        <v>1</v>
      </c>
      <c r="G8" s="60" t="s">
        <v>269</v>
      </c>
      <c r="H8" s="60" t="s">
        <v>270</v>
      </c>
      <c r="I8" s="61">
        <v>46204</v>
      </c>
      <c r="J8" s="61">
        <v>46210</v>
      </c>
      <c r="K8" s="60">
        <v>6</v>
      </c>
      <c r="L8" s="60" t="s">
        <v>192</v>
      </c>
      <c r="M8" s="60" t="s">
        <v>185</v>
      </c>
      <c r="N8" s="60" t="b">
        <f>FALSE()</f>
        <v>0</v>
      </c>
      <c r="O8" s="60"/>
      <c r="P8" s="60"/>
      <c r="Q8" s="60" t="s">
        <v>236</v>
      </c>
      <c r="R8" s="60" t="s">
        <v>237</v>
      </c>
      <c r="S8" s="60"/>
      <c r="T8" s="60" t="b">
        <f>FALSE()</f>
        <v>0</v>
      </c>
      <c r="U8" s="60" t="b">
        <f>FALSE()</f>
        <v>0</v>
      </c>
      <c r="V8" s="60">
        <v>1034</v>
      </c>
      <c r="W8" s="60" t="s">
        <v>271</v>
      </c>
      <c r="X8" s="60">
        <v>2</v>
      </c>
      <c r="Y8" s="63">
        <v>0.01</v>
      </c>
      <c r="Z8" s="60" t="b">
        <f>FALSE()</f>
        <v>0</v>
      </c>
      <c r="AA8" s="60" t="b">
        <f>TRUE()</f>
        <v>1</v>
      </c>
      <c r="AB8" s="60" t="b">
        <f>FALSE()</f>
        <v>0</v>
      </c>
      <c r="AC8" s="60" t="b">
        <f>FALSE()</f>
        <v>0</v>
      </c>
      <c r="AD8" s="60" t="b">
        <f>FALSE()</f>
        <v>0</v>
      </c>
      <c r="AE8" s="60">
        <v>1</v>
      </c>
      <c r="AF8" s="64">
        <v>14.3</v>
      </c>
      <c r="AG8" s="60" t="s">
        <v>74</v>
      </c>
      <c r="AH8" s="60" t="s">
        <v>272</v>
      </c>
      <c r="AI8">
        <f>IF(AND(OR(Company_Explorer!$B$5="All Companies",$E8=Company_Explorer!$B$5),OR(Company_Explorer!$B$6="All Platforms",$B8=Company_Explorer!$B$6),OR(Company_Explorer!$B$7="All Roles",$D8=Company_Explorer!$B$7),OR(Company_Explorer!$B$8="All Ghost Labels",$AG8=Company_Explorer!$B$8)),1,0)</f>
        <v>0</v>
      </c>
    </row>
    <row r="9" spans="1:35" ht="15" customHeight="1" x14ac:dyDescent="0.3">
      <c r="A9" s="65" t="s">
        <v>273</v>
      </c>
      <c r="B9" s="65" t="s">
        <v>80</v>
      </c>
      <c r="C9" s="65" t="s">
        <v>267</v>
      </c>
      <c r="D9" s="65" t="s">
        <v>129</v>
      </c>
      <c r="E9" s="65" t="s">
        <v>268</v>
      </c>
      <c r="F9" s="65" t="b">
        <f>TRUE()</f>
        <v>1</v>
      </c>
      <c r="G9" s="65" t="s">
        <v>269</v>
      </c>
      <c r="H9" s="65" t="s">
        <v>270</v>
      </c>
      <c r="I9" s="66">
        <v>46204</v>
      </c>
      <c r="J9" s="66">
        <v>46210</v>
      </c>
      <c r="K9" s="65">
        <v>6</v>
      </c>
      <c r="L9" s="65" t="s">
        <v>192</v>
      </c>
      <c r="M9" s="65" t="s">
        <v>185</v>
      </c>
      <c r="N9" s="65" t="b">
        <f>FALSE()</f>
        <v>0</v>
      </c>
      <c r="O9" s="65"/>
      <c r="P9" s="65"/>
      <c r="Q9" s="65" t="s">
        <v>236</v>
      </c>
      <c r="R9" s="65" t="s">
        <v>237</v>
      </c>
      <c r="S9" s="65"/>
      <c r="T9" s="65" t="b">
        <f>FALSE()</f>
        <v>0</v>
      </c>
      <c r="U9" s="65" t="b">
        <f>FALSE()</f>
        <v>0</v>
      </c>
      <c r="V9" s="65">
        <v>1034</v>
      </c>
      <c r="W9" s="65" t="s">
        <v>271</v>
      </c>
      <c r="X9" s="65">
        <v>2</v>
      </c>
      <c r="Y9" s="68">
        <v>0.01</v>
      </c>
      <c r="Z9" s="65" t="b">
        <f>FALSE()</f>
        <v>0</v>
      </c>
      <c r="AA9" s="65" t="b">
        <f>TRUE()</f>
        <v>1</v>
      </c>
      <c r="AB9" s="65" t="b">
        <f>FALSE()</f>
        <v>0</v>
      </c>
      <c r="AC9" s="65" t="b">
        <f>FALSE()</f>
        <v>0</v>
      </c>
      <c r="AD9" s="65" t="b">
        <f>FALSE()</f>
        <v>0</v>
      </c>
      <c r="AE9" s="65">
        <v>1</v>
      </c>
      <c r="AF9" s="69">
        <v>14.3</v>
      </c>
      <c r="AG9" s="65" t="s">
        <v>74</v>
      </c>
      <c r="AH9" s="65" t="s">
        <v>274</v>
      </c>
      <c r="AI9">
        <f>IF(AND(OR(Company_Explorer!$B$5="All Companies",$E9=Company_Explorer!$B$5),OR(Company_Explorer!$B$6="All Platforms",$B9=Company_Explorer!$B$6),OR(Company_Explorer!$B$7="All Roles",$D9=Company_Explorer!$B$7),OR(Company_Explorer!$B$8="All Ghost Labels",$AG9=Company_Explorer!$B$8)),1,0)</f>
        <v>0</v>
      </c>
    </row>
    <row r="10" spans="1:35" ht="15" customHeight="1" x14ac:dyDescent="0.3">
      <c r="A10" s="60" t="s">
        <v>275</v>
      </c>
      <c r="B10" s="60" t="s">
        <v>80</v>
      </c>
      <c r="C10" s="60" t="s">
        <v>258</v>
      </c>
      <c r="D10" s="60" t="s">
        <v>125</v>
      </c>
      <c r="E10" s="60" t="s">
        <v>141</v>
      </c>
      <c r="F10" s="60" t="b">
        <f>TRUE()</f>
        <v>1</v>
      </c>
      <c r="G10" s="60" t="s">
        <v>167</v>
      </c>
      <c r="H10" s="60" t="s">
        <v>276</v>
      </c>
      <c r="I10" s="61">
        <v>46198</v>
      </c>
      <c r="J10" s="61">
        <v>46210</v>
      </c>
      <c r="K10" s="60">
        <v>12</v>
      </c>
      <c r="L10" s="60" t="s">
        <v>192</v>
      </c>
      <c r="M10" s="60" t="s">
        <v>184</v>
      </c>
      <c r="N10" s="60" t="b">
        <f>FALSE()</f>
        <v>0</v>
      </c>
      <c r="O10" s="60"/>
      <c r="P10" s="60"/>
      <c r="Q10" s="60" t="s">
        <v>236</v>
      </c>
      <c r="R10" s="60" t="s">
        <v>237</v>
      </c>
      <c r="S10" s="60"/>
      <c r="T10" s="60" t="b">
        <f>FALSE()</f>
        <v>0</v>
      </c>
      <c r="U10" s="60" t="b">
        <f>FALSE()</f>
        <v>0</v>
      </c>
      <c r="V10" s="60">
        <v>306</v>
      </c>
      <c r="W10" s="62" t="s">
        <v>259</v>
      </c>
      <c r="X10" s="60">
        <v>429</v>
      </c>
      <c r="Y10" s="63">
        <v>2.66</v>
      </c>
      <c r="Z10" s="60" t="b">
        <f>FALSE()</f>
        <v>0</v>
      </c>
      <c r="AA10" s="60" t="b">
        <f>TRUE()</f>
        <v>1</v>
      </c>
      <c r="AB10" s="60" t="b">
        <f>FALSE()</f>
        <v>0</v>
      </c>
      <c r="AC10" s="60" t="b">
        <f>FALSE()</f>
        <v>0</v>
      </c>
      <c r="AD10" s="60" t="b">
        <f>TRUE()</f>
        <v>1</v>
      </c>
      <c r="AE10" s="60">
        <v>3</v>
      </c>
      <c r="AF10" s="64">
        <v>42.9</v>
      </c>
      <c r="AG10" s="60" t="s">
        <v>73</v>
      </c>
      <c r="AH10" s="60" t="s">
        <v>277</v>
      </c>
      <c r="AI10">
        <f>IF(AND(OR(Company_Explorer!$B$5="All Companies",$E10=Company_Explorer!$B$5),OR(Company_Explorer!$B$6="All Platforms",$B10=Company_Explorer!$B$6),OR(Company_Explorer!$B$7="All Roles",$D10=Company_Explorer!$B$7),OR(Company_Explorer!$B$8="All Ghost Labels",$AG10=Company_Explorer!$B$8)),1,0)</f>
        <v>0</v>
      </c>
    </row>
    <row r="11" spans="1:35" ht="15" customHeight="1" x14ac:dyDescent="0.3">
      <c r="A11" s="65" t="s">
        <v>278</v>
      </c>
      <c r="B11" s="65" t="s">
        <v>80</v>
      </c>
      <c r="C11" s="65" t="s">
        <v>258</v>
      </c>
      <c r="D11" s="65" t="s">
        <v>125</v>
      </c>
      <c r="E11" s="65" t="s">
        <v>141</v>
      </c>
      <c r="F11" s="65" t="b">
        <f>TRUE()</f>
        <v>1</v>
      </c>
      <c r="G11" s="65" t="s">
        <v>166</v>
      </c>
      <c r="H11" s="65" t="s">
        <v>235</v>
      </c>
      <c r="I11" s="66">
        <v>46198</v>
      </c>
      <c r="J11" s="66">
        <v>46210</v>
      </c>
      <c r="K11" s="65">
        <v>12</v>
      </c>
      <c r="L11" s="65" t="s">
        <v>192</v>
      </c>
      <c r="M11" s="65" t="s">
        <v>184</v>
      </c>
      <c r="N11" s="65" t="b">
        <f>FALSE()</f>
        <v>0</v>
      </c>
      <c r="O11" s="65"/>
      <c r="P11" s="65"/>
      <c r="Q11" s="65" t="s">
        <v>236</v>
      </c>
      <c r="R11" s="65" t="s">
        <v>237</v>
      </c>
      <c r="S11" s="65"/>
      <c r="T11" s="65" t="b">
        <f>FALSE()</f>
        <v>0</v>
      </c>
      <c r="U11" s="65" t="b">
        <f>FALSE()</f>
        <v>0</v>
      </c>
      <c r="V11" s="65">
        <v>319</v>
      </c>
      <c r="W11" s="67" t="s">
        <v>259</v>
      </c>
      <c r="X11" s="65">
        <v>429</v>
      </c>
      <c r="Y11" s="68">
        <v>2.66</v>
      </c>
      <c r="Z11" s="65" t="b">
        <f>FALSE()</f>
        <v>0</v>
      </c>
      <c r="AA11" s="65" t="b">
        <f>TRUE()</f>
        <v>1</v>
      </c>
      <c r="AB11" s="65" t="b">
        <f>FALSE()</f>
        <v>0</v>
      </c>
      <c r="AC11" s="65" t="b">
        <f>FALSE()</f>
        <v>0</v>
      </c>
      <c r="AD11" s="65" t="b">
        <f>TRUE()</f>
        <v>1</v>
      </c>
      <c r="AE11" s="65">
        <v>3</v>
      </c>
      <c r="AF11" s="69">
        <v>42.9</v>
      </c>
      <c r="AG11" s="65" t="s">
        <v>73</v>
      </c>
      <c r="AH11" s="65" t="s">
        <v>279</v>
      </c>
      <c r="AI11">
        <f>IF(AND(OR(Company_Explorer!$B$5="All Companies",$E11=Company_Explorer!$B$5),OR(Company_Explorer!$B$6="All Platforms",$B11=Company_Explorer!$B$6),OR(Company_Explorer!$B$7="All Roles",$D11=Company_Explorer!$B$7),OR(Company_Explorer!$B$8="All Ghost Labels",$AG11=Company_Explorer!$B$8)),1,0)</f>
        <v>0</v>
      </c>
    </row>
    <row r="12" spans="1:35" ht="15" customHeight="1" x14ac:dyDescent="0.3">
      <c r="A12" s="60" t="s">
        <v>280</v>
      </c>
      <c r="B12" s="60" t="s">
        <v>80</v>
      </c>
      <c r="C12" s="60" t="s">
        <v>258</v>
      </c>
      <c r="D12" s="60" t="s">
        <v>125</v>
      </c>
      <c r="E12" s="60" t="s">
        <v>141</v>
      </c>
      <c r="F12" s="60" t="b">
        <f>TRUE()</f>
        <v>1</v>
      </c>
      <c r="G12" s="60" t="s">
        <v>167</v>
      </c>
      <c r="H12" s="60" t="s">
        <v>276</v>
      </c>
      <c r="I12" s="61">
        <v>46200</v>
      </c>
      <c r="J12" s="61">
        <v>46210</v>
      </c>
      <c r="K12" s="60">
        <v>10</v>
      </c>
      <c r="L12" s="60" t="s">
        <v>192</v>
      </c>
      <c r="M12" s="60" t="s">
        <v>184</v>
      </c>
      <c r="N12" s="60" t="b">
        <f>FALSE()</f>
        <v>0</v>
      </c>
      <c r="O12" s="60"/>
      <c r="P12" s="60"/>
      <c r="Q12" s="60" t="s">
        <v>236</v>
      </c>
      <c r="R12" s="60" t="s">
        <v>237</v>
      </c>
      <c r="S12" s="60"/>
      <c r="T12" s="60" t="b">
        <f>FALSE()</f>
        <v>0</v>
      </c>
      <c r="U12" s="60" t="b">
        <f>FALSE()</f>
        <v>0</v>
      </c>
      <c r="V12" s="60">
        <v>309</v>
      </c>
      <c r="W12" s="62" t="s">
        <v>259</v>
      </c>
      <c r="X12" s="60">
        <v>429</v>
      </c>
      <c r="Y12" s="63">
        <v>2.66</v>
      </c>
      <c r="Z12" s="60" t="b">
        <f>FALSE()</f>
        <v>0</v>
      </c>
      <c r="AA12" s="60" t="b">
        <f>TRUE()</f>
        <v>1</v>
      </c>
      <c r="AB12" s="60" t="b">
        <f>FALSE()</f>
        <v>0</v>
      </c>
      <c r="AC12" s="60" t="b">
        <f>FALSE()</f>
        <v>0</v>
      </c>
      <c r="AD12" s="60" t="b">
        <f>TRUE()</f>
        <v>1</v>
      </c>
      <c r="AE12" s="60">
        <v>3</v>
      </c>
      <c r="AF12" s="64">
        <v>42.9</v>
      </c>
      <c r="AG12" s="60" t="s">
        <v>73</v>
      </c>
      <c r="AH12" s="60" t="s">
        <v>281</v>
      </c>
      <c r="AI12">
        <f>IF(AND(OR(Company_Explorer!$B$5="All Companies",$E12=Company_Explorer!$B$5),OR(Company_Explorer!$B$6="All Platforms",$B12=Company_Explorer!$B$6),OR(Company_Explorer!$B$7="All Roles",$D12=Company_Explorer!$B$7),OR(Company_Explorer!$B$8="All Ghost Labels",$AG12=Company_Explorer!$B$8)),1,0)</f>
        <v>0</v>
      </c>
    </row>
    <row r="13" spans="1:35" ht="15" customHeight="1" x14ac:dyDescent="0.3">
      <c r="A13" s="65" t="s">
        <v>282</v>
      </c>
      <c r="B13" s="65" t="s">
        <v>80</v>
      </c>
      <c r="C13" s="65" t="s">
        <v>258</v>
      </c>
      <c r="D13" s="65" t="s">
        <v>125</v>
      </c>
      <c r="E13" s="65" t="s">
        <v>141</v>
      </c>
      <c r="F13" s="65" t="b">
        <f>TRUE()</f>
        <v>1</v>
      </c>
      <c r="G13" s="65" t="s">
        <v>166</v>
      </c>
      <c r="H13" s="65" t="s">
        <v>235</v>
      </c>
      <c r="I13" s="66">
        <v>46198</v>
      </c>
      <c r="J13" s="66">
        <v>46210</v>
      </c>
      <c r="K13" s="65">
        <v>12</v>
      </c>
      <c r="L13" s="65" t="s">
        <v>192</v>
      </c>
      <c r="M13" s="65" t="s">
        <v>184</v>
      </c>
      <c r="N13" s="65" t="b">
        <f>FALSE()</f>
        <v>0</v>
      </c>
      <c r="O13" s="65"/>
      <c r="P13" s="65"/>
      <c r="Q13" s="65" t="s">
        <v>236</v>
      </c>
      <c r="R13" s="65" t="s">
        <v>237</v>
      </c>
      <c r="S13" s="65"/>
      <c r="T13" s="65" t="b">
        <f>FALSE()</f>
        <v>0</v>
      </c>
      <c r="U13" s="65" t="b">
        <f>FALSE()</f>
        <v>0</v>
      </c>
      <c r="V13" s="65">
        <v>319</v>
      </c>
      <c r="W13" s="67" t="s">
        <v>259</v>
      </c>
      <c r="X13" s="65">
        <v>429</v>
      </c>
      <c r="Y13" s="68">
        <v>2.66</v>
      </c>
      <c r="Z13" s="65" t="b">
        <f>FALSE()</f>
        <v>0</v>
      </c>
      <c r="AA13" s="65" t="b">
        <f>TRUE()</f>
        <v>1</v>
      </c>
      <c r="AB13" s="65" t="b">
        <f>FALSE()</f>
        <v>0</v>
      </c>
      <c r="AC13" s="65" t="b">
        <f>FALSE()</f>
        <v>0</v>
      </c>
      <c r="AD13" s="65" t="b">
        <f>TRUE()</f>
        <v>1</v>
      </c>
      <c r="AE13" s="65">
        <v>3</v>
      </c>
      <c r="AF13" s="69">
        <v>42.9</v>
      </c>
      <c r="AG13" s="65" t="s">
        <v>73</v>
      </c>
      <c r="AH13" s="65" t="s">
        <v>283</v>
      </c>
      <c r="AI13">
        <f>IF(AND(OR(Company_Explorer!$B$5="All Companies",$E13=Company_Explorer!$B$5),OR(Company_Explorer!$B$6="All Platforms",$B13=Company_Explorer!$B$6),OR(Company_Explorer!$B$7="All Roles",$D13=Company_Explorer!$B$7),OR(Company_Explorer!$B$8="All Ghost Labels",$AG13=Company_Explorer!$B$8)),1,0)</f>
        <v>0</v>
      </c>
    </row>
    <row r="14" spans="1:35" ht="15" customHeight="1" x14ac:dyDescent="0.3">
      <c r="A14" s="60" t="s">
        <v>284</v>
      </c>
      <c r="B14" s="60" t="s">
        <v>80</v>
      </c>
      <c r="C14" s="60" t="s">
        <v>258</v>
      </c>
      <c r="D14" s="60" t="s">
        <v>125</v>
      </c>
      <c r="E14" s="60" t="s">
        <v>141</v>
      </c>
      <c r="F14" s="60" t="b">
        <f>TRUE()</f>
        <v>1</v>
      </c>
      <c r="G14" s="60" t="s">
        <v>166</v>
      </c>
      <c r="H14" s="60" t="s">
        <v>235</v>
      </c>
      <c r="I14" s="61">
        <v>46198</v>
      </c>
      <c r="J14" s="61">
        <v>46210</v>
      </c>
      <c r="K14" s="60">
        <v>12</v>
      </c>
      <c r="L14" s="60" t="s">
        <v>192</v>
      </c>
      <c r="M14" s="60" t="s">
        <v>184</v>
      </c>
      <c r="N14" s="60" t="b">
        <f>FALSE()</f>
        <v>0</v>
      </c>
      <c r="O14" s="60"/>
      <c r="P14" s="60"/>
      <c r="Q14" s="60" t="s">
        <v>236</v>
      </c>
      <c r="R14" s="60" t="s">
        <v>237</v>
      </c>
      <c r="S14" s="60"/>
      <c r="T14" s="60" t="b">
        <f>FALSE()</f>
        <v>0</v>
      </c>
      <c r="U14" s="60" t="b">
        <f>FALSE()</f>
        <v>0</v>
      </c>
      <c r="V14" s="60">
        <v>271</v>
      </c>
      <c r="W14" s="62" t="s">
        <v>285</v>
      </c>
      <c r="X14" s="60">
        <v>429</v>
      </c>
      <c r="Y14" s="63">
        <v>2.66</v>
      </c>
      <c r="Z14" s="60" t="b">
        <f>FALSE()</f>
        <v>0</v>
      </c>
      <c r="AA14" s="60" t="b">
        <f>TRUE()</f>
        <v>1</v>
      </c>
      <c r="AB14" s="60" t="b">
        <f>TRUE()</f>
        <v>1</v>
      </c>
      <c r="AC14" s="60" t="b">
        <f>FALSE()</f>
        <v>0</v>
      </c>
      <c r="AD14" s="60" t="b">
        <f>TRUE()</f>
        <v>1</v>
      </c>
      <c r="AE14" s="60">
        <v>4</v>
      </c>
      <c r="AF14" s="64">
        <v>57.1</v>
      </c>
      <c r="AG14" s="60" t="s">
        <v>72</v>
      </c>
      <c r="AH14" s="60" t="s">
        <v>286</v>
      </c>
      <c r="AI14">
        <f>IF(AND(OR(Company_Explorer!$B$5="All Companies",$E14=Company_Explorer!$B$5),OR(Company_Explorer!$B$6="All Platforms",$B14=Company_Explorer!$B$6),OR(Company_Explorer!$B$7="All Roles",$D14=Company_Explorer!$B$7),OR(Company_Explorer!$B$8="All Ghost Labels",$AG14=Company_Explorer!$B$8)),1,0)</f>
        <v>0</v>
      </c>
    </row>
    <row r="15" spans="1:35" ht="15" customHeight="1" x14ac:dyDescent="0.3">
      <c r="A15" s="65" t="s">
        <v>287</v>
      </c>
      <c r="B15" s="65" t="s">
        <v>80</v>
      </c>
      <c r="C15" s="65" t="s">
        <v>125</v>
      </c>
      <c r="D15" s="65" t="s">
        <v>125</v>
      </c>
      <c r="E15" s="65" t="s">
        <v>288</v>
      </c>
      <c r="F15" s="65" t="b">
        <f>TRUE()</f>
        <v>1</v>
      </c>
      <c r="G15" s="65" t="s">
        <v>166</v>
      </c>
      <c r="H15" s="65" t="s">
        <v>235</v>
      </c>
      <c r="I15" s="66">
        <v>46182</v>
      </c>
      <c r="J15" s="66">
        <v>46210</v>
      </c>
      <c r="K15" s="65">
        <v>28</v>
      </c>
      <c r="L15" s="65" t="s">
        <v>192</v>
      </c>
      <c r="M15" s="65" t="s">
        <v>186</v>
      </c>
      <c r="N15" s="65" t="b">
        <f>FALSE()</f>
        <v>0</v>
      </c>
      <c r="O15" s="65"/>
      <c r="P15" s="65"/>
      <c r="Q15" s="65" t="s">
        <v>236</v>
      </c>
      <c r="R15" s="65" t="s">
        <v>237</v>
      </c>
      <c r="S15" s="65"/>
      <c r="T15" s="65" t="b">
        <f>FALSE()</f>
        <v>0</v>
      </c>
      <c r="U15" s="65" t="b">
        <f>FALSE()</f>
        <v>0</v>
      </c>
      <c r="V15" s="65">
        <v>108</v>
      </c>
      <c r="W15" s="67" t="s">
        <v>289</v>
      </c>
      <c r="X15" s="65">
        <v>1</v>
      </c>
      <c r="Y15" s="68">
        <v>0.01</v>
      </c>
      <c r="Z15" s="65" t="b">
        <f>FALSE()</f>
        <v>0</v>
      </c>
      <c r="AA15" s="65" t="b">
        <f>TRUE()</f>
        <v>1</v>
      </c>
      <c r="AB15" s="65" t="b">
        <f>TRUE()</f>
        <v>1</v>
      </c>
      <c r="AC15" s="65" t="b">
        <f>TRUE()</f>
        <v>1</v>
      </c>
      <c r="AD15" s="65" t="b">
        <f>FALSE()</f>
        <v>0</v>
      </c>
      <c r="AE15" s="65">
        <v>3</v>
      </c>
      <c r="AF15" s="69">
        <v>42.9</v>
      </c>
      <c r="AG15" s="65" t="s">
        <v>73</v>
      </c>
      <c r="AH15" s="65" t="s">
        <v>290</v>
      </c>
      <c r="AI15">
        <f>IF(AND(OR(Company_Explorer!$B$5="All Companies",$E15=Company_Explorer!$B$5),OR(Company_Explorer!$B$6="All Platforms",$B15=Company_Explorer!$B$6),OR(Company_Explorer!$B$7="All Roles",$D15=Company_Explorer!$B$7),OR(Company_Explorer!$B$8="All Ghost Labels",$AG15=Company_Explorer!$B$8)),1,0)</f>
        <v>0</v>
      </c>
    </row>
    <row r="16" spans="1:35" ht="15" customHeight="1" x14ac:dyDescent="0.3">
      <c r="A16" s="60" t="s">
        <v>291</v>
      </c>
      <c r="B16" s="60" t="s">
        <v>80</v>
      </c>
      <c r="C16" s="60" t="s">
        <v>292</v>
      </c>
      <c r="D16" s="60" t="s">
        <v>125</v>
      </c>
      <c r="E16" s="60" t="s">
        <v>293</v>
      </c>
      <c r="F16" s="60" t="b">
        <f>TRUE()</f>
        <v>1</v>
      </c>
      <c r="G16" s="60" t="s">
        <v>169</v>
      </c>
      <c r="H16" s="60" t="s">
        <v>294</v>
      </c>
      <c r="I16" s="61">
        <v>46184</v>
      </c>
      <c r="J16" s="61">
        <v>46210</v>
      </c>
      <c r="K16" s="60">
        <v>26</v>
      </c>
      <c r="L16" s="60" t="s">
        <v>192</v>
      </c>
      <c r="M16" s="60" t="s">
        <v>186</v>
      </c>
      <c r="N16" s="60" t="b">
        <f>FALSE()</f>
        <v>0</v>
      </c>
      <c r="O16" s="60"/>
      <c r="P16" s="60"/>
      <c r="Q16" s="60" t="s">
        <v>236</v>
      </c>
      <c r="R16" s="60" t="s">
        <v>237</v>
      </c>
      <c r="S16" s="60"/>
      <c r="T16" s="60" t="b">
        <f>FALSE()</f>
        <v>0</v>
      </c>
      <c r="U16" s="60" t="b">
        <f>FALSE()</f>
        <v>0</v>
      </c>
      <c r="V16" s="60">
        <v>178</v>
      </c>
      <c r="W16" s="62" t="s">
        <v>295</v>
      </c>
      <c r="X16" s="60">
        <v>1</v>
      </c>
      <c r="Y16" s="63">
        <v>0.01</v>
      </c>
      <c r="Z16" s="60" t="b">
        <f>FALSE()</f>
        <v>0</v>
      </c>
      <c r="AA16" s="60" t="b">
        <f>TRUE()</f>
        <v>1</v>
      </c>
      <c r="AB16" s="60" t="b">
        <f>TRUE()</f>
        <v>1</v>
      </c>
      <c r="AC16" s="60" t="b">
        <f>TRUE()</f>
        <v>1</v>
      </c>
      <c r="AD16" s="60" t="b">
        <f>FALSE()</f>
        <v>0</v>
      </c>
      <c r="AE16" s="60">
        <v>3</v>
      </c>
      <c r="AF16" s="64">
        <v>42.9</v>
      </c>
      <c r="AG16" s="60" t="s">
        <v>73</v>
      </c>
      <c r="AH16" s="60" t="s">
        <v>296</v>
      </c>
      <c r="AI16">
        <f>IF(AND(OR(Company_Explorer!$B$5="All Companies",$E16=Company_Explorer!$B$5),OR(Company_Explorer!$B$6="All Platforms",$B16=Company_Explorer!$B$6),OR(Company_Explorer!$B$7="All Roles",$D16=Company_Explorer!$B$7),OR(Company_Explorer!$B$8="All Ghost Labels",$AG16=Company_Explorer!$B$8)),1,0)</f>
        <v>0</v>
      </c>
    </row>
    <row r="17" spans="1:35" ht="15" customHeight="1" x14ac:dyDescent="0.3">
      <c r="A17" s="65" t="s">
        <v>297</v>
      </c>
      <c r="B17" s="65" t="s">
        <v>80</v>
      </c>
      <c r="C17" s="65" t="s">
        <v>258</v>
      </c>
      <c r="D17" s="65" t="s">
        <v>125</v>
      </c>
      <c r="E17" s="65" t="s">
        <v>141</v>
      </c>
      <c r="F17" s="65" t="b">
        <f>TRUE()</f>
        <v>1</v>
      </c>
      <c r="G17" s="65" t="s">
        <v>172</v>
      </c>
      <c r="H17" s="65" t="s">
        <v>276</v>
      </c>
      <c r="I17" s="66">
        <v>46198</v>
      </c>
      <c r="J17" s="66">
        <v>46210</v>
      </c>
      <c r="K17" s="65">
        <v>12</v>
      </c>
      <c r="L17" s="65" t="s">
        <v>192</v>
      </c>
      <c r="M17" s="65" t="s">
        <v>184</v>
      </c>
      <c r="N17" s="65" t="b">
        <f>FALSE()</f>
        <v>0</v>
      </c>
      <c r="O17" s="65"/>
      <c r="P17" s="65"/>
      <c r="Q17" s="65" t="s">
        <v>236</v>
      </c>
      <c r="R17" s="65" t="s">
        <v>237</v>
      </c>
      <c r="S17" s="65"/>
      <c r="T17" s="65" t="b">
        <f>FALSE()</f>
        <v>0</v>
      </c>
      <c r="U17" s="65" t="b">
        <f>FALSE()</f>
        <v>0</v>
      </c>
      <c r="V17" s="65">
        <v>279</v>
      </c>
      <c r="W17" s="67" t="s">
        <v>259</v>
      </c>
      <c r="X17" s="65">
        <v>429</v>
      </c>
      <c r="Y17" s="68">
        <v>2.66</v>
      </c>
      <c r="Z17" s="65" t="b">
        <f>FALSE()</f>
        <v>0</v>
      </c>
      <c r="AA17" s="65" t="b">
        <f>TRUE()</f>
        <v>1</v>
      </c>
      <c r="AB17" s="65" t="b">
        <f>FALSE()</f>
        <v>0</v>
      </c>
      <c r="AC17" s="65" t="b">
        <f>FALSE()</f>
        <v>0</v>
      </c>
      <c r="AD17" s="65" t="b">
        <f>TRUE()</f>
        <v>1</v>
      </c>
      <c r="AE17" s="65">
        <v>3</v>
      </c>
      <c r="AF17" s="69">
        <v>42.9</v>
      </c>
      <c r="AG17" s="65" t="s">
        <v>73</v>
      </c>
      <c r="AH17" s="65" t="s">
        <v>298</v>
      </c>
      <c r="AI17">
        <f>IF(AND(OR(Company_Explorer!$B$5="All Companies",$E17=Company_Explorer!$B$5),OR(Company_Explorer!$B$6="All Platforms",$B17=Company_Explorer!$B$6),OR(Company_Explorer!$B$7="All Roles",$D17=Company_Explorer!$B$7),OR(Company_Explorer!$B$8="All Ghost Labels",$AG17=Company_Explorer!$B$8)),1,0)</f>
        <v>0</v>
      </c>
    </row>
    <row r="18" spans="1:35" ht="15" customHeight="1" x14ac:dyDescent="0.3">
      <c r="A18" s="60" t="s">
        <v>299</v>
      </c>
      <c r="B18" s="60" t="s">
        <v>80</v>
      </c>
      <c r="C18" s="60" t="s">
        <v>300</v>
      </c>
      <c r="D18" s="60" t="s">
        <v>125</v>
      </c>
      <c r="E18" s="60" t="s">
        <v>301</v>
      </c>
      <c r="F18" s="60" t="b">
        <f>TRUE()</f>
        <v>1</v>
      </c>
      <c r="G18" s="60" t="s">
        <v>174</v>
      </c>
      <c r="H18" s="60" t="s">
        <v>302</v>
      </c>
      <c r="I18" s="61">
        <v>46204</v>
      </c>
      <c r="J18" s="61">
        <v>46210</v>
      </c>
      <c r="K18" s="60">
        <v>6</v>
      </c>
      <c r="L18" s="60" t="s">
        <v>192</v>
      </c>
      <c r="M18" s="60" t="s">
        <v>185</v>
      </c>
      <c r="N18" s="60" t="b">
        <f>FALSE()</f>
        <v>0</v>
      </c>
      <c r="O18" s="60"/>
      <c r="P18" s="60"/>
      <c r="Q18" s="60" t="s">
        <v>236</v>
      </c>
      <c r="R18" s="60" t="s">
        <v>237</v>
      </c>
      <c r="S18" s="60"/>
      <c r="T18" s="60" t="b">
        <f>FALSE()</f>
        <v>0</v>
      </c>
      <c r="U18" s="60" t="b">
        <f>FALSE()</f>
        <v>0</v>
      </c>
      <c r="V18" s="60">
        <v>490</v>
      </c>
      <c r="W18" s="60" t="s">
        <v>303</v>
      </c>
      <c r="X18" s="60">
        <v>1</v>
      </c>
      <c r="Y18" s="63">
        <v>0.01</v>
      </c>
      <c r="Z18" s="60" t="b">
        <f>FALSE()</f>
        <v>0</v>
      </c>
      <c r="AA18" s="60" t="b">
        <f>TRUE()</f>
        <v>1</v>
      </c>
      <c r="AB18" s="60" t="b">
        <f>FALSE()</f>
        <v>0</v>
      </c>
      <c r="AC18" s="60" t="b">
        <f>FALSE()</f>
        <v>0</v>
      </c>
      <c r="AD18" s="60" t="b">
        <f>FALSE()</f>
        <v>0</v>
      </c>
      <c r="AE18" s="60">
        <v>1</v>
      </c>
      <c r="AF18" s="64">
        <v>14.3</v>
      </c>
      <c r="AG18" s="60" t="s">
        <v>74</v>
      </c>
      <c r="AH18" s="60" t="s">
        <v>304</v>
      </c>
      <c r="AI18">
        <f>IF(AND(OR(Company_Explorer!$B$5="All Companies",$E18=Company_Explorer!$B$5),OR(Company_Explorer!$B$6="All Platforms",$B18=Company_Explorer!$B$6),OR(Company_Explorer!$B$7="All Roles",$D18=Company_Explorer!$B$7),OR(Company_Explorer!$B$8="All Ghost Labels",$AG18=Company_Explorer!$B$8)),1,0)</f>
        <v>0</v>
      </c>
    </row>
    <row r="19" spans="1:35" ht="15" customHeight="1" x14ac:dyDescent="0.3">
      <c r="A19" s="65" t="s">
        <v>305</v>
      </c>
      <c r="B19" s="65" t="s">
        <v>80</v>
      </c>
      <c r="C19" s="65" t="s">
        <v>306</v>
      </c>
      <c r="D19" s="65" t="s">
        <v>125</v>
      </c>
      <c r="E19" s="65" t="s">
        <v>141</v>
      </c>
      <c r="F19" s="65" t="b">
        <f>TRUE()</f>
        <v>1</v>
      </c>
      <c r="G19" s="65" t="s">
        <v>169</v>
      </c>
      <c r="H19" s="65" t="s">
        <v>294</v>
      </c>
      <c r="I19" s="66">
        <v>46194</v>
      </c>
      <c r="J19" s="66">
        <v>46210</v>
      </c>
      <c r="K19" s="65">
        <v>16</v>
      </c>
      <c r="L19" s="65" t="s">
        <v>192</v>
      </c>
      <c r="M19" s="65" t="s">
        <v>184</v>
      </c>
      <c r="N19" s="65" t="b">
        <f>FALSE()</f>
        <v>0</v>
      </c>
      <c r="O19" s="65"/>
      <c r="P19" s="65"/>
      <c r="Q19" s="65" t="s">
        <v>236</v>
      </c>
      <c r="R19" s="65" t="s">
        <v>237</v>
      </c>
      <c r="S19" s="65"/>
      <c r="T19" s="65" t="b">
        <f>FALSE()</f>
        <v>0</v>
      </c>
      <c r="U19" s="65" t="b">
        <f>FALSE()</f>
        <v>0</v>
      </c>
      <c r="V19" s="65">
        <v>268</v>
      </c>
      <c r="W19" s="67" t="s">
        <v>307</v>
      </c>
      <c r="X19" s="65">
        <v>429</v>
      </c>
      <c r="Y19" s="68">
        <v>2.66</v>
      </c>
      <c r="Z19" s="65" t="b">
        <f>FALSE()</f>
        <v>0</v>
      </c>
      <c r="AA19" s="65" t="b">
        <f>TRUE()</f>
        <v>1</v>
      </c>
      <c r="AB19" s="65" t="b">
        <f>TRUE()</f>
        <v>1</v>
      </c>
      <c r="AC19" s="65" t="b">
        <f>FALSE()</f>
        <v>0</v>
      </c>
      <c r="AD19" s="65" t="b">
        <f>TRUE()</f>
        <v>1</v>
      </c>
      <c r="AE19" s="65">
        <v>4</v>
      </c>
      <c r="AF19" s="69">
        <v>57.1</v>
      </c>
      <c r="AG19" s="65" t="s">
        <v>72</v>
      </c>
      <c r="AH19" s="65" t="s">
        <v>308</v>
      </c>
      <c r="AI19">
        <f>IF(AND(OR(Company_Explorer!$B$5="All Companies",$E19=Company_Explorer!$B$5),OR(Company_Explorer!$B$6="All Platforms",$B19=Company_Explorer!$B$6),OR(Company_Explorer!$B$7="All Roles",$D19=Company_Explorer!$B$7),OR(Company_Explorer!$B$8="All Ghost Labels",$AG19=Company_Explorer!$B$8)),1,0)</f>
        <v>0</v>
      </c>
    </row>
    <row r="20" spans="1:35" ht="15" customHeight="1" x14ac:dyDescent="0.3">
      <c r="A20" s="60" t="s">
        <v>309</v>
      </c>
      <c r="B20" s="60" t="s">
        <v>80</v>
      </c>
      <c r="C20" s="60" t="s">
        <v>125</v>
      </c>
      <c r="D20" s="60" t="s">
        <v>125</v>
      </c>
      <c r="E20" s="60" t="s">
        <v>310</v>
      </c>
      <c r="F20" s="60" t="b">
        <f>TRUE()</f>
        <v>1</v>
      </c>
      <c r="G20" s="60" t="s">
        <v>311</v>
      </c>
      <c r="H20" s="60" t="s">
        <v>235</v>
      </c>
      <c r="I20" s="61">
        <v>46208</v>
      </c>
      <c r="J20" s="61">
        <v>46210</v>
      </c>
      <c r="K20" s="60">
        <v>2</v>
      </c>
      <c r="L20" s="60" t="s">
        <v>192</v>
      </c>
      <c r="M20" s="60" t="s">
        <v>184</v>
      </c>
      <c r="N20" s="60" t="b">
        <f>FALSE()</f>
        <v>0</v>
      </c>
      <c r="O20" s="60"/>
      <c r="P20" s="60"/>
      <c r="Q20" s="60" t="s">
        <v>236</v>
      </c>
      <c r="R20" s="60" t="s">
        <v>237</v>
      </c>
      <c r="S20" s="60"/>
      <c r="T20" s="60" t="b">
        <f>FALSE()</f>
        <v>0</v>
      </c>
      <c r="U20" s="60" t="b">
        <f>FALSE()</f>
        <v>0</v>
      </c>
      <c r="V20" s="60">
        <v>323</v>
      </c>
      <c r="W20" s="62" t="s">
        <v>312</v>
      </c>
      <c r="X20" s="60">
        <v>1</v>
      </c>
      <c r="Y20" s="63">
        <v>0.01</v>
      </c>
      <c r="Z20" s="60" t="b">
        <f>FALSE()</f>
        <v>0</v>
      </c>
      <c r="AA20" s="60" t="b">
        <f>TRUE()</f>
        <v>1</v>
      </c>
      <c r="AB20" s="60" t="b">
        <f>FALSE()</f>
        <v>0</v>
      </c>
      <c r="AC20" s="60" t="b">
        <f>FALSE()</f>
        <v>0</v>
      </c>
      <c r="AD20" s="60" t="b">
        <f>FALSE()</f>
        <v>0</v>
      </c>
      <c r="AE20" s="60">
        <v>1</v>
      </c>
      <c r="AF20" s="64">
        <v>14.3</v>
      </c>
      <c r="AG20" s="60" t="s">
        <v>74</v>
      </c>
      <c r="AH20" s="60" t="s">
        <v>313</v>
      </c>
      <c r="AI20">
        <f>IF(AND(OR(Company_Explorer!$B$5="All Companies",$E20=Company_Explorer!$B$5),OR(Company_Explorer!$B$6="All Platforms",$B20=Company_Explorer!$B$6),OR(Company_Explorer!$B$7="All Roles",$D20=Company_Explorer!$B$7),OR(Company_Explorer!$B$8="All Ghost Labels",$AG20=Company_Explorer!$B$8)),1,0)</f>
        <v>0</v>
      </c>
    </row>
    <row r="21" spans="1:35" ht="15" customHeight="1" x14ac:dyDescent="0.3">
      <c r="A21" s="65" t="s">
        <v>314</v>
      </c>
      <c r="B21" s="65" t="s">
        <v>80</v>
      </c>
      <c r="C21" s="65" t="s">
        <v>315</v>
      </c>
      <c r="D21" s="65" t="s">
        <v>126</v>
      </c>
      <c r="E21" s="65" t="s">
        <v>141</v>
      </c>
      <c r="F21" s="65" t="b">
        <f>TRUE()</f>
        <v>1</v>
      </c>
      <c r="G21" s="65" t="s">
        <v>169</v>
      </c>
      <c r="H21" s="65" t="s">
        <v>294</v>
      </c>
      <c r="I21" s="66">
        <v>46198</v>
      </c>
      <c r="J21" s="66">
        <v>46210</v>
      </c>
      <c r="K21" s="65">
        <v>12</v>
      </c>
      <c r="L21" s="65" t="s">
        <v>192</v>
      </c>
      <c r="M21" s="65" t="s">
        <v>184</v>
      </c>
      <c r="N21" s="65" t="b">
        <f>FALSE()</f>
        <v>0</v>
      </c>
      <c r="O21" s="65"/>
      <c r="P21" s="65"/>
      <c r="Q21" s="65" t="s">
        <v>236</v>
      </c>
      <c r="R21" s="65" t="s">
        <v>237</v>
      </c>
      <c r="S21" s="65"/>
      <c r="T21" s="65" t="b">
        <f>FALSE()</f>
        <v>0</v>
      </c>
      <c r="U21" s="65" t="b">
        <f>FALSE()</f>
        <v>0</v>
      </c>
      <c r="V21" s="65">
        <v>286</v>
      </c>
      <c r="W21" s="67" t="s">
        <v>316</v>
      </c>
      <c r="X21" s="65">
        <v>429</v>
      </c>
      <c r="Y21" s="68">
        <v>2.66</v>
      </c>
      <c r="Z21" s="65" t="b">
        <f>FALSE()</f>
        <v>0</v>
      </c>
      <c r="AA21" s="65" t="b">
        <f>TRUE()</f>
        <v>1</v>
      </c>
      <c r="AB21" s="65" t="b">
        <f>FALSE()</f>
        <v>0</v>
      </c>
      <c r="AC21" s="65" t="b">
        <f>FALSE()</f>
        <v>0</v>
      </c>
      <c r="AD21" s="65" t="b">
        <f>TRUE()</f>
        <v>1</v>
      </c>
      <c r="AE21" s="65">
        <v>3</v>
      </c>
      <c r="AF21" s="69">
        <v>42.9</v>
      </c>
      <c r="AG21" s="65" t="s">
        <v>73</v>
      </c>
      <c r="AH21" s="65" t="s">
        <v>317</v>
      </c>
      <c r="AI21">
        <f>IF(AND(OR(Company_Explorer!$B$5="All Companies",$E21=Company_Explorer!$B$5),OR(Company_Explorer!$B$6="All Platforms",$B21=Company_Explorer!$B$6),OR(Company_Explorer!$B$7="All Roles",$D21=Company_Explorer!$B$7),OR(Company_Explorer!$B$8="All Ghost Labels",$AG21=Company_Explorer!$B$8)),1,0)</f>
        <v>0</v>
      </c>
    </row>
    <row r="22" spans="1:35" ht="15" customHeight="1" x14ac:dyDescent="0.3">
      <c r="A22" s="60" t="s">
        <v>318</v>
      </c>
      <c r="B22" s="60" t="s">
        <v>80</v>
      </c>
      <c r="C22" s="60" t="s">
        <v>319</v>
      </c>
      <c r="D22" s="60" t="s">
        <v>125</v>
      </c>
      <c r="E22" s="60" t="s">
        <v>141</v>
      </c>
      <c r="F22" s="60" t="b">
        <f>TRUE()</f>
        <v>1</v>
      </c>
      <c r="G22" s="60" t="s">
        <v>171</v>
      </c>
      <c r="H22" s="60" t="s">
        <v>254</v>
      </c>
      <c r="I22" s="61">
        <v>46198</v>
      </c>
      <c r="J22" s="61">
        <v>46210</v>
      </c>
      <c r="K22" s="60">
        <v>12</v>
      </c>
      <c r="L22" s="60" t="s">
        <v>192</v>
      </c>
      <c r="M22" s="60" t="s">
        <v>187</v>
      </c>
      <c r="N22" s="60" t="b">
        <f>FALSE()</f>
        <v>0</v>
      </c>
      <c r="O22" s="60"/>
      <c r="P22" s="60"/>
      <c r="Q22" s="60" t="s">
        <v>236</v>
      </c>
      <c r="R22" s="60" t="s">
        <v>237</v>
      </c>
      <c r="S22" s="60"/>
      <c r="T22" s="60" t="b">
        <f>FALSE()</f>
        <v>0</v>
      </c>
      <c r="U22" s="60" t="b">
        <f>FALSE()</f>
        <v>0</v>
      </c>
      <c r="V22" s="60">
        <v>409</v>
      </c>
      <c r="W22" s="62" t="s">
        <v>320</v>
      </c>
      <c r="X22" s="60">
        <v>429</v>
      </c>
      <c r="Y22" s="63">
        <v>2.66</v>
      </c>
      <c r="Z22" s="60" t="b">
        <f>FALSE()</f>
        <v>0</v>
      </c>
      <c r="AA22" s="60" t="b">
        <f>TRUE()</f>
        <v>1</v>
      </c>
      <c r="AB22" s="60" t="b">
        <f>FALSE()</f>
        <v>0</v>
      </c>
      <c r="AC22" s="60" t="b">
        <f>FALSE()</f>
        <v>0</v>
      </c>
      <c r="AD22" s="60" t="b">
        <f>TRUE()</f>
        <v>1</v>
      </c>
      <c r="AE22" s="60">
        <v>3</v>
      </c>
      <c r="AF22" s="64">
        <v>42.9</v>
      </c>
      <c r="AG22" s="60" t="s">
        <v>73</v>
      </c>
      <c r="AH22" s="60" t="s">
        <v>321</v>
      </c>
      <c r="AI22">
        <f>IF(AND(OR(Company_Explorer!$B$5="All Companies",$E22=Company_Explorer!$B$5),OR(Company_Explorer!$B$6="All Platforms",$B22=Company_Explorer!$B$6),OR(Company_Explorer!$B$7="All Roles",$D22=Company_Explorer!$B$7),OR(Company_Explorer!$B$8="All Ghost Labels",$AG22=Company_Explorer!$B$8)),1,0)</f>
        <v>0</v>
      </c>
    </row>
    <row r="23" spans="1:35" ht="15" customHeight="1" x14ac:dyDescent="0.3">
      <c r="A23" s="65" t="s">
        <v>322</v>
      </c>
      <c r="B23" s="65" t="s">
        <v>80</v>
      </c>
      <c r="C23" s="65" t="s">
        <v>323</v>
      </c>
      <c r="D23" s="65" t="s">
        <v>130</v>
      </c>
      <c r="E23" s="65" t="s">
        <v>324</v>
      </c>
      <c r="F23" s="65" t="b">
        <f>TRUE()</f>
        <v>1</v>
      </c>
      <c r="G23" s="65" t="s">
        <v>325</v>
      </c>
      <c r="H23" s="65" t="s">
        <v>326</v>
      </c>
      <c r="I23" s="66">
        <v>46105</v>
      </c>
      <c r="J23" s="66">
        <v>46210</v>
      </c>
      <c r="K23" s="65">
        <v>105</v>
      </c>
      <c r="L23" s="65" t="s">
        <v>192</v>
      </c>
      <c r="M23" s="65" t="s">
        <v>184</v>
      </c>
      <c r="N23" s="65" t="b">
        <f>FALSE()</f>
        <v>0</v>
      </c>
      <c r="O23" s="65"/>
      <c r="P23" s="65"/>
      <c r="Q23" s="65" t="s">
        <v>236</v>
      </c>
      <c r="R23" s="65" t="s">
        <v>237</v>
      </c>
      <c r="S23" s="65"/>
      <c r="T23" s="65" t="b">
        <f>FALSE()</f>
        <v>0</v>
      </c>
      <c r="U23" s="65" t="b">
        <f>FALSE()</f>
        <v>0</v>
      </c>
      <c r="V23" s="65">
        <v>483</v>
      </c>
      <c r="W23" s="67" t="s">
        <v>327</v>
      </c>
      <c r="X23" s="65">
        <v>3</v>
      </c>
      <c r="Y23" s="68">
        <v>0.02</v>
      </c>
      <c r="Z23" s="65" t="b">
        <f>FALSE()</f>
        <v>0</v>
      </c>
      <c r="AA23" s="65" t="b">
        <f>TRUE()</f>
        <v>1</v>
      </c>
      <c r="AB23" s="65" t="b">
        <f>FALSE()</f>
        <v>0</v>
      </c>
      <c r="AC23" s="65" t="b">
        <f>TRUE()</f>
        <v>1</v>
      </c>
      <c r="AD23" s="65" t="b">
        <f>FALSE()</f>
        <v>0</v>
      </c>
      <c r="AE23" s="65">
        <v>2</v>
      </c>
      <c r="AF23" s="69">
        <v>28.6</v>
      </c>
      <c r="AG23" s="65" t="s">
        <v>73</v>
      </c>
      <c r="AH23" s="65" t="s">
        <v>328</v>
      </c>
      <c r="AI23">
        <f>IF(AND(OR(Company_Explorer!$B$5="All Companies",$E23=Company_Explorer!$B$5),OR(Company_Explorer!$B$6="All Platforms",$B23=Company_Explorer!$B$6),OR(Company_Explorer!$B$7="All Roles",$D23=Company_Explorer!$B$7),OR(Company_Explorer!$B$8="All Ghost Labels",$AG23=Company_Explorer!$B$8)),1,0)</f>
        <v>0</v>
      </c>
    </row>
    <row r="24" spans="1:35" ht="15" customHeight="1" x14ac:dyDescent="0.3">
      <c r="A24" s="60" t="s">
        <v>329</v>
      </c>
      <c r="B24" s="60" t="s">
        <v>80</v>
      </c>
      <c r="C24" s="60" t="s">
        <v>330</v>
      </c>
      <c r="D24" s="60" t="s">
        <v>125</v>
      </c>
      <c r="E24" s="60" t="s">
        <v>331</v>
      </c>
      <c r="F24" s="60" t="b">
        <f>TRUE()</f>
        <v>1</v>
      </c>
      <c r="G24" s="60" t="s">
        <v>178</v>
      </c>
      <c r="H24" s="60" t="s">
        <v>165</v>
      </c>
      <c r="I24" s="61">
        <v>46199</v>
      </c>
      <c r="J24" s="61">
        <v>46210</v>
      </c>
      <c r="K24" s="60">
        <v>11</v>
      </c>
      <c r="L24" s="60" t="s">
        <v>194</v>
      </c>
      <c r="M24" s="60" t="s">
        <v>186</v>
      </c>
      <c r="N24" s="60" t="b">
        <f>TRUE()</f>
        <v>1</v>
      </c>
      <c r="O24" s="70">
        <v>20</v>
      </c>
      <c r="P24" s="70">
        <v>55</v>
      </c>
      <c r="Q24" s="60" t="s">
        <v>332</v>
      </c>
      <c r="R24" s="60" t="s">
        <v>237</v>
      </c>
      <c r="S24" s="60"/>
      <c r="T24" s="60" t="b">
        <f>FALSE()</f>
        <v>0</v>
      </c>
      <c r="U24" s="60" t="b">
        <f>FALSE()</f>
        <v>0</v>
      </c>
      <c r="V24" s="60">
        <v>174</v>
      </c>
      <c r="W24" s="62" t="s">
        <v>333</v>
      </c>
      <c r="X24" s="60">
        <v>7</v>
      </c>
      <c r="Y24" s="63">
        <v>0.04</v>
      </c>
      <c r="Z24" s="60" t="b">
        <f>FALSE()</f>
        <v>0</v>
      </c>
      <c r="AA24" s="60" t="b">
        <f>FALSE()</f>
        <v>0</v>
      </c>
      <c r="AB24" s="60" t="b">
        <f>TRUE()</f>
        <v>1</v>
      </c>
      <c r="AC24" s="60" t="b">
        <f>FALSE()</f>
        <v>0</v>
      </c>
      <c r="AD24" s="60" t="b">
        <f>FALSE()</f>
        <v>0</v>
      </c>
      <c r="AE24" s="60">
        <v>1</v>
      </c>
      <c r="AF24" s="64">
        <v>14.3</v>
      </c>
      <c r="AG24" s="60" t="s">
        <v>74</v>
      </c>
      <c r="AH24" s="60" t="s">
        <v>334</v>
      </c>
      <c r="AI24">
        <f>IF(AND(OR(Company_Explorer!$B$5="All Companies",$E24=Company_Explorer!$B$5),OR(Company_Explorer!$B$6="All Platforms",$B24=Company_Explorer!$B$6),OR(Company_Explorer!$B$7="All Roles",$D24=Company_Explorer!$B$7),OR(Company_Explorer!$B$8="All Ghost Labels",$AG24=Company_Explorer!$B$8)),1,0)</f>
        <v>0</v>
      </c>
    </row>
    <row r="25" spans="1:35" ht="15" customHeight="1" x14ac:dyDescent="0.3">
      <c r="A25" s="65" t="s">
        <v>335</v>
      </c>
      <c r="B25" s="65" t="s">
        <v>80</v>
      </c>
      <c r="C25" s="65" t="s">
        <v>336</v>
      </c>
      <c r="D25" s="65" t="s">
        <v>126</v>
      </c>
      <c r="E25" s="65" t="s">
        <v>144</v>
      </c>
      <c r="F25" s="65" t="b">
        <f>TRUE()</f>
        <v>1</v>
      </c>
      <c r="G25" s="65" t="s">
        <v>168</v>
      </c>
      <c r="H25" s="65" t="s">
        <v>254</v>
      </c>
      <c r="I25" s="66">
        <v>46205</v>
      </c>
      <c r="J25" s="66">
        <v>46210</v>
      </c>
      <c r="K25" s="65">
        <v>5</v>
      </c>
      <c r="L25" s="65" t="s">
        <v>192</v>
      </c>
      <c r="M25" s="65" t="s">
        <v>184</v>
      </c>
      <c r="N25" s="65" t="b">
        <f>FALSE()</f>
        <v>0</v>
      </c>
      <c r="O25" s="65"/>
      <c r="P25" s="65"/>
      <c r="Q25" s="65" t="s">
        <v>236</v>
      </c>
      <c r="R25" s="65" t="s">
        <v>237</v>
      </c>
      <c r="S25" s="65"/>
      <c r="T25" s="65" t="b">
        <f>FALSE()</f>
        <v>0</v>
      </c>
      <c r="U25" s="65" t="b">
        <f>FALSE()</f>
        <v>0</v>
      </c>
      <c r="V25" s="65">
        <v>139</v>
      </c>
      <c r="W25" s="67" t="s">
        <v>337</v>
      </c>
      <c r="X25" s="65">
        <v>9</v>
      </c>
      <c r="Y25" s="68">
        <v>0.06</v>
      </c>
      <c r="Z25" s="65" t="b">
        <f>FALSE()</f>
        <v>0</v>
      </c>
      <c r="AA25" s="65" t="b">
        <f>TRUE()</f>
        <v>1</v>
      </c>
      <c r="AB25" s="65" t="b">
        <f>TRUE()</f>
        <v>1</v>
      </c>
      <c r="AC25" s="65" t="b">
        <f>FALSE()</f>
        <v>0</v>
      </c>
      <c r="AD25" s="65" t="b">
        <f>FALSE()</f>
        <v>0</v>
      </c>
      <c r="AE25" s="65">
        <v>2</v>
      </c>
      <c r="AF25" s="69">
        <v>28.6</v>
      </c>
      <c r="AG25" s="65" t="s">
        <v>73</v>
      </c>
      <c r="AH25" s="65" t="s">
        <v>338</v>
      </c>
      <c r="AI25">
        <f>IF(AND(OR(Company_Explorer!$B$5="All Companies",$E25=Company_Explorer!$B$5),OR(Company_Explorer!$B$6="All Platforms",$B25=Company_Explorer!$B$6),OR(Company_Explorer!$B$7="All Roles",$D25=Company_Explorer!$B$7),OR(Company_Explorer!$B$8="All Ghost Labels",$AG25=Company_Explorer!$B$8)),1,0)</f>
        <v>0</v>
      </c>
    </row>
    <row r="26" spans="1:35" ht="15" customHeight="1" x14ac:dyDescent="0.3">
      <c r="A26" s="60" t="s">
        <v>339</v>
      </c>
      <c r="B26" s="60" t="s">
        <v>80</v>
      </c>
      <c r="C26" s="60" t="s">
        <v>340</v>
      </c>
      <c r="D26" s="60" t="s">
        <v>126</v>
      </c>
      <c r="E26" s="60" t="s">
        <v>341</v>
      </c>
      <c r="F26" s="60" t="b">
        <f>TRUE()</f>
        <v>1</v>
      </c>
      <c r="G26" s="60" t="s">
        <v>168</v>
      </c>
      <c r="H26" s="60" t="s">
        <v>254</v>
      </c>
      <c r="I26" s="61">
        <v>46205</v>
      </c>
      <c r="J26" s="61">
        <v>46210</v>
      </c>
      <c r="K26" s="60">
        <v>5</v>
      </c>
      <c r="L26" s="60" t="s">
        <v>192</v>
      </c>
      <c r="M26" s="60" t="s">
        <v>185</v>
      </c>
      <c r="N26" s="60" t="b">
        <f>FALSE()</f>
        <v>0</v>
      </c>
      <c r="O26" s="60"/>
      <c r="P26" s="60"/>
      <c r="Q26" s="60" t="s">
        <v>236</v>
      </c>
      <c r="R26" s="60" t="s">
        <v>237</v>
      </c>
      <c r="S26" s="60"/>
      <c r="T26" s="60" t="b">
        <f>FALSE()</f>
        <v>0</v>
      </c>
      <c r="U26" s="60" t="b">
        <f>FALSE()</f>
        <v>0</v>
      </c>
      <c r="V26" s="60">
        <v>122</v>
      </c>
      <c r="W26" s="62" t="s">
        <v>342</v>
      </c>
      <c r="X26" s="60">
        <v>3</v>
      </c>
      <c r="Y26" s="63">
        <v>0.02</v>
      </c>
      <c r="Z26" s="60" t="b">
        <f>FALSE()</f>
        <v>0</v>
      </c>
      <c r="AA26" s="60" t="b">
        <f>TRUE()</f>
        <v>1</v>
      </c>
      <c r="AB26" s="60" t="b">
        <f>TRUE()</f>
        <v>1</v>
      </c>
      <c r="AC26" s="60" t="b">
        <f>FALSE()</f>
        <v>0</v>
      </c>
      <c r="AD26" s="60" t="b">
        <f>FALSE()</f>
        <v>0</v>
      </c>
      <c r="AE26" s="60">
        <v>2</v>
      </c>
      <c r="AF26" s="64">
        <v>28.6</v>
      </c>
      <c r="AG26" s="60" t="s">
        <v>73</v>
      </c>
      <c r="AH26" s="60" t="s">
        <v>343</v>
      </c>
      <c r="AI26">
        <f>IF(AND(OR(Company_Explorer!$B$5="All Companies",$E26=Company_Explorer!$B$5),OR(Company_Explorer!$B$6="All Platforms",$B26=Company_Explorer!$B$6),OR(Company_Explorer!$B$7="All Roles",$D26=Company_Explorer!$B$7),OR(Company_Explorer!$B$8="All Ghost Labels",$AG26=Company_Explorer!$B$8)),1,0)</f>
        <v>0</v>
      </c>
    </row>
    <row r="27" spans="1:35" ht="15" customHeight="1" x14ac:dyDescent="0.3">
      <c r="A27" s="65" t="s">
        <v>344</v>
      </c>
      <c r="B27" s="65" t="s">
        <v>80</v>
      </c>
      <c r="C27" s="65" t="s">
        <v>345</v>
      </c>
      <c r="D27" s="65" t="s">
        <v>125</v>
      </c>
      <c r="E27" s="65" t="s">
        <v>346</v>
      </c>
      <c r="F27" s="65" t="b">
        <f>TRUE()</f>
        <v>1</v>
      </c>
      <c r="G27" s="65" t="s">
        <v>347</v>
      </c>
      <c r="H27" s="65" t="s">
        <v>235</v>
      </c>
      <c r="I27" s="66">
        <v>46189</v>
      </c>
      <c r="J27" s="66">
        <v>46210</v>
      </c>
      <c r="K27" s="65">
        <v>21</v>
      </c>
      <c r="L27" s="65" t="s">
        <v>192</v>
      </c>
      <c r="M27" s="65" t="s">
        <v>184</v>
      </c>
      <c r="N27" s="65" t="b">
        <f>FALSE()</f>
        <v>0</v>
      </c>
      <c r="O27" s="65"/>
      <c r="P27" s="65"/>
      <c r="Q27" s="65" t="s">
        <v>236</v>
      </c>
      <c r="R27" s="65" t="s">
        <v>237</v>
      </c>
      <c r="S27" s="65"/>
      <c r="T27" s="65" t="b">
        <f>FALSE()</f>
        <v>0</v>
      </c>
      <c r="U27" s="65" t="b">
        <f>FALSE()</f>
        <v>0</v>
      </c>
      <c r="V27" s="65">
        <v>115</v>
      </c>
      <c r="W27" s="67" t="s">
        <v>348</v>
      </c>
      <c r="X27" s="65">
        <v>4</v>
      </c>
      <c r="Y27" s="68">
        <v>0.02</v>
      </c>
      <c r="Z27" s="65" t="b">
        <f>FALSE()</f>
        <v>0</v>
      </c>
      <c r="AA27" s="65" t="b">
        <f>TRUE()</f>
        <v>1</v>
      </c>
      <c r="AB27" s="65" t="b">
        <f>TRUE()</f>
        <v>1</v>
      </c>
      <c r="AC27" s="65" t="b">
        <f>TRUE()</f>
        <v>1</v>
      </c>
      <c r="AD27" s="65" t="b">
        <f>FALSE()</f>
        <v>0</v>
      </c>
      <c r="AE27" s="65">
        <v>3</v>
      </c>
      <c r="AF27" s="69">
        <v>42.9</v>
      </c>
      <c r="AG27" s="65" t="s">
        <v>73</v>
      </c>
      <c r="AH27" s="65" t="s">
        <v>349</v>
      </c>
      <c r="AI27">
        <f>IF(AND(OR(Company_Explorer!$B$5="All Companies",$E27=Company_Explorer!$B$5),OR(Company_Explorer!$B$6="All Platforms",$B27=Company_Explorer!$B$6),OR(Company_Explorer!$B$7="All Roles",$D27=Company_Explorer!$B$7),OR(Company_Explorer!$B$8="All Ghost Labels",$AG27=Company_Explorer!$B$8)),1,0)</f>
        <v>0</v>
      </c>
    </row>
    <row r="28" spans="1:35" ht="15" customHeight="1" x14ac:dyDescent="0.3">
      <c r="A28" s="60" t="s">
        <v>350</v>
      </c>
      <c r="B28" s="60" t="s">
        <v>80</v>
      </c>
      <c r="C28" s="60" t="s">
        <v>125</v>
      </c>
      <c r="D28" s="60" t="s">
        <v>125</v>
      </c>
      <c r="E28" s="60" t="s">
        <v>351</v>
      </c>
      <c r="F28" s="60" t="b">
        <f>TRUE()</f>
        <v>1</v>
      </c>
      <c r="G28" s="60" t="s">
        <v>168</v>
      </c>
      <c r="H28" s="60" t="s">
        <v>254</v>
      </c>
      <c r="I28" s="61">
        <v>46152</v>
      </c>
      <c r="J28" s="61">
        <v>46210</v>
      </c>
      <c r="K28" s="60">
        <v>58</v>
      </c>
      <c r="L28" s="60" t="s">
        <v>192</v>
      </c>
      <c r="M28" s="60" t="s">
        <v>186</v>
      </c>
      <c r="N28" s="60" t="b">
        <f>FALSE()</f>
        <v>0</v>
      </c>
      <c r="O28" s="60"/>
      <c r="P28" s="60"/>
      <c r="Q28" s="60" t="s">
        <v>236</v>
      </c>
      <c r="R28" s="60" t="s">
        <v>237</v>
      </c>
      <c r="S28" s="60"/>
      <c r="T28" s="60" t="b">
        <f>FALSE()</f>
        <v>0</v>
      </c>
      <c r="U28" s="60" t="b">
        <f>FALSE()</f>
        <v>0</v>
      </c>
      <c r="V28" s="60">
        <v>576</v>
      </c>
      <c r="W28" s="62" t="s">
        <v>352</v>
      </c>
      <c r="X28" s="60">
        <v>10</v>
      </c>
      <c r="Y28" s="63">
        <v>0.06</v>
      </c>
      <c r="Z28" s="60" t="b">
        <f>FALSE()</f>
        <v>0</v>
      </c>
      <c r="AA28" s="60" t="b">
        <f>TRUE()</f>
        <v>1</v>
      </c>
      <c r="AB28" s="60" t="b">
        <f>FALSE()</f>
        <v>0</v>
      </c>
      <c r="AC28" s="60" t="b">
        <f>TRUE()</f>
        <v>1</v>
      </c>
      <c r="AD28" s="60" t="b">
        <f>FALSE()</f>
        <v>0</v>
      </c>
      <c r="AE28" s="60">
        <v>2</v>
      </c>
      <c r="AF28" s="64">
        <v>28.6</v>
      </c>
      <c r="AG28" s="60" t="s">
        <v>73</v>
      </c>
      <c r="AH28" s="60" t="s">
        <v>353</v>
      </c>
      <c r="AI28">
        <f>IF(AND(OR(Company_Explorer!$B$5="All Companies",$E28=Company_Explorer!$B$5),OR(Company_Explorer!$B$6="All Platforms",$B28=Company_Explorer!$B$6),OR(Company_Explorer!$B$7="All Roles",$D28=Company_Explorer!$B$7),OR(Company_Explorer!$B$8="All Ghost Labels",$AG28=Company_Explorer!$B$8)),1,0)</f>
        <v>0</v>
      </c>
    </row>
    <row r="29" spans="1:35" ht="15" customHeight="1" x14ac:dyDescent="0.3">
      <c r="A29" s="65" t="s">
        <v>354</v>
      </c>
      <c r="B29" s="65" t="s">
        <v>80</v>
      </c>
      <c r="C29" s="65" t="s">
        <v>125</v>
      </c>
      <c r="D29" s="65" t="s">
        <v>125</v>
      </c>
      <c r="E29" s="65" t="s">
        <v>355</v>
      </c>
      <c r="F29" s="65" t="b">
        <f>TRUE()</f>
        <v>1</v>
      </c>
      <c r="G29" s="65" t="s">
        <v>169</v>
      </c>
      <c r="H29" s="65" t="s">
        <v>294</v>
      </c>
      <c r="I29" s="66">
        <v>46189</v>
      </c>
      <c r="J29" s="66">
        <v>46210</v>
      </c>
      <c r="K29" s="65">
        <v>21</v>
      </c>
      <c r="L29" s="65" t="s">
        <v>192</v>
      </c>
      <c r="M29" s="65" t="s">
        <v>185</v>
      </c>
      <c r="N29" s="65" t="b">
        <f>FALSE()</f>
        <v>0</v>
      </c>
      <c r="O29" s="65"/>
      <c r="P29" s="65"/>
      <c r="Q29" s="65" t="s">
        <v>236</v>
      </c>
      <c r="R29" s="65" t="s">
        <v>237</v>
      </c>
      <c r="S29" s="65"/>
      <c r="T29" s="65" t="b">
        <f>FALSE()</f>
        <v>0</v>
      </c>
      <c r="U29" s="65" t="b">
        <f>FALSE()</f>
        <v>0</v>
      </c>
      <c r="V29" s="65">
        <v>558</v>
      </c>
      <c r="W29" s="67" t="s">
        <v>356</v>
      </c>
      <c r="X29" s="65">
        <v>1</v>
      </c>
      <c r="Y29" s="68">
        <v>0.01</v>
      </c>
      <c r="Z29" s="65" t="b">
        <f>FALSE()</f>
        <v>0</v>
      </c>
      <c r="AA29" s="65" t="b">
        <f>TRUE()</f>
        <v>1</v>
      </c>
      <c r="AB29" s="65" t="b">
        <f>FALSE()</f>
        <v>0</v>
      </c>
      <c r="AC29" s="65" t="b">
        <f>TRUE()</f>
        <v>1</v>
      </c>
      <c r="AD29" s="65" t="b">
        <f>FALSE()</f>
        <v>0</v>
      </c>
      <c r="AE29" s="65">
        <v>2</v>
      </c>
      <c r="AF29" s="69">
        <v>28.6</v>
      </c>
      <c r="AG29" s="65" t="s">
        <v>73</v>
      </c>
      <c r="AH29" s="65" t="s">
        <v>357</v>
      </c>
      <c r="AI29">
        <f>IF(AND(OR(Company_Explorer!$B$5="All Companies",$E29=Company_Explorer!$B$5),OR(Company_Explorer!$B$6="All Platforms",$B29=Company_Explorer!$B$6),OR(Company_Explorer!$B$7="All Roles",$D29=Company_Explorer!$B$7),OR(Company_Explorer!$B$8="All Ghost Labels",$AG29=Company_Explorer!$B$8)),1,0)</f>
        <v>0</v>
      </c>
    </row>
    <row r="30" spans="1:35" ht="15" customHeight="1" x14ac:dyDescent="0.3">
      <c r="A30" s="60" t="s">
        <v>358</v>
      </c>
      <c r="B30" s="60" t="s">
        <v>80</v>
      </c>
      <c r="C30" s="60" t="s">
        <v>319</v>
      </c>
      <c r="D30" s="60" t="s">
        <v>125</v>
      </c>
      <c r="E30" s="60" t="s">
        <v>141</v>
      </c>
      <c r="F30" s="60" t="b">
        <f>TRUE()</f>
        <v>1</v>
      </c>
      <c r="G30" s="60" t="s">
        <v>171</v>
      </c>
      <c r="H30" s="60" t="s">
        <v>254</v>
      </c>
      <c r="I30" s="61">
        <v>46199</v>
      </c>
      <c r="J30" s="61">
        <v>46210</v>
      </c>
      <c r="K30" s="60">
        <v>11</v>
      </c>
      <c r="L30" s="60" t="s">
        <v>192</v>
      </c>
      <c r="M30" s="60" t="s">
        <v>187</v>
      </c>
      <c r="N30" s="60" t="b">
        <f>FALSE()</f>
        <v>0</v>
      </c>
      <c r="O30" s="60"/>
      <c r="P30" s="60"/>
      <c r="Q30" s="60" t="s">
        <v>236</v>
      </c>
      <c r="R30" s="60" t="s">
        <v>237</v>
      </c>
      <c r="S30" s="60"/>
      <c r="T30" s="60" t="b">
        <f>FALSE()</f>
        <v>0</v>
      </c>
      <c r="U30" s="60" t="b">
        <f>FALSE()</f>
        <v>0</v>
      </c>
      <c r="V30" s="60">
        <v>404</v>
      </c>
      <c r="W30" s="62" t="s">
        <v>320</v>
      </c>
      <c r="X30" s="60">
        <v>429</v>
      </c>
      <c r="Y30" s="63">
        <v>2.66</v>
      </c>
      <c r="Z30" s="60" t="b">
        <f>FALSE()</f>
        <v>0</v>
      </c>
      <c r="AA30" s="60" t="b">
        <f>TRUE()</f>
        <v>1</v>
      </c>
      <c r="AB30" s="60" t="b">
        <f>FALSE()</f>
        <v>0</v>
      </c>
      <c r="AC30" s="60" t="b">
        <f>FALSE()</f>
        <v>0</v>
      </c>
      <c r="AD30" s="60" t="b">
        <f>TRUE()</f>
        <v>1</v>
      </c>
      <c r="AE30" s="60">
        <v>3</v>
      </c>
      <c r="AF30" s="64">
        <v>42.9</v>
      </c>
      <c r="AG30" s="60" t="s">
        <v>73</v>
      </c>
      <c r="AH30" s="60" t="s">
        <v>359</v>
      </c>
      <c r="AI30">
        <f>IF(AND(OR(Company_Explorer!$B$5="All Companies",$E30=Company_Explorer!$B$5),OR(Company_Explorer!$B$6="All Platforms",$B30=Company_Explorer!$B$6),OR(Company_Explorer!$B$7="All Roles",$D30=Company_Explorer!$B$7),OR(Company_Explorer!$B$8="All Ghost Labels",$AG30=Company_Explorer!$B$8)),1,0)</f>
        <v>0</v>
      </c>
    </row>
    <row r="31" spans="1:35" ht="15" customHeight="1" x14ac:dyDescent="0.3">
      <c r="A31" s="65" t="s">
        <v>360</v>
      </c>
      <c r="B31" s="65" t="s">
        <v>80</v>
      </c>
      <c r="C31" s="65" t="s">
        <v>306</v>
      </c>
      <c r="D31" s="65" t="s">
        <v>125</v>
      </c>
      <c r="E31" s="65" t="s">
        <v>141</v>
      </c>
      <c r="F31" s="65" t="b">
        <f>TRUE()</f>
        <v>1</v>
      </c>
      <c r="G31" s="65" t="s">
        <v>166</v>
      </c>
      <c r="H31" s="65" t="s">
        <v>235</v>
      </c>
      <c r="I31" s="66">
        <v>46198</v>
      </c>
      <c r="J31" s="66">
        <v>46210</v>
      </c>
      <c r="K31" s="65">
        <v>12</v>
      </c>
      <c r="L31" s="65" t="s">
        <v>192</v>
      </c>
      <c r="M31" s="65" t="s">
        <v>184</v>
      </c>
      <c r="N31" s="65" t="b">
        <f>FALSE()</f>
        <v>0</v>
      </c>
      <c r="O31" s="65"/>
      <c r="P31" s="65"/>
      <c r="Q31" s="65" t="s">
        <v>236</v>
      </c>
      <c r="R31" s="65" t="s">
        <v>237</v>
      </c>
      <c r="S31" s="65"/>
      <c r="T31" s="65" t="b">
        <f>FALSE()</f>
        <v>0</v>
      </c>
      <c r="U31" s="65" t="b">
        <f>FALSE()</f>
        <v>0</v>
      </c>
      <c r="V31" s="65">
        <v>262</v>
      </c>
      <c r="W31" s="67" t="s">
        <v>361</v>
      </c>
      <c r="X31" s="65">
        <v>429</v>
      </c>
      <c r="Y31" s="68">
        <v>2.66</v>
      </c>
      <c r="Z31" s="65" t="b">
        <f>FALSE()</f>
        <v>0</v>
      </c>
      <c r="AA31" s="65" t="b">
        <f>TRUE()</f>
        <v>1</v>
      </c>
      <c r="AB31" s="65" t="b">
        <f>TRUE()</f>
        <v>1</v>
      </c>
      <c r="AC31" s="65" t="b">
        <f>FALSE()</f>
        <v>0</v>
      </c>
      <c r="AD31" s="65" t="b">
        <f>TRUE()</f>
        <v>1</v>
      </c>
      <c r="AE31" s="65">
        <v>4</v>
      </c>
      <c r="AF31" s="69">
        <v>57.1</v>
      </c>
      <c r="AG31" s="65" t="s">
        <v>72</v>
      </c>
      <c r="AH31" s="65" t="s">
        <v>362</v>
      </c>
      <c r="AI31">
        <f>IF(AND(OR(Company_Explorer!$B$5="All Companies",$E31=Company_Explorer!$B$5),OR(Company_Explorer!$B$6="All Platforms",$B31=Company_Explorer!$B$6),OR(Company_Explorer!$B$7="All Roles",$D31=Company_Explorer!$B$7),OR(Company_Explorer!$B$8="All Ghost Labels",$AG31=Company_Explorer!$B$8)),1,0)</f>
        <v>0</v>
      </c>
    </row>
    <row r="32" spans="1:35" ht="15" customHeight="1" x14ac:dyDescent="0.3">
      <c r="A32" s="60" t="s">
        <v>363</v>
      </c>
      <c r="B32" s="60" t="s">
        <v>80</v>
      </c>
      <c r="C32" s="60" t="s">
        <v>364</v>
      </c>
      <c r="D32" s="60" t="s">
        <v>125</v>
      </c>
      <c r="E32" s="60" t="s">
        <v>365</v>
      </c>
      <c r="F32" s="60" t="b">
        <f>TRUE()</f>
        <v>1</v>
      </c>
      <c r="G32" s="60" t="s">
        <v>166</v>
      </c>
      <c r="H32" s="60" t="s">
        <v>235</v>
      </c>
      <c r="I32" s="61">
        <v>46202</v>
      </c>
      <c r="J32" s="61">
        <v>46210</v>
      </c>
      <c r="K32" s="60">
        <v>8</v>
      </c>
      <c r="L32" s="60" t="s">
        <v>192</v>
      </c>
      <c r="M32" s="60" t="s">
        <v>185</v>
      </c>
      <c r="N32" s="60" t="b">
        <f>FALSE()</f>
        <v>0</v>
      </c>
      <c r="O32" s="60"/>
      <c r="P32" s="60"/>
      <c r="Q32" s="60" t="s">
        <v>236</v>
      </c>
      <c r="R32" s="60" t="s">
        <v>237</v>
      </c>
      <c r="S32" s="60"/>
      <c r="T32" s="60" t="b">
        <f>FALSE()</f>
        <v>0</v>
      </c>
      <c r="U32" s="60" t="b">
        <f>FALSE()</f>
        <v>0</v>
      </c>
      <c r="V32" s="60">
        <v>960</v>
      </c>
      <c r="W32" s="62" t="s">
        <v>366</v>
      </c>
      <c r="X32" s="60">
        <v>3</v>
      </c>
      <c r="Y32" s="63">
        <v>0.02</v>
      </c>
      <c r="Z32" s="60" t="b">
        <f>FALSE()</f>
        <v>0</v>
      </c>
      <c r="AA32" s="60" t="b">
        <f>TRUE()</f>
        <v>1</v>
      </c>
      <c r="AB32" s="60" t="b">
        <f>FALSE()</f>
        <v>0</v>
      </c>
      <c r="AC32" s="60" t="b">
        <f>FALSE()</f>
        <v>0</v>
      </c>
      <c r="AD32" s="60" t="b">
        <f>FALSE()</f>
        <v>0</v>
      </c>
      <c r="AE32" s="60">
        <v>1</v>
      </c>
      <c r="AF32" s="64">
        <v>14.3</v>
      </c>
      <c r="AG32" s="60" t="s">
        <v>74</v>
      </c>
      <c r="AH32" s="60" t="s">
        <v>367</v>
      </c>
      <c r="AI32">
        <f>IF(AND(OR(Company_Explorer!$B$5="All Companies",$E32=Company_Explorer!$B$5),OR(Company_Explorer!$B$6="All Platforms",$B32=Company_Explorer!$B$6),OR(Company_Explorer!$B$7="All Roles",$D32=Company_Explorer!$B$7),OR(Company_Explorer!$B$8="All Ghost Labels",$AG32=Company_Explorer!$B$8)),1,0)</f>
        <v>0</v>
      </c>
    </row>
    <row r="33" spans="1:35" ht="15" customHeight="1" x14ac:dyDescent="0.3">
      <c r="A33" s="65" t="s">
        <v>368</v>
      </c>
      <c r="B33" s="65" t="s">
        <v>80</v>
      </c>
      <c r="C33" s="65" t="s">
        <v>125</v>
      </c>
      <c r="D33" s="65" t="s">
        <v>125</v>
      </c>
      <c r="E33" s="65" t="s">
        <v>369</v>
      </c>
      <c r="F33" s="65" t="b">
        <f>TRUE()</f>
        <v>1</v>
      </c>
      <c r="G33" s="65" t="s">
        <v>370</v>
      </c>
      <c r="H33" s="65" t="s">
        <v>165</v>
      </c>
      <c r="I33" s="66">
        <v>45915</v>
      </c>
      <c r="J33" s="66">
        <v>46210</v>
      </c>
      <c r="K33" s="65">
        <v>295</v>
      </c>
      <c r="L33" s="65" t="s">
        <v>192</v>
      </c>
      <c r="M33" s="65" t="s">
        <v>187</v>
      </c>
      <c r="N33" s="65" t="b">
        <f>FALSE()</f>
        <v>0</v>
      </c>
      <c r="O33" s="65"/>
      <c r="P33" s="65"/>
      <c r="Q33" s="65" t="s">
        <v>236</v>
      </c>
      <c r="R33" s="65" t="s">
        <v>237</v>
      </c>
      <c r="S33" s="65"/>
      <c r="T33" s="65" t="b">
        <f>FALSE()</f>
        <v>0</v>
      </c>
      <c r="U33" s="65" t="b">
        <f>FALSE()</f>
        <v>0</v>
      </c>
      <c r="V33" s="65">
        <v>358</v>
      </c>
      <c r="W33" s="67" t="s">
        <v>371</v>
      </c>
      <c r="X33" s="65">
        <v>1</v>
      </c>
      <c r="Y33" s="68">
        <v>0.01</v>
      </c>
      <c r="Z33" s="65" t="b">
        <f>FALSE()</f>
        <v>0</v>
      </c>
      <c r="AA33" s="65" t="b">
        <f>TRUE()</f>
        <v>1</v>
      </c>
      <c r="AB33" s="65" t="b">
        <f>FALSE()</f>
        <v>0</v>
      </c>
      <c r="AC33" s="65" t="b">
        <f>TRUE()</f>
        <v>1</v>
      </c>
      <c r="AD33" s="65" t="b">
        <f>FALSE()</f>
        <v>0</v>
      </c>
      <c r="AE33" s="65">
        <v>2</v>
      </c>
      <c r="AF33" s="69">
        <v>28.6</v>
      </c>
      <c r="AG33" s="65" t="s">
        <v>73</v>
      </c>
      <c r="AH33" s="65" t="s">
        <v>372</v>
      </c>
      <c r="AI33">
        <f>IF(AND(OR(Company_Explorer!$B$5="All Companies",$E33=Company_Explorer!$B$5),OR(Company_Explorer!$B$6="All Platforms",$B33=Company_Explorer!$B$6),OR(Company_Explorer!$B$7="All Roles",$D33=Company_Explorer!$B$7),OR(Company_Explorer!$B$8="All Ghost Labels",$AG33=Company_Explorer!$B$8)),1,0)</f>
        <v>0</v>
      </c>
    </row>
    <row r="34" spans="1:35" ht="15" customHeight="1" x14ac:dyDescent="0.3">
      <c r="A34" s="60" t="s">
        <v>373</v>
      </c>
      <c r="B34" s="60" t="s">
        <v>80</v>
      </c>
      <c r="C34" s="60" t="s">
        <v>306</v>
      </c>
      <c r="D34" s="60" t="s">
        <v>125</v>
      </c>
      <c r="E34" s="60" t="s">
        <v>141</v>
      </c>
      <c r="F34" s="60" t="b">
        <f>TRUE()</f>
        <v>1</v>
      </c>
      <c r="G34" s="60" t="s">
        <v>166</v>
      </c>
      <c r="H34" s="60" t="s">
        <v>235</v>
      </c>
      <c r="I34" s="61">
        <v>46199</v>
      </c>
      <c r="J34" s="61">
        <v>46210</v>
      </c>
      <c r="K34" s="60">
        <v>11</v>
      </c>
      <c r="L34" s="60" t="s">
        <v>192</v>
      </c>
      <c r="M34" s="60" t="s">
        <v>184</v>
      </c>
      <c r="N34" s="60" t="b">
        <f>FALSE()</f>
        <v>0</v>
      </c>
      <c r="O34" s="60"/>
      <c r="P34" s="60"/>
      <c r="Q34" s="60" t="s">
        <v>236</v>
      </c>
      <c r="R34" s="60" t="s">
        <v>237</v>
      </c>
      <c r="S34" s="60"/>
      <c r="T34" s="60" t="b">
        <f>FALSE()</f>
        <v>0</v>
      </c>
      <c r="U34" s="60" t="b">
        <f>FALSE()</f>
        <v>0</v>
      </c>
      <c r="V34" s="60">
        <v>262</v>
      </c>
      <c r="W34" s="62" t="s">
        <v>361</v>
      </c>
      <c r="X34" s="60">
        <v>429</v>
      </c>
      <c r="Y34" s="63">
        <v>2.66</v>
      </c>
      <c r="Z34" s="60" t="b">
        <f>FALSE()</f>
        <v>0</v>
      </c>
      <c r="AA34" s="60" t="b">
        <f>TRUE()</f>
        <v>1</v>
      </c>
      <c r="AB34" s="60" t="b">
        <f>TRUE()</f>
        <v>1</v>
      </c>
      <c r="AC34" s="60" t="b">
        <f>FALSE()</f>
        <v>0</v>
      </c>
      <c r="AD34" s="60" t="b">
        <f>TRUE()</f>
        <v>1</v>
      </c>
      <c r="AE34" s="60">
        <v>4</v>
      </c>
      <c r="AF34" s="64">
        <v>57.1</v>
      </c>
      <c r="AG34" s="60" t="s">
        <v>72</v>
      </c>
      <c r="AH34" s="60" t="s">
        <v>374</v>
      </c>
      <c r="AI34">
        <f>IF(AND(OR(Company_Explorer!$B$5="All Companies",$E34=Company_Explorer!$B$5),OR(Company_Explorer!$B$6="All Platforms",$B34=Company_Explorer!$B$6),OR(Company_Explorer!$B$7="All Roles",$D34=Company_Explorer!$B$7),OR(Company_Explorer!$B$8="All Ghost Labels",$AG34=Company_Explorer!$B$8)),1,0)</f>
        <v>0</v>
      </c>
    </row>
    <row r="35" spans="1:35" ht="15" customHeight="1" x14ac:dyDescent="0.3">
      <c r="A35" s="65" t="s">
        <v>375</v>
      </c>
      <c r="B35" s="65" t="s">
        <v>80</v>
      </c>
      <c r="C35" s="65" t="s">
        <v>376</v>
      </c>
      <c r="D35" s="65" t="s">
        <v>125</v>
      </c>
      <c r="E35" s="65" t="s">
        <v>377</v>
      </c>
      <c r="F35" s="65" t="b">
        <f>TRUE()</f>
        <v>1</v>
      </c>
      <c r="G35" s="65" t="s">
        <v>171</v>
      </c>
      <c r="H35" s="65" t="s">
        <v>254</v>
      </c>
      <c r="I35" s="66">
        <v>46177</v>
      </c>
      <c r="J35" s="66">
        <v>46210</v>
      </c>
      <c r="K35" s="65">
        <v>33</v>
      </c>
      <c r="L35" s="65" t="s">
        <v>192</v>
      </c>
      <c r="M35" s="65" t="s">
        <v>185</v>
      </c>
      <c r="N35" s="65" t="b">
        <f>FALSE()</f>
        <v>0</v>
      </c>
      <c r="O35" s="65"/>
      <c r="P35" s="65"/>
      <c r="Q35" s="65" t="s">
        <v>236</v>
      </c>
      <c r="R35" s="65" t="s">
        <v>237</v>
      </c>
      <c r="S35" s="65"/>
      <c r="T35" s="65" t="b">
        <f>FALSE()</f>
        <v>0</v>
      </c>
      <c r="U35" s="65" t="b">
        <f>FALSE()</f>
        <v>0</v>
      </c>
      <c r="V35" s="65">
        <v>531</v>
      </c>
      <c r="W35" s="67" t="s">
        <v>378</v>
      </c>
      <c r="X35" s="65">
        <v>1</v>
      </c>
      <c r="Y35" s="68">
        <v>0.01</v>
      </c>
      <c r="Z35" s="65" t="b">
        <f>FALSE()</f>
        <v>0</v>
      </c>
      <c r="AA35" s="65" t="b">
        <f>TRUE()</f>
        <v>1</v>
      </c>
      <c r="AB35" s="65" t="b">
        <f>FALSE()</f>
        <v>0</v>
      </c>
      <c r="AC35" s="65" t="b">
        <f>TRUE()</f>
        <v>1</v>
      </c>
      <c r="AD35" s="65" t="b">
        <f>FALSE()</f>
        <v>0</v>
      </c>
      <c r="AE35" s="65">
        <v>2</v>
      </c>
      <c r="AF35" s="69">
        <v>28.6</v>
      </c>
      <c r="AG35" s="65" t="s">
        <v>73</v>
      </c>
      <c r="AH35" s="65" t="s">
        <v>379</v>
      </c>
      <c r="AI35">
        <f>IF(AND(OR(Company_Explorer!$B$5="All Companies",$E35=Company_Explorer!$B$5),OR(Company_Explorer!$B$6="All Platforms",$B35=Company_Explorer!$B$6),OR(Company_Explorer!$B$7="All Roles",$D35=Company_Explorer!$B$7),OR(Company_Explorer!$B$8="All Ghost Labels",$AG35=Company_Explorer!$B$8)),1,0)</f>
        <v>0</v>
      </c>
    </row>
    <row r="36" spans="1:35" ht="15" customHeight="1" x14ac:dyDescent="0.3">
      <c r="A36" s="60" t="s">
        <v>380</v>
      </c>
      <c r="B36" s="60" t="s">
        <v>80</v>
      </c>
      <c r="C36" s="60" t="s">
        <v>125</v>
      </c>
      <c r="D36" s="60" t="s">
        <v>125</v>
      </c>
      <c r="E36" s="60" t="s">
        <v>381</v>
      </c>
      <c r="F36" s="60" t="b">
        <f>TRUE()</f>
        <v>1</v>
      </c>
      <c r="G36" s="60" t="s">
        <v>169</v>
      </c>
      <c r="H36" s="60" t="s">
        <v>294</v>
      </c>
      <c r="I36" s="61">
        <v>46196</v>
      </c>
      <c r="J36" s="61">
        <v>46210</v>
      </c>
      <c r="K36" s="60">
        <v>14</v>
      </c>
      <c r="L36" s="60" t="s">
        <v>192</v>
      </c>
      <c r="M36" s="60" t="s">
        <v>184</v>
      </c>
      <c r="N36" s="60" t="b">
        <f>FALSE()</f>
        <v>0</v>
      </c>
      <c r="O36" s="60"/>
      <c r="P36" s="60"/>
      <c r="Q36" s="60" t="s">
        <v>236</v>
      </c>
      <c r="R36" s="60" t="s">
        <v>237</v>
      </c>
      <c r="S36" s="60"/>
      <c r="T36" s="60" t="b">
        <f>FALSE()</f>
        <v>0</v>
      </c>
      <c r="U36" s="60" t="b">
        <f>FALSE()</f>
        <v>0</v>
      </c>
      <c r="V36" s="60">
        <v>272</v>
      </c>
      <c r="W36" s="62" t="s">
        <v>382</v>
      </c>
      <c r="X36" s="60">
        <v>3</v>
      </c>
      <c r="Y36" s="63">
        <v>0.02</v>
      </c>
      <c r="Z36" s="60" t="b">
        <f>FALSE()</f>
        <v>0</v>
      </c>
      <c r="AA36" s="60" t="b">
        <f>TRUE()</f>
        <v>1</v>
      </c>
      <c r="AB36" s="60" t="b">
        <f>TRUE()</f>
        <v>1</v>
      </c>
      <c r="AC36" s="60" t="b">
        <f>FALSE()</f>
        <v>0</v>
      </c>
      <c r="AD36" s="60" t="b">
        <f>FALSE()</f>
        <v>0</v>
      </c>
      <c r="AE36" s="60">
        <v>2</v>
      </c>
      <c r="AF36" s="64">
        <v>28.6</v>
      </c>
      <c r="AG36" s="60" t="s">
        <v>73</v>
      </c>
      <c r="AH36" s="60" t="s">
        <v>383</v>
      </c>
      <c r="AI36">
        <f>IF(AND(OR(Company_Explorer!$B$5="All Companies",$E36=Company_Explorer!$B$5),OR(Company_Explorer!$B$6="All Platforms",$B36=Company_Explorer!$B$6),OR(Company_Explorer!$B$7="All Roles",$D36=Company_Explorer!$B$7),OR(Company_Explorer!$B$8="All Ghost Labels",$AG36=Company_Explorer!$B$8)),1,0)</f>
        <v>0</v>
      </c>
    </row>
    <row r="37" spans="1:35" ht="15" customHeight="1" x14ac:dyDescent="0.3">
      <c r="A37" s="65" t="s">
        <v>384</v>
      </c>
      <c r="B37" s="65" t="s">
        <v>80</v>
      </c>
      <c r="C37" s="65" t="s">
        <v>385</v>
      </c>
      <c r="D37" s="65" t="s">
        <v>126</v>
      </c>
      <c r="E37" s="65" t="s">
        <v>386</v>
      </c>
      <c r="F37" s="65" t="b">
        <f>TRUE()</f>
        <v>1</v>
      </c>
      <c r="G37" s="65" t="s">
        <v>166</v>
      </c>
      <c r="H37" s="65" t="s">
        <v>235</v>
      </c>
      <c r="I37" s="66">
        <v>46204</v>
      </c>
      <c r="J37" s="66">
        <v>46210</v>
      </c>
      <c r="K37" s="65">
        <v>6</v>
      </c>
      <c r="L37" s="65" t="s">
        <v>192</v>
      </c>
      <c r="M37" s="65" t="s">
        <v>185</v>
      </c>
      <c r="N37" s="65" t="b">
        <f>FALSE()</f>
        <v>0</v>
      </c>
      <c r="O37" s="65"/>
      <c r="P37" s="65"/>
      <c r="Q37" s="65" t="s">
        <v>236</v>
      </c>
      <c r="R37" s="65" t="s">
        <v>237</v>
      </c>
      <c r="S37" s="65"/>
      <c r="T37" s="65" t="b">
        <f>FALSE()</f>
        <v>0</v>
      </c>
      <c r="U37" s="65" t="b">
        <f>FALSE()</f>
        <v>0</v>
      </c>
      <c r="V37" s="65">
        <v>343</v>
      </c>
      <c r="W37" s="67" t="s">
        <v>387</v>
      </c>
      <c r="X37" s="65">
        <v>2</v>
      </c>
      <c r="Y37" s="68">
        <v>0.01</v>
      </c>
      <c r="Z37" s="65" t="b">
        <f>FALSE()</f>
        <v>0</v>
      </c>
      <c r="AA37" s="65" t="b">
        <f>TRUE()</f>
        <v>1</v>
      </c>
      <c r="AB37" s="65" t="b">
        <f>FALSE()</f>
        <v>0</v>
      </c>
      <c r="AC37" s="65" t="b">
        <f>FALSE()</f>
        <v>0</v>
      </c>
      <c r="AD37" s="65" t="b">
        <f>FALSE()</f>
        <v>0</v>
      </c>
      <c r="AE37" s="65">
        <v>1</v>
      </c>
      <c r="AF37" s="69">
        <v>14.3</v>
      </c>
      <c r="AG37" s="65" t="s">
        <v>74</v>
      </c>
      <c r="AH37" s="65" t="s">
        <v>388</v>
      </c>
      <c r="AI37">
        <f>IF(AND(OR(Company_Explorer!$B$5="All Companies",$E37=Company_Explorer!$B$5),OR(Company_Explorer!$B$6="All Platforms",$B37=Company_Explorer!$B$6),OR(Company_Explorer!$B$7="All Roles",$D37=Company_Explorer!$B$7),OR(Company_Explorer!$B$8="All Ghost Labels",$AG37=Company_Explorer!$B$8)),1,0)</f>
        <v>0</v>
      </c>
    </row>
    <row r="38" spans="1:35" ht="15" customHeight="1" x14ac:dyDescent="0.3">
      <c r="A38" s="60" t="s">
        <v>389</v>
      </c>
      <c r="B38" s="60" t="s">
        <v>80</v>
      </c>
      <c r="C38" s="60" t="s">
        <v>390</v>
      </c>
      <c r="D38" s="60" t="s">
        <v>125</v>
      </c>
      <c r="E38" s="60" t="s">
        <v>391</v>
      </c>
      <c r="F38" s="60" t="b">
        <f>TRUE()</f>
        <v>1</v>
      </c>
      <c r="G38" s="60" t="s">
        <v>392</v>
      </c>
      <c r="H38" s="60" t="s">
        <v>302</v>
      </c>
      <c r="I38" s="61">
        <v>46204</v>
      </c>
      <c r="J38" s="61">
        <v>46210</v>
      </c>
      <c r="K38" s="60">
        <v>6</v>
      </c>
      <c r="L38" s="60" t="s">
        <v>192</v>
      </c>
      <c r="M38" s="60" t="s">
        <v>187</v>
      </c>
      <c r="N38" s="60" t="b">
        <f>FALSE()</f>
        <v>0</v>
      </c>
      <c r="O38" s="60"/>
      <c r="P38" s="60"/>
      <c r="Q38" s="60" t="s">
        <v>236</v>
      </c>
      <c r="R38" s="60" t="s">
        <v>237</v>
      </c>
      <c r="S38" s="60"/>
      <c r="T38" s="60" t="b">
        <f>FALSE()</f>
        <v>0</v>
      </c>
      <c r="U38" s="60" t="b">
        <f>FALSE()</f>
        <v>0</v>
      </c>
      <c r="V38" s="60">
        <v>541</v>
      </c>
      <c r="W38" s="62" t="s">
        <v>393</v>
      </c>
      <c r="X38" s="60">
        <v>1</v>
      </c>
      <c r="Y38" s="63">
        <v>0.01</v>
      </c>
      <c r="Z38" s="60" t="b">
        <f>FALSE()</f>
        <v>0</v>
      </c>
      <c r="AA38" s="60" t="b">
        <f>TRUE()</f>
        <v>1</v>
      </c>
      <c r="AB38" s="60" t="b">
        <f>FALSE()</f>
        <v>0</v>
      </c>
      <c r="AC38" s="60" t="b">
        <f>FALSE()</f>
        <v>0</v>
      </c>
      <c r="AD38" s="60" t="b">
        <f>FALSE()</f>
        <v>0</v>
      </c>
      <c r="AE38" s="60">
        <v>1</v>
      </c>
      <c r="AF38" s="64">
        <v>14.3</v>
      </c>
      <c r="AG38" s="60" t="s">
        <v>74</v>
      </c>
      <c r="AH38" s="60" t="s">
        <v>394</v>
      </c>
      <c r="AI38">
        <f>IF(AND(OR(Company_Explorer!$B$5="All Companies",$E38=Company_Explorer!$B$5),OR(Company_Explorer!$B$6="All Platforms",$B38=Company_Explorer!$B$6),OR(Company_Explorer!$B$7="All Roles",$D38=Company_Explorer!$B$7),OR(Company_Explorer!$B$8="All Ghost Labels",$AG38=Company_Explorer!$B$8)),1,0)</f>
        <v>0</v>
      </c>
    </row>
    <row r="39" spans="1:35" ht="15" customHeight="1" x14ac:dyDescent="0.3">
      <c r="A39" s="65" t="s">
        <v>395</v>
      </c>
      <c r="B39" s="65" t="s">
        <v>80</v>
      </c>
      <c r="C39" s="65" t="s">
        <v>125</v>
      </c>
      <c r="D39" s="65" t="s">
        <v>125</v>
      </c>
      <c r="E39" s="65" t="s">
        <v>346</v>
      </c>
      <c r="F39" s="65" t="b">
        <f>TRUE()</f>
        <v>1</v>
      </c>
      <c r="G39" s="65" t="s">
        <v>269</v>
      </c>
      <c r="H39" s="65" t="s">
        <v>270</v>
      </c>
      <c r="I39" s="66">
        <v>46190</v>
      </c>
      <c r="J39" s="66">
        <v>46210</v>
      </c>
      <c r="K39" s="65">
        <v>20</v>
      </c>
      <c r="L39" s="65" t="s">
        <v>192</v>
      </c>
      <c r="M39" s="65" t="s">
        <v>184</v>
      </c>
      <c r="N39" s="65" t="b">
        <f>FALSE()</f>
        <v>0</v>
      </c>
      <c r="O39" s="65"/>
      <c r="P39" s="65"/>
      <c r="Q39" s="65" t="s">
        <v>236</v>
      </c>
      <c r="R39" s="65" t="s">
        <v>237</v>
      </c>
      <c r="S39" s="65"/>
      <c r="T39" s="65" t="b">
        <f>FALSE()</f>
        <v>0</v>
      </c>
      <c r="U39" s="65" t="b">
        <f>FALSE()</f>
        <v>0</v>
      </c>
      <c r="V39" s="65">
        <v>171</v>
      </c>
      <c r="W39" s="67" t="s">
        <v>396</v>
      </c>
      <c r="X39" s="65">
        <v>4</v>
      </c>
      <c r="Y39" s="68">
        <v>0.02</v>
      </c>
      <c r="Z39" s="65" t="b">
        <f>FALSE()</f>
        <v>0</v>
      </c>
      <c r="AA39" s="65" t="b">
        <f>TRUE()</f>
        <v>1</v>
      </c>
      <c r="AB39" s="65" t="b">
        <f>TRUE()</f>
        <v>1</v>
      </c>
      <c r="AC39" s="65" t="b">
        <f>TRUE()</f>
        <v>1</v>
      </c>
      <c r="AD39" s="65" t="b">
        <f>FALSE()</f>
        <v>0</v>
      </c>
      <c r="AE39" s="65">
        <v>3</v>
      </c>
      <c r="AF39" s="69">
        <v>42.9</v>
      </c>
      <c r="AG39" s="65" t="s">
        <v>73</v>
      </c>
      <c r="AH39" s="65" t="s">
        <v>397</v>
      </c>
      <c r="AI39">
        <f>IF(AND(OR(Company_Explorer!$B$5="All Companies",$E39=Company_Explorer!$B$5),OR(Company_Explorer!$B$6="All Platforms",$B39=Company_Explorer!$B$6),OR(Company_Explorer!$B$7="All Roles",$D39=Company_Explorer!$B$7),OR(Company_Explorer!$B$8="All Ghost Labels",$AG39=Company_Explorer!$B$8)),1,0)</f>
        <v>0</v>
      </c>
    </row>
    <row r="40" spans="1:35" ht="15" customHeight="1" x14ac:dyDescent="0.3">
      <c r="A40" s="60" t="s">
        <v>398</v>
      </c>
      <c r="B40" s="60" t="s">
        <v>80</v>
      </c>
      <c r="C40" s="60" t="s">
        <v>258</v>
      </c>
      <c r="D40" s="60" t="s">
        <v>125</v>
      </c>
      <c r="E40" s="60" t="s">
        <v>141</v>
      </c>
      <c r="F40" s="60" t="b">
        <f>TRUE()</f>
        <v>1</v>
      </c>
      <c r="G40" s="60" t="s">
        <v>167</v>
      </c>
      <c r="H40" s="60" t="s">
        <v>276</v>
      </c>
      <c r="I40" s="61">
        <v>46198</v>
      </c>
      <c r="J40" s="61">
        <v>46210</v>
      </c>
      <c r="K40" s="60">
        <v>12</v>
      </c>
      <c r="L40" s="60" t="s">
        <v>192</v>
      </c>
      <c r="M40" s="60" t="s">
        <v>184</v>
      </c>
      <c r="N40" s="60" t="b">
        <f>FALSE()</f>
        <v>0</v>
      </c>
      <c r="O40" s="60"/>
      <c r="P40" s="60"/>
      <c r="Q40" s="60" t="s">
        <v>236</v>
      </c>
      <c r="R40" s="60" t="s">
        <v>237</v>
      </c>
      <c r="S40" s="60"/>
      <c r="T40" s="60" t="b">
        <f>FALSE()</f>
        <v>0</v>
      </c>
      <c r="U40" s="60" t="b">
        <f>FALSE()</f>
        <v>0</v>
      </c>
      <c r="V40" s="60">
        <v>275</v>
      </c>
      <c r="W40" s="62" t="s">
        <v>259</v>
      </c>
      <c r="X40" s="60">
        <v>429</v>
      </c>
      <c r="Y40" s="63">
        <v>2.66</v>
      </c>
      <c r="Z40" s="60" t="b">
        <f>FALSE()</f>
        <v>0</v>
      </c>
      <c r="AA40" s="60" t="b">
        <f>TRUE()</f>
        <v>1</v>
      </c>
      <c r="AB40" s="60" t="b">
        <f>FALSE()</f>
        <v>0</v>
      </c>
      <c r="AC40" s="60" t="b">
        <f>FALSE()</f>
        <v>0</v>
      </c>
      <c r="AD40" s="60" t="b">
        <f>TRUE()</f>
        <v>1</v>
      </c>
      <c r="AE40" s="60">
        <v>3</v>
      </c>
      <c r="AF40" s="64">
        <v>42.9</v>
      </c>
      <c r="AG40" s="60" t="s">
        <v>73</v>
      </c>
      <c r="AH40" s="60" t="s">
        <v>399</v>
      </c>
      <c r="AI40">
        <f>IF(AND(OR(Company_Explorer!$B$5="All Companies",$E40=Company_Explorer!$B$5),OR(Company_Explorer!$B$6="All Platforms",$B40=Company_Explorer!$B$6),OR(Company_Explorer!$B$7="All Roles",$D40=Company_Explorer!$B$7),OR(Company_Explorer!$B$8="All Ghost Labels",$AG40=Company_Explorer!$B$8)),1,0)</f>
        <v>0</v>
      </c>
    </row>
    <row r="41" spans="1:35" ht="15" customHeight="1" x14ac:dyDescent="0.3">
      <c r="A41" s="65" t="s">
        <v>400</v>
      </c>
      <c r="B41" s="65" t="s">
        <v>80</v>
      </c>
      <c r="C41" s="65" t="s">
        <v>258</v>
      </c>
      <c r="D41" s="65" t="s">
        <v>125</v>
      </c>
      <c r="E41" s="65" t="s">
        <v>141</v>
      </c>
      <c r="F41" s="65" t="b">
        <f>TRUE()</f>
        <v>1</v>
      </c>
      <c r="G41" s="65" t="s">
        <v>166</v>
      </c>
      <c r="H41" s="65" t="s">
        <v>235</v>
      </c>
      <c r="I41" s="66">
        <v>46199</v>
      </c>
      <c r="J41" s="66">
        <v>46210</v>
      </c>
      <c r="K41" s="65">
        <v>11</v>
      </c>
      <c r="L41" s="65" t="s">
        <v>192</v>
      </c>
      <c r="M41" s="65" t="s">
        <v>184</v>
      </c>
      <c r="N41" s="65" t="b">
        <f>FALSE()</f>
        <v>0</v>
      </c>
      <c r="O41" s="65"/>
      <c r="P41" s="65"/>
      <c r="Q41" s="65" t="s">
        <v>236</v>
      </c>
      <c r="R41" s="65" t="s">
        <v>237</v>
      </c>
      <c r="S41" s="65"/>
      <c r="T41" s="65" t="b">
        <f>FALSE()</f>
        <v>0</v>
      </c>
      <c r="U41" s="65" t="b">
        <f>FALSE()</f>
        <v>0</v>
      </c>
      <c r="V41" s="65">
        <v>314</v>
      </c>
      <c r="W41" s="67" t="s">
        <v>259</v>
      </c>
      <c r="X41" s="65">
        <v>429</v>
      </c>
      <c r="Y41" s="68">
        <v>2.66</v>
      </c>
      <c r="Z41" s="65" t="b">
        <f>FALSE()</f>
        <v>0</v>
      </c>
      <c r="AA41" s="65" t="b">
        <f>TRUE()</f>
        <v>1</v>
      </c>
      <c r="AB41" s="65" t="b">
        <f>FALSE()</f>
        <v>0</v>
      </c>
      <c r="AC41" s="65" t="b">
        <f>FALSE()</f>
        <v>0</v>
      </c>
      <c r="AD41" s="65" t="b">
        <f>TRUE()</f>
        <v>1</v>
      </c>
      <c r="AE41" s="65">
        <v>3</v>
      </c>
      <c r="AF41" s="69">
        <v>42.9</v>
      </c>
      <c r="AG41" s="65" t="s">
        <v>73</v>
      </c>
      <c r="AH41" s="65" t="s">
        <v>401</v>
      </c>
      <c r="AI41">
        <f>IF(AND(OR(Company_Explorer!$B$5="All Companies",$E41=Company_Explorer!$B$5),OR(Company_Explorer!$B$6="All Platforms",$B41=Company_Explorer!$B$6),OR(Company_Explorer!$B$7="All Roles",$D41=Company_Explorer!$B$7),OR(Company_Explorer!$B$8="All Ghost Labels",$AG41=Company_Explorer!$B$8)),1,0)</f>
        <v>0</v>
      </c>
    </row>
    <row r="42" spans="1:35" ht="15" customHeight="1" x14ac:dyDescent="0.3">
      <c r="A42" s="60" t="s">
        <v>402</v>
      </c>
      <c r="B42" s="60" t="s">
        <v>80</v>
      </c>
      <c r="C42" s="60" t="s">
        <v>258</v>
      </c>
      <c r="D42" s="60" t="s">
        <v>125</v>
      </c>
      <c r="E42" s="60" t="s">
        <v>141</v>
      </c>
      <c r="F42" s="60" t="b">
        <f>TRUE()</f>
        <v>1</v>
      </c>
      <c r="G42" s="60" t="s">
        <v>167</v>
      </c>
      <c r="H42" s="60" t="s">
        <v>276</v>
      </c>
      <c r="I42" s="61">
        <v>46198</v>
      </c>
      <c r="J42" s="61">
        <v>46210</v>
      </c>
      <c r="K42" s="60">
        <v>12</v>
      </c>
      <c r="L42" s="60" t="s">
        <v>192</v>
      </c>
      <c r="M42" s="60" t="s">
        <v>184</v>
      </c>
      <c r="N42" s="60" t="b">
        <f>FALSE()</f>
        <v>0</v>
      </c>
      <c r="O42" s="60"/>
      <c r="P42" s="60"/>
      <c r="Q42" s="60" t="s">
        <v>236</v>
      </c>
      <c r="R42" s="60" t="s">
        <v>237</v>
      </c>
      <c r="S42" s="60"/>
      <c r="T42" s="60" t="b">
        <f>FALSE()</f>
        <v>0</v>
      </c>
      <c r="U42" s="60" t="b">
        <f>FALSE()</f>
        <v>0</v>
      </c>
      <c r="V42" s="60">
        <v>277</v>
      </c>
      <c r="W42" s="62" t="s">
        <v>259</v>
      </c>
      <c r="X42" s="60">
        <v>429</v>
      </c>
      <c r="Y42" s="63">
        <v>2.66</v>
      </c>
      <c r="Z42" s="60" t="b">
        <f>FALSE()</f>
        <v>0</v>
      </c>
      <c r="AA42" s="60" t="b">
        <f>TRUE()</f>
        <v>1</v>
      </c>
      <c r="AB42" s="60" t="b">
        <f>FALSE()</f>
        <v>0</v>
      </c>
      <c r="AC42" s="60" t="b">
        <f>FALSE()</f>
        <v>0</v>
      </c>
      <c r="AD42" s="60" t="b">
        <f>TRUE()</f>
        <v>1</v>
      </c>
      <c r="AE42" s="60">
        <v>3</v>
      </c>
      <c r="AF42" s="64">
        <v>42.9</v>
      </c>
      <c r="AG42" s="60" t="s">
        <v>73</v>
      </c>
      <c r="AH42" s="60" t="s">
        <v>403</v>
      </c>
      <c r="AI42">
        <f>IF(AND(OR(Company_Explorer!$B$5="All Companies",$E42=Company_Explorer!$B$5),OR(Company_Explorer!$B$6="All Platforms",$B42=Company_Explorer!$B$6),OR(Company_Explorer!$B$7="All Roles",$D42=Company_Explorer!$B$7),OR(Company_Explorer!$B$8="All Ghost Labels",$AG42=Company_Explorer!$B$8)),1,0)</f>
        <v>0</v>
      </c>
    </row>
    <row r="43" spans="1:35" ht="15" customHeight="1" x14ac:dyDescent="0.3">
      <c r="A43" s="65" t="s">
        <v>404</v>
      </c>
      <c r="B43" s="65" t="s">
        <v>80</v>
      </c>
      <c r="C43" s="65" t="s">
        <v>258</v>
      </c>
      <c r="D43" s="65" t="s">
        <v>125</v>
      </c>
      <c r="E43" s="65" t="s">
        <v>141</v>
      </c>
      <c r="F43" s="65" t="b">
        <f>TRUE()</f>
        <v>1</v>
      </c>
      <c r="G43" s="65" t="s">
        <v>166</v>
      </c>
      <c r="H43" s="65" t="s">
        <v>235</v>
      </c>
      <c r="I43" s="66">
        <v>46198</v>
      </c>
      <c r="J43" s="66">
        <v>46210</v>
      </c>
      <c r="K43" s="65">
        <v>12</v>
      </c>
      <c r="L43" s="65" t="s">
        <v>192</v>
      </c>
      <c r="M43" s="65" t="s">
        <v>184</v>
      </c>
      <c r="N43" s="65" t="b">
        <f>FALSE()</f>
        <v>0</v>
      </c>
      <c r="O43" s="65"/>
      <c r="P43" s="65"/>
      <c r="Q43" s="65" t="s">
        <v>236</v>
      </c>
      <c r="R43" s="65" t="s">
        <v>237</v>
      </c>
      <c r="S43" s="65"/>
      <c r="T43" s="65" t="b">
        <f>FALSE()</f>
        <v>0</v>
      </c>
      <c r="U43" s="65" t="b">
        <f>FALSE()</f>
        <v>0</v>
      </c>
      <c r="V43" s="65">
        <v>302</v>
      </c>
      <c r="W43" s="67" t="s">
        <v>259</v>
      </c>
      <c r="X43" s="65">
        <v>429</v>
      </c>
      <c r="Y43" s="68">
        <v>2.66</v>
      </c>
      <c r="Z43" s="65" t="b">
        <f>FALSE()</f>
        <v>0</v>
      </c>
      <c r="AA43" s="65" t="b">
        <f>TRUE()</f>
        <v>1</v>
      </c>
      <c r="AB43" s="65" t="b">
        <f>FALSE()</f>
        <v>0</v>
      </c>
      <c r="AC43" s="65" t="b">
        <f>FALSE()</f>
        <v>0</v>
      </c>
      <c r="AD43" s="65" t="b">
        <f>TRUE()</f>
        <v>1</v>
      </c>
      <c r="AE43" s="65">
        <v>3</v>
      </c>
      <c r="AF43" s="69">
        <v>42.9</v>
      </c>
      <c r="AG43" s="65" t="s">
        <v>73</v>
      </c>
      <c r="AH43" s="65" t="s">
        <v>405</v>
      </c>
      <c r="AI43">
        <f>IF(AND(OR(Company_Explorer!$B$5="All Companies",$E43=Company_Explorer!$B$5),OR(Company_Explorer!$B$6="All Platforms",$B43=Company_Explorer!$B$6),OR(Company_Explorer!$B$7="All Roles",$D43=Company_Explorer!$B$7),OR(Company_Explorer!$B$8="All Ghost Labels",$AG43=Company_Explorer!$B$8)),1,0)</f>
        <v>0</v>
      </c>
    </row>
    <row r="44" spans="1:35" ht="15" customHeight="1" x14ac:dyDescent="0.3">
      <c r="A44" s="60" t="s">
        <v>406</v>
      </c>
      <c r="B44" s="60" t="s">
        <v>80</v>
      </c>
      <c r="C44" s="60" t="s">
        <v>340</v>
      </c>
      <c r="D44" s="60" t="s">
        <v>126</v>
      </c>
      <c r="E44" s="60" t="s">
        <v>341</v>
      </c>
      <c r="F44" s="60" t="b">
        <f>TRUE()</f>
        <v>1</v>
      </c>
      <c r="G44" s="60" t="s">
        <v>168</v>
      </c>
      <c r="H44" s="60" t="s">
        <v>254</v>
      </c>
      <c r="I44" s="61">
        <v>46205</v>
      </c>
      <c r="J44" s="61">
        <v>46210</v>
      </c>
      <c r="K44" s="60">
        <v>5</v>
      </c>
      <c r="L44" s="60" t="s">
        <v>192</v>
      </c>
      <c r="M44" s="60" t="s">
        <v>185</v>
      </c>
      <c r="N44" s="60" t="b">
        <f>FALSE()</f>
        <v>0</v>
      </c>
      <c r="O44" s="60"/>
      <c r="P44" s="60"/>
      <c r="Q44" s="60" t="s">
        <v>236</v>
      </c>
      <c r="R44" s="60" t="s">
        <v>237</v>
      </c>
      <c r="S44" s="60"/>
      <c r="T44" s="60" t="b">
        <f>FALSE()</f>
        <v>0</v>
      </c>
      <c r="U44" s="60" t="b">
        <f>FALSE()</f>
        <v>0</v>
      </c>
      <c r="V44" s="60">
        <v>121</v>
      </c>
      <c r="W44" s="62" t="s">
        <v>342</v>
      </c>
      <c r="X44" s="60">
        <v>3</v>
      </c>
      <c r="Y44" s="63">
        <v>0.02</v>
      </c>
      <c r="Z44" s="60" t="b">
        <f>FALSE()</f>
        <v>0</v>
      </c>
      <c r="AA44" s="60" t="b">
        <f>TRUE()</f>
        <v>1</v>
      </c>
      <c r="AB44" s="60" t="b">
        <f>TRUE()</f>
        <v>1</v>
      </c>
      <c r="AC44" s="60" t="b">
        <f>FALSE()</f>
        <v>0</v>
      </c>
      <c r="AD44" s="60" t="b">
        <f>FALSE()</f>
        <v>0</v>
      </c>
      <c r="AE44" s="60">
        <v>2</v>
      </c>
      <c r="AF44" s="64">
        <v>28.6</v>
      </c>
      <c r="AG44" s="60" t="s">
        <v>73</v>
      </c>
      <c r="AH44" s="60" t="s">
        <v>407</v>
      </c>
      <c r="AI44">
        <f>IF(AND(OR(Company_Explorer!$B$5="All Companies",$E44=Company_Explorer!$B$5),OR(Company_Explorer!$B$6="All Platforms",$B44=Company_Explorer!$B$6),OR(Company_Explorer!$B$7="All Roles",$D44=Company_Explorer!$B$7),OR(Company_Explorer!$B$8="All Ghost Labels",$AG44=Company_Explorer!$B$8)),1,0)</f>
        <v>0</v>
      </c>
    </row>
    <row r="45" spans="1:35" ht="15" customHeight="1" x14ac:dyDescent="0.3">
      <c r="A45" s="65" t="s">
        <v>408</v>
      </c>
      <c r="B45" s="65" t="s">
        <v>80</v>
      </c>
      <c r="C45" s="65" t="s">
        <v>258</v>
      </c>
      <c r="D45" s="65" t="s">
        <v>125</v>
      </c>
      <c r="E45" s="65" t="s">
        <v>141</v>
      </c>
      <c r="F45" s="65" t="b">
        <f>TRUE()</f>
        <v>1</v>
      </c>
      <c r="G45" s="65" t="s">
        <v>167</v>
      </c>
      <c r="H45" s="65" t="s">
        <v>276</v>
      </c>
      <c r="I45" s="66">
        <v>46198</v>
      </c>
      <c r="J45" s="66">
        <v>46210</v>
      </c>
      <c r="K45" s="65">
        <v>12</v>
      </c>
      <c r="L45" s="65" t="s">
        <v>192</v>
      </c>
      <c r="M45" s="65" t="s">
        <v>184</v>
      </c>
      <c r="N45" s="65" t="b">
        <f>FALSE()</f>
        <v>0</v>
      </c>
      <c r="O45" s="65"/>
      <c r="P45" s="65"/>
      <c r="Q45" s="65" t="s">
        <v>236</v>
      </c>
      <c r="R45" s="65" t="s">
        <v>237</v>
      </c>
      <c r="S45" s="65"/>
      <c r="T45" s="65" t="b">
        <f>FALSE()</f>
        <v>0</v>
      </c>
      <c r="U45" s="65" t="b">
        <f>FALSE()</f>
        <v>0</v>
      </c>
      <c r="V45" s="65">
        <v>281</v>
      </c>
      <c r="W45" s="67" t="s">
        <v>409</v>
      </c>
      <c r="X45" s="65">
        <v>429</v>
      </c>
      <c r="Y45" s="68">
        <v>2.66</v>
      </c>
      <c r="Z45" s="65" t="b">
        <f>FALSE()</f>
        <v>0</v>
      </c>
      <c r="AA45" s="65" t="b">
        <f>TRUE()</f>
        <v>1</v>
      </c>
      <c r="AB45" s="65" t="b">
        <f>FALSE()</f>
        <v>0</v>
      </c>
      <c r="AC45" s="65" t="b">
        <f>FALSE()</f>
        <v>0</v>
      </c>
      <c r="AD45" s="65" t="b">
        <f>TRUE()</f>
        <v>1</v>
      </c>
      <c r="AE45" s="65">
        <v>3</v>
      </c>
      <c r="AF45" s="69">
        <v>42.9</v>
      </c>
      <c r="AG45" s="65" t="s">
        <v>73</v>
      </c>
      <c r="AH45" s="65" t="s">
        <v>410</v>
      </c>
      <c r="AI45">
        <f>IF(AND(OR(Company_Explorer!$B$5="All Companies",$E45=Company_Explorer!$B$5),OR(Company_Explorer!$B$6="All Platforms",$B45=Company_Explorer!$B$6),OR(Company_Explorer!$B$7="All Roles",$D45=Company_Explorer!$B$7),OR(Company_Explorer!$B$8="All Ghost Labels",$AG45=Company_Explorer!$B$8)),1,0)</f>
        <v>0</v>
      </c>
    </row>
    <row r="46" spans="1:35" ht="15" customHeight="1" x14ac:dyDescent="0.3">
      <c r="A46" s="60" t="s">
        <v>411</v>
      </c>
      <c r="B46" s="60" t="s">
        <v>80</v>
      </c>
      <c r="C46" s="60" t="s">
        <v>125</v>
      </c>
      <c r="D46" s="60" t="s">
        <v>125</v>
      </c>
      <c r="E46" s="60" t="s">
        <v>412</v>
      </c>
      <c r="F46" s="60" t="b">
        <f>TRUE()</f>
        <v>1</v>
      </c>
      <c r="G46" s="60" t="s">
        <v>413</v>
      </c>
      <c r="H46" s="60" t="s">
        <v>235</v>
      </c>
      <c r="I46" s="61">
        <v>46209</v>
      </c>
      <c r="J46" s="61">
        <v>46210</v>
      </c>
      <c r="K46" s="60">
        <v>1</v>
      </c>
      <c r="L46" s="60" t="s">
        <v>192</v>
      </c>
      <c r="M46" s="60" t="s">
        <v>187</v>
      </c>
      <c r="N46" s="60" t="b">
        <f>FALSE()</f>
        <v>0</v>
      </c>
      <c r="O46" s="60"/>
      <c r="P46" s="60"/>
      <c r="Q46" s="60" t="s">
        <v>236</v>
      </c>
      <c r="R46" s="60" t="s">
        <v>237</v>
      </c>
      <c r="S46" s="60"/>
      <c r="T46" s="60" t="b">
        <f>FALSE()</f>
        <v>0</v>
      </c>
      <c r="U46" s="60" t="b">
        <f>FALSE()</f>
        <v>0</v>
      </c>
      <c r="V46" s="60">
        <v>158</v>
      </c>
      <c r="W46" s="62" t="s">
        <v>414</v>
      </c>
      <c r="X46" s="60">
        <v>3</v>
      </c>
      <c r="Y46" s="63">
        <v>0.02</v>
      </c>
      <c r="Z46" s="60" t="b">
        <f>FALSE()</f>
        <v>0</v>
      </c>
      <c r="AA46" s="60" t="b">
        <f>TRUE()</f>
        <v>1</v>
      </c>
      <c r="AB46" s="60" t="b">
        <f>TRUE()</f>
        <v>1</v>
      </c>
      <c r="AC46" s="60" t="b">
        <f>FALSE()</f>
        <v>0</v>
      </c>
      <c r="AD46" s="60" t="b">
        <f>FALSE()</f>
        <v>0</v>
      </c>
      <c r="AE46" s="60">
        <v>2</v>
      </c>
      <c r="AF46" s="64">
        <v>28.6</v>
      </c>
      <c r="AG46" s="60" t="s">
        <v>73</v>
      </c>
      <c r="AH46" s="60" t="s">
        <v>415</v>
      </c>
      <c r="AI46">
        <f>IF(AND(OR(Company_Explorer!$B$5="All Companies",$E46=Company_Explorer!$B$5),OR(Company_Explorer!$B$6="All Platforms",$B46=Company_Explorer!$B$6),OR(Company_Explorer!$B$7="All Roles",$D46=Company_Explorer!$B$7),OR(Company_Explorer!$B$8="All Ghost Labels",$AG46=Company_Explorer!$B$8)),1,0)</f>
        <v>0</v>
      </c>
    </row>
    <row r="47" spans="1:35" ht="15" customHeight="1" x14ac:dyDescent="0.3">
      <c r="A47" s="65" t="s">
        <v>416</v>
      </c>
      <c r="B47" s="65" t="s">
        <v>80</v>
      </c>
      <c r="C47" s="65" t="s">
        <v>417</v>
      </c>
      <c r="D47" s="65" t="s">
        <v>126</v>
      </c>
      <c r="E47" s="65" t="s">
        <v>418</v>
      </c>
      <c r="F47" s="65" t="b">
        <f>TRUE()</f>
        <v>1</v>
      </c>
      <c r="G47" s="65" t="s">
        <v>166</v>
      </c>
      <c r="H47" s="65" t="s">
        <v>235</v>
      </c>
      <c r="I47" s="66">
        <v>46053</v>
      </c>
      <c r="J47" s="66">
        <v>46210</v>
      </c>
      <c r="K47" s="65">
        <v>157</v>
      </c>
      <c r="L47" s="65" t="s">
        <v>196</v>
      </c>
      <c r="M47" s="65" t="s">
        <v>185</v>
      </c>
      <c r="N47" s="65" t="b">
        <f>FALSE()</f>
        <v>0</v>
      </c>
      <c r="O47" s="65"/>
      <c r="P47" s="65"/>
      <c r="Q47" s="65" t="s">
        <v>236</v>
      </c>
      <c r="R47" s="65" t="s">
        <v>237</v>
      </c>
      <c r="S47" s="65"/>
      <c r="T47" s="65" t="b">
        <f>FALSE()</f>
        <v>0</v>
      </c>
      <c r="U47" s="65" t="b">
        <f>FALSE()</f>
        <v>0</v>
      </c>
      <c r="V47" s="65">
        <v>685</v>
      </c>
      <c r="W47" s="67" t="s">
        <v>419</v>
      </c>
      <c r="X47" s="65">
        <v>1</v>
      </c>
      <c r="Y47" s="68">
        <v>0.01</v>
      </c>
      <c r="Z47" s="65" t="b">
        <f>FALSE()</f>
        <v>0</v>
      </c>
      <c r="AA47" s="65" t="b">
        <f>TRUE()</f>
        <v>1</v>
      </c>
      <c r="AB47" s="65" t="b">
        <f>FALSE()</f>
        <v>0</v>
      </c>
      <c r="AC47" s="65" t="b">
        <f>TRUE()</f>
        <v>1</v>
      </c>
      <c r="AD47" s="65" t="b">
        <f>FALSE()</f>
        <v>0</v>
      </c>
      <c r="AE47" s="65">
        <v>2</v>
      </c>
      <c r="AF47" s="69">
        <v>28.6</v>
      </c>
      <c r="AG47" s="65" t="s">
        <v>73</v>
      </c>
      <c r="AH47" s="65" t="s">
        <v>420</v>
      </c>
      <c r="AI47">
        <f>IF(AND(OR(Company_Explorer!$B$5="All Companies",$E47=Company_Explorer!$B$5),OR(Company_Explorer!$B$6="All Platforms",$B47=Company_Explorer!$B$6),OR(Company_Explorer!$B$7="All Roles",$D47=Company_Explorer!$B$7),OR(Company_Explorer!$B$8="All Ghost Labels",$AG47=Company_Explorer!$B$8)),1,0)</f>
        <v>0</v>
      </c>
    </row>
    <row r="48" spans="1:35" ht="15" customHeight="1" x14ac:dyDescent="0.3">
      <c r="A48" s="60" t="s">
        <v>421</v>
      </c>
      <c r="B48" s="60" t="s">
        <v>80</v>
      </c>
      <c r="C48" s="60" t="s">
        <v>422</v>
      </c>
      <c r="D48" s="60" t="s">
        <v>125</v>
      </c>
      <c r="E48" s="60" t="s">
        <v>423</v>
      </c>
      <c r="F48" s="60" t="b">
        <f>TRUE()</f>
        <v>1</v>
      </c>
      <c r="G48" s="60" t="s">
        <v>168</v>
      </c>
      <c r="H48" s="60" t="s">
        <v>254</v>
      </c>
      <c r="I48" s="61">
        <v>46205</v>
      </c>
      <c r="J48" s="61">
        <v>46210</v>
      </c>
      <c r="K48" s="60">
        <v>5</v>
      </c>
      <c r="L48" s="60" t="s">
        <v>192</v>
      </c>
      <c r="M48" s="60" t="s">
        <v>185</v>
      </c>
      <c r="N48" s="60" t="b">
        <f>FALSE()</f>
        <v>0</v>
      </c>
      <c r="O48" s="60"/>
      <c r="P48" s="60"/>
      <c r="Q48" s="60" t="s">
        <v>236</v>
      </c>
      <c r="R48" s="60" t="s">
        <v>237</v>
      </c>
      <c r="S48" s="60"/>
      <c r="T48" s="60" t="b">
        <f>FALSE()</f>
        <v>0</v>
      </c>
      <c r="U48" s="60" t="b">
        <f>FALSE()</f>
        <v>0</v>
      </c>
      <c r="V48" s="60">
        <v>980</v>
      </c>
      <c r="W48" s="62" t="s">
        <v>424</v>
      </c>
      <c r="X48" s="60">
        <v>1</v>
      </c>
      <c r="Y48" s="63">
        <v>0.01</v>
      </c>
      <c r="Z48" s="60" t="b">
        <f>FALSE()</f>
        <v>0</v>
      </c>
      <c r="AA48" s="60" t="b">
        <f>TRUE()</f>
        <v>1</v>
      </c>
      <c r="AB48" s="60" t="b">
        <f>FALSE()</f>
        <v>0</v>
      </c>
      <c r="AC48" s="60" t="b">
        <f>FALSE()</f>
        <v>0</v>
      </c>
      <c r="AD48" s="60" t="b">
        <f>FALSE()</f>
        <v>0</v>
      </c>
      <c r="AE48" s="60">
        <v>1</v>
      </c>
      <c r="AF48" s="64">
        <v>14.3</v>
      </c>
      <c r="AG48" s="60" t="s">
        <v>74</v>
      </c>
      <c r="AH48" s="60" t="s">
        <v>425</v>
      </c>
      <c r="AI48">
        <f>IF(AND(OR(Company_Explorer!$B$5="All Companies",$E48=Company_Explorer!$B$5),OR(Company_Explorer!$B$6="All Platforms",$B48=Company_Explorer!$B$6),OR(Company_Explorer!$B$7="All Roles",$D48=Company_Explorer!$B$7),OR(Company_Explorer!$B$8="All Ghost Labels",$AG48=Company_Explorer!$B$8)),1,0)</f>
        <v>0</v>
      </c>
    </row>
    <row r="49" spans="1:35" ht="15" customHeight="1" x14ac:dyDescent="0.3">
      <c r="A49" s="65" t="s">
        <v>426</v>
      </c>
      <c r="B49" s="65" t="s">
        <v>80</v>
      </c>
      <c r="C49" s="65" t="s">
        <v>427</v>
      </c>
      <c r="D49" s="65" t="s">
        <v>125</v>
      </c>
      <c r="E49" s="65" t="s">
        <v>428</v>
      </c>
      <c r="F49" s="65" t="b">
        <f>TRUE()</f>
        <v>1</v>
      </c>
      <c r="G49" s="65" t="s">
        <v>429</v>
      </c>
      <c r="H49" s="65" t="s">
        <v>430</v>
      </c>
      <c r="I49" s="66">
        <v>46167</v>
      </c>
      <c r="J49" s="66">
        <v>46210</v>
      </c>
      <c r="K49" s="65">
        <v>43</v>
      </c>
      <c r="L49" s="65" t="s">
        <v>192</v>
      </c>
      <c r="M49" s="65" t="s">
        <v>185</v>
      </c>
      <c r="N49" s="65" t="b">
        <f>FALSE()</f>
        <v>0</v>
      </c>
      <c r="O49" s="65"/>
      <c r="P49" s="65"/>
      <c r="Q49" s="65" t="s">
        <v>236</v>
      </c>
      <c r="R49" s="65" t="s">
        <v>237</v>
      </c>
      <c r="S49" s="65"/>
      <c r="T49" s="65" t="b">
        <f>FALSE()</f>
        <v>0</v>
      </c>
      <c r="U49" s="65" t="b">
        <f>FALSE()</f>
        <v>0</v>
      </c>
      <c r="V49" s="65">
        <v>316</v>
      </c>
      <c r="W49" s="67" t="s">
        <v>431</v>
      </c>
      <c r="X49" s="65">
        <v>1</v>
      </c>
      <c r="Y49" s="68">
        <v>0.01</v>
      </c>
      <c r="Z49" s="65" t="b">
        <f>FALSE()</f>
        <v>0</v>
      </c>
      <c r="AA49" s="65" t="b">
        <f>TRUE()</f>
        <v>1</v>
      </c>
      <c r="AB49" s="65" t="b">
        <f>FALSE()</f>
        <v>0</v>
      </c>
      <c r="AC49" s="65" t="b">
        <f>TRUE()</f>
        <v>1</v>
      </c>
      <c r="AD49" s="65" t="b">
        <f>FALSE()</f>
        <v>0</v>
      </c>
      <c r="AE49" s="65">
        <v>2</v>
      </c>
      <c r="AF49" s="69">
        <v>28.6</v>
      </c>
      <c r="AG49" s="65" t="s">
        <v>73</v>
      </c>
      <c r="AH49" s="65" t="s">
        <v>432</v>
      </c>
      <c r="AI49">
        <f>IF(AND(OR(Company_Explorer!$B$5="All Companies",$E49=Company_Explorer!$B$5),OR(Company_Explorer!$B$6="All Platforms",$B49=Company_Explorer!$B$6),OR(Company_Explorer!$B$7="All Roles",$D49=Company_Explorer!$B$7),OR(Company_Explorer!$B$8="All Ghost Labels",$AG49=Company_Explorer!$B$8)),1,0)</f>
        <v>0</v>
      </c>
    </row>
    <row r="50" spans="1:35" ht="15" customHeight="1" x14ac:dyDescent="0.3">
      <c r="A50" s="60" t="s">
        <v>433</v>
      </c>
      <c r="B50" s="60" t="s">
        <v>80</v>
      </c>
      <c r="C50" s="60" t="s">
        <v>434</v>
      </c>
      <c r="D50" s="60" t="s">
        <v>125</v>
      </c>
      <c r="E50" s="60" t="s">
        <v>435</v>
      </c>
      <c r="F50" s="60" t="b">
        <f>TRUE()</f>
        <v>1</v>
      </c>
      <c r="G50" s="60" t="s">
        <v>166</v>
      </c>
      <c r="H50" s="60" t="s">
        <v>235</v>
      </c>
      <c r="I50" s="61">
        <v>46192</v>
      </c>
      <c r="J50" s="61">
        <v>46210</v>
      </c>
      <c r="K50" s="60">
        <v>18</v>
      </c>
      <c r="L50" s="60" t="s">
        <v>192</v>
      </c>
      <c r="M50" s="60" t="s">
        <v>185</v>
      </c>
      <c r="N50" s="60" t="b">
        <f>FALSE()</f>
        <v>0</v>
      </c>
      <c r="O50" s="60"/>
      <c r="P50" s="60"/>
      <c r="Q50" s="60" t="s">
        <v>236</v>
      </c>
      <c r="R50" s="60" t="s">
        <v>237</v>
      </c>
      <c r="S50" s="60"/>
      <c r="T50" s="60" t="b">
        <f>FALSE()</f>
        <v>0</v>
      </c>
      <c r="U50" s="60" t="b">
        <f>FALSE()</f>
        <v>0</v>
      </c>
      <c r="V50" s="60">
        <v>336</v>
      </c>
      <c r="W50" s="62" t="s">
        <v>436</v>
      </c>
      <c r="X50" s="60">
        <v>1</v>
      </c>
      <c r="Y50" s="63">
        <v>0.01</v>
      </c>
      <c r="Z50" s="60" t="b">
        <f>FALSE()</f>
        <v>0</v>
      </c>
      <c r="AA50" s="60" t="b">
        <f>TRUE()</f>
        <v>1</v>
      </c>
      <c r="AB50" s="60" t="b">
        <f>FALSE()</f>
        <v>0</v>
      </c>
      <c r="AC50" s="60" t="b">
        <f>FALSE()</f>
        <v>0</v>
      </c>
      <c r="AD50" s="60" t="b">
        <f>FALSE()</f>
        <v>0</v>
      </c>
      <c r="AE50" s="60">
        <v>1</v>
      </c>
      <c r="AF50" s="64">
        <v>14.3</v>
      </c>
      <c r="AG50" s="60" t="s">
        <v>74</v>
      </c>
      <c r="AH50" s="60" t="s">
        <v>437</v>
      </c>
      <c r="AI50">
        <f>IF(AND(OR(Company_Explorer!$B$5="All Companies",$E50=Company_Explorer!$B$5),OR(Company_Explorer!$B$6="All Platforms",$B50=Company_Explorer!$B$6),OR(Company_Explorer!$B$7="All Roles",$D50=Company_Explorer!$B$7),OR(Company_Explorer!$B$8="All Ghost Labels",$AG50=Company_Explorer!$B$8)),1,0)</f>
        <v>0</v>
      </c>
    </row>
    <row r="51" spans="1:35" ht="15" customHeight="1" x14ac:dyDescent="0.3">
      <c r="A51" s="65" t="s">
        <v>438</v>
      </c>
      <c r="B51" s="65" t="s">
        <v>80</v>
      </c>
      <c r="C51" s="65" t="s">
        <v>439</v>
      </c>
      <c r="D51" s="65" t="s">
        <v>130</v>
      </c>
      <c r="E51" s="65" t="s">
        <v>440</v>
      </c>
      <c r="F51" s="65" t="b">
        <f>TRUE()</f>
        <v>1</v>
      </c>
      <c r="G51" s="65" t="s">
        <v>311</v>
      </c>
      <c r="H51" s="65" t="s">
        <v>235</v>
      </c>
      <c r="I51" s="66">
        <v>46197</v>
      </c>
      <c r="J51" s="66">
        <v>46210</v>
      </c>
      <c r="K51" s="65">
        <v>13</v>
      </c>
      <c r="L51" s="65" t="s">
        <v>192</v>
      </c>
      <c r="M51" s="65" t="s">
        <v>184</v>
      </c>
      <c r="N51" s="65" t="b">
        <f>FALSE()</f>
        <v>0</v>
      </c>
      <c r="O51" s="65"/>
      <c r="P51" s="65"/>
      <c r="Q51" s="65" t="s">
        <v>236</v>
      </c>
      <c r="R51" s="65" t="s">
        <v>237</v>
      </c>
      <c r="S51" s="65"/>
      <c r="T51" s="65" t="b">
        <f>FALSE()</f>
        <v>0</v>
      </c>
      <c r="U51" s="65" t="b">
        <f>FALSE()</f>
        <v>0</v>
      </c>
      <c r="V51" s="65">
        <v>429</v>
      </c>
      <c r="W51" s="67" t="s">
        <v>441</v>
      </c>
      <c r="X51" s="65">
        <v>1</v>
      </c>
      <c r="Y51" s="68">
        <v>0.01</v>
      </c>
      <c r="Z51" s="65" t="b">
        <f>FALSE()</f>
        <v>0</v>
      </c>
      <c r="AA51" s="65" t="b">
        <f>TRUE()</f>
        <v>1</v>
      </c>
      <c r="AB51" s="65" t="b">
        <f>FALSE()</f>
        <v>0</v>
      </c>
      <c r="AC51" s="65" t="b">
        <f>FALSE()</f>
        <v>0</v>
      </c>
      <c r="AD51" s="65" t="b">
        <f>FALSE()</f>
        <v>0</v>
      </c>
      <c r="AE51" s="65">
        <v>1</v>
      </c>
      <c r="AF51" s="69">
        <v>14.3</v>
      </c>
      <c r="AG51" s="65" t="s">
        <v>74</v>
      </c>
      <c r="AH51" s="65" t="s">
        <v>442</v>
      </c>
      <c r="AI51">
        <f>IF(AND(OR(Company_Explorer!$B$5="All Companies",$E51=Company_Explorer!$B$5),OR(Company_Explorer!$B$6="All Platforms",$B51=Company_Explorer!$B$6),OR(Company_Explorer!$B$7="All Roles",$D51=Company_Explorer!$B$7),OR(Company_Explorer!$B$8="All Ghost Labels",$AG51=Company_Explorer!$B$8)),1,0)</f>
        <v>0</v>
      </c>
    </row>
    <row r="52" spans="1:35" ht="15" customHeight="1" x14ac:dyDescent="0.3">
      <c r="A52" s="60" t="s">
        <v>443</v>
      </c>
      <c r="B52" s="60" t="s">
        <v>80</v>
      </c>
      <c r="C52" s="60" t="s">
        <v>444</v>
      </c>
      <c r="D52" s="60" t="s">
        <v>130</v>
      </c>
      <c r="E52" s="60" t="s">
        <v>445</v>
      </c>
      <c r="F52" s="60" t="b">
        <f>TRUE()</f>
        <v>1</v>
      </c>
      <c r="G52" s="60" t="s">
        <v>166</v>
      </c>
      <c r="H52" s="60" t="s">
        <v>235</v>
      </c>
      <c r="I52" s="61">
        <v>46192</v>
      </c>
      <c r="J52" s="61">
        <v>46210</v>
      </c>
      <c r="K52" s="60">
        <v>18</v>
      </c>
      <c r="L52" s="60" t="s">
        <v>192</v>
      </c>
      <c r="M52" s="60" t="s">
        <v>185</v>
      </c>
      <c r="N52" s="60" t="b">
        <f>FALSE()</f>
        <v>0</v>
      </c>
      <c r="O52" s="60"/>
      <c r="P52" s="60"/>
      <c r="Q52" s="60" t="s">
        <v>236</v>
      </c>
      <c r="R52" s="60" t="s">
        <v>237</v>
      </c>
      <c r="S52" s="60"/>
      <c r="T52" s="60" t="b">
        <f>FALSE()</f>
        <v>0</v>
      </c>
      <c r="U52" s="60" t="b">
        <f>FALSE()</f>
        <v>0</v>
      </c>
      <c r="V52" s="60">
        <v>724</v>
      </c>
      <c r="W52" s="62" t="s">
        <v>446</v>
      </c>
      <c r="X52" s="60">
        <v>1</v>
      </c>
      <c r="Y52" s="63">
        <v>0.01</v>
      </c>
      <c r="Z52" s="60" t="b">
        <f>FALSE()</f>
        <v>0</v>
      </c>
      <c r="AA52" s="60" t="b">
        <f>TRUE()</f>
        <v>1</v>
      </c>
      <c r="AB52" s="60" t="b">
        <f>FALSE()</f>
        <v>0</v>
      </c>
      <c r="AC52" s="60" t="b">
        <f>FALSE()</f>
        <v>0</v>
      </c>
      <c r="AD52" s="60" t="b">
        <f>FALSE()</f>
        <v>0</v>
      </c>
      <c r="AE52" s="60">
        <v>1</v>
      </c>
      <c r="AF52" s="64">
        <v>14.3</v>
      </c>
      <c r="AG52" s="60" t="s">
        <v>74</v>
      </c>
      <c r="AH52" s="60" t="s">
        <v>447</v>
      </c>
      <c r="AI52">
        <f>IF(AND(OR(Company_Explorer!$B$5="All Companies",$E52=Company_Explorer!$B$5),OR(Company_Explorer!$B$6="All Platforms",$B52=Company_Explorer!$B$6),OR(Company_Explorer!$B$7="All Roles",$D52=Company_Explorer!$B$7),OR(Company_Explorer!$B$8="All Ghost Labels",$AG52=Company_Explorer!$B$8)),1,0)</f>
        <v>0</v>
      </c>
    </row>
    <row r="53" spans="1:35" ht="15" customHeight="1" x14ac:dyDescent="0.3">
      <c r="A53" s="65" t="s">
        <v>448</v>
      </c>
      <c r="B53" s="65" t="s">
        <v>80</v>
      </c>
      <c r="C53" s="65" t="s">
        <v>125</v>
      </c>
      <c r="D53" s="65" t="s">
        <v>125</v>
      </c>
      <c r="E53" s="65" t="s">
        <v>324</v>
      </c>
      <c r="F53" s="65" t="b">
        <f>TRUE()</f>
        <v>1</v>
      </c>
      <c r="G53" s="65" t="s">
        <v>325</v>
      </c>
      <c r="H53" s="65" t="s">
        <v>326</v>
      </c>
      <c r="I53" s="66">
        <v>46206</v>
      </c>
      <c r="J53" s="66">
        <v>46210</v>
      </c>
      <c r="K53" s="65">
        <v>4</v>
      </c>
      <c r="L53" s="65" t="s">
        <v>192</v>
      </c>
      <c r="M53" s="65" t="s">
        <v>184</v>
      </c>
      <c r="N53" s="65" t="b">
        <f>FALSE()</f>
        <v>0</v>
      </c>
      <c r="O53" s="65"/>
      <c r="P53" s="65"/>
      <c r="Q53" s="65" t="s">
        <v>236</v>
      </c>
      <c r="R53" s="65" t="s">
        <v>237</v>
      </c>
      <c r="S53" s="65"/>
      <c r="T53" s="65" t="b">
        <f>FALSE()</f>
        <v>0</v>
      </c>
      <c r="U53" s="65" t="b">
        <f>FALSE()</f>
        <v>0</v>
      </c>
      <c r="V53" s="65">
        <v>559</v>
      </c>
      <c r="W53" s="67" t="s">
        <v>449</v>
      </c>
      <c r="X53" s="65">
        <v>3</v>
      </c>
      <c r="Y53" s="68">
        <v>0.02</v>
      </c>
      <c r="Z53" s="65" t="b">
        <f>FALSE()</f>
        <v>0</v>
      </c>
      <c r="AA53" s="65" t="b">
        <f>TRUE()</f>
        <v>1</v>
      </c>
      <c r="AB53" s="65" t="b">
        <f>FALSE()</f>
        <v>0</v>
      </c>
      <c r="AC53" s="65" t="b">
        <f>FALSE()</f>
        <v>0</v>
      </c>
      <c r="AD53" s="65" t="b">
        <f>FALSE()</f>
        <v>0</v>
      </c>
      <c r="AE53" s="65">
        <v>1</v>
      </c>
      <c r="AF53" s="69">
        <v>14.3</v>
      </c>
      <c r="AG53" s="65" t="s">
        <v>74</v>
      </c>
      <c r="AH53" s="65" t="s">
        <v>450</v>
      </c>
      <c r="AI53">
        <f>IF(AND(OR(Company_Explorer!$B$5="All Companies",$E53=Company_Explorer!$B$5),OR(Company_Explorer!$B$6="All Platforms",$B53=Company_Explorer!$B$6),OR(Company_Explorer!$B$7="All Roles",$D53=Company_Explorer!$B$7),OR(Company_Explorer!$B$8="All Ghost Labels",$AG53=Company_Explorer!$B$8)),1,0)</f>
        <v>0</v>
      </c>
    </row>
    <row r="54" spans="1:35" ht="15" customHeight="1" x14ac:dyDescent="0.3">
      <c r="A54" s="60" t="s">
        <v>451</v>
      </c>
      <c r="B54" s="60" t="s">
        <v>80</v>
      </c>
      <c r="C54" s="60" t="s">
        <v>452</v>
      </c>
      <c r="D54" s="60" t="s">
        <v>129</v>
      </c>
      <c r="E54" s="60" t="s">
        <v>453</v>
      </c>
      <c r="F54" s="60" t="b">
        <f>TRUE()</f>
        <v>1</v>
      </c>
      <c r="G54" s="60" t="s">
        <v>347</v>
      </c>
      <c r="H54" s="60" t="s">
        <v>235</v>
      </c>
      <c r="I54" s="61">
        <v>46206</v>
      </c>
      <c r="J54" s="61">
        <v>46210</v>
      </c>
      <c r="K54" s="60">
        <v>4</v>
      </c>
      <c r="L54" s="60" t="s">
        <v>192</v>
      </c>
      <c r="M54" s="60" t="s">
        <v>185</v>
      </c>
      <c r="N54" s="60" t="b">
        <f>FALSE()</f>
        <v>0</v>
      </c>
      <c r="O54" s="60"/>
      <c r="P54" s="60"/>
      <c r="Q54" s="60" t="s">
        <v>236</v>
      </c>
      <c r="R54" s="60" t="s">
        <v>237</v>
      </c>
      <c r="S54" s="60"/>
      <c r="T54" s="60" t="b">
        <f>FALSE()</f>
        <v>0</v>
      </c>
      <c r="U54" s="60" t="b">
        <f>FALSE()</f>
        <v>0</v>
      </c>
      <c r="V54" s="60">
        <v>528</v>
      </c>
      <c r="W54" s="62" t="s">
        <v>454</v>
      </c>
      <c r="X54" s="60">
        <v>2</v>
      </c>
      <c r="Y54" s="63">
        <v>0.01</v>
      </c>
      <c r="Z54" s="60" t="b">
        <f>FALSE()</f>
        <v>0</v>
      </c>
      <c r="AA54" s="60" t="b">
        <f>TRUE()</f>
        <v>1</v>
      </c>
      <c r="AB54" s="60" t="b">
        <f>FALSE()</f>
        <v>0</v>
      </c>
      <c r="AC54" s="60" t="b">
        <f>FALSE()</f>
        <v>0</v>
      </c>
      <c r="AD54" s="60" t="b">
        <f>FALSE()</f>
        <v>0</v>
      </c>
      <c r="AE54" s="60">
        <v>1</v>
      </c>
      <c r="AF54" s="64">
        <v>14.3</v>
      </c>
      <c r="AG54" s="60" t="s">
        <v>74</v>
      </c>
      <c r="AH54" s="60" t="s">
        <v>455</v>
      </c>
      <c r="AI54">
        <f>IF(AND(OR(Company_Explorer!$B$5="All Companies",$E54=Company_Explorer!$B$5),OR(Company_Explorer!$B$6="All Platforms",$B54=Company_Explorer!$B$6),OR(Company_Explorer!$B$7="All Roles",$D54=Company_Explorer!$B$7),OR(Company_Explorer!$B$8="All Ghost Labels",$AG54=Company_Explorer!$B$8)),1,0)</f>
        <v>0</v>
      </c>
    </row>
    <row r="55" spans="1:35" ht="15" customHeight="1" x14ac:dyDescent="0.3">
      <c r="A55" s="65" t="s">
        <v>456</v>
      </c>
      <c r="B55" s="65" t="s">
        <v>80</v>
      </c>
      <c r="C55" s="65" t="s">
        <v>457</v>
      </c>
      <c r="D55" s="65" t="s">
        <v>126</v>
      </c>
      <c r="E55" s="65" t="s">
        <v>458</v>
      </c>
      <c r="F55" s="65" t="b">
        <f>TRUE()</f>
        <v>1</v>
      </c>
      <c r="G55" s="65" t="s">
        <v>166</v>
      </c>
      <c r="H55" s="65" t="s">
        <v>235</v>
      </c>
      <c r="I55" s="66">
        <v>46123</v>
      </c>
      <c r="J55" s="66">
        <v>46210</v>
      </c>
      <c r="K55" s="65">
        <v>87</v>
      </c>
      <c r="L55" s="65" t="s">
        <v>192</v>
      </c>
      <c r="M55" s="65" t="s">
        <v>184</v>
      </c>
      <c r="N55" s="65" t="b">
        <f>FALSE()</f>
        <v>0</v>
      </c>
      <c r="O55" s="65"/>
      <c r="P55" s="65"/>
      <c r="Q55" s="65" t="s">
        <v>236</v>
      </c>
      <c r="R55" s="65" t="s">
        <v>237</v>
      </c>
      <c r="S55" s="65"/>
      <c r="T55" s="65" t="b">
        <f>FALSE()</f>
        <v>0</v>
      </c>
      <c r="U55" s="65" t="b">
        <f>FALSE()</f>
        <v>0</v>
      </c>
      <c r="V55" s="65">
        <v>187</v>
      </c>
      <c r="W55" s="67" t="s">
        <v>459</v>
      </c>
      <c r="X55" s="65">
        <v>1</v>
      </c>
      <c r="Y55" s="68">
        <v>0.01</v>
      </c>
      <c r="Z55" s="65" t="b">
        <f>FALSE()</f>
        <v>0</v>
      </c>
      <c r="AA55" s="65" t="b">
        <f>TRUE()</f>
        <v>1</v>
      </c>
      <c r="AB55" s="65" t="b">
        <f>TRUE()</f>
        <v>1</v>
      </c>
      <c r="AC55" s="65" t="b">
        <f>TRUE()</f>
        <v>1</v>
      </c>
      <c r="AD55" s="65" t="b">
        <f>FALSE()</f>
        <v>0</v>
      </c>
      <c r="AE55" s="65">
        <v>3</v>
      </c>
      <c r="AF55" s="69">
        <v>42.9</v>
      </c>
      <c r="AG55" s="65" t="s">
        <v>73</v>
      </c>
      <c r="AH55" s="65" t="s">
        <v>460</v>
      </c>
      <c r="AI55">
        <f>IF(AND(OR(Company_Explorer!$B$5="All Companies",$E55=Company_Explorer!$B$5),OR(Company_Explorer!$B$6="All Platforms",$B55=Company_Explorer!$B$6),OR(Company_Explorer!$B$7="All Roles",$D55=Company_Explorer!$B$7),OR(Company_Explorer!$B$8="All Ghost Labels",$AG55=Company_Explorer!$B$8)),1,0)</f>
        <v>0</v>
      </c>
    </row>
    <row r="56" spans="1:35" ht="15" customHeight="1" x14ac:dyDescent="0.3">
      <c r="A56" s="60" t="s">
        <v>461</v>
      </c>
      <c r="B56" s="60" t="s">
        <v>80</v>
      </c>
      <c r="C56" s="60" t="s">
        <v>315</v>
      </c>
      <c r="D56" s="60" t="s">
        <v>126</v>
      </c>
      <c r="E56" s="60" t="s">
        <v>141</v>
      </c>
      <c r="F56" s="60" t="b">
        <f>TRUE()</f>
        <v>1</v>
      </c>
      <c r="G56" s="60" t="s">
        <v>462</v>
      </c>
      <c r="H56" s="60" t="s">
        <v>254</v>
      </c>
      <c r="I56" s="61">
        <v>46198</v>
      </c>
      <c r="J56" s="61">
        <v>46210</v>
      </c>
      <c r="K56" s="60">
        <v>12</v>
      </c>
      <c r="L56" s="60" t="s">
        <v>192</v>
      </c>
      <c r="M56" s="60" t="s">
        <v>184</v>
      </c>
      <c r="N56" s="60" t="b">
        <f>FALSE()</f>
        <v>0</v>
      </c>
      <c r="O56" s="60"/>
      <c r="P56" s="60"/>
      <c r="Q56" s="60" t="s">
        <v>236</v>
      </c>
      <c r="R56" s="60" t="s">
        <v>237</v>
      </c>
      <c r="S56" s="60"/>
      <c r="T56" s="60" t="b">
        <f>FALSE()</f>
        <v>0</v>
      </c>
      <c r="U56" s="60" t="b">
        <f>FALSE()</f>
        <v>0</v>
      </c>
      <c r="V56" s="60">
        <v>286</v>
      </c>
      <c r="W56" s="62" t="s">
        <v>463</v>
      </c>
      <c r="X56" s="60">
        <v>429</v>
      </c>
      <c r="Y56" s="63">
        <v>2.66</v>
      </c>
      <c r="Z56" s="60" t="b">
        <f>FALSE()</f>
        <v>0</v>
      </c>
      <c r="AA56" s="60" t="b">
        <f>TRUE()</f>
        <v>1</v>
      </c>
      <c r="AB56" s="60" t="b">
        <f>FALSE()</f>
        <v>0</v>
      </c>
      <c r="AC56" s="60" t="b">
        <f>FALSE()</f>
        <v>0</v>
      </c>
      <c r="AD56" s="60" t="b">
        <f>TRUE()</f>
        <v>1</v>
      </c>
      <c r="AE56" s="60">
        <v>3</v>
      </c>
      <c r="AF56" s="64">
        <v>42.9</v>
      </c>
      <c r="AG56" s="60" t="s">
        <v>73</v>
      </c>
      <c r="AH56" s="60" t="s">
        <v>464</v>
      </c>
      <c r="AI56">
        <f>IF(AND(OR(Company_Explorer!$B$5="All Companies",$E56=Company_Explorer!$B$5),OR(Company_Explorer!$B$6="All Platforms",$B56=Company_Explorer!$B$6),OR(Company_Explorer!$B$7="All Roles",$D56=Company_Explorer!$B$7),OR(Company_Explorer!$B$8="All Ghost Labels",$AG56=Company_Explorer!$B$8)),1,0)</f>
        <v>0</v>
      </c>
    </row>
    <row r="57" spans="1:35" ht="15" customHeight="1" x14ac:dyDescent="0.3">
      <c r="A57" s="65" t="s">
        <v>465</v>
      </c>
      <c r="B57" s="65" t="s">
        <v>80</v>
      </c>
      <c r="C57" s="65" t="s">
        <v>376</v>
      </c>
      <c r="D57" s="65" t="s">
        <v>125</v>
      </c>
      <c r="E57" s="65" t="s">
        <v>466</v>
      </c>
      <c r="F57" s="65" t="b">
        <f>TRUE()</f>
        <v>1</v>
      </c>
      <c r="G57" s="65" t="s">
        <v>166</v>
      </c>
      <c r="H57" s="65" t="s">
        <v>235</v>
      </c>
      <c r="I57" s="66">
        <v>46197</v>
      </c>
      <c r="J57" s="66">
        <v>46210</v>
      </c>
      <c r="K57" s="65">
        <v>13</v>
      </c>
      <c r="L57" s="65" t="s">
        <v>192</v>
      </c>
      <c r="M57" s="65" t="s">
        <v>186</v>
      </c>
      <c r="N57" s="65" t="b">
        <f>FALSE()</f>
        <v>0</v>
      </c>
      <c r="O57" s="65"/>
      <c r="P57" s="65"/>
      <c r="Q57" s="65" t="s">
        <v>236</v>
      </c>
      <c r="R57" s="65" t="s">
        <v>237</v>
      </c>
      <c r="S57" s="65"/>
      <c r="T57" s="65" t="b">
        <f>FALSE()</f>
        <v>0</v>
      </c>
      <c r="U57" s="65" t="b">
        <f>FALSE()</f>
        <v>0</v>
      </c>
      <c r="V57" s="65">
        <v>573</v>
      </c>
      <c r="W57" s="67" t="s">
        <v>467</v>
      </c>
      <c r="X57" s="65">
        <v>1</v>
      </c>
      <c r="Y57" s="68">
        <v>0.01</v>
      </c>
      <c r="Z57" s="65" t="b">
        <f>FALSE()</f>
        <v>0</v>
      </c>
      <c r="AA57" s="65" t="b">
        <f>TRUE()</f>
        <v>1</v>
      </c>
      <c r="AB57" s="65" t="b">
        <f>FALSE()</f>
        <v>0</v>
      </c>
      <c r="AC57" s="65" t="b">
        <f>FALSE()</f>
        <v>0</v>
      </c>
      <c r="AD57" s="65" t="b">
        <f>FALSE()</f>
        <v>0</v>
      </c>
      <c r="AE57" s="65">
        <v>1</v>
      </c>
      <c r="AF57" s="69">
        <v>14.3</v>
      </c>
      <c r="AG57" s="65" t="s">
        <v>74</v>
      </c>
      <c r="AH57" s="65" t="s">
        <v>468</v>
      </c>
      <c r="AI57">
        <f>IF(AND(OR(Company_Explorer!$B$5="All Companies",$E57=Company_Explorer!$B$5),OR(Company_Explorer!$B$6="All Platforms",$B57=Company_Explorer!$B$6),OR(Company_Explorer!$B$7="All Roles",$D57=Company_Explorer!$B$7),OR(Company_Explorer!$B$8="All Ghost Labels",$AG57=Company_Explorer!$B$8)),1,0)</f>
        <v>0</v>
      </c>
    </row>
    <row r="58" spans="1:35" ht="15" customHeight="1" x14ac:dyDescent="0.3">
      <c r="A58" s="60" t="s">
        <v>469</v>
      </c>
      <c r="B58" s="60" t="s">
        <v>80</v>
      </c>
      <c r="C58" s="60" t="s">
        <v>258</v>
      </c>
      <c r="D58" s="60" t="s">
        <v>125</v>
      </c>
      <c r="E58" s="60" t="s">
        <v>141</v>
      </c>
      <c r="F58" s="60" t="b">
        <f>TRUE()</f>
        <v>1</v>
      </c>
      <c r="G58" s="60" t="s">
        <v>167</v>
      </c>
      <c r="H58" s="60" t="s">
        <v>276</v>
      </c>
      <c r="I58" s="61">
        <v>46198</v>
      </c>
      <c r="J58" s="61">
        <v>46210</v>
      </c>
      <c r="K58" s="60">
        <v>12</v>
      </c>
      <c r="L58" s="60" t="s">
        <v>192</v>
      </c>
      <c r="M58" s="60" t="s">
        <v>184</v>
      </c>
      <c r="N58" s="60" t="b">
        <f>FALSE()</f>
        <v>0</v>
      </c>
      <c r="O58" s="60"/>
      <c r="P58" s="60"/>
      <c r="Q58" s="60" t="s">
        <v>236</v>
      </c>
      <c r="R58" s="60" t="s">
        <v>237</v>
      </c>
      <c r="S58" s="60"/>
      <c r="T58" s="60" t="b">
        <f>FALSE()</f>
        <v>0</v>
      </c>
      <c r="U58" s="60" t="b">
        <f>FALSE()</f>
        <v>0</v>
      </c>
      <c r="V58" s="60">
        <v>277</v>
      </c>
      <c r="W58" s="62" t="s">
        <v>259</v>
      </c>
      <c r="X58" s="60">
        <v>429</v>
      </c>
      <c r="Y58" s="63">
        <v>2.66</v>
      </c>
      <c r="Z58" s="60" t="b">
        <f>FALSE()</f>
        <v>0</v>
      </c>
      <c r="AA58" s="60" t="b">
        <f>TRUE()</f>
        <v>1</v>
      </c>
      <c r="AB58" s="60" t="b">
        <f>FALSE()</f>
        <v>0</v>
      </c>
      <c r="AC58" s="60" t="b">
        <f>FALSE()</f>
        <v>0</v>
      </c>
      <c r="AD58" s="60" t="b">
        <f>TRUE()</f>
        <v>1</v>
      </c>
      <c r="AE58" s="60">
        <v>3</v>
      </c>
      <c r="AF58" s="64">
        <v>42.9</v>
      </c>
      <c r="AG58" s="60" t="s">
        <v>73</v>
      </c>
      <c r="AH58" s="60" t="s">
        <v>470</v>
      </c>
      <c r="AI58">
        <f>IF(AND(OR(Company_Explorer!$B$5="All Companies",$E58=Company_Explorer!$B$5),OR(Company_Explorer!$B$6="All Platforms",$B58=Company_Explorer!$B$6),OR(Company_Explorer!$B$7="All Roles",$D58=Company_Explorer!$B$7),OR(Company_Explorer!$B$8="All Ghost Labels",$AG58=Company_Explorer!$B$8)),1,0)</f>
        <v>0</v>
      </c>
    </row>
    <row r="59" spans="1:35" ht="15" customHeight="1" x14ac:dyDescent="0.3">
      <c r="A59" s="65" t="s">
        <v>471</v>
      </c>
      <c r="B59" s="65" t="s">
        <v>80</v>
      </c>
      <c r="C59" s="65" t="s">
        <v>258</v>
      </c>
      <c r="D59" s="65" t="s">
        <v>125</v>
      </c>
      <c r="E59" s="65" t="s">
        <v>141</v>
      </c>
      <c r="F59" s="65" t="b">
        <f>TRUE()</f>
        <v>1</v>
      </c>
      <c r="G59" s="65" t="s">
        <v>167</v>
      </c>
      <c r="H59" s="65" t="s">
        <v>276</v>
      </c>
      <c r="I59" s="66">
        <v>46198</v>
      </c>
      <c r="J59" s="66">
        <v>46210</v>
      </c>
      <c r="K59" s="65">
        <v>12</v>
      </c>
      <c r="L59" s="65" t="s">
        <v>192</v>
      </c>
      <c r="M59" s="65" t="s">
        <v>184</v>
      </c>
      <c r="N59" s="65" t="b">
        <f>FALSE()</f>
        <v>0</v>
      </c>
      <c r="O59" s="65"/>
      <c r="P59" s="65"/>
      <c r="Q59" s="65" t="s">
        <v>236</v>
      </c>
      <c r="R59" s="65" t="s">
        <v>237</v>
      </c>
      <c r="S59" s="65"/>
      <c r="T59" s="65" t="b">
        <f>FALSE()</f>
        <v>0</v>
      </c>
      <c r="U59" s="65" t="b">
        <f>FALSE()</f>
        <v>0</v>
      </c>
      <c r="V59" s="65">
        <v>277</v>
      </c>
      <c r="W59" s="67" t="s">
        <v>259</v>
      </c>
      <c r="X59" s="65">
        <v>429</v>
      </c>
      <c r="Y59" s="68">
        <v>2.66</v>
      </c>
      <c r="Z59" s="65" t="b">
        <f>FALSE()</f>
        <v>0</v>
      </c>
      <c r="AA59" s="65" t="b">
        <f>TRUE()</f>
        <v>1</v>
      </c>
      <c r="AB59" s="65" t="b">
        <f>FALSE()</f>
        <v>0</v>
      </c>
      <c r="AC59" s="65" t="b">
        <f>FALSE()</f>
        <v>0</v>
      </c>
      <c r="AD59" s="65" t="b">
        <f>TRUE()</f>
        <v>1</v>
      </c>
      <c r="AE59" s="65">
        <v>3</v>
      </c>
      <c r="AF59" s="69">
        <v>42.9</v>
      </c>
      <c r="AG59" s="65" t="s">
        <v>73</v>
      </c>
      <c r="AH59" s="65" t="s">
        <v>472</v>
      </c>
      <c r="AI59">
        <f>IF(AND(OR(Company_Explorer!$B$5="All Companies",$E59=Company_Explorer!$B$5),OR(Company_Explorer!$B$6="All Platforms",$B59=Company_Explorer!$B$6),OR(Company_Explorer!$B$7="All Roles",$D59=Company_Explorer!$B$7),OR(Company_Explorer!$B$8="All Ghost Labels",$AG59=Company_Explorer!$B$8)),1,0)</f>
        <v>0</v>
      </c>
    </row>
    <row r="60" spans="1:35" ht="15" customHeight="1" x14ac:dyDescent="0.3">
      <c r="A60" s="60" t="s">
        <v>473</v>
      </c>
      <c r="B60" s="60" t="s">
        <v>80</v>
      </c>
      <c r="C60" s="60" t="s">
        <v>258</v>
      </c>
      <c r="D60" s="60" t="s">
        <v>125</v>
      </c>
      <c r="E60" s="60" t="s">
        <v>141</v>
      </c>
      <c r="F60" s="60" t="b">
        <f>TRUE()</f>
        <v>1</v>
      </c>
      <c r="G60" s="60" t="s">
        <v>325</v>
      </c>
      <c r="H60" s="60" t="s">
        <v>326</v>
      </c>
      <c r="I60" s="61">
        <v>46206</v>
      </c>
      <c r="J60" s="61">
        <v>46210</v>
      </c>
      <c r="K60" s="60">
        <v>4</v>
      </c>
      <c r="L60" s="60" t="s">
        <v>192</v>
      </c>
      <c r="M60" s="60" t="s">
        <v>184</v>
      </c>
      <c r="N60" s="60" t="b">
        <f>FALSE()</f>
        <v>0</v>
      </c>
      <c r="O60" s="60"/>
      <c r="P60" s="60"/>
      <c r="Q60" s="60" t="s">
        <v>236</v>
      </c>
      <c r="R60" s="60" t="s">
        <v>237</v>
      </c>
      <c r="S60" s="60"/>
      <c r="T60" s="60" t="b">
        <f>FALSE()</f>
        <v>0</v>
      </c>
      <c r="U60" s="60" t="b">
        <f>FALSE()</f>
        <v>0</v>
      </c>
      <c r="V60" s="60">
        <v>310</v>
      </c>
      <c r="W60" s="62" t="s">
        <v>259</v>
      </c>
      <c r="X60" s="60">
        <v>429</v>
      </c>
      <c r="Y60" s="63">
        <v>2.66</v>
      </c>
      <c r="Z60" s="60" t="b">
        <f>FALSE()</f>
        <v>0</v>
      </c>
      <c r="AA60" s="60" t="b">
        <f>TRUE()</f>
        <v>1</v>
      </c>
      <c r="AB60" s="60" t="b">
        <f>FALSE()</f>
        <v>0</v>
      </c>
      <c r="AC60" s="60" t="b">
        <f>FALSE()</f>
        <v>0</v>
      </c>
      <c r="AD60" s="60" t="b">
        <f>TRUE()</f>
        <v>1</v>
      </c>
      <c r="AE60" s="60">
        <v>3</v>
      </c>
      <c r="AF60" s="64">
        <v>42.9</v>
      </c>
      <c r="AG60" s="60" t="s">
        <v>73</v>
      </c>
      <c r="AH60" s="60" t="s">
        <v>474</v>
      </c>
      <c r="AI60">
        <f>IF(AND(OR(Company_Explorer!$B$5="All Companies",$E60=Company_Explorer!$B$5),OR(Company_Explorer!$B$6="All Platforms",$B60=Company_Explorer!$B$6),OR(Company_Explorer!$B$7="All Roles",$D60=Company_Explorer!$B$7),OR(Company_Explorer!$B$8="All Ghost Labels",$AG60=Company_Explorer!$B$8)),1,0)</f>
        <v>0</v>
      </c>
    </row>
    <row r="61" spans="1:35" ht="15" customHeight="1" x14ac:dyDescent="0.3">
      <c r="A61" s="65" t="s">
        <v>475</v>
      </c>
      <c r="B61" s="65" t="s">
        <v>80</v>
      </c>
      <c r="C61" s="65" t="s">
        <v>476</v>
      </c>
      <c r="D61" s="65" t="s">
        <v>125</v>
      </c>
      <c r="E61" s="65" t="s">
        <v>477</v>
      </c>
      <c r="F61" s="65" t="b">
        <f>TRUE()</f>
        <v>1</v>
      </c>
      <c r="G61" s="65" t="s">
        <v>166</v>
      </c>
      <c r="H61" s="65" t="s">
        <v>235</v>
      </c>
      <c r="I61" s="66">
        <v>46183</v>
      </c>
      <c r="J61" s="66">
        <v>46210</v>
      </c>
      <c r="K61" s="65">
        <v>27</v>
      </c>
      <c r="L61" s="65" t="s">
        <v>192</v>
      </c>
      <c r="M61" s="65" t="s">
        <v>184</v>
      </c>
      <c r="N61" s="65" t="b">
        <f>FALSE()</f>
        <v>0</v>
      </c>
      <c r="O61" s="65"/>
      <c r="P61" s="65"/>
      <c r="Q61" s="65" t="s">
        <v>236</v>
      </c>
      <c r="R61" s="65" t="s">
        <v>237</v>
      </c>
      <c r="S61" s="65"/>
      <c r="T61" s="65" t="b">
        <f>FALSE()</f>
        <v>0</v>
      </c>
      <c r="U61" s="65" t="b">
        <f>FALSE()</f>
        <v>0</v>
      </c>
      <c r="V61" s="65">
        <v>742</v>
      </c>
      <c r="W61" s="67" t="s">
        <v>478</v>
      </c>
      <c r="X61" s="65">
        <v>1</v>
      </c>
      <c r="Y61" s="68">
        <v>0.01</v>
      </c>
      <c r="Z61" s="65" t="b">
        <f>FALSE()</f>
        <v>0</v>
      </c>
      <c r="AA61" s="65" t="b">
        <f>TRUE()</f>
        <v>1</v>
      </c>
      <c r="AB61" s="65" t="b">
        <f>FALSE()</f>
        <v>0</v>
      </c>
      <c r="AC61" s="65" t="b">
        <f>TRUE()</f>
        <v>1</v>
      </c>
      <c r="AD61" s="65" t="b">
        <f>FALSE()</f>
        <v>0</v>
      </c>
      <c r="AE61" s="65">
        <v>2</v>
      </c>
      <c r="AF61" s="69">
        <v>28.6</v>
      </c>
      <c r="AG61" s="65" t="s">
        <v>73</v>
      </c>
      <c r="AH61" s="65" t="s">
        <v>479</v>
      </c>
      <c r="AI61">
        <f>IF(AND(OR(Company_Explorer!$B$5="All Companies",$E61=Company_Explorer!$B$5),OR(Company_Explorer!$B$6="All Platforms",$B61=Company_Explorer!$B$6),OR(Company_Explorer!$B$7="All Roles",$D61=Company_Explorer!$B$7),OR(Company_Explorer!$B$8="All Ghost Labels",$AG61=Company_Explorer!$B$8)),1,0)</f>
        <v>0</v>
      </c>
    </row>
    <row r="62" spans="1:35" ht="15" customHeight="1" x14ac:dyDescent="0.3">
      <c r="A62" s="60" t="s">
        <v>480</v>
      </c>
      <c r="B62" s="60" t="s">
        <v>80</v>
      </c>
      <c r="C62" s="60" t="s">
        <v>258</v>
      </c>
      <c r="D62" s="60" t="s">
        <v>125</v>
      </c>
      <c r="E62" s="60" t="s">
        <v>141</v>
      </c>
      <c r="F62" s="60" t="b">
        <f>TRUE()</f>
        <v>1</v>
      </c>
      <c r="G62" s="60" t="s">
        <v>167</v>
      </c>
      <c r="H62" s="60" t="s">
        <v>276</v>
      </c>
      <c r="I62" s="61">
        <v>46198</v>
      </c>
      <c r="J62" s="61">
        <v>46210</v>
      </c>
      <c r="K62" s="60">
        <v>12</v>
      </c>
      <c r="L62" s="60" t="s">
        <v>192</v>
      </c>
      <c r="M62" s="60" t="s">
        <v>184</v>
      </c>
      <c r="N62" s="60" t="b">
        <f>FALSE()</f>
        <v>0</v>
      </c>
      <c r="O62" s="60"/>
      <c r="P62" s="60"/>
      <c r="Q62" s="60" t="s">
        <v>236</v>
      </c>
      <c r="R62" s="60" t="s">
        <v>237</v>
      </c>
      <c r="S62" s="60"/>
      <c r="T62" s="60" t="b">
        <f>FALSE()</f>
        <v>0</v>
      </c>
      <c r="U62" s="60" t="b">
        <f>FALSE()</f>
        <v>0</v>
      </c>
      <c r="V62" s="60">
        <v>277</v>
      </c>
      <c r="W62" s="62" t="s">
        <v>259</v>
      </c>
      <c r="X62" s="60">
        <v>429</v>
      </c>
      <c r="Y62" s="63">
        <v>2.66</v>
      </c>
      <c r="Z62" s="60" t="b">
        <f>FALSE()</f>
        <v>0</v>
      </c>
      <c r="AA62" s="60" t="b">
        <f>TRUE()</f>
        <v>1</v>
      </c>
      <c r="AB62" s="60" t="b">
        <f>FALSE()</f>
        <v>0</v>
      </c>
      <c r="AC62" s="60" t="b">
        <f>FALSE()</f>
        <v>0</v>
      </c>
      <c r="AD62" s="60" t="b">
        <f>TRUE()</f>
        <v>1</v>
      </c>
      <c r="AE62" s="60">
        <v>3</v>
      </c>
      <c r="AF62" s="64">
        <v>42.9</v>
      </c>
      <c r="AG62" s="60" t="s">
        <v>73</v>
      </c>
      <c r="AH62" s="60" t="s">
        <v>481</v>
      </c>
      <c r="AI62">
        <f>IF(AND(OR(Company_Explorer!$B$5="All Companies",$E62=Company_Explorer!$B$5),OR(Company_Explorer!$B$6="All Platforms",$B62=Company_Explorer!$B$6),OR(Company_Explorer!$B$7="All Roles",$D62=Company_Explorer!$B$7),OR(Company_Explorer!$B$8="All Ghost Labels",$AG62=Company_Explorer!$B$8)),1,0)</f>
        <v>0</v>
      </c>
    </row>
    <row r="63" spans="1:35" ht="15" customHeight="1" x14ac:dyDescent="0.3">
      <c r="A63" s="65" t="s">
        <v>482</v>
      </c>
      <c r="B63" s="65" t="s">
        <v>80</v>
      </c>
      <c r="C63" s="65" t="s">
        <v>258</v>
      </c>
      <c r="D63" s="65" t="s">
        <v>125</v>
      </c>
      <c r="E63" s="65" t="s">
        <v>141</v>
      </c>
      <c r="F63" s="65" t="b">
        <f>TRUE()</f>
        <v>1</v>
      </c>
      <c r="G63" s="65" t="s">
        <v>167</v>
      </c>
      <c r="H63" s="65" t="s">
        <v>276</v>
      </c>
      <c r="I63" s="66">
        <v>46198</v>
      </c>
      <c r="J63" s="66">
        <v>46210</v>
      </c>
      <c r="K63" s="65">
        <v>12</v>
      </c>
      <c r="L63" s="65" t="s">
        <v>192</v>
      </c>
      <c r="M63" s="65" t="s">
        <v>184</v>
      </c>
      <c r="N63" s="65" t="b">
        <f>FALSE()</f>
        <v>0</v>
      </c>
      <c r="O63" s="65"/>
      <c r="P63" s="65"/>
      <c r="Q63" s="65" t="s">
        <v>236</v>
      </c>
      <c r="R63" s="65" t="s">
        <v>237</v>
      </c>
      <c r="S63" s="65"/>
      <c r="T63" s="65" t="b">
        <f>FALSE()</f>
        <v>0</v>
      </c>
      <c r="U63" s="65" t="b">
        <f>FALSE()</f>
        <v>0</v>
      </c>
      <c r="V63" s="65">
        <v>279</v>
      </c>
      <c r="W63" s="67" t="s">
        <v>259</v>
      </c>
      <c r="X63" s="65">
        <v>429</v>
      </c>
      <c r="Y63" s="68">
        <v>2.66</v>
      </c>
      <c r="Z63" s="65" t="b">
        <f>FALSE()</f>
        <v>0</v>
      </c>
      <c r="AA63" s="65" t="b">
        <f>TRUE()</f>
        <v>1</v>
      </c>
      <c r="AB63" s="65" t="b">
        <f>FALSE()</f>
        <v>0</v>
      </c>
      <c r="AC63" s="65" t="b">
        <f>FALSE()</f>
        <v>0</v>
      </c>
      <c r="AD63" s="65" t="b">
        <f>TRUE()</f>
        <v>1</v>
      </c>
      <c r="AE63" s="65">
        <v>3</v>
      </c>
      <c r="AF63" s="69">
        <v>42.9</v>
      </c>
      <c r="AG63" s="65" t="s">
        <v>73</v>
      </c>
      <c r="AH63" s="65" t="s">
        <v>483</v>
      </c>
      <c r="AI63">
        <f>IF(AND(OR(Company_Explorer!$B$5="All Companies",$E63=Company_Explorer!$B$5),OR(Company_Explorer!$B$6="All Platforms",$B63=Company_Explorer!$B$6),OR(Company_Explorer!$B$7="All Roles",$D63=Company_Explorer!$B$7),OR(Company_Explorer!$B$8="All Ghost Labels",$AG63=Company_Explorer!$B$8)),1,0)</f>
        <v>0</v>
      </c>
    </row>
    <row r="64" spans="1:35" ht="15" customHeight="1" x14ac:dyDescent="0.3">
      <c r="A64" s="60" t="s">
        <v>484</v>
      </c>
      <c r="B64" s="60" t="s">
        <v>80</v>
      </c>
      <c r="C64" s="60" t="s">
        <v>258</v>
      </c>
      <c r="D64" s="60" t="s">
        <v>125</v>
      </c>
      <c r="E64" s="60" t="s">
        <v>141</v>
      </c>
      <c r="F64" s="60" t="b">
        <f>TRUE()</f>
        <v>1</v>
      </c>
      <c r="G64" s="60" t="s">
        <v>166</v>
      </c>
      <c r="H64" s="60" t="s">
        <v>235</v>
      </c>
      <c r="I64" s="61">
        <v>46198</v>
      </c>
      <c r="J64" s="61">
        <v>46210</v>
      </c>
      <c r="K64" s="60">
        <v>12</v>
      </c>
      <c r="L64" s="60" t="s">
        <v>192</v>
      </c>
      <c r="M64" s="60" t="s">
        <v>184</v>
      </c>
      <c r="N64" s="60" t="b">
        <f>FALSE()</f>
        <v>0</v>
      </c>
      <c r="O64" s="60"/>
      <c r="P64" s="60"/>
      <c r="Q64" s="60" t="s">
        <v>236</v>
      </c>
      <c r="R64" s="60" t="s">
        <v>237</v>
      </c>
      <c r="S64" s="60"/>
      <c r="T64" s="60" t="b">
        <f>FALSE()</f>
        <v>0</v>
      </c>
      <c r="U64" s="60" t="b">
        <f>FALSE()</f>
        <v>0</v>
      </c>
      <c r="V64" s="60">
        <v>328</v>
      </c>
      <c r="W64" s="62" t="s">
        <v>259</v>
      </c>
      <c r="X64" s="60">
        <v>429</v>
      </c>
      <c r="Y64" s="63">
        <v>2.66</v>
      </c>
      <c r="Z64" s="60" t="b">
        <f>FALSE()</f>
        <v>0</v>
      </c>
      <c r="AA64" s="60" t="b">
        <f>TRUE()</f>
        <v>1</v>
      </c>
      <c r="AB64" s="60" t="b">
        <f>FALSE()</f>
        <v>0</v>
      </c>
      <c r="AC64" s="60" t="b">
        <f>FALSE()</f>
        <v>0</v>
      </c>
      <c r="AD64" s="60" t="b">
        <f>TRUE()</f>
        <v>1</v>
      </c>
      <c r="AE64" s="60">
        <v>3</v>
      </c>
      <c r="AF64" s="64">
        <v>42.9</v>
      </c>
      <c r="AG64" s="60" t="s">
        <v>73</v>
      </c>
      <c r="AH64" s="60" t="s">
        <v>485</v>
      </c>
      <c r="AI64">
        <f>IF(AND(OR(Company_Explorer!$B$5="All Companies",$E64=Company_Explorer!$B$5),OR(Company_Explorer!$B$6="All Platforms",$B64=Company_Explorer!$B$6),OR(Company_Explorer!$B$7="All Roles",$D64=Company_Explorer!$B$7),OR(Company_Explorer!$B$8="All Ghost Labels",$AG64=Company_Explorer!$B$8)),1,0)</f>
        <v>0</v>
      </c>
    </row>
    <row r="65" spans="1:35" ht="15" customHeight="1" x14ac:dyDescent="0.3">
      <c r="A65" s="65" t="s">
        <v>486</v>
      </c>
      <c r="B65" s="65" t="s">
        <v>80</v>
      </c>
      <c r="C65" s="65" t="s">
        <v>487</v>
      </c>
      <c r="D65" s="65" t="s">
        <v>131</v>
      </c>
      <c r="E65" s="65" t="s">
        <v>488</v>
      </c>
      <c r="F65" s="65" t="b">
        <f>TRUE()</f>
        <v>1</v>
      </c>
      <c r="G65" s="65" t="s">
        <v>171</v>
      </c>
      <c r="H65" s="65" t="s">
        <v>254</v>
      </c>
      <c r="I65" s="66">
        <v>46195</v>
      </c>
      <c r="J65" s="66">
        <v>46210</v>
      </c>
      <c r="K65" s="65">
        <v>15</v>
      </c>
      <c r="L65" s="65" t="s">
        <v>192</v>
      </c>
      <c r="M65" s="65" t="s">
        <v>185</v>
      </c>
      <c r="N65" s="65" t="b">
        <f>FALSE()</f>
        <v>0</v>
      </c>
      <c r="O65" s="65"/>
      <c r="P65" s="65"/>
      <c r="Q65" s="65" t="s">
        <v>236</v>
      </c>
      <c r="R65" s="65" t="s">
        <v>237</v>
      </c>
      <c r="S65" s="65"/>
      <c r="T65" s="65" t="b">
        <f>FALSE()</f>
        <v>0</v>
      </c>
      <c r="U65" s="65" t="b">
        <f>FALSE()</f>
        <v>0</v>
      </c>
      <c r="V65" s="65">
        <v>394</v>
      </c>
      <c r="W65" s="67" t="s">
        <v>489</v>
      </c>
      <c r="X65" s="65">
        <v>1</v>
      </c>
      <c r="Y65" s="68">
        <v>0.01</v>
      </c>
      <c r="Z65" s="65" t="b">
        <f>FALSE()</f>
        <v>0</v>
      </c>
      <c r="AA65" s="65" t="b">
        <f>TRUE()</f>
        <v>1</v>
      </c>
      <c r="AB65" s="65" t="b">
        <f>FALSE()</f>
        <v>0</v>
      </c>
      <c r="AC65" s="65" t="b">
        <f>FALSE()</f>
        <v>0</v>
      </c>
      <c r="AD65" s="65" t="b">
        <f>FALSE()</f>
        <v>0</v>
      </c>
      <c r="AE65" s="65">
        <v>1</v>
      </c>
      <c r="AF65" s="69">
        <v>14.3</v>
      </c>
      <c r="AG65" s="65" t="s">
        <v>74</v>
      </c>
      <c r="AH65" s="65" t="s">
        <v>490</v>
      </c>
      <c r="AI65">
        <f>IF(AND(OR(Company_Explorer!$B$5="All Companies",$E65=Company_Explorer!$B$5),OR(Company_Explorer!$B$6="All Platforms",$B65=Company_Explorer!$B$6),OR(Company_Explorer!$B$7="All Roles",$D65=Company_Explorer!$B$7),OR(Company_Explorer!$B$8="All Ghost Labels",$AG65=Company_Explorer!$B$8)),1,0)</f>
        <v>0</v>
      </c>
    </row>
    <row r="66" spans="1:35" ht="15" customHeight="1" x14ac:dyDescent="0.3">
      <c r="A66" s="60" t="s">
        <v>491</v>
      </c>
      <c r="B66" s="60" t="s">
        <v>80</v>
      </c>
      <c r="C66" s="60" t="s">
        <v>258</v>
      </c>
      <c r="D66" s="60" t="s">
        <v>125</v>
      </c>
      <c r="E66" s="60" t="s">
        <v>141</v>
      </c>
      <c r="F66" s="60" t="b">
        <f>TRUE()</f>
        <v>1</v>
      </c>
      <c r="G66" s="60" t="s">
        <v>166</v>
      </c>
      <c r="H66" s="60" t="s">
        <v>235</v>
      </c>
      <c r="I66" s="61">
        <v>46198</v>
      </c>
      <c r="J66" s="61">
        <v>46210</v>
      </c>
      <c r="K66" s="60">
        <v>12</v>
      </c>
      <c r="L66" s="60" t="s">
        <v>192</v>
      </c>
      <c r="M66" s="60" t="s">
        <v>184</v>
      </c>
      <c r="N66" s="60" t="b">
        <f>FALSE()</f>
        <v>0</v>
      </c>
      <c r="O66" s="60"/>
      <c r="P66" s="60"/>
      <c r="Q66" s="60" t="s">
        <v>236</v>
      </c>
      <c r="R66" s="60" t="s">
        <v>237</v>
      </c>
      <c r="S66" s="60"/>
      <c r="T66" s="60" t="b">
        <f>FALSE()</f>
        <v>0</v>
      </c>
      <c r="U66" s="60" t="b">
        <f>FALSE()</f>
        <v>0</v>
      </c>
      <c r="V66" s="60">
        <v>274</v>
      </c>
      <c r="W66" s="62" t="s">
        <v>259</v>
      </c>
      <c r="X66" s="60">
        <v>429</v>
      </c>
      <c r="Y66" s="63">
        <v>2.66</v>
      </c>
      <c r="Z66" s="60" t="b">
        <f>FALSE()</f>
        <v>0</v>
      </c>
      <c r="AA66" s="60" t="b">
        <f>TRUE()</f>
        <v>1</v>
      </c>
      <c r="AB66" s="60" t="b">
        <f>FALSE()</f>
        <v>0</v>
      </c>
      <c r="AC66" s="60" t="b">
        <f>FALSE()</f>
        <v>0</v>
      </c>
      <c r="AD66" s="60" t="b">
        <f>TRUE()</f>
        <v>1</v>
      </c>
      <c r="AE66" s="60">
        <v>3</v>
      </c>
      <c r="AF66" s="64">
        <v>42.9</v>
      </c>
      <c r="AG66" s="60" t="s">
        <v>73</v>
      </c>
      <c r="AH66" s="60" t="s">
        <v>492</v>
      </c>
      <c r="AI66">
        <f>IF(AND(OR(Company_Explorer!$B$5="All Companies",$E66=Company_Explorer!$B$5),OR(Company_Explorer!$B$6="All Platforms",$B66=Company_Explorer!$B$6),OR(Company_Explorer!$B$7="All Roles",$D66=Company_Explorer!$B$7),OR(Company_Explorer!$B$8="All Ghost Labels",$AG66=Company_Explorer!$B$8)),1,0)</f>
        <v>0</v>
      </c>
    </row>
    <row r="67" spans="1:35" ht="15" customHeight="1" x14ac:dyDescent="0.3">
      <c r="A67" s="65" t="s">
        <v>493</v>
      </c>
      <c r="B67" s="65" t="s">
        <v>80</v>
      </c>
      <c r="C67" s="65" t="s">
        <v>258</v>
      </c>
      <c r="D67" s="65" t="s">
        <v>125</v>
      </c>
      <c r="E67" s="65" t="s">
        <v>141</v>
      </c>
      <c r="F67" s="65" t="b">
        <f>TRUE()</f>
        <v>1</v>
      </c>
      <c r="G67" s="65" t="s">
        <v>167</v>
      </c>
      <c r="H67" s="65" t="s">
        <v>276</v>
      </c>
      <c r="I67" s="66">
        <v>46198</v>
      </c>
      <c r="J67" s="66">
        <v>46210</v>
      </c>
      <c r="K67" s="65">
        <v>12</v>
      </c>
      <c r="L67" s="65" t="s">
        <v>192</v>
      </c>
      <c r="M67" s="65" t="s">
        <v>184</v>
      </c>
      <c r="N67" s="65" t="b">
        <f>FALSE()</f>
        <v>0</v>
      </c>
      <c r="O67" s="65"/>
      <c r="P67" s="65"/>
      <c r="Q67" s="65" t="s">
        <v>236</v>
      </c>
      <c r="R67" s="65" t="s">
        <v>237</v>
      </c>
      <c r="S67" s="65"/>
      <c r="T67" s="65" t="b">
        <f>FALSE()</f>
        <v>0</v>
      </c>
      <c r="U67" s="65" t="b">
        <f>FALSE()</f>
        <v>0</v>
      </c>
      <c r="V67" s="65">
        <v>278</v>
      </c>
      <c r="W67" s="67" t="s">
        <v>259</v>
      </c>
      <c r="X67" s="65">
        <v>429</v>
      </c>
      <c r="Y67" s="68">
        <v>2.66</v>
      </c>
      <c r="Z67" s="65" t="b">
        <f>FALSE()</f>
        <v>0</v>
      </c>
      <c r="AA67" s="65" t="b">
        <f>TRUE()</f>
        <v>1</v>
      </c>
      <c r="AB67" s="65" t="b">
        <f>FALSE()</f>
        <v>0</v>
      </c>
      <c r="AC67" s="65" t="b">
        <f>FALSE()</f>
        <v>0</v>
      </c>
      <c r="AD67" s="65" t="b">
        <f>TRUE()</f>
        <v>1</v>
      </c>
      <c r="AE67" s="65">
        <v>3</v>
      </c>
      <c r="AF67" s="69">
        <v>42.9</v>
      </c>
      <c r="AG67" s="65" t="s">
        <v>73</v>
      </c>
      <c r="AH67" s="65" t="s">
        <v>494</v>
      </c>
      <c r="AI67">
        <f>IF(AND(OR(Company_Explorer!$B$5="All Companies",$E67=Company_Explorer!$B$5),OR(Company_Explorer!$B$6="All Platforms",$B67=Company_Explorer!$B$6),OR(Company_Explorer!$B$7="All Roles",$D67=Company_Explorer!$B$7),OR(Company_Explorer!$B$8="All Ghost Labels",$AG67=Company_Explorer!$B$8)),1,0)</f>
        <v>0</v>
      </c>
    </row>
    <row r="68" spans="1:35" ht="15" customHeight="1" x14ac:dyDescent="0.3">
      <c r="A68" s="60" t="s">
        <v>495</v>
      </c>
      <c r="B68" s="60" t="s">
        <v>80</v>
      </c>
      <c r="C68" s="60" t="s">
        <v>258</v>
      </c>
      <c r="D68" s="60" t="s">
        <v>125</v>
      </c>
      <c r="E68" s="60" t="s">
        <v>141</v>
      </c>
      <c r="F68" s="60" t="b">
        <f>TRUE()</f>
        <v>1</v>
      </c>
      <c r="G68" s="60" t="s">
        <v>167</v>
      </c>
      <c r="H68" s="60" t="s">
        <v>276</v>
      </c>
      <c r="I68" s="61">
        <v>46198</v>
      </c>
      <c r="J68" s="61">
        <v>46210</v>
      </c>
      <c r="K68" s="60">
        <v>12</v>
      </c>
      <c r="L68" s="60" t="s">
        <v>192</v>
      </c>
      <c r="M68" s="60" t="s">
        <v>184</v>
      </c>
      <c r="N68" s="60" t="b">
        <f>FALSE()</f>
        <v>0</v>
      </c>
      <c r="O68" s="60"/>
      <c r="P68" s="60"/>
      <c r="Q68" s="60" t="s">
        <v>236</v>
      </c>
      <c r="R68" s="60" t="s">
        <v>237</v>
      </c>
      <c r="S68" s="60"/>
      <c r="T68" s="60" t="b">
        <f>FALSE()</f>
        <v>0</v>
      </c>
      <c r="U68" s="60" t="b">
        <f>FALSE()</f>
        <v>0</v>
      </c>
      <c r="V68" s="60">
        <v>278</v>
      </c>
      <c r="W68" s="62" t="s">
        <v>259</v>
      </c>
      <c r="X68" s="60">
        <v>429</v>
      </c>
      <c r="Y68" s="63">
        <v>2.66</v>
      </c>
      <c r="Z68" s="60" t="b">
        <f>FALSE()</f>
        <v>0</v>
      </c>
      <c r="AA68" s="60" t="b">
        <f>TRUE()</f>
        <v>1</v>
      </c>
      <c r="AB68" s="60" t="b">
        <f>FALSE()</f>
        <v>0</v>
      </c>
      <c r="AC68" s="60" t="b">
        <f>FALSE()</f>
        <v>0</v>
      </c>
      <c r="AD68" s="60" t="b">
        <f>TRUE()</f>
        <v>1</v>
      </c>
      <c r="AE68" s="60">
        <v>3</v>
      </c>
      <c r="AF68" s="64">
        <v>42.9</v>
      </c>
      <c r="AG68" s="60" t="s">
        <v>73</v>
      </c>
      <c r="AH68" s="60" t="s">
        <v>496</v>
      </c>
      <c r="AI68">
        <f>IF(AND(OR(Company_Explorer!$B$5="All Companies",$E68=Company_Explorer!$B$5),OR(Company_Explorer!$B$6="All Platforms",$B68=Company_Explorer!$B$6),OR(Company_Explorer!$B$7="All Roles",$D68=Company_Explorer!$B$7),OR(Company_Explorer!$B$8="All Ghost Labels",$AG68=Company_Explorer!$B$8)),1,0)</f>
        <v>0</v>
      </c>
    </row>
    <row r="69" spans="1:35" ht="15" customHeight="1" x14ac:dyDescent="0.3">
      <c r="A69" s="65" t="s">
        <v>497</v>
      </c>
      <c r="B69" s="65" t="s">
        <v>80</v>
      </c>
      <c r="C69" s="65" t="s">
        <v>258</v>
      </c>
      <c r="D69" s="65" t="s">
        <v>125</v>
      </c>
      <c r="E69" s="65" t="s">
        <v>141</v>
      </c>
      <c r="F69" s="65" t="b">
        <f>TRUE()</f>
        <v>1</v>
      </c>
      <c r="G69" s="65" t="s">
        <v>167</v>
      </c>
      <c r="H69" s="65" t="s">
        <v>276</v>
      </c>
      <c r="I69" s="66">
        <v>46198</v>
      </c>
      <c r="J69" s="66">
        <v>46210</v>
      </c>
      <c r="K69" s="65">
        <v>12</v>
      </c>
      <c r="L69" s="65" t="s">
        <v>192</v>
      </c>
      <c r="M69" s="65" t="s">
        <v>184</v>
      </c>
      <c r="N69" s="65" t="b">
        <f>FALSE()</f>
        <v>0</v>
      </c>
      <c r="O69" s="65"/>
      <c r="P69" s="65"/>
      <c r="Q69" s="65" t="s">
        <v>236</v>
      </c>
      <c r="R69" s="65" t="s">
        <v>237</v>
      </c>
      <c r="S69" s="65"/>
      <c r="T69" s="65" t="b">
        <f>FALSE()</f>
        <v>0</v>
      </c>
      <c r="U69" s="65" t="b">
        <f>FALSE()</f>
        <v>0</v>
      </c>
      <c r="V69" s="65">
        <v>255</v>
      </c>
      <c r="W69" s="67" t="s">
        <v>498</v>
      </c>
      <c r="X69" s="65">
        <v>429</v>
      </c>
      <c r="Y69" s="68">
        <v>2.66</v>
      </c>
      <c r="Z69" s="65" t="b">
        <f>FALSE()</f>
        <v>0</v>
      </c>
      <c r="AA69" s="65" t="b">
        <f>TRUE()</f>
        <v>1</v>
      </c>
      <c r="AB69" s="65" t="b">
        <f>TRUE()</f>
        <v>1</v>
      </c>
      <c r="AC69" s="65" t="b">
        <f>FALSE()</f>
        <v>0</v>
      </c>
      <c r="AD69" s="65" t="b">
        <f>TRUE()</f>
        <v>1</v>
      </c>
      <c r="AE69" s="65">
        <v>4</v>
      </c>
      <c r="AF69" s="69">
        <v>57.1</v>
      </c>
      <c r="AG69" s="65" t="s">
        <v>72</v>
      </c>
      <c r="AH69" s="65" t="s">
        <v>499</v>
      </c>
      <c r="AI69">
        <f>IF(AND(OR(Company_Explorer!$B$5="All Companies",$E69=Company_Explorer!$B$5),OR(Company_Explorer!$B$6="All Platforms",$B69=Company_Explorer!$B$6),OR(Company_Explorer!$B$7="All Roles",$D69=Company_Explorer!$B$7),OR(Company_Explorer!$B$8="All Ghost Labels",$AG69=Company_Explorer!$B$8)),1,0)</f>
        <v>0</v>
      </c>
    </row>
    <row r="70" spans="1:35" ht="15" customHeight="1" x14ac:dyDescent="0.3">
      <c r="A70" s="60" t="s">
        <v>500</v>
      </c>
      <c r="B70" s="60" t="s">
        <v>80</v>
      </c>
      <c r="C70" s="60" t="s">
        <v>258</v>
      </c>
      <c r="D70" s="60" t="s">
        <v>125</v>
      </c>
      <c r="E70" s="60" t="s">
        <v>141</v>
      </c>
      <c r="F70" s="60" t="b">
        <f>TRUE()</f>
        <v>1</v>
      </c>
      <c r="G70" s="60" t="s">
        <v>167</v>
      </c>
      <c r="H70" s="60" t="s">
        <v>276</v>
      </c>
      <c r="I70" s="61">
        <v>46198</v>
      </c>
      <c r="J70" s="61">
        <v>46210</v>
      </c>
      <c r="K70" s="60">
        <v>12</v>
      </c>
      <c r="L70" s="60" t="s">
        <v>192</v>
      </c>
      <c r="M70" s="60" t="s">
        <v>184</v>
      </c>
      <c r="N70" s="60" t="b">
        <f>FALSE()</f>
        <v>0</v>
      </c>
      <c r="O70" s="60"/>
      <c r="P70" s="60"/>
      <c r="Q70" s="60" t="s">
        <v>236</v>
      </c>
      <c r="R70" s="60" t="s">
        <v>237</v>
      </c>
      <c r="S70" s="60"/>
      <c r="T70" s="60" t="b">
        <f>FALSE()</f>
        <v>0</v>
      </c>
      <c r="U70" s="60" t="b">
        <f>FALSE()</f>
        <v>0</v>
      </c>
      <c r="V70" s="60">
        <v>279</v>
      </c>
      <c r="W70" s="62" t="s">
        <v>259</v>
      </c>
      <c r="X70" s="60">
        <v>429</v>
      </c>
      <c r="Y70" s="63">
        <v>2.66</v>
      </c>
      <c r="Z70" s="60" t="b">
        <f>FALSE()</f>
        <v>0</v>
      </c>
      <c r="AA70" s="60" t="b">
        <f>TRUE()</f>
        <v>1</v>
      </c>
      <c r="AB70" s="60" t="b">
        <f>FALSE()</f>
        <v>0</v>
      </c>
      <c r="AC70" s="60" t="b">
        <f>FALSE()</f>
        <v>0</v>
      </c>
      <c r="AD70" s="60" t="b">
        <f>TRUE()</f>
        <v>1</v>
      </c>
      <c r="AE70" s="60">
        <v>3</v>
      </c>
      <c r="AF70" s="64">
        <v>42.9</v>
      </c>
      <c r="AG70" s="60" t="s">
        <v>73</v>
      </c>
      <c r="AH70" s="60" t="s">
        <v>501</v>
      </c>
      <c r="AI70">
        <f>IF(AND(OR(Company_Explorer!$B$5="All Companies",$E70=Company_Explorer!$B$5),OR(Company_Explorer!$B$6="All Platforms",$B70=Company_Explorer!$B$6),OR(Company_Explorer!$B$7="All Roles",$D70=Company_Explorer!$B$7),OR(Company_Explorer!$B$8="All Ghost Labels",$AG70=Company_Explorer!$B$8)),1,0)</f>
        <v>0</v>
      </c>
    </row>
    <row r="71" spans="1:35" ht="15" customHeight="1" x14ac:dyDescent="0.3">
      <c r="A71" s="65" t="s">
        <v>502</v>
      </c>
      <c r="B71" s="65" t="s">
        <v>80</v>
      </c>
      <c r="C71" s="65" t="s">
        <v>258</v>
      </c>
      <c r="D71" s="65" t="s">
        <v>125</v>
      </c>
      <c r="E71" s="65" t="s">
        <v>141</v>
      </c>
      <c r="F71" s="65" t="b">
        <f>TRUE()</f>
        <v>1</v>
      </c>
      <c r="G71" s="65" t="s">
        <v>179</v>
      </c>
      <c r="H71" s="65" t="s">
        <v>254</v>
      </c>
      <c r="I71" s="66">
        <v>46198</v>
      </c>
      <c r="J71" s="66">
        <v>46210</v>
      </c>
      <c r="K71" s="65">
        <v>12</v>
      </c>
      <c r="L71" s="65" t="s">
        <v>192</v>
      </c>
      <c r="M71" s="65" t="s">
        <v>184</v>
      </c>
      <c r="N71" s="65" t="b">
        <f>FALSE()</f>
        <v>0</v>
      </c>
      <c r="O71" s="65"/>
      <c r="P71" s="65"/>
      <c r="Q71" s="65" t="s">
        <v>236</v>
      </c>
      <c r="R71" s="65" t="s">
        <v>237</v>
      </c>
      <c r="S71" s="65"/>
      <c r="T71" s="65" t="b">
        <f>FALSE()</f>
        <v>0</v>
      </c>
      <c r="U71" s="65" t="b">
        <f>FALSE()</f>
        <v>0</v>
      </c>
      <c r="V71" s="65">
        <v>284</v>
      </c>
      <c r="W71" s="67" t="s">
        <v>259</v>
      </c>
      <c r="X71" s="65">
        <v>429</v>
      </c>
      <c r="Y71" s="68">
        <v>2.66</v>
      </c>
      <c r="Z71" s="65" t="b">
        <f>FALSE()</f>
        <v>0</v>
      </c>
      <c r="AA71" s="65" t="b">
        <f>TRUE()</f>
        <v>1</v>
      </c>
      <c r="AB71" s="65" t="b">
        <f>FALSE()</f>
        <v>0</v>
      </c>
      <c r="AC71" s="65" t="b">
        <f>FALSE()</f>
        <v>0</v>
      </c>
      <c r="AD71" s="65" t="b">
        <f>TRUE()</f>
        <v>1</v>
      </c>
      <c r="AE71" s="65">
        <v>3</v>
      </c>
      <c r="AF71" s="69">
        <v>42.9</v>
      </c>
      <c r="AG71" s="65" t="s">
        <v>73</v>
      </c>
      <c r="AH71" s="65" t="s">
        <v>503</v>
      </c>
      <c r="AI71">
        <f>IF(AND(OR(Company_Explorer!$B$5="All Companies",$E71=Company_Explorer!$B$5),OR(Company_Explorer!$B$6="All Platforms",$B71=Company_Explorer!$B$6),OR(Company_Explorer!$B$7="All Roles",$D71=Company_Explorer!$B$7),OR(Company_Explorer!$B$8="All Ghost Labels",$AG71=Company_Explorer!$B$8)),1,0)</f>
        <v>0</v>
      </c>
    </row>
    <row r="72" spans="1:35" ht="15" customHeight="1" x14ac:dyDescent="0.3">
      <c r="A72" s="60" t="s">
        <v>504</v>
      </c>
      <c r="B72" s="60" t="s">
        <v>80</v>
      </c>
      <c r="C72" s="60" t="s">
        <v>505</v>
      </c>
      <c r="D72" s="60" t="s">
        <v>125</v>
      </c>
      <c r="E72" s="60" t="s">
        <v>506</v>
      </c>
      <c r="F72" s="60" t="b">
        <f>TRUE()</f>
        <v>1</v>
      </c>
      <c r="G72" s="60" t="s">
        <v>166</v>
      </c>
      <c r="H72" s="60" t="s">
        <v>235</v>
      </c>
      <c r="I72" s="61">
        <v>46196</v>
      </c>
      <c r="J72" s="61">
        <v>46210</v>
      </c>
      <c r="K72" s="60">
        <v>14</v>
      </c>
      <c r="L72" s="60" t="s">
        <v>192</v>
      </c>
      <c r="M72" s="60" t="s">
        <v>185</v>
      </c>
      <c r="N72" s="60" t="b">
        <f>FALSE()</f>
        <v>0</v>
      </c>
      <c r="O72" s="60"/>
      <c r="P72" s="60"/>
      <c r="Q72" s="60" t="s">
        <v>236</v>
      </c>
      <c r="R72" s="60" t="s">
        <v>237</v>
      </c>
      <c r="S72" s="60"/>
      <c r="T72" s="60" t="b">
        <f>FALSE()</f>
        <v>0</v>
      </c>
      <c r="U72" s="60" t="b">
        <f>FALSE()</f>
        <v>0</v>
      </c>
      <c r="V72" s="60">
        <v>515</v>
      </c>
      <c r="W72" s="62" t="s">
        <v>507</v>
      </c>
      <c r="X72" s="60">
        <v>1</v>
      </c>
      <c r="Y72" s="63">
        <v>0.01</v>
      </c>
      <c r="Z72" s="60" t="b">
        <f>FALSE()</f>
        <v>0</v>
      </c>
      <c r="AA72" s="60" t="b">
        <f>TRUE()</f>
        <v>1</v>
      </c>
      <c r="AB72" s="60" t="b">
        <f>FALSE()</f>
        <v>0</v>
      </c>
      <c r="AC72" s="60" t="b">
        <f>FALSE()</f>
        <v>0</v>
      </c>
      <c r="AD72" s="60" t="b">
        <f>FALSE()</f>
        <v>0</v>
      </c>
      <c r="AE72" s="60">
        <v>1</v>
      </c>
      <c r="AF72" s="64">
        <v>14.3</v>
      </c>
      <c r="AG72" s="60" t="s">
        <v>74</v>
      </c>
      <c r="AH72" s="60" t="s">
        <v>508</v>
      </c>
      <c r="AI72">
        <f>IF(AND(OR(Company_Explorer!$B$5="All Companies",$E72=Company_Explorer!$B$5),OR(Company_Explorer!$B$6="All Platforms",$B72=Company_Explorer!$B$6),OR(Company_Explorer!$B$7="All Roles",$D72=Company_Explorer!$B$7),OR(Company_Explorer!$B$8="All Ghost Labels",$AG72=Company_Explorer!$B$8)),1,0)</f>
        <v>0</v>
      </c>
    </row>
    <row r="73" spans="1:35" ht="15" customHeight="1" x14ac:dyDescent="0.3">
      <c r="A73" s="65" t="s">
        <v>509</v>
      </c>
      <c r="B73" s="65" t="s">
        <v>80</v>
      </c>
      <c r="C73" s="65" t="s">
        <v>258</v>
      </c>
      <c r="D73" s="65" t="s">
        <v>125</v>
      </c>
      <c r="E73" s="65" t="s">
        <v>141</v>
      </c>
      <c r="F73" s="65" t="b">
        <f>TRUE()</f>
        <v>1</v>
      </c>
      <c r="G73" s="65" t="s">
        <v>166</v>
      </c>
      <c r="H73" s="65" t="s">
        <v>235</v>
      </c>
      <c r="I73" s="66">
        <v>46199</v>
      </c>
      <c r="J73" s="66">
        <v>46210</v>
      </c>
      <c r="K73" s="65">
        <v>11</v>
      </c>
      <c r="L73" s="65" t="s">
        <v>192</v>
      </c>
      <c r="M73" s="65" t="s">
        <v>184</v>
      </c>
      <c r="N73" s="65" t="b">
        <f>FALSE()</f>
        <v>0</v>
      </c>
      <c r="O73" s="65"/>
      <c r="P73" s="65"/>
      <c r="Q73" s="65" t="s">
        <v>236</v>
      </c>
      <c r="R73" s="65" t="s">
        <v>237</v>
      </c>
      <c r="S73" s="65"/>
      <c r="T73" s="65" t="b">
        <f>FALSE()</f>
        <v>0</v>
      </c>
      <c r="U73" s="65" t="b">
        <f>FALSE()</f>
        <v>0</v>
      </c>
      <c r="V73" s="65">
        <v>302</v>
      </c>
      <c r="W73" s="67" t="s">
        <v>259</v>
      </c>
      <c r="X73" s="65">
        <v>429</v>
      </c>
      <c r="Y73" s="68">
        <v>2.66</v>
      </c>
      <c r="Z73" s="65" t="b">
        <f>FALSE()</f>
        <v>0</v>
      </c>
      <c r="AA73" s="65" t="b">
        <f>TRUE()</f>
        <v>1</v>
      </c>
      <c r="AB73" s="65" t="b">
        <f>FALSE()</f>
        <v>0</v>
      </c>
      <c r="AC73" s="65" t="b">
        <f>FALSE()</f>
        <v>0</v>
      </c>
      <c r="AD73" s="65" t="b">
        <f>TRUE()</f>
        <v>1</v>
      </c>
      <c r="AE73" s="65">
        <v>3</v>
      </c>
      <c r="AF73" s="69">
        <v>42.9</v>
      </c>
      <c r="AG73" s="65" t="s">
        <v>73</v>
      </c>
      <c r="AH73" s="65" t="s">
        <v>510</v>
      </c>
      <c r="AI73">
        <f>IF(AND(OR(Company_Explorer!$B$5="All Companies",$E73=Company_Explorer!$B$5),OR(Company_Explorer!$B$6="All Platforms",$B73=Company_Explorer!$B$6),OR(Company_Explorer!$B$7="All Roles",$D73=Company_Explorer!$B$7),OR(Company_Explorer!$B$8="All Ghost Labels",$AG73=Company_Explorer!$B$8)),1,0)</f>
        <v>0</v>
      </c>
    </row>
    <row r="74" spans="1:35" ht="15" customHeight="1" x14ac:dyDescent="0.3">
      <c r="A74" s="60" t="s">
        <v>511</v>
      </c>
      <c r="B74" s="60" t="s">
        <v>80</v>
      </c>
      <c r="C74" s="60" t="s">
        <v>258</v>
      </c>
      <c r="D74" s="60" t="s">
        <v>125</v>
      </c>
      <c r="E74" s="60" t="s">
        <v>141</v>
      </c>
      <c r="F74" s="60" t="b">
        <f>TRUE()</f>
        <v>1</v>
      </c>
      <c r="G74" s="60" t="s">
        <v>169</v>
      </c>
      <c r="H74" s="60" t="s">
        <v>294</v>
      </c>
      <c r="I74" s="61">
        <v>46198</v>
      </c>
      <c r="J74" s="61">
        <v>46210</v>
      </c>
      <c r="K74" s="60">
        <v>12</v>
      </c>
      <c r="L74" s="60" t="s">
        <v>192</v>
      </c>
      <c r="M74" s="60" t="s">
        <v>184</v>
      </c>
      <c r="N74" s="60" t="b">
        <f>FALSE()</f>
        <v>0</v>
      </c>
      <c r="O74" s="60"/>
      <c r="P74" s="60"/>
      <c r="Q74" s="60" t="s">
        <v>236</v>
      </c>
      <c r="R74" s="60" t="s">
        <v>237</v>
      </c>
      <c r="S74" s="60"/>
      <c r="T74" s="60" t="b">
        <f>FALSE()</f>
        <v>0</v>
      </c>
      <c r="U74" s="60" t="b">
        <f>FALSE()</f>
        <v>0</v>
      </c>
      <c r="V74" s="60">
        <v>290</v>
      </c>
      <c r="W74" s="62" t="s">
        <v>259</v>
      </c>
      <c r="X74" s="60">
        <v>429</v>
      </c>
      <c r="Y74" s="63">
        <v>2.66</v>
      </c>
      <c r="Z74" s="60" t="b">
        <f>FALSE()</f>
        <v>0</v>
      </c>
      <c r="AA74" s="60" t="b">
        <f>TRUE()</f>
        <v>1</v>
      </c>
      <c r="AB74" s="60" t="b">
        <f>FALSE()</f>
        <v>0</v>
      </c>
      <c r="AC74" s="60" t="b">
        <f>FALSE()</f>
        <v>0</v>
      </c>
      <c r="AD74" s="60" t="b">
        <f>TRUE()</f>
        <v>1</v>
      </c>
      <c r="AE74" s="60">
        <v>3</v>
      </c>
      <c r="AF74" s="64">
        <v>42.9</v>
      </c>
      <c r="AG74" s="60" t="s">
        <v>73</v>
      </c>
      <c r="AH74" s="60" t="s">
        <v>512</v>
      </c>
      <c r="AI74">
        <f>IF(AND(OR(Company_Explorer!$B$5="All Companies",$E74=Company_Explorer!$B$5),OR(Company_Explorer!$B$6="All Platforms",$B74=Company_Explorer!$B$6),OR(Company_Explorer!$B$7="All Roles",$D74=Company_Explorer!$B$7),OR(Company_Explorer!$B$8="All Ghost Labels",$AG74=Company_Explorer!$B$8)),1,0)</f>
        <v>0</v>
      </c>
    </row>
    <row r="75" spans="1:35" ht="15" customHeight="1" x14ac:dyDescent="0.3">
      <c r="A75" s="65" t="s">
        <v>513</v>
      </c>
      <c r="B75" s="65" t="s">
        <v>80</v>
      </c>
      <c r="C75" s="65" t="s">
        <v>258</v>
      </c>
      <c r="D75" s="65" t="s">
        <v>125</v>
      </c>
      <c r="E75" s="65" t="s">
        <v>141</v>
      </c>
      <c r="F75" s="65" t="b">
        <f>TRUE()</f>
        <v>1</v>
      </c>
      <c r="G75" s="65" t="s">
        <v>169</v>
      </c>
      <c r="H75" s="65" t="s">
        <v>294</v>
      </c>
      <c r="I75" s="66">
        <v>46198</v>
      </c>
      <c r="J75" s="66">
        <v>46210</v>
      </c>
      <c r="K75" s="65">
        <v>12</v>
      </c>
      <c r="L75" s="65" t="s">
        <v>192</v>
      </c>
      <c r="M75" s="65" t="s">
        <v>184</v>
      </c>
      <c r="N75" s="65" t="b">
        <f>FALSE()</f>
        <v>0</v>
      </c>
      <c r="O75" s="65"/>
      <c r="P75" s="65"/>
      <c r="Q75" s="65" t="s">
        <v>236</v>
      </c>
      <c r="R75" s="65" t="s">
        <v>237</v>
      </c>
      <c r="S75" s="65"/>
      <c r="T75" s="65" t="b">
        <f>FALSE()</f>
        <v>0</v>
      </c>
      <c r="U75" s="65" t="b">
        <f>FALSE()</f>
        <v>0</v>
      </c>
      <c r="V75" s="65">
        <v>290</v>
      </c>
      <c r="W75" s="67" t="s">
        <v>259</v>
      </c>
      <c r="X75" s="65">
        <v>429</v>
      </c>
      <c r="Y75" s="68">
        <v>2.66</v>
      </c>
      <c r="Z75" s="65" t="b">
        <f>FALSE()</f>
        <v>0</v>
      </c>
      <c r="AA75" s="65" t="b">
        <f>TRUE()</f>
        <v>1</v>
      </c>
      <c r="AB75" s="65" t="b">
        <f>FALSE()</f>
        <v>0</v>
      </c>
      <c r="AC75" s="65" t="b">
        <f>FALSE()</f>
        <v>0</v>
      </c>
      <c r="AD75" s="65" t="b">
        <f>TRUE()</f>
        <v>1</v>
      </c>
      <c r="AE75" s="65">
        <v>3</v>
      </c>
      <c r="AF75" s="69">
        <v>42.9</v>
      </c>
      <c r="AG75" s="65" t="s">
        <v>73</v>
      </c>
      <c r="AH75" s="65" t="s">
        <v>514</v>
      </c>
      <c r="AI75">
        <f>IF(AND(OR(Company_Explorer!$B$5="All Companies",$E75=Company_Explorer!$B$5),OR(Company_Explorer!$B$6="All Platforms",$B75=Company_Explorer!$B$6),OR(Company_Explorer!$B$7="All Roles",$D75=Company_Explorer!$B$7),OR(Company_Explorer!$B$8="All Ghost Labels",$AG75=Company_Explorer!$B$8)),1,0)</f>
        <v>0</v>
      </c>
    </row>
    <row r="76" spans="1:35" ht="15" customHeight="1" x14ac:dyDescent="0.3">
      <c r="A76" s="60" t="s">
        <v>515</v>
      </c>
      <c r="B76" s="60" t="s">
        <v>80</v>
      </c>
      <c r="C76" s="60" t="s">
        <v>516</v>
      </c>
      <c r="D76" s="60" t="s">
        <v>126</v>
      </c>
      <c r="E76" s="60" t="s">
        <v>155</v>
      </c>
      <c r="F76" s="60" t="b">
        <f>TRUE()</f>
        <v>1</v>
      </c>
      <c r="G76" s="60" t="s">
        <v>166</v>
      </c>
      <c r="H76" s="60" t="s">
        <v>235</v>
      </c>
      <c r="I76" s="61">
        <v>46205</v>
      </c>
      <c r="J76" s="61">
        <v>46210</v>
      </c>
      <c r="K76" s="60">
        <v>5</v>
      </c>
      <c r="L76" s="60" t="s">
        <v>192</v>
      </c>
      <c r="M76" s="60" t="s">
        <v>184</v>
      </c>
      <c r="N76" s="60" t="b">
        <f>FALSE()</f>
        <v>0</v>
      </c>
      <c r="O76" s="60"/>
      <c r="P76" s="60"/>
      <c r="Q76" s="60" t="s">
        <v>236</v>
      </c>
      <c r="R76" s="60" t="s">
        <v>237</v>
      </c>
      <c r="S76" s="60"/>
      <c r="T76" s="60" t="b">
        <f>FALSE()</f>
        <v>0</v>
      </c>
      <c r="U76" s="60" t="b">
        <f>FALSE()</f>
        <v>0</v>
      </c>
      <c r="V76" s="60">
        <v>677</v>
      </c>
      <c r="W76" s="62" t="s">
        <v>517</v>
      </c>
      <c r="X76" s="60">
        <v>16</v>
      </c>
      <c r="Y76" s="63">
        <v>0.1</v>
      </c>
      <c r="Z76" s="60" t="b">
        <f>FALSE()</f>
        <v>0</v>
      </c>
      <c r="AA76" s="60" t="b">
        <f>TRUE()</f>
        <v>1</v>
      </c>
      <c r="AB76" s="60" t="b">
        <f>FALSE()</f>
        <v>0</v>
      </c>
      <c r="AC76" s="60" t="b">
        <f>FALSE()</f>
        <v>0</v>
      </c>
      <c r="AD76" s="60" t="b">
        <f>FALSE()</f>
        <v>0</v>
      </c>
      <c r="AE76" s="60">
        <v>1</v>
      </c>
      <c r="AF76" s="64">
        <v>14.3</v>
      </c>
      <c r="AG76" s="60" t="s">
        <v>74</v>
      </c>
      <c r="AH76" s="60" t="s">
        <v>518</v>
      </c>
      <c r="AI76">
        <f>IF(AND(OR(Company_Explorer!$B$5="All Companies",$E76=Company_Explorer!$B$5),OR(Company_Explorer!$B$6="All Platforms",$B76=Company_Explorer!$B$6),OR(Company_Explorer!$B$7="All Roles",$D76=Company_Explorer!$B$7),OR(Company_Explorer!$B$8="All Ghost Labels",$AG76=Company_Explorer!$B$8)),1,0)</f>
        <v>0</v>
      </c>
    </row>
    <row r="77" spans="1:35" ht="15" customHeight="1" x14ac:dyDescent="0.3">
      <c r="A77" s="65" t="s">
        <v>519</v>
      </c>
      <c r="B77" s="65" t="s">
        <v>80</v>
      </c>
      <c r="C77" s="65" t="s">
        <v>258</v>
      </c>
      <c r="D77" s="65" t="s">
        <v>125</v>
      </c>
      <c r="E77" s="65" t="s">
        <v>141</v>
      </c>
      <c r="F77" s="65" t="b">
        <f>TRUE()</f>
        <v>1</v>
      </c>
      <c r="G77" s="65" t="s">
        <v>169</v>
      </c>
      <c r="H77" s="65" t="s">
        <v>294</v>
      </c>
      <c r="I77" s="66">
        <v>46198</v>
      </c>
      <c r="J77" s="66">
        <v>46210</v>
      </c>
      <c r="K77" s="65">
        <v>12</v>
      </c>
      <c r="L77" s="65" t="s">
        <v>192</v>
      </c>
      <c r="M77" s="65" t="s">
        <v>184</v>
      </c>
      <c r="N77" s="65" t="b">
        <f>FALSE()</f>
        <v>0</v>
      </c>
      <c r="O77" s="65"/>
      <c r="P77" s="65"/>
      <c r="Q77" s="65" t="s">
        <v>236</v>
      </c>
      <c r="R77" s="65" t="s">
        <v>237</v>
      </c>
      <c r="S77" s="65"/>
      <c r="T77" s="65" t="b">
        <f>FALSE()</f>
        <v>0</v>
      </c>
      <c r="U77" s="65" t="b">
        <f>FALSE()</f>
        <v>0</v>
      </c>
      <c r="V77" s="65">
        <v>290</v>
      </c>
      <c r="W77" s="67" t="s">
        <v>259</v>
      </c>
      <c r="X77" s="65">
        <v>429</v>
      </c>
      <c r="Y77" s="68">
        <v>2.66</v>
      </c>
      <c r="Z77" s="65" t="b">
        <f>FALSE()</f>
        <v>0</v>
      </c>
      <c r="AA77" s="65" t="b">
        <f>TRUE()</f>
        <v>1</v>
      </c>
      <c r="AB77" s="65" t="b">
        <f>FALSE()</f>
        <v>0</v>
      </c>
      <c r="AC77" s="65" t="b">
        <f>FALSE()</f>
        <v>0</v>
      </c>
      <c r="AD77" s="65" t="b">
        <f>TRUE()</f>
        <v>1</v>
      </c>
      <c r="AE77" s="65">
        <v>3</v>
      </c>
      <c r="AF77" s="69">
        <v>42.9</v>
      </c>
      <c r="AG77" s="65" t="s">
        <v>73</v>
      </c>
      <c r="AH77" s="65" t="s">
        <v>520</v>
      </c>
      <c r="AI77">
        <f>IF(AND(OR(Company_Explorer!$B$5="All Companies",$E77=Company_Explorer!$B$5),OR(Company_Explorer!$B$6="All Platforms",$B77=Company_Explorer!$B$6),OR(Company_Explorer!$B$7="All Roles",$D77=Company_Explorer!$B$7),OR(Company_Explorer!$B$8="All Ghost Labels",$AG77=Company_Explorer!$B$8)),1,0)</f>
        <v>0</v>
      </c>
    </row>
    <row r="78" spans="1:35" ht="15" customHeight="1" x14ac:dyDescent="0.3">
      <c r="A78" s="60" t="s">
        <v>521</v>
      </c>
      <c r="B78" s="60" t="s">
        <v>80</v>
      </c>
      <c r="C78" s="60" t="s">
        <v>522</v>
      </c>
      <c r="D78" s="60" t="s">
        <v>126</v>
      </c>
      <c r="E78" s="60" t="s">
        <v>523</v>
      </c>
      <c r="F78" s="60" t="b">
        <f>TRUE()</f>
        <v>1</v>
      </c>
      <c r="G78" s="60" t="s">
        <v>178</v>
      </c>
      <c r="H78" s="60" t="s">
        <v>165</v>
      </c>
      <c r="I78" s="61">
        <v>45930</v>
      </c>
      <c r="J78" s="61">
        <v>46210</v>
      </c>
      <c r="K78" s="60">
        <v>280</v>
      </c>
      <c r="L78" s="60" t="s">
        <v>192</v>
      </c>
      <c r="M78" s="60" t="s">
        <v>186</v>
      </c>
      <c r="N78" s="60" t="b">
        <f>TRUE()</f>
        <v>1</v>
      </c>
      <c r="O78" s="70">
        <v>1200000</v>
      </c>
      <c r="P78" s="70">
        <v>2000000</v>
      </c>
      <c r="Q78" s="60" t="s">
        <v>332</v>
      </c>
      <c r="R78" s="60" t="s">
        <v>237</v>
      </c>
      <c r="S78" s="60"/>
      <c r="T78" s="60" t="b">
        <f>FALSE()</f>
        <v>0</v>
      </c>
      <c r="U78" s="60" t="b">
        <f>FALSE()</f>
        <v>0</v>
      </c>
      <c r="V78" s="60">
        <v>154</v>
      </c>
      <c r="W78" s="62" t="s">
        <v>524</v>
      </c>
      <c r="X78" s="60">
        <v>1</v>
      </c>
      <c r="Y78" s="63">
        <v>0.01</v>
      </c>
      <c r="Z78" s="60" t="b">
        <f>FALSE()</f>
        <v>0</v>
      </c>
      <c r="AA78" s="60" t="b">
        <f>FALSE()</f>
        <v>0</v>
      </c>
      <c r="AB78" s="60" t="b">
        <f>TRUE()</f>
        <v>1</v>
      </c>
      <c r="AC78" s="60" t="b">
        <f>TRUE()</f>
        <v>1</v>
      </c>
      <c r="AD78" s="60" t="b">
        <f>FALSE()</f>
        <v>0</v>
      </c>
      <c r="AE78" s="60">
        <v>2</v>
      </c>
      <c r="AF78" s="64">
        <v>28.6</v>
      </c>
      <c r="AG78" s="60" t="s">
        <v>73</v>
      </c>
      <c r="AH78" s="60" t="s">
        <v>525</v>
      </c>
      <c r="AI78">
        <f>IF(AND(OR(Company_Explorer!$B$5="All Companies",$E78=Company_Explorer!$B$5),OR(Company_Explorer!$B$6="All Platforms",$B78=Company_Explorer!$B$6),OR(Company_Explorer!$B$7="All Roles",$D78=Company_Explorer!$B$7),OR(Company_Explorer!$B$8="All Ghost Labels",$AG78=Company_Explorer!$B$8)),1,0)</f>
        <v>0</v>
      </c>
    </row>
    <row r="79" spans="1:35" ht="15" customHeight="1" x14ac:dyDescent="0.3">
      <c r="A79" s="65" t="s">
        <v>526</v>
      </c>
      <c r="B79" s="65" t="s">
        <v>80</v>
      </c>
      <c r="C79" s="65" t="s">
        <v>258</v>
      </c>
      <c r="D79" s="65" t="s">
        <v>125</v>
      </c>
      <c r="E79" s="65" t="s">
        <v>141</v>
      </c>
      <c r="F79" s="65" t="b">
        <f>TRUE()</f>
        <v>1</v>
      </c>
      <c r="G79" s="65" t="s">
        <v>169</v>
      </c>
      <c r="H79" s="65" t="s">
        <v>294</v>
      </c>
      <c r="I79" s="66">
        <v>46198</v>
      </c>
      <c r="J79" s="66">
        <v>46210</v>
      </c>
      <c r="K79" s="65">
        <v>12</v>
      </c>
      <c r="L79" s="65" t="s">
        <v>192</v>
      </c>
      <c r="M79" s="65" t="s">
        <v>184</v>
      </c>
      <c r="N79" s="65" t="b">
        <f>FALSE()</f>
        <v>0</v>
      </c>
      <c r="O79" s="65"/>
      <c r="P79" s="65"/>
      <c r="Q79" s="65" t="s">
        <v>236</v>
      </c>
      <c r="R79" s="65" t="s">
        <v>237</v>
      </c>
      <c r="S79" s="65"/>
      <c r="T79" s="65" t="b">
        <f>FALSE()</f>
        <v>0</v>
      </c>
      <c r="U79" s="65" t="b">
        <f>FALSE()</f>
        <v>0</v>
      </c>
      <c r="V79" s="65">
        <v>290</v>
      </c>
      <c r="W79" s="67" t="s">
        <v>259</v>
      </c>
      <c r="X79" s="65">
        <v>429</v>
      </c>
      <c r="Y79" s="68">
        <v>2.66</v>
      </c>
      <c r="Z79" s="65" t="b">
        <f>FALSE()</f>
        <v>0</v>
      </c>
      <c r="AA79" s="65" t="b">
        <f>TRUE()</f>
        <v>1</v>
      </c>
      <c r="AB79" s="65" t="b">
        <f>FALSE()</f>
        <v>0</v>
      </c>
      <c r="AC79" s="65" t="b">
        <f>FALSE()</f>
        <v>0</v>
      </c>
      <c r="AD79" s="65" t="b">
        <f>TRUE()</f>
        <v>1</v>
      </c>
      <c r="AE79" s="65">
        <v>3</v>
      </c>
      <c r="AF79" s="69">
        <v>42.9</v>
      </c>
      <c r="AG79" s="65" t="s">
        <v>73</v>
      </c>
      <c r="AH79" s="65" t="s">
        <v>527</v>
      </c>
      <c r="AI79">
        <f>IF(AND(OR(Company_Explorer!$B$5="All Companies",$E79=Company_Explorer!$B$5),OR(Company_Explorer!$B$6="All Platforms",$B79=Company_Explorer!$B$6),OR(Company_Explorer!$B$7="All Roles",$D79=Company_Explorer!$B$7),OR(Company_Explorer!$B$8="All Ghost Labels",$AG79=Company_Explorer!$B$8)),1,0)</f>
        <v>0</v>
      </c>
    </row>
    <row r="80" spans="1:35" ht="15" customHeight="1" x14ac:dyDescent="0.3">
      <c r="A80" s="60" t="s">
        <v>528</v>
      </c>
      <c r="B80" s="60" t="s">
        <v>80</v>
      </c>
      <c r="C80" s="60" t="s">
        <v>125</v>
      </c>
      <c r="D80" s="60" t="s">
        <v>125</v>
      </c>
      <c r="E80" s="60" t="s">
        <v>346</v>
      </c>
      <c r="F80" s="60" t="b">
        <f>TRUE()</f>
        <v>1</v>
      </c>
      <c r="G80" s="60" t="s">
        <v>325</v>
      </c>
      <c r="H80" s="60" t="s">
        <v>326</v>
      </c>
      <c r="I80" s="61">
        <v>46191</v>
      </c>
      <c r="J80" s="61">
        <v>46210</v>
      </c>
      <c r="K80" s="60">
        <v>19</v>
      </c>
      <c r="L80" s="60" t="s">
        <v>192</v>
      </c>
      <c r="M80" s="60" t="s">
        <v>184</v>
      </c>
      <c r="N80" s="60" t="b">
        <f>FALSE()</f>
        <v>0</v>
      </c>
      <c r="O80" s="60"/>
      <c r="P80" s="60"/>
      <c r="Q80" s="60" t="s">
        <v>236</v>
      </c>
      <c r="R80" s="60" t="s">
        <v>237</v>
      </c>
      <c r="S80" s="60"/>
      <c r="T80" s="60" t="b">
        <f>FALSE()</f>
        <v>0</v>
      </c>
      <c r="U80" s="60" t="b">
        <f>FALSE()</f>
        <v>0</v>
      </c>
      <c r="V80" s="60">
        <v>143</v>
      </c>
      <c r="W80" s="62" t="s">
        <v>529</v>
      </c>
      <c r="X80" s="60">
        <v>4</v>
      </c>
      <c r="Y80" s="63">
        <v>0.02</v>
      </c>
      <c r="Z80" s="60" t="b">
        <f>FALSE()</f>
        <v>0</v>
      </c>
      <c r="AA80" s="60" t="b">
        <f>TRUE()</f>
        <v>1</v>
      </c>
      <c r="AB80" s="60" t="b">
        <f>TRUE()</f>
        <v>1</v>
      </c>
      <c r="AC80" s="60" t="b">
        <f>TRUE()</f>
        <v>1</v>
      </c>
      <c r="AD80" s="60" t="b">
        <f>FALSE()</f>
        <v>0</v>
      </c>
      <c r="AE80" s="60">
        <v>3</v>
      </c>
      <c r="AF80" s="64">
        <v>42.9</v>
      </c>
      <c r="AG80" s="60" t="s">
        <v>73</v>
      </c>
      <c r="AH80" s="60" t="s">
        <v>530</v>
      </c>
      <c r="AI80">
        <f>IF(AND(OR(Company_Explorer!$B$5="All Companies",$E80=Company_Explorer!$B$5),OR(Company_Explorer!$B$6="All Platforms",$B80=Company_Explorer!$B$6),OR(Company_Explorer!$B$7="All Roles",$D80=Company_Explorer!$B$7),OR(Company_Explorer!$B$8="All Ghost Labels",$AG80=Company_Explorer!$B$8)),1,0)</f>
        <v>0</v>
      </c>
    </row>
    <row r="81" spans="1:35" ht="15" customHeight="1" x14ac:dyDescent="0.3">
      <c r="A81" s="65" t="s">
        <v>531</v>
      </c>
      <c r="B81" s="65" t="s">
        <v>80</v>
      </c>
      <c r="C81" s="65" t="s">
        <v>258</v>
      </c>
      <c r="D81" s="65" t="s">
        <v>125</v>
      </c>
      <c r="E81" s="65" t="s">
        <v>141</v>
      </c>
      <c r="F81" s="65" t="b">
        <f>TRUE()</f>
        <v>1</v>
      </c>
      <c r="G81" s="65" t="s">
        <v>169</v>
      </c>
      <c r="H81" s="65" t="s">
        <v>294</v>
      </c>
      <c r="I81" s="66">
        <v>46198</v>
      </c>
      <c r="J81" s="66">
        <v>46210</v>
      </c>
      <c r="K81" s="65">
        <v>12</v>
      </c>
      <c r="L81" s="65" t="s">
        <v>192</v>
      </c>
      <c r="M81" s="65" t="s">
        <v>184</v>
      </c>
      <c r="N81" s="65" t="b">
        <f>FALSE()</f>
        <v>0</v>
      </c>
      <c r="O81" s="65"/>
      <c r="P81" s="65"/>
      <c r="Q81" s="65" t="s">
        <v>236</v>
      </c>
      <c r="R81" s="65" t="s">
        <v>237</v>
      </c>
      <c r="S81" s="65"/>
      <c r="T81" s="65" t="b">
        <f>FALSE()</f>
        <v>0</v>
      </c>
      <c r="U81" s="65" t="b">
        <f>FALSE()</f>
        <v>0</v>
      </c>
      <c r="V81" s="65">
        <v>330</v>
      </c>
      <c r="W81" s="67" t="s">
        <v>259</v>
      </c>
      <c r="X81" s="65">
        <v>429</v>
      </c>
      <c r="Y81" s="68">
        <v>2.66</v>
      </c>
      <c r="Z81" s="65" t="b">
        <f>FALSE()</f>
        <v>0</v>
      </c>
      <c r="AA81" s="65" t="b">
        <f>TRUE()</f>
        <v>1</v>
      </c>
      <c r="AB81" s="65" t="b">
        <f>FALSE()</f>
        <v>0</v>
      </c>
      <c r="AC81" s="65" t="b">
        <f>FALSE()</f>
        <v>0</v>
      </c>
      <c r="AD81" s="65" t="b">
        <f>TRUE()</f>
        <v>1</v>
      </c>
      <c r="AE81" s="65">
        <v>3</v>
      </c>
      <c r="AF81" s="69">
        <v>42.9</v>
      </c>
      <c r="AG81" s="65" t="s">
        <v>73</v>
      </c>
      <c r="AH81" s="65" t="s">
        <v>532</v>
      </c>
      <c r="AI81">
        <f>IF(AND(OR(Company_Explorer!$B$5="All Companies",$E81=Company_Explorer!$B$5),OR(Company_Explorer!$B$6="All Platforms",$B81=Company_Explorer!$B$6),OR(Company_Explorer!$B$7="All Roles",$D81=Company_Explorer!$B$7),OR(Company_Explorer!$B$8="All Ghost Labels",$AG81=Company_Explorer!$B$8)),1,0)</f>
        <v>0</v>
      </c>
    </row>
    <row r="82" spans="1:35" ht="15" customHeight="1" x14ac:dyDescent="0.3">
      <c r="A82" s="60" t="s">
        <v>533</v>
      </c>
      <c r="B82" s="60" t="s">
        <v>80</v>
      </c>
      <c r="C82" s="60" t="s">
        <v>258</v>
      </c>
      <c r="D82" s="60" t="s">
        <v>125</v>
      </c>
      <c r="E82" s="60" t="s">
        <v>141</v>
      </c>
      <c r="F82" s="60" t="b">
        <f>TRUE()</f>
        <v>1</v>
      </c>
      <c r="G82" s="60" t="s">
        <v>169</v>
      </c>
      <c r="H82" s="60" t="s">
        <v>294</v>
      </c>
      <c r="I82" s="61">
        <v>46198</v>
      </c>
      <c r="J82" s="61">
        <v>46210</v>
      </c>
      <c r="K82" s="60">
        <v>12</v>
      </c>
      <c r="L82" s="60" t="s">
        <v>192</v>
      </c>
      <c r="M82" s="60" t="s">
        <v>184</v>
      </c>
      <c r="N82" s="60" t="b">
        <f>FALSE()</f>
        <v>0</v>
      </c>
      <c r="O82" s="60"/>
      <c r="P82" s="60"/>
      <c r="Q82" s="60" t="s">
        <v>236</v>
      </c>
      <c r="R82" s="60" t="s">
        <v>237</v>
      </c>
      <c r="S82" s="60"/>
      <c r="T82" s="60" t="b">
        <f>FALSE()</f>
        <v>0</v>
      </c>
      <c r="U82" s="60" t="b">
        <f>FALSE()</f>
        <v>0</v>
      </c>
      <c r="V82" s="60">
        <v>330</v>
      </c>
      <c r="W82" s="62" t="s">
        <v>259</v>
      </c>
      <c r="X82" s="60">
        <v>429</v>
      </c>
      <c r="Y82" s="63">
        <v>2.66</v>
      </c>
      <c r="Z82" s="60" t="b">
        <f>FALSE()</f>
        <v>0</v>
      </c>
      <c r="AA82" s="60" t="b">
        <f>TRUE()</f>
        <v>1</v>
      </c>
      <c r="AB82" s="60" t="b">
        <f>FALSE()</f>
        <v>0</v>
      </c>
      <c r="AC82" s="60" t="b">
        <f>FALSE()</f>
        <v>0</v>
      </c>
      <c r="AD82" s="60" t="b">
        <f>TRUE()</f>
        <v>1</v>
      </c>
      <c r="AE82" s="60">
        <v>3</v>
      </c>
      <c r="AF82" s="64">
        <v>42.9</v>
      </c>
      <c r="AG82" s="60" t="s">
        <v>73</v>
      </c>
      <c r="AH82" s="60" t="s">
        <v>534</v>
      </c>
      <c r="AI82">
        <f>IF(AND(OR(Company_Explorer!$B$5="All Companies",$E82=Company_Explorer!$B$5),OR(Company_Explorer!$B$6="All Platforms",$B82=Company_Explorer!$B$6),OR(Company_Explorer!$B$7="All Roles",$D82=Company_Explorer!$B$7),OR(Company_Explorer!$B$8="All Ghost Labels",$AG82=Company_Explorer!$B$8)),1,0)</f>
        <v>0</v>
      </c>
    </row>
    <row r="83" spans="1:35" ht="15" customHeight="1" x14ac:dyDescent="0.3">
      <c r="A83" s="65" t="s">
        <v>535</v>
      </c>
      <c r="B83" s="65" t="s">
        <v>80</v>
      </c>
      <c r="C83" s="65" t="s">
        <v>536</v>
      </c>
      <c r="D83" s="65" t="s">
        <v>125</v>
      </c>
      <c r="E83" s="65" t="s">
        <v>537</v>
      </c>
      <c r="F83" s="65" t="b">
        <f>TRUE()</f>
        <v>1</v>
      </c>
      <c r="G83" s="65" t="s">
        <v>166</v>
      </c>
      <c r="H83" s="65" t="s">
        <v>235</v>
      </c>
      <c r="I83" s="66">
        <v>46200</v>
      </c>
      <c r="J83" s="66">
        <v>46210</v>
      </c>
      <c r="K83" s="65">
        <v>10</v>
      </c>
      <c r="L83" s="65" t="s">
        <v>192</v>
      </c>
      <c r="M83" s="65" t="s">
        <v>184</v>
      </c>
      <c r="N83" s="65" t="b">
        <f>FALSE()</f>
        <v>0</v>
      </c>
      <c r="O83" s="65"/>
      <c r="P83" s="65"/>
      <c r="Q83" s="65" t="s">
        <v>236</v>
      </c>
      <c r="R83" s="65" t="s">
        <v>237</v>
      </c>
      <c r="S83" s="65"/>
      <c r="T83" s="65" t="b">
        <f>FALSE()</f>
        <v>0</v>
      </c>
      <c r="U83" s="65" t="b">
        <f>FALSE()</f>
        <v>0</v>
      </c>
      <c r="V83" s="65">
        <v>990</v>
      </c>
      <c r="W83" s="65" t="s">
        <v>538</v>
      </c>
      <c r="X83" s="65">
        <v>1</v>
      </c>
      <c r="Y83" s="68">
        <v>0.01</v>
      </c>
      <c r="Z83" s="65" t="b">
        <f>FALSE()</f>
        <v>0</v>
      </c>
      <c r="AA83" s="65" t="b">
        <f>TRUE()</f>
        <v>1</v>
      </c>
      <c r="AB83" s="65" t="b">
        <f>FALSE()</f>
        <v>0</v>
      </c>
      <c r="AC83" s="65" t="b">
        <f>FALSE()</f>
        <v>0</v>
      </c>
      <c r="AD83" s="65" t="b">
        <f>FALSE()</f>
        <v>0</v>
      </c>
      <c r="AE83" s="65">
        <v>1</v>
      </c>
      <c r="AF83" s="69">
        <v>14.3</v>
      </c>
      <c r="AG83" s="65" t="s">
        <v>74</v>
      </c>
      <c r="AH83" s="65" t="s">
        <v>539</v>
      </c>
      <c r="AI83">
        <f>IF(AND(OR(Company_Explorer!$B$5="All Companies",$E83=Company_Explorer!$B$5),OR(Company_Explorer!$B$6="All Platforms",$B83=Company_Explorer!$B$6),OR(Company_Explorer!$B$7="All Roles",$D83=Company_Explorer!$B$7),OR(Company_Explorer!$B$8="All Ghost Labels",$AG83=Company_Explorer!$B$8)),1,0)</f>
        <v>0</v>
      </c>
    </row>
    <row r="84" spans="1:35" ht="15" customHeight="1" x14ac:dyDescent="0.3">
      <c r="A84" s="60" t="s">
        <v>540</v>
      </c>
      <c r="B84" s="60" t="s">
        <v>80</v>
      </c>
      <c r="C84" s="60" t="s">
        <v>258</v>
      </c>
      <c r="D84" s="60" t="s">
        <v>125</v>
      </c>
      <c r="E84" s="60" t="s">
        <v>141</v>
      </c>
      <c r="F84" s="60" t="b">
        <f>TRUE()</f>
        <v>1</v>
      </c>
      <c r="G84" s="60" t="s">
        <v>169</v>
      </c>
      <c r="H84" s="60" t="s">
        <v>294</v>
      </c>
      <c r="I84" s="61">
        <v>46198</v>
      </c>
      <c r="J84" s="61">
        <v>46210</v>
      </c>
      <c r="K84" s="60">
        <v>12</v>
      </c>
      <c r="L84" s="60" t="s">
        <v>192</v>
      </c>
      <c r="M84" s="60" t="s">
        <v>184</v>
      </c>
      <c r="N84" s="60" t="b">
        <f>FALSE()</f>
        <v>0</v>
      </c>
      <c r="O84" s="60"/>
      <c r="P84" s="60"/>
      <c r="Q84" s="60" t="s">
        <v>236</v>
      </c>
      <c r="R84" s="60" t="s">
        <v>237</v>
      </c>
      <c r="S84" s="60"/>
      <c r="T84" s="60" t="b">
        <f>FALSE()</f>
        <v>0</v>
      </c>
      <c r="U84" s="60" t="b">
        <f>FALSE()</f>
        <v>0</v>
      </c>
      <c r="V84" s="60">
        <v>290</v>
      </c>
      <c r="W84" s="62" t="s">
        <v>259</v>
      </c>
      <c r="X84" s="60">
        <v>429</v>
      </c>
      <c r="Y84" s="63">
        <v>2.66</v>
      </c>
      <c r="Z84" s="60" t="b">
        <f>FALSE()</f>
        <v>0</v>
      </c>
      <c r="AA84" s="60" t="b">
        <f>TRUE()</f>
        <v>1</v>
      </c>
      <c r="AB84" s="60" t="b">
        <f>FALSE()</f>
        <v>0</v>
      </c>
      <c r="AC84" s="60" t="b">
        <f>FALSE()</f>
        <v>0</v>
      </c>
      <c r="AD84" s="60" t="b">
        <f>TRUE()</f>
        <v>1</v>
      </c>
      <c r="AE84" s="60">
        <v>3</v>
      </c>
      <c r="AF84" s="64">
        <v>42.9</v>
      </c>
      <c r="AG84" s="60" t="s">
        <v>73</v>
      </c>
      <c r="AH84" s="60" t="s">
        <v>541</v>
      </c>
      <c r="AI84">
        <f>IF(AND(OR(Company_Explorer!$B$5="All Companies",$E84=Company_Explorer!$B$5),OR(Company_Explorer!$B$6="All Platforms",$B84=Company_Explorer!$B$6),OR(Company_Explorer!$B$7="All Roles",$D84=Company_Explorer!$B$7),OR(Company_Explorer!$B$8="All Ghost Labels",$AG84=Company_Explorer!$B$8)),1,0)</f>
        <v>0</v>
      </c>
    </row>
    <row r="85" spans="1:35" ht="15" customHeight="1" x14ac:dyDescent="0.3">
      <c r="A85" s="65" t="s">
        <v>542</v>
      </c>
      <c r="B85" s="65" t="s">
        <v>80</v>
      </c>
      <c r="C85" s="65" t="s">
        <v>543</v>
      </c>
      <c r="D85" s="65" t="s">
        <v>125</v>
      </c>
      <c r="E85" s="65" t="s">
        <v>544</v>
      </c>
      <c r="F85" s="65" t="b">
        <f>TRUE()</f>
        <v>1</v>
      </c>
      <c r="G85" s="65" t="s">
        <v>545</v>
      </c>
      <c r="H85" s="65" t="s">
        <v>270</v>
      </c>
      <c r="I85" s="66">
        <v>46208</v>
      </c>
      <c r="J85" s="66">
        <v>46210</v>
      </c>
      <c r="K85" s="65">
        <v>2</v>
      </c>
      <c r="L85" s="65" t="s">
        <v>192</v>
      </c>
      <c r="M85" s="65" t="s">
        <v>186</v>
      </c>
      <c r="N85" s="65" t="b">
        <f>TRUE()</f>
        <v>1</v>
      </c>
      <c r="O85" s="71">
        <v>35000</v>
      </c>
      <c r="P85" s="71">
        <v>50000</v>
      </c>
      <c r="Q85" s="65" t="s">
        <v>332</v>
      </c>
      <c r="R85" s="65" t="s">
        <v>237</v>
      </c>
      <c r="S85" s="65"/>
      <c r="T85" s="65" t="b">
        <f>FALSE()</f>
        <v>0</v>
      </c>
      <c r="U85" s="65" t="b">
        <f>FALSE()</f>
        <v>0</v>
      </c>
      <c r="V85" s="65">
        <v>231</v>
      </c>
      <c r="W85" s="67" t="s">
        <v>546</v>
      </c>
      <c r="X85" s="65">
        <v>1</v>
      </c>
      <c r="Y85" s="68">
        <v>0.01</v>
      </c>
      <c r="Z85" s="65" t="b">
        <f>FALSE()</f>
        <v>0</v>
      </c>
      <c r="AA85" s="65" t="b">
        <f>FALSE()</f>
        <v>0</v>
      </c>
      <c r="AB85" s="65" t="b">
        <f>TRUE()</f>
        <v>1</v>
      </c>
      <c r="AC85" s="65" t="b">
        <f>FALSE()</f>
        <v>0</v>
      </c>
      <c r="AD85" s="65" t="b">
        <f>FALSE()</f>
        <v>0</v>
      </c>
      <c r="AE85" s="65">
        <v>1</v>
      </c>
      <c r="AF85" s="69">
        <v>14.3</v>
      </c>
      <c r="AG85" s="65" t="s">
        <v>74</v>
      </c>
      <c r="AH85" s="65" t="s">
        <v>547</v>
      </c>
      <c r="AI85">
        <f>IF(AND(OR(Company_Explorer!$B$5="All Companies",$E85=Company_Explorer!$B$5),OR(Company_Explorer!$B$6="All Platforms",$B85=Company_Explorer!$B$6),OR(Company_Explorer!$B$7="All Roles",$D85=Company_Explorer!$B$7),OR(Company_Explorer!$B$8="All Ghost Labels",$AG85=Company_Explorer!$B$8)),1,0)</f>
        <v>0</v>
      </c>
    </row>
    <row r="86" spans="1:35" ht="15" customHeight="1" x14ac:dyDescent="0.3">
      <c r="A86" s="60" t="s">
        <v>548</v>
      </c>
      <c r="B86" s="60" t="s">
        <v>80</v>
      </c>
      <c r="C86" s="60" t="s">
        <v>549</v>
      </c>
      <c r="D86" s="60" t="s">
        <v>125</v>
      </c>
      <c r="E86" s="60" t="s">
        <v>550</v>
      </c>
      <c r="F86" s="60" t="b">
        <f>TRUE()</f>
        <v>1</v>
      </c>
      <c r="G86" s="60" t="s">
        <v>174</v>
      </c>
      <c r="H86" s="60" t="s">
        <v>302</v>
      </c>
      <c r="I86" s="61">
        <v>46209</v>
      </c>
      <c r="J86" s="61">
        <v>46210</v>
      </c>
      <c r="K86" s="60">
        <v>1</v>
      </c>
      <c r="L86" s="60" t="s">
        <v>192</v>
      </c>
      <c r="M86" s="60" t="s">
        <v>184</v>
      </c>
      <c r="N86" s="60" t="b">
        <f>FALSE()</f>
        <v>0</v>
      </c>
      <c r="O86" s="60"/>
      <c r="P86" s="60"/>
      <c r="Q86" s="60" t="s">
        <v>236</v>
      </c>
      <c r="R86" s="60" t="s">
        <v>237</v>
      </c>
      <c r="S86" s="60"/>
      <c r="T86" s="60" t="b">
        <f>FALSE()</f>
        <v>0</v>
      </c>
      <c r="U86" s="60" t="b">
        <f>FALSE()</f>
        <v>0</v>
      </c>
      <c r="V86" s="60">
        <v>388</v>
      </c>
      <c r="W86" s="62" t="s">
        <v>551</v>
      </c>
      <c r="X86" s="60">
        <v>1</v>
      </c>
      <c r="Y86" s="63">
        <v>0.01</v>
      </c>
      <c r="Z86" s="60" t="b">
        <f>FALSE()</f>
        <v>0</v>
      </c>
      <c r="AA86" s="60" t="b">
        <f>TRUE()</f>
        <v>1</v>
      </c>
      <c r="AB86" s="60" t="b">
        <f>FALSE()</f>
        <v>0</v>
      </c>
      <c r="AC86" s="60" t="b">
        <f>FALSE()</f>
        <v>0</v>
      </c>
      <c r="AD86" s="60" t="b">
        <f>FALSE()</f>
        <v>0</v>
      </c>
      <c r="AE86" s="60">
        <v>1</v>
      </c>
      <c r="AF86" s="64">
        <v>14.3</v>
      </c>
      <c r="AG86" s="60" t="s">
        <v>74</v>
      </c>
      <c r="AH86" s="60" t="s">
        <v>552</v>
      </c>
      <c r="AI86">
        <f>IF(AND(OR(Company_Explorer!$B$5="All Companies",$E86=Company_Explorer!$B$5),OR(Company_Explorer!$B$6="All Platforms",$B86=Company_Explorer!$B$6),OR(Company_Explorer!$B$7="All Roles",$D86=Company_Explorer!$B$7),OR(Company_Explorer!$B$8="All Ghost Labels",$AG86=Company_Explorer!$B$8)),1,0)</f>
        <v>0</v>
      </c>
    </row>
    <row r="87" spans="1:35" ht="15" customHeight="1" x14ac:dyDescent="0.3">
      <c r="A87" s="65" t="s">
        <v>553</v>
      </c>
      <c r="B87" s="65" t="s">
        <v>80</v>
      </c>
      <c r="C87" s="65" t="s">
        <v>258</v>
      </c>
      <c r="D87" s="65" t="s">
        <v>125</v>
      </c>
      <c r="E87" s="65" t="s">
        <v>141</v>
      </c>
      <c r="F87" s="65" t="b">
        <f>TRUE()</f>
        <v>1</v>
      </c>
      <c r="G87" s="65" t="s">
        <v>169</v>
      </c>
      <c r="H87" s="65" t="s">
        <v>294</v>
      </c>
      <c r="I87" s="66">
        <v>46198</v>
      </c>
      <c r="J87" s="66">
        <v>46210</v>
      </c>
      <c r="K87" s="65">
        <v>12</v>
      </c>
      <c r="L87" s="65" t="s">
        <v>192</v>
      </c>
      <c r="M87" s="65" t="s">
        <v>184</v>
      </c>
      <c r="N87" s="65" t="b">
        <f>FALSE()</f>
        <v>0</v>
      </c>
      <c r="O87" s="65"/>
      <c r="P87" s="65"/>
      <c r="Q87" s="65" t="s">
        <v>236</v>
      </c>
      <c r="R87" s="65" t="s">
        <v>237</v>
      </c>
      <c r="S87" s="65"/>
      <c r="T87" s="65" t="b">
        <f>FALSE()</f>
        <v>0</v>
      </c>
      <c r="U87" s="65" t="b">
        <f>FALSE()</f>
        <v>0</v>
      </c>
      <c r="V87" s="65">
        <v>290</v>
      </c>
      <c r="W87" s="67" t="s">
        <v>259</v>
      </c>
      <c r="X87" s="65">
        <v>429</v>
      </c>
      <c r="Y87" s="68">
        <v>2.66</v>
      </c>
      <c r="Z87" s="65" t="b">
        <f>FALSE()</f>
        <v>0</v>
      </c>
      <c r="AA87" s="65" t="b">
        <f>TRUE()</f>
        <v>1</v>
      </c>
      <c r="AB87" s="65" t="b">
        <f>FALSE()</f>
        <v>0</v>
      </c>
      <c r="AC87" s="65" t="b">
        <f>FALSE()</f>
        <v>0</v>
      </c>
      <c r="AD87" s="65" t="b">
        <f>TRUE()</f>
        <v>1</v>
      </c>
      <c r="AE87" s="65">
        <v>3</v>
      </c>
      <c r="AF87" s="69">
        <v>42.9</v>
      </c>
      <c r="AG87" s="65" t="s">
        <v>73</v>
      </c>
      <c r="AH87" s="65" t="s">
        <v>554</v>
      </c>
      <c r="AI87">
        <f>IF(AND(OR(Company_Explorer!$B$5="All Companies",$E87=Company_Explorer!$B$5),OR(Company_Explorer!$B$6="All Platforms",$B87=Company_Explorer!$B$6),OR(Company_Explorer!$B$7="All Roles",$D87=Company_Explorer!$B$7),OR(Company_Explorer!$B$8="All Ghost Labels",$AG87=Company_Explorer!$B$8)),1,0)</f>
        <v>0</v>
      </c>
    </row>
    <row r="88" spans="1:35" ht="15" customHeight="1" x14ac:dyDescent="0.3">
      <c r="A88" s="60" t="s">
        <v>555</v>
      </c>
      <c r="B88" s="60" t="s">
        <v>80</v>
      </c>
      <c r="C88" s="60" t="s">
        <v>125</v>
      </c>
      <c r="D88" s="60" t="s">
        <v>125</v>
      </c>
      <c r="E88" s="60" t="s">
        <v>556</v>
      </c>
      <c r="F88" s="60" t="b">
        <f>TRUE()</f>
        <v>1</v>
      </c>
      <c r="G88" s="60" t="s">
        <v>166</v>
      </c>
      <c r="H88" s="60" t="s">
        <v>235</v>
      </c>
      <c r="I88" s="61">
        <v>46177</v>
      </c>
      <c r="J88" s="61">
        <v>46210</v>
      </c>
      <c r="K88" s="60">
        <v>33</v>
      </c>
      <c r="L88" s="60" t="s">
        <v>192</v>
      </c>
      <c r="M88" s="60" t="s">
        <v>185</v>
      </c>
      <c r="N88" s="60" t="b">
        <f>FALSE()</f>
        <v>0</v>
      </c>
      <c r="O88" s="60"/>
      <c r="P88" s="60"/>
      <c r="Q88" s="60" t="s">
        <v>236</v>
      </c>
      <c r="R88" s="60" t="s">
        <v>237</v>
      </c>
      <c r="S88" s="60"/>
      <c r="T88" s="60" t="b">
        <f>FALSE()</f>
        <v>0</v>
      </c>
      <c r="U88" s="60" t="b">
        <f>FALSE()</f>
        <v>0</v>
      </c>
      <c r="V88" s="60">
        <v>20</v>
      </c>
      <c r="W88" s="62" t="s">
        <v>557</v>
      </c>
      <c r="X88" s="60">
        <v>1</v>
      </c>
      <c r="Y88" s="63">
        <v>0.01</v>
      </c>
      <c r="Z88" s="60" t="b">
        <f>FALSE()</f>
        <v>0</v>
      </c>
      <c r="AA88" s="60" t="b">
        <f>TRUE()</f>
        <v>1</v>
      </c>
      <c r="AB88" s="60" t="b">
        <f>TRUE()</f>
        <v>1</v>
      </c>
      <c r="AC88" s="60" t="b">
        <f>TRUE()</f>
        <v>1</v>
      </c>
      <c r="AD88" s="60" t="b">
        <f>FALSE()</f>
        <v>0</v>
      </c>
      <c r="AE88" s="60">
        <v>3</v>
      </c>
      <c r="AF88" s="64">
        <v>42.9</v>
      </c>
      <c r="AG88" s="60" t="s">
        <v>73</v>
      </c>
      <c r="AH88" s="60" t="s">
        <v>558</v>
      </c>
      <c r="AI88">
        <f>IF(AND(OR(Company_Explorer!$B$5="All Companies",$E88=Company_Explorer!$B$5),OR(Company_Explorer!$B$6="All Platforms",$B88=Company_Explorer!$B$6),OR(Company_Explorer!$B$7="All Roles",$D88=Company_Explorer!$B$7),OR(Company_Explorer!$B$8="All Ghost Labels",$AG88=Company_Explorer!$B$8)),1,0)</f>
        <v>0</v>
      </c>
    </row>
    <row r="89" spans="1:35" ht="15" customHeight="1" x14ac:dyDescent="0.3">
      <c r="A89" s="65" t="s">
        <v>559</v>
      </c>
      <c r="B89" s="65" t="s">
        <v>80</v>
      </c>
      <c r="C89" s="65" t="s">
        <v>560</v>
      </c>
      <c r="D89" s="65" t="s">
        <v>128</v>
      </c>
      <c r="E89" s="65" t="s">
        <v>80</v>
      </c>
      <c r="F89" s="65" t="b">
        <f>TRUE()</f>
        <v>1</v>
      </c>
      <c r="G89" s="65" t="s">
        <v>166</v>
      </c>
      <c r="H89" s="65" t="s">
        <v>235</v>
      </c>
      <c r="I89" s="66">
        <v>46201</v>
      </c>
      <c r="J89" s="66">
        <v>46210</v>
      </c>
      <c r="K89" s="65">
        <v>9</v>
      </c>
      <c r="L89" s="65" t="s">
        <v>192</v>
      </c>
      <c r="M89" s="65" t="s">
        <v>184</v>
      </c>
      <c r="N89" s="65" t="b">
        <f>FALSE()</f>
        <v>0</v>
      </c>
      <c r="O89" s="65"/>
      <c r="P89" s="65"/>
      <c r="Q89" s="65" t="s">
        <v>236</v>
      </c>
      <c r="R89" s="65" t="s">
        <v>237</v>
      </c>
      <c r="S89" s="65"/>
      <c r="T89" s="65" t="b">
        <f>FALSE()</f>
        <v>0</v>
      </c>
      <c r="U89" s="65" t="b">
        <f>FALSE()</f>
        <v>0</v>
      </c>
      <c r="V89" s="65">
        <v>702</v>
      </c>
      <c r="W89" s="65" t="s">
        <v>561</v>
      </c>
      <c r="X89" s="65">
        <v>2</v>
      </c>
      <c r="Y89" s="68">
        <v>0.01</v>
      </c>
      <c r="Z89" s="65" t="b">
        <f>FALSE()</f>
        <v>0</v>
      </c>
      <c r="AA89" s="65" t="b">
        <f>TRUE()</f>
        <v>1</v>
      </c>
      <c r="AB89" s="65" t="b">
        <f>FALSE()</f>
        <v>0</v>
      </c>
      <c r="AC89" s="65" t="b">
        <f>FALSE()</f>
        <v>0</v>
      </c>
      <c r="AD89" s="65" t="b">
        <f>FALSE()</f>
        <v>0</v>
      </c>
      <c r="AE89" s="65">
        <v>1</v>
      </c>
      <c r="AF89" s="69">
        <v>14.3</v>
      </c>
      <c r="AG89" s="65" t="s">
        <v>74</v>
      </c>
      <c r="AH89" s="65" t="s">
        <v>562</v>
      </c>
      <c r="AI89">
        <f>IF(AND(OR(Company_Explorer!$B$5="All Companies",$E89=Company_Explorer!$B$5),OR(Company_Explorer!$B$6="All Platforms",$B89=Company_Explorer!$B$6),OR(Company_Explorer!$B$7="All Roles",$D89=Company_Explorer!$B$7),OR(Company_Explorer!$B$8="All Ghost Labels",$AG89=Company_Explorer!$B$8)),1,0)</f>
        <v>0</v>
      </c>
    </row>
    <row r="90" spans="1:35" ht="15" customHeight="1" x14ac:dyDescent="0.3">
      <c r="A90" s="60" t="s">
        <v>563</v>
      </c>
      <c r="B90" s="60" t="s">
        <v>80</v>
      </c>
      <c r="C90" s="60" t="s">
        <v>125</v>
      </c>
      <c r="D90" s="60" t="s">
        <v>125</v>
      </c>
      <c r="E90" s="60" t="s">
        <v>351</v>
      </c>
      <c r="F90" s="60" t="b">
        <f>TRUE()</f>
        <v>1</v>
      </c>
      <c r="G90" s="60" t="s">
        <v>168</v>
      </c>
      <c r="H90" s="60" t="s">
        <v>254</v>
      </c>
      <c r="I90" s="61">
        <v>46154</v>
      </c>
      <c r="J90" s="61">
        <v>46210</v>
      </c>
      <c r="K90" s="60">
        <v>56</v>
      </c>
      <c r="L90" s="60" t="s">
        <v>192</v>
      </c>
      <c r="M90" s="60" t="s">
        <v>186</v>
      </c>
      <c r="N90" s="60" t="b">
        <f>FALSE()</f>
        <v>0</v>
      </c>
      <c r="O90" s="60"/>
      <c r="P90" s="60"/>
      <c r="Q90" s="60" t="s">
        <v>236</v>
      </c>
      <c r="R90" s="60" t="s">
        <v>237</v>
      </c>
      <c r="S90" s="60"/>
      <c r="T90" s="60" t="b">
        <f>FALSE()</f>
        <v>0</v>
      </c>
      <c r="U90" s="60" t="b">
        <f>FALSE()</f>
        <v>0</v>
      </c>
      <c r="V90" s="60">
        <v>497</v>
      </c>
      <c r="W90" s="62" t="s">
        <v>564</v>
      </c>
      <c r="X90" s="60">
        <v>10</v>
      </c>
      <c r="Y90" s="63">
        <v>0.06</v>
      </c>
      <c r="Z90" s="60" t="b">
        <f>FALSE()</f>
        <v>0</v>
      </c>
      <c r="AA90" s="60" t="b">
        <f>TRUE()</f>
        <v>1</v>
      </c>
      <c r="AB90" s="60" t="b">
        <f>FALSE()</f>
        <v>0</v>
      </c>
      <c r="AC90" s="60" t="b">
        <f>TRUE()</f>
        <v>1</v>
      </c>
      <c r="AD90" s="60" t="b">
        <f>FALSE()</f>
        <v>0</v>
      </c>
      <c r="AE90" s="60">
        <v>2</v>
      </c>
      <c r="AF90" s="64">
        <v>28.6</v>
      </c>
      <c r="AG90" s="60" t="s">
        <v>73</v>
      </c>
      <c r="AH90" s="60" t="s">
        <v>565</v>
      </c>
      <c r="AI90">
        <f>IF(AND(OR(Company_Explorer!$B$5="All Companies",$E90=Company_Explorer!$B$5),OR(Company_Explorer!$B$6="All Platforms",$B90=Company_Explorer!$B$6),OR(Company_Explorer!$B$7="All Roles",$D90=Company_Explorer!$B$7),OR(Company_Explorer!$B$8="All Ghost Labels",$AG90=Company_Explorer!$B$8)),1,0)</f>
        <v>0</v>
      </c>
    </row>
    <row r="91" spans="1:35" ht="15" customHeight="1" x14ac:dyDescent="0.3">
      <c r="A91" s="65" t="s">
        <v>566</v>
      </c>
      <c r="B91" s="65" t="s">
        <v>80</v>
      </c>
      <c r="C91" s="65" t="s">
        <v>567</v>
      </c>
      <c r="D91" s="65" t="s">
        <v>125</v>
      </c>
      <c r="E91" s="65" t="s">
        <v>568</v>
      </c>
      <c r="F91" s="65" t="b">
        <f>TRUE()</f>
        <v>1</v>
      </c>
      <c r="G91" s="65" t="s">
        <v>569</v>
      </c>
      <c r="H91" s="65" t="s">
        <v>235</v>
      </c>
      <c r="I91" s="66">
        <v>46200</v>
      </c>
      <c r="J91" s="66">
        <v>46210</v>
      </c>
      <c r="K91" s="65">
        <v>10</v>
      </c>
      <c r="L91" s="65" t="s">
        <v>192</v>
      </c>
      <c r="M91" s="65" t="s">
        <v>185</v>
      </c>
      <c r="N91" s="65" t="b">
        <f>FALSE()</f>
        <v>0</v>
      </c>
      <c r="O91" s="65"/>
      <c r="P91" s="65"/>
      <c r="Q91" s="65" t="s">
        <v>236</v>
      </c>
      <c r="R91" s="65" t="s">
        <v>237</v>
      </c>
      <c r="S91" s="65"/>
      <c r="T91" s="65" t="b">
        <f>FALSE()</f>
        <v>0</v>
      </c>
      <c r="U91" s="65" t="b">
        <f>FALSE()</f>
        <v>0</v>
      </c>
      <c r="V91" s="65">
        <v>588</v>
      </c>
      <c r="W91" s="65" t="s">
        <v>570</v>
      </c>
      <c r="X91" s="65">
        <v>1</v>
      </c>
      <c r="Y91" s="68">
        <v>0.01</v>
      </c>
      <c r="Z91" s="65" t="b">
        <f>FALSE()</f>
        <v>0</v>
      </c>
      <c r="AA91" s="65" t="b">
        <f>TRUE()</f>
        <v>1</v>
      </c>
      <c r="AB91" s="65" t="b">
        <f>FALSE()</f>
        <v>0</v>
      </c>
      <c r="AC91" s="65" t="b">
        <f>FALSE()</f>
        <v>0</v>
      </c>
      <c r="AD91" s="65" t="b">
        <f>FALSE()</f>
        <v>0</v>
      </c>
      <c r="AE91" s="65">
        <v>1</v>
      </c>
      <c r="AF91" s="69">
        <v>14.3</v>
      </c>
      <c r="AG91" s="65" t="s">
        <v>74</v>
      </c>
      <c r="AH91" s="65" t="s">
        <v>571</v>
      </c>
      <c r="AI91">
        <f>IF(AND(OR(Company_Explorer!$B$5="All Companies",$E91=Company_Explorer!$B$5),OR(Company_Explorer!$B$6="All Platforms",$B91=Company_Explorer!$B$6),OR(Company_Explorer!$B$7="All Roles",$D91=Company_Explorer!$B$7),OR(Company_Explorer!$B$8="All Ghost Labels",$AG91=Company_Explorer!$B$8)),1,0)</f>
        <v>0</v>
      </c>
    </row>
    <row r="92" spans="1:35" ht="15" customHeight="1" x14ac:dyDescent="0.3">
      <c r="A92" s="60" t="s">
        <v>572</v>
      </c>
      <c r="B92" s="60" t="s">
        <v>80</v>
      </c>
      <c r="C92" s="60" t="s">
        <v>573</v>
      </c>
      <c r="D92" s="60" t="s">
        <v>125</v>
      </c>
      <c r="E92" s="60" t="s">
        <v>574</v>
      </c>
      <c r="F92" s="60" t="b">
        <f>TRUE()</f>
        <v>1</v>
      </c>
      <c r="G92" s="60" t="s">
        <v>168</v>
      </c>
      <c r="H92" s="60" t="s">
        <v>254</v>
      </c>
      <c r="I92" s="61">
        <v>46126</v>
      </c>
      <c r="J92" s="61">
        <v>46210</v>
      </c>
      <c r="K92" s="60">
        <v>84</v>
      </c>
      <c r="L92" s="60" t="s">
        <v>192</v>
      </c>
      <c r="M92" s="60" t="s">
        <v>185</v>
      </c>
      <c r="N92" s="60" t="b">
        <f>FALSE()</f>
        <v>0</v>
      </c>
      <c r="O92" s="60"/>
      <c r="P92" s="60"/>
      <c r="Q92" s="60" t="s">
        <v>236</v>
      </c>
      <c r="R92" s="60" t="s">
        <v>237</v>
      </c>
      <c r="S92" s="60"/>
      <c r="T92" s="60" t="b">
        <f>FALSE()</f>
        <v>0</v>
      </c>
      <c r="U92" s="60" t="b">
        <f>FALSE()</f>
        <v>0</v>
      </c>
      <c r="V92" s="60">
        <v>126</v>
      </c>
      <c r="W92" s="62" t="s">
        <v>575</v>
      </c>
      <c r="X92" s="60">
        <v>1</v>
      </c>
      <c r="Y92" s="63">
        <v>0.01</v>
      </c>
      <c r="Z92" s="60" t="b">
        <f>FALSE()</f>
        <v>0</v>
      </c>
      <c r="AA92" s="60" t="b">
        <f>TRUE()</f>
        <v>1</v>
      </c>
      <c r="AB92" s="60" t="b">
        <f>TRUE()</f>
        <v>1</v>
      </c>
      <c r="AC92" s="60" t="b">
        <f>TRUE()</f>
        <v>1</v>
      </c>
      <c r="AD92" s="60" t="b">
        <f>FALSE()</f>
        <v>0</v>
      </c>
      <c r="AE92" s="60">
        <v>3</v>
      </c>
      <c r="AF92" s="64">
        <v>42.9</v>
      </c>
      <c r="AG92" s="60" t="s">
        <v>73</v>
      </c>
      <c r="AH92" s="60" t="s">
        <v>576</v>
      </c>
      <c r="AI92">
        <f>IF(AND(OR(Company_Explorer!$B$5="All Companies",$E92=Company_Explorer!$B$5),OR(Company_Explorer!$B$6="All Platforms",$B92=Company_Explorer!$B$6),OR(Company_Explorer!$B$7="All Roles",$D92=Company_Explorer!$B$7),OR(Company_Explorer!$B$8="All Ghost Labels",$AG92=Company_Explorer!$B$8)),1,0)</f>
        <v>0</v>
      </c>
    </row>
    <row r="93" spans="1:35" ht="15" customHeight="1" x14ac:dyDescent="0.3">
      <c r="A93" s="65" t="s">
        <v>577</v>
      </c>
      <c r="B93" s="65" t="s">
        <v>80</v>
      </c>
      <c r="C93" s="65" t="s">
        <v>578</v>
      </c>
      <c r="D93" s="65" t="s">
        <v>125</v>
      </c>
      <c r="E93" s="65" t="s">
        <v>579</v>
      </c>
      <c r="F93" s="65" t="b">
        <f>TRUE()</f>
        <v>1</v>
      </c>
      <c r="G93" s="65" t="s">
        <v>166</v>
      </c>
      <c r="H93" s="65" t="s">
        <v>235</v>
      </c>
      <c r="I93" s="66">
        <v>46203</v>
      </c>
      <c r="J93" s="66">
        <v>46210</v>
      </c>
      <c r="K93" s="65">
        <v>7</v>
      </c>
      <c r="L93" s="65" t="s">
        <v>192</v>
      </c>
      <c r="M93" s="65" t="s">
        <v>185</v>
      </c>
      <c r="N93" s="65" t="b">
        <f>FALSE()</f>
        <v>0</v>
      </c>
      <c r="O93" s="65"/>
      <c r="P93" s="65"/>
      <c r="Q93" s="65" t="s">
        <v>236</v>
      </c>
      <c r="R93" s="65" t="s">
        <v>237</v>
      </c>
      <c r="S93" s="65"/>
      <c r="T93" s="65" t="b">
        <f>FALSE()</f>
        <v>0</v>
      </c>
      <c r="U93" s="65" t="b">
        <f>FALSE()</f>
        <v>0</v>
      </c>
      <c r="V93" s="65">
        <v>397</v>
      </c>
      <c r="W93" s="65" t="s">
        <v>580</v>
      </c>
      <c r="X93" s="65">
        <v>1</v>
      </c>
      <c r="Y93" s="68">
        <v>0.01</v>
      </c>
      <c r="Z93" s="65" t="b">
        <f>FALSE()</f>
        <v>0</v>
      </c>
      <c r="AA93" s="65" t="b">
        <f>TRUE()</f>
        <v>1</v>
      </c>
      <c r="AB93" s="65" t="b">
        <f>FALSE()</f>
        <v>0</v>
      </c>
      <c r="AC93" s="65" t="b">
        <f>FALSE()</f>
        <v>0</v>
      </c>
      <c r="AD93" s="65" t="b">
        <f>FALSE()</f>
        <v>0</v>
      </c>
      <c r="AE93" s="65">
        <v>1</v>
      </c>
      <c r="AF93" s="69">
        <v>14.3</v>
      </c>
      <c r="AG93" s="65" t="s">
        <v>74</v>
      </c>
      <c r="AH93" s="65" t="s">
        <v>581</v>
      </c>
      <c r="AI93">
        <f>IF(AND(OR(Company_Explorer!$B$5="All Companies",$E93=Company_Explorer!$B$5),OR(Company_Explorer!$B$6="All Platforms",$B93=Company_Explorer!$B$6),OR(Company_Explorer!$B$7="All Roles",$D93=Company_Explorer!$B$7),OR(Company_Explorer!$B$8="All Ghost Labels",$AG93=Company_Explorer!$B$8)),1,0)</f>
        <v>0</v>
      </c>
    </row>
    <row r="94" spans="1:35" ht="15" customHeight="1" x14ac:dyDescent="0.3">
      <c r="A94" s="60" t="s">
        <v>582</v>
      </c>
      <c r="B94" s="60" t="s">
        <v>80</v>
      </c>
      <c r="C94" s="60" t="s">
        <v>583</v>
      </c>
      <c r="D94" s="60" t="s">
        <v>125</v>
      </c>
      <c r="E94" s="60" t="s">
        <v>584</v>
      </c>
      <c r="F94" s="60" t="b">
        <f>TRUE()</f>
        <v>1</v>
      </c>
      <c r="G94" s="60" t="s">
        <v>585</v>
      </c>
      <c r="H94" s="60" t="s">
        <v>585</v>
      </c>
      <c r="I94" s="61">
        <v>46170</v>
      </c>
      <c r="J94" s="61">
        <v>46210</v>
      </c>
      <c r="K94" s="60">
        <v>40</v>
      </c>
      <c r="L94" s="60" t="s">
        <v>192</v>
      </c>
      <c r="M94" s="60" t="s">
        <v>184</v>
      </c>
      <c r="N94" s="60" t="b">
        <f>FALSE()</f>
        <v>0</v>
      </c>
      <c r="O94" s="60"/>
      <c r="P94" s="60"/>
      <c r="Q94" s="60" t="s">
        <v>236</v>
      </c>
      <c r="R94" s="60" t="s">
        <v>237</v>
      </c>
      <c r="S94" s="60"/>
      <c r="T94" s="60" t="b">
        <f>FALSE()</f>
        <v>0</v>
      </c>
      <c r="U94" s="60" t="b">
        <f>FALSE()</f>
        <v>0</v>
      </c>
      <c r="V94" s="60">
        <v>247</v>
      </c>
      <c r="W94" s="62" t="s">
        <v>586</v>
      </c>
      <c r="X94" s="60">
        <v>1</v>
      </c>
      <c r="Y94" s="63">
        <v>0.01</v>
      </c>
      <c r="Z94" s="60" t="b">
        <f>FALSE()</f>
        <v>0</v>
      </c>
      <c r="AA94" s="60" t="b">
        <f>TRUE()</f>
        <v>1</v>
      </c>
      <c r="AB94" s="60" t="b">
        <f>TRUE()</f>
        <v>1</v>
      </c>
      <c r="AC94" s="60" t="b">
        <f>TRUE()</f>
        <v>1</v>
      </c>
      <c r="AD94" s="60" t="b">
        <f>FALSE()</f>
        <v>0</v>
      </c>
      <c r="AE94" s="60">
        <v>3</v>
      </c>
      <c r="AF94" s="64">
        <v>42.9</v>
      </c>
      <c r="AG94" s="60" t="s">
        <v>73</v>
      </c>
      <c r="AH94" s="60" t="s">
        <v>587</v>
      </c>
      <c r="AI94">
        <f>IF(AND(OR(Company_Explorer!$B$5="All Companies",$E94=Company_Explorer!$B$5),OR(Company_Explorer!$B$6="All Platforms",$B94=Company_Explorer!$B$6),OR(Company_Explorer!$B$7="All Roles",$D94=Company_Explorer!$B$7),OR(Company_Explorer!$B$8="All Ghost Labels",$AG94=Company_Explorer!$B$8)),1,0)</f>
        <v>0</v>
      </c>
    </row>
    <row r="95" spans="1:35" ht="15" customHeight="1" x14ac:dyDescent="0.3">
      <c r="A95" s="65" t="s">
        <v>588</v>
      </c>
      <c r="B95" s="65" t="s">
        <v>80</v>
      </c>
      <c r="C95" s="65" t="s">
        <v>125</v>
      </c>
      <c r="D95" s="65" t="s">
        <v>125</v>
      </c>
      <c r="E95" s="65" t="s">
        <v>589</v>
      </c>
      <c r="F95" s="65" t="b">
        <f>TRUE()</f>
        <v>1</v>
      </c>
      <c r="G95" s="65" t="s">
        <v>166</v>
      </c>
      <c r="H95" s="65" t="s">
        <v>235</v>
      </c>
      <c r="I95" s="66">
        <v>46058</v>
      </c>
      <c r="J95" s="66">
        <v>46210</v>
      </c>
      <c r="K95" s="65">
        <v>152</v>
      </c>
      <c r="L95" s="65" t="s">
        <v>192</v>
      </c>
      <c r="M95" s="65" t="s">
        <v>185</v>
      </c>
      <c r="N95" s="65" t="b">
        <f>TRUE()</f>
        <v>1</v>
      </c>
      <c r="O95" s="71">
        <v>2000000</v>
      </c>
      <c r="P95" s="71">
        <v>2800000</v>
      </c>
      <c r="Q95" s="65" t="s">
        <v>332</v>
      </c>
      <c r="R95" s="65" t="s">
        <v>237</v>
      </c>
      <c r="S95" s="65"/>
      <c r="T95" s="65" t="b">
        <f>FALSE()</f>
        <v>0</v>
      </c>
      <c r="U95" s="65" t="b">
        <f>FALSE()</f>
        <v>0</v>
      </c>
      <c r="V95" s="65">
        <v>140</v>
      </c>
      <c r="W95" s="67" t="s">
        <v>590</v>
      </c>
      <c r="X95" s="65">
        <v>6</v>
      </c>
      <c r="Y95" s="68">
        <v>0.04</v>
      </c>
      <c r="Z95" s="65" t="b">
        <f>FALSE()</f>
        <v>0</v>
      </c>
      <c r="AA95" s="65" t="b">
        <f>FALSE()</f>
        <v>0</v>
      </c>
      <c r="AB95" s="65" t="b">
        <f>TRUE()</f>
        <v>1</v>
      </c>
      <c r="AC95" s="65" t="b">
        <f>TRUE()</f>
        <v>1</v>
      </c>
      <c r="AD95" s="65" t="b">
        <f>FALSE()</f>
        <v>0</v>
      </c>
      <c r="AE95" s="65">
        <v>2</v>
      </c>
      <c r="AF95" s="69">
        <v>28.6</v>
      </c>
      <c r="AG95" s="65" t="s">
        <v>73</v>
      </c>
      <c r="AH95" s="65" t="s">
        <v>591</v>
      </c>
      <c r="AI95">
        <f>IF(AND(OR(Company_Explorer!$B$5="All Companies",$E95=Company_Explorer!$B$5),OR(Company_Explorer!$B$6="All Platforms",$B95=Company_Explorer!$B$6),OR(Company_Explorer!$B$7="All Roles",$D95=Company_Explorer!$B$7),OR(Company_Explorer!$B$8="All Ghost Labels",$AG95=Company_Explorer!$B$8)),1,0)</f>
        <v>0</v>
      </c>
    </row>
    <row r="96" spans="1:35" ht="15" customHeight="1" x14ac:dyDescent="0.3">
      <c r="A96" s="60" t="s">
        <v>592</v>
      </c>
      <c r="B96" s="60" t="s">
        <v>80</v>
      </c>
      <c r="C96" s="60" t="s">
        <v>593</v>
      </c>
      <c r="D96" s="60" t="s">
        <v>125</v>
      </c>
      <c r="E96" s="60" t="s">
        <v>80</v>
      </c>
      <c r="F96" s="60" t="b">
        <f>TRUE()</f>
        <v>1</v>
      </c>
      <c r="G96" s="60" t="s">
        <v>166</v>
      </c>
      <c r="H96" s="60" t="s">
        <v>235</v>
      </c>
      <c r="I96" s="61">
        <v>46191</v>
      </c>
      <c r="J96" s="61">
        <v>46210</v>
      </c>
      <c r="K96" s="60">
        <v>19</v>
      </c>
      <c r="L96" s="60" t="s">
        <v>192</v>
      </c>
      <c r="M96" s="60" t="s">
        <v>184</v>
      </c>
      <c r="N96" s="60" t="b">
        <f>FALSE()</f>
        <v>0</v>
      </c>
      <c r="O96" s="60"/>
      <c r="P96" s="60"/>
      <c r="Q96" s="60" t="s">
        <v>236</v>
      </c>
      <c r="R96" s="60" t="s">
        <v>237</v>
      </c>
      <c r="S96" s="60"/>
      <c r="T96" s="60" t="b">
        <f>FALSE()</f>
        <v>0</v>
      </c>
      <c r="U96" s="60" t="b">
        <f>FALSE()</f>
        <v>0</v>
      </c>
      <c r="V96" s="60">
        <v>668</v>
      </c>
      <c r="W96" s="60" t="s">
        <v>594</v>
      </c>
      <c r="X96" s="60">
        <v>2</v>
      </c>
      <c r="Y96" s="63">
        <v>0.01</v>
      </c>
      <c r="Z96" s="60" t="b">
        <f>FALSE()</f>
        <v>0</v>
      </c>
      <c r="AA96" s="60" t="b">
        <f>TRUE()</f>
        <v>1</v>
      </c>
      <c r="AB96" s="60" t="b">
        <f>FALSE()</f>
        <v>0</v>
      </c>
      <c r="AC96" s="60" t="b">
        <f>TRUE()</f>
        <v>1</v>
      </c>
      <c r="AD96" s="60" t="b">
        <f>FALSE()</f>
        <v>0</v>
      </c>
      <c r="AE96" s="60">
        <v>2</v>
      </c>
      <c r="AF96" s="64">
        <v>28.6</v>
      </c>
      <c r="AG96" s="60" t="s">
        <v>73</v>
      </c>
      <c r="AH96" s="60" t="s">
        <v>595</v>
      </c>
      <c r="AI96">
        <f>IF(AND(OR(Company_Explorer!$B$5="All Companies",$E96=Company_Explorer!$B$5),OR(Company_Explorer!$B$6="All Platforms",$B96=Company_Explorer!$B$6),OR(Company_Explorer!$B$7="All Roles",$D96=Company_Explorer!$B$7),OR(Company_Explorer!$B$8="All Ghost Labels",$AG96=Company_Explorer!$B$8)),1,0)</f>
        <v>0</v>
      </c>
    </row>
    <row r="97" spans="1:35" ht="15" customHeight="1" x14ac:dyDescent="0.3">
      <c r="A97" s="65" t="s">
        <v>596</v>
      </c>
      <c r="B97" s="65" t="s">
        <v>80</v>
      </c>
      <c r="C97" s="65" t="s">
        <v>315</v>
      </c>
      <c r="D97" s="65" t="s">
        <v>126</v>
      </c>
      <c r="E97" s="65" t="s">
        <v>597</v>
      </c>
      <c r="F97" s="65" t="b">
        <f>TRUE()</f>
        <v>1</v>
      </c>
      <c r="G97" s="65" t="s">
        <v>598</v>
      </c>
      <c r="H97" s="65" t="s">
        <v>598</v>
      </c>
      <c r="I97" s="66">
        <v>45840</v>
      </c>
      <c r="J97" s="66">
        <v>46210</v>
      </c>
      <c r="K97" s="65">
        <v>370</v>
      </c>
      <c r="L97" s="65" t="s">
        <v>192</v>
      </c>
      <c r="M97" s="65" t="s">
        <v>185</v>
      </c>
      <c r="N97" s="65" t="b">
        <f>FALSE()</f>
        <v>0</v>
      </c>
      <c r="O97" s="65"/>
      <c r="P97" s="65"/>
      <c r="Q97" s="65" t="s">
        <v>236</v>
      </c>
      <c r="R97" s="65" t="s">
        <v>237</v>
      </c>
      <c r="S97" s="65"/>
      <c r="T97" s="65" t="b">
        <f>FALSE()</f>
        <v>0</v>
      </c>
      <c r="U97" s="65" t="b">
        <f>FALSE()</f>
        <v>0</v>
      </c>
      <c r="V97" s="65">
        <v>583</v>
      </c>
      <c r="W97" s="67" t="s">
        <v>599</v>
      </c>
      <c r="X97" s="65">
        <v>1</v>
      </c>
      <c r="Y97" s="68">
        <v>0.01</v>
      </c>
      <c r="Z97" s="65" t="b">
        <f>FALSE()</f>
        <v>0</v>
      </c>
      <c r="AA97" s="65" t="b">
        <f>TRUE()</f>
        <v>1</v>
      </c>
      <c r="AB97" s="65" t="b">
        <f>FALSE()</f>
        <v>0</v>
      </c>
      <c r="AC97" s="65" t="b">
        <f>TRUE()</f>
        <v>1</v>
      </c>
      <c r="AD97" s="65" t="b">
        <f>FALSE()</f>
        <v>0</v>
      </c>
      <c r="AE97" s="65">
        <v>2</v>
      </c>
      <c r="AF97" s="69">
        <v>28.6</v>
      </c>
      <c r="AG97" s="65" t="s">
        <v>73</v>
      </c>
      <c r="AH97" s="65" t="s">
        <v>600</v>
      </c>
      <c r="AI97">
        <f>IF(AND(OR(Company_Explorer!$B$5="All Companies",$E97=Company_Explorer!$B$5),OR(Company_Explorer!$B$6="All Platforms",$B97=Company_Explorer!$B$6),OR(Company_Explorer!$B$7="All Roles",$D97=Company_Explorer!$B$7),OR(Company_Explorer!$B$8="All Ghost Labels",$AG97=Company_Explorer!$B$8)),1,0)</f>
        <v>0</v>
      </c>
    </row>
    <row r="98" spans="1:35" ht="15" customHeight="1" x14ac:dyDescent="0.3">
      <c r="A98" s="60" t="s">
        <v>601</v>
      </c>
      <c r="B98" s="60" t="s">
        <v>80</v>
      </c>
      <c r="C98" s="60" t="s">
        <v>125</v>
      </c>
      <c r="D98" s="60" t="s">
        <v>125</v>
      </c>
      <c r="E98" s="60" t="s">
        <v>412</v>
      </c>
      <c r="F98" s="60" t="b">
        <f>TRUE()</f>
        <v>1</v>
      </c>
      <c r="G98" s="60" t="s">
        <v>166</v>
      </c>
      <c r="H98" s="60" t="s">
        <v>235</v>
      </c>
      <c r="I98" s="61">
        <v>46209</v>
      </c>
      <c r="J98" s="61">
        <v>46210</v>
      </c>
      <c r="K98" s="60">
        <v>1</v>
      </c>
      <c r="L98" s="60" t="s">
        <v>192</v>
      </c>
      <c r="M98" s="60" t="s">
        <v>187</v>
      </c>
      <c r="N98" s="60" t="b">
        <f>FALSE()</f>
        <v>0</v>
      </c>
      <c r="O98" s="60"/>
      <c r="P98" s="60"/>
      <c r="Q98" s="60" t="s">
        <v>236</v>
      </c>
      <c r="R98" s="60" t="s">
        <v>237</v>
      </c>
      <c r="S98" s="60"/>
      <c r="T98" s="60" t="b">
        <f>FALSE()</f>
        <v>0</v>
      </c>
      <c r="U98" s="60" t="b">
        <f>FALSE()</f>
        <v>0</v>
      </c>
      <c r="V98" s="60">
        <v>158</v>
      </c>
      <c r="W98" s="62" t="s">
        <v>414</v>
      </c>
      <c r="X98" s="60">
        <v>3</v>
      </c>
      <c r="Y98" s="63">
        <v>0.02</v>
      </c>
      <c r="Z98" s="60" t="b">
        <f>FALSE()</f>
        <v>0</v>
      </c>
      <c r="AA98" s="60" t="b">
        <f>TRUE()</f>
        <v>1</v>
      </c>
      <c r="AB98" s="60" t="b">
        <f>TRUE()</f>
        <v>1</v>
      </c>
      <c r="AC98" s="60" t="b">
        <f>FALSE()</f>
        <v>0</v>
      </c>
      <c r="AD98" s="60" t="b">
        <f>FALSE()</f>
        <v>0</v>
      </c>
      <c r="AE98" s="60">
        <v>2</v>
      </c>
      <c r="AF98" s="64">
        <v>28.6</v>
      </c>
      <c r="AG98" s="60" t="s">
        <v>73</v>
      </c>
      <c r="AH98" s="60" t="s">
        <v>602</v>
      </c>
      <c r="AI98">
        <f>IF(AND(OR(Company_Explorer!$B$5="All Companies",$E98=Company_Explorer!$B$5),OR(Company_Explorer!$B$6="All Platforms",$B98=Company_Explorer!$B$6),OR(Company_Explorer!$B$7="All Roles",$D98=Company_Explorer!$B$7),OR(Company_Explorer!$B$8="All Ghost Labels",$AG98=Company_Explorer!$B$8)),1,0)</f>
        <v>0</v>
      </c>
    </row>
    <row r="99" spans="1:35" ht="15" customHeight="1" x14ac:dyDescent="0.3">
      <c r="A99" s="65" t="s">
        <v>603</v>
      </c>
      <c r="B99" s="65" t="s">
        <v>80</v>
      </c>
      <c r="C99" s="65" t="s">
        <v>604</v>
      </c>
      <c r="D99" s="65" t="s">
        <v>125</v>
      </c>
      <c r="E99" s="65" t="s">
        <v>605</v>
      </c>
      <c r="F99" s="65" t="b">
        <f>TRUE()</f>
        <v>1</v>
      </c>
      <c r="G99" s="65" t="s">
        <v>178</v>
      </c>
      <c r="H99" s="65" t="s">
        <v>165</v>
      </c>
      <c r="I99" s="66">
        <v>46178</v>
      </c>
      <c r="J99" s="66">
        <v>46210</v>
      </c>
      <c r="K99" s="65">
        <v>32</v>
      </c>
      <c r="L99" s="65" t="s">
        <v>192</v>
      </c>
      <c r="M99" s="65" t="s">
        <v>187</v>
      </c>
      <c r="N99" s="65" t="b">
        <f>FALSE()</f>
        <v>0</v>
      </c>
      <c r="O99" s="65"/>
      <c r="P99" s="65"/>
      <c r="Q99" s="65" t="s">
        <v>236</v>
      </c>
      <c r="R99" s="65" t="s">
        <v>237</v>
      </c>
      <c r="S99" s="65"/>
      <c r="T99" s="65" t="b">
        <f>FALSE()</f>
        <v>0</v>
      </c>
      <c r="U99" s="65" t="b">
        <f>FALSE()</f>
        <v>0</v>
      </c>
      <c r="V99" s="65">
        <v>426</v>
      </c>
      <c r="W99" s="67" t="s">
        <v>606</v>
      </c>
      <c r="X99" s="65">
        <v>1</v>
      </c>
      <c r="Y99" s="68">
        <v>0.01</v>
      </c>
      <c r="Z99" s="65" t="b">
        <f>FALSE()</f>
        <v>0</v>
      </c>
      <c r="AA99" s="65" t="b">
        <f>TRUE()</f>
        <v>1</v>
      </c>
      <c r="AB99" s="65" t="b">
        <f>FALSE()</f>
        <v>0</v>
      </c>
      <c r="AC99" s="65" t="b">
        <f>TRUE()</f>
        <v>1</v>
      </c>
      <c r="AD99" s="65" t="b">
        <f>FALSE()</f>
        <v>0</v>
      </c>
      <c r="AE99" s="65">
        <v>2</v>
      </c>
      <c r="AF99" s="69">
        <v>28.6</v>
      </c>
      <c r="AG99" s="65" t="s">
        <v>73</v>
      </c>
      <c r="AH99" s="65" t="s">
        <v>607</v>
      </c>
      <c r="AI99">
        <f>IF(AND(OR(Company_Explorer!$B$5="All Companies",$E99=Company_Explorer!$B$5),OR(Company_Explorer!$B$6="All Platforms",$B99=Company_Explorer!$B$6),OR(Company_Explorer!$B$7="All Roles",$D99=Company_Explorer!$B$7),OR(Company_Explorer!$B$8="All Ghost Labels",$AG99=Company_Explorer!$B$8)),1,0)</f>
        <v>0</v>
      </c>
    </row>
    <row r="100" spans="1:35" ht="15" customHeight="1" x14ac:dyDescent="0.3">
      <c r="A100" s="60" t="s">
        <v>608</v>
      </c>
      <c r="B100" s="60" t="s">
        <v>80</v>
      </c>
      <c r="C100" s="60" t="s">
        <v>306</v>
      </c>
      <c r="D100" s="60" t="s">
        <v>125</v>
      </c>
      <c r="E100" s="60" t="s">
        <v>141</v>
      </c>
      <c r="F100" s="60" t="b">
        <f>TRUE()</f>
        <v>1</v>
      </c>
      <c r="G100" s="60" t="s">
        <v>609</v>
      </c>
      <c r="H100" s="60" t="s">
        <v>165</v>
      </c>
      <c r="I100" s="61">
        <v>46189</v>
      </c>
      <c r="J100" s="61">
        <v>46210</v>
      </c>
      <c r="K100" s="60">
        <v>21</v>
      </c>
      <c r="L100" s="60" t="s">
        <v>192</v>
      </c>
      <c r="M100" s="60" t="s">
        <v>184</v>
      </c>
      <c r="N100" s="60" t="b">
        <f>FALSE()</f>
        <v>0</v>
      </c>
      <c r="O100" s="60"/>
      <c r="P100" s="60"/>
      <c r="Q100" s="60" t="s">
        <v>236</v>
      </c>
      <c r="R100" s="60" t="s">
        <v>237</v>
      </c>
      <c r="S100" s="60"/>
      <c r="T100" s="60" t="b">
        <f>FALSE()</f>
        <v>0</v>
      </c>
      <c r="U100" s="60" t="b">
        <f>FALSE()</f>
        <v>0</v>
      </c>
      <c r="V100" s="60">
        <v>280</v>
      </c>
      <c r="W100" s="62" t="s">
        <v>610</v>
      </c>
      <c r="X100" s="60">
        <v>429</v>
      </c>
      <c r="Y100" s="63">
        <v>2.66</v>
      </c>
      <c r="Z100" s="60" t="b">
        <f>FALSE()</f>
        <v>0</v>
      </c>
      <c r="AA100" s="60" t="b">
        <f>TRUE()</f>
        <v>1</v>
      </c>
      <c r="AB100" s="60" t="b">
        <f>FALSE()</f>
        <v>0</v>
      </c>
      <c r="AC100" s="60" t="b">
        <f>TRUE()</f>
        <v>1</v>
      </c>
      <c r="AD100" s="60" t="b">
        <f>TRUE()</f>
        <v>1</v>
      </c>
      <c r="AE100" s="60">
        <v>4</v>
      </c>
      <c r="AF100" s="64">
        <v>57.1</v>
      </c>
      <c r="AG100" s="60" t="s">
        <v>72</v>
      </c>
      <c r="AH100" s="60" t="s">
        <v>611</v>
      </c>
      <c r="AI100">
        <f>IF(AND(OR(Company_Explorer!$B$5="All Companies",$E100=Company_Explorer!$B$5),OR(Company_Explorer!$B$6="All Platforms",$B100=Company_Explorer!$B$6),OR(Company_Explorer!$B$7="All Roles",$D100=Company_Explorer!$B$7),OR(Company_Explorer!$B$8="All Ghost Labels",$AG100=Company_Explorer!$B$8)),1,0)</f>
        <v>0</v>
      </c>
    </row>
    <row r="101" spans="1:35" ht="15" customHeight="1" x14ac:dyDescent="0.3">
      <c r="A101" s="65" t="s">
        <v>612</v>
      </c>
      <c r="B101" s="65" t="s">
        <v>80</v>
      </c>
      <c r="C101" s="65" t="s">
        <v>613</v>
      </c>
      <c r="D101" s="65" t="s">
        <v>125</v>
      </c>
      <c r="E101" s="65" t="s">
        <v>614</v>
      </c>
      <c r="F101" s="65" t="b">
        <f>TRUE()</f>
        <v>1</v>
      </c>
      <c r="G101" s="65" t="s">
        <v>166</v>
      </c>
      <c r="H101" s="65" t="s">
        <v>235</v>
      </c>
      <c r="I101" s="66">
        <v>46195</v>
      </c>
      <c r="J101" s="66">
        <v>46210</v>
      </c>
      <c r="K101" s="65">
        <v>15</v>
      </c>
      <c r="L101" s="65" t="s">
        <v>192</v>
      </c>
      <c r="M101" s="65" t="s">
        <v>185</v>
      </c>
      <c r="N101" s="65" t="b">
        <f>FALSE()</f>
        <v>0</v>
      </c>
      <c r="O101" s="65"/>
      <c r="P101" s="65"/>
      <c r="Q101" s="65" t="s">
        <v>236</v>
      </c>
      <c r="R101" s="65" t="s">
        <v>237</v>
      </c>
      <c r="S101" s="65"/>
      <c r="T101" s="65" t="b">
        <f>FALSE()</f>
        <v>0</v>
      </c>
      <c r="U101" s="65" t="b">
        <f>FALSE()</f>
        <v>0</v>
      </c>
      <c r="V101" s="65">
        <v>1137</v>
      </c>
      <c r="W101" s="67" t="s">
        <v>615</v>
      </c>
      <c r="X101" s="65">
        <v>7</v>
      </c>
      <c r="Y101" s="68">
        <v>0.04</v>
      </c>
      <c r="Z101" s="65" t="b">
        <f>FALSE()</f>
        <v>0</v>
      </c>
      <c r="AA101" s="65" t="b">
        <f>TRUE()</f>
        <v>1</v>
      </c>
      <c r="AB101" s="65" t="b">
        <f>FALSE()</f>
        <v>0</v>
      </c>
      <c r="AC101" s="65" t="b">
        <f>FALSE()</f>
        <v>0</v>
      </c>
      <c r="AD101" s="65" t="b">
        <f>FALSE()</f>
        <v>0</v>
      </c>
      <c r="AE101" s="65">
        <v>1</v>
      </c>
      <c r="AF101" s="69">
        <v>14.3</v>
      </c>
      <c r="AG101" s="65" t="s">
        <v>74</v>
      </c>
      <c r="AH101" s="65" t="s">
        <v>616</v>
      </c>
      <c r="AI101">
        <f>IF(AND(OR(Company_Explorer!$B$5="All Companies",$E101=Company_Explorer!$B$5),OR(Company_Explorer!$B$6="All Platforms",$B101=Company_Explorer!$B$6),OR(Company_Explorer!$B$7="All Roles",$D101=Company_Explorer!$B$7),OR(Company_Explorer!$B$8="All Ghost Labels",$AG101=Company_Explorer!$B$8)),1,0)</f>
        <v>0</v>
      </c>
    </row>
    <row r="102" spans="1:35" ht="15" customHeight="1" x14ac:dyDescent="0.3">
      <c r="A102" s="60" t="s">
        <v>617</v>
      </c>
      <c r="B102" s="60" t="s">
        <v>80</v>
      </c>
      <c r="C102" s="60" t="s">
        <v>618</v>
      </c>
      <c r="D102" s="60" t="s">
        <v>131</v>
      </c>
      <c r="E102" s="60" t="s">
        <v>619</v>
      </c>
      <c r="F102" s="60" t="b">
        <f>TRUE()</f>
        <v>1</v>
      </c>
      <c r="G102" s="60" t="s">
        <v>166</v>
      </c>
      <c r="H102" s="60" t="s">
        <v>235</v>
      </c>
      <c r="I102" s="61">
        <v>46192</v>
      </c>
      <c r="J102" s="61">
        <v>46210</v>
      </c>
      <c r="K102" s="60">
        <v>18</v>
      </c>
      <c r="L102" s="60" t="s">
        <v>192</v>
      </c>
      <c r="M102" s="60" t="s">
        <v>185</v>
      </c>
      <c r="N102" s="60" t="b">
        <f>FALSE()</f>
        <v>0</v>
      </c>
      <c r="O102" s="60"/>
      <c r="P102" s="60"/>
      <c r="Q102" s="60" t="s">
        <v>236</v>
      </c>
      <c r="R102" s="60" t="s">
        <v>237</v>
      </c>
      <c r="S102" s="60"/>
      <c r="T102" s="60" t="b">
        <f>FALSE()</f>
        <v>0</v>
      </c>
      <c r="U102" s="60" t="b">
        <f>FALSE()</f>
        <v>0</v>
      </c>
      <c r="V102" s="60">
        <v>779</v>
      </c>
      <c r="W102" s="62" t="s">
        <v>620</v>
      </c>
      <c r="X102" s="60">
        <v>4</v>
      </c>
      <c r="Y102" s="63">
        <v>0.02</v>
      </c>
      <c r="Z102" s="60" t="b">
        <f>FALSE()</f>
        <v>0</v>
      </c>
      <c r="AA102" s="60" t="b">
        <f>TRUE()</f>
        <v>1</v>
      </c>
      <c r="AB102" s="60" t="b">
        <f>FALSE()</f>
        <v>0</v>
      </c>
      <c r="AC102" s="60" t="b">
        <f>FALSE()</f>
        <v>0</v>
      </c>
      <c r="AD102" s="60" t="b">
        <f>FALSE()</f>
        <v>0</v>
      </c>
      <c r="AE102" s="60">
        <v>1</v>
      </c>
      <c r="AF102" s="64">
        <v>14.3</v>
      </c>
      <c r="AG102" s="60" t="s">
        <v>74</v>
      </c>
      <c r="AH102" s="60" t="s">
        <v>621</v>
      </c>
      <c r="AI102">
        <f>IF(AND(OR(Company_Explorer!$B$5="All Companies",$E102=Company_Explorer!$B$5),OR(Company_Explorer!$B$6="All Platforms",$B102=Company_Explorer!$B$6),OR(Company_Explorer!$B$7="All Roles",$D102=Company_Explorer!$B$7),OR(Company_Explorer!$B$8="All Ghost Labels",$AG102=Company_Explorer!$B$8)),1,0)</f>
        <v>0</v>
      </c>
    </row>
    <row r="103" spans="1:35" ht="15" customHeight="1" x14ac:dyDescent="0.3">
      <c r="A103" s="65" t="s">
        <v>622</v>
      </c>
      <c r="B103" s="65" t="s">
        <v>80</v>
      </c>
      <c r="C103" s="65" t="s">
        <v>623</v>
      </c>
      <c r="D103" s="65" t="s">
        <v>125</v>
      </c>
      <c r="E103" s="65" t="s">
        <v>624</v>
      </c>
      <c r="F103" s="65" t="b">
        <f>TRUE()</f>
        <v>1</v>
      </c>
      <c r="G103" s="65" t="s">
        <v>235</v>
      </c>
      <c r="H103" s="65" t="s">
        <v>178</v>
      </c>
      <c r="I103" s="66">
        <v>46185</v>
      </c>
      <c r="J103" s="66">
        <v>46210</v>
      </c>
      <c r="K103" s="65">
        <v>25</v>
      </c>
      <c r="L103" s="65" t="s">
        <v>192</v>
      </c>
      <c r="M103" s="65" t="s">
        <v>185</v>
      </c>
      <c r="N103" s="65" t="b">
        <f>FALSE()</f>
        <v>0</v>
      </c>
      <c r="O103" s="65"/>
      <c r="P103" s="65"/>
      <c r="Q103" s="65" t="s">
        <v>236</v>
      </c>
      <c r="R103" s="65" t="s">
        <v>237</v>
      </c>
      <c r="S103" s="65"/>
      <c r="T103" s="65" t="b">
        <f>FALSE()</f>
        <v>0</v>
      </c>
      <c r="U103" s="65" t="b">
        <f>FALSE()</f>
        <v>0</v>
      </c>
      <c r="V103" s="65">
        <v>443</v>
      </c>
      <c r="W103" s="67" t="s">
        <v>625</v>
      </c>
      <c r="X103" s="65">
        <v>4</v>
      </c>
      <c r="Y103" s="68">
        <v>0.02</v>
      </c>
      <c r="Z103" s="65" t="b">
        <f>FALSE()</f>
        <v>0</v>
      </c>
      <c r="AA103" s="65" t="b">
        <f>TRUE()</f>
        <v>1</v>
      </c>
      <c r="AB103" s="65" t="b">
        <f>FALSE()</f>
        <v>0</v>
      </c>
      <c r="AC103" s="65" t="b">
        <f>TRUE()</f>
        <v>1</v>
      </c>
      <c r="AD103" s="65" t="b">
        <f>FALSE()</f>
        <v>0</v>
      </c>
      <c r="AE103" s="65">
        <v>2</v>
      </c>
      <c r="AF103" s="69">
        <v>28.6</v>
      </c>
      <c r="AG103" s="65" t="s">
        <v>73</v>
      </c>
      <c r="AH103" s="65" t="s">
        <v>626</v>
      </c>
      <c r="AI103">
        <f>IF(AND(OR(Company_Explorer!$B$5="All Companies",$E103=Company_Explorer!$B$5),OR(Company_Explorer!$B$6="All Platforms",$B103=Company_Explorer!$B$6),OR(Company_Explorer!$B$7="All Roles",$D103=Company_Explorer!$B$7),OR(Company_Explorer!$B$8="All Ghost Labels",$AG103=Company_Explorer!$B$8)),1,0)</f>
        <v>0</v>
      </c>
    </row>
    <row r="104" spans="1:35" ht="15" customHeight="1" x14ac:dyDescent="0.3">
      <c r="A104" s="60" t="s">
        <v>627</v>
      </c>
      <c r="B104" s="60" t="s">
        <v>80</v>
      </c>
      <c r="C104" s="60" t="s">
        <v>319</v>
      </c>
      <c r="D104" s="60" t="s">
        <v>125</v>
      </c>
      <c r="E104" s="60" t="s">
        <v>141</v>
      </c>
      <c r="F104" s="60" t="b">
        <f>TRUE()</f>
        <v>1</v>
      </c>
      <c r="G104" s="60" t="s">
        <v>171</v>
      </c>
      <c r="H104" s="60" t="s">
        <v>254</v>
      </c>
      <c r="I104" s="61">
        <v>46206</v>
      </c>
      <c r="J104" s="61">
        <v>46210</v>
      </c>
      <c r="K104" s="60">
        <v>4</v>
      </c>
      <c r="L104" s="60" t="s">
        <v>192</v>
      </c>
      <c r="M104" s="60" t="s">
        <v>187</v>
      </c>
      <c r="N104" s="60" t="b">
        <f>FALSE()</f>
        <v>0</v>
      </c>
      <c r="O104" s="60"/>
      <c r="P104" s="60"/>
      <c r="Q104" s="60" t="s">
        <v>236</v>
      </c>
      <c r="R104" s="60" t="s">
        <v>237</v>
      </c>
      <c r="S104" s="60"/>
      <c r="T104" s="60" t="b">
        <f>FALSE()</f>
        <v>0</v>
      </c>
      <c r="U104" s="60" t="b">
        <f>FALSE()</f>
        <v>0</v>
      </c>
      <c r="V104" s="60">
        <v>398</v>
      </c>
      <c r="W104" s="62" t="s">
        <v>628</v>
      </c>
      <c r="X104" s="60">
        <v>429</v>
      </c>
      <c r="Y104" s="63">
        <v>2.66</v>
      </c>
      <c r="Z104" s="60" t="b">
        <f>FALSE()</f>
        <v>0</v>
      </c>
      <c r="AA104" s="60" t="b">
        <f>TRUE()</f>
        <v>1</v>
      </c>
      <c r="AB104" s="60" t="b">
        <f>FALSE()</f>
        <v>0</v>
      </c>
      <c r="AC104" s="60" t="b">
        <f>FALSE()</f>
        <v>0</v>
      </c>
      <c r="AD104" s="60" t="b">
        <f>TRUE()</f>
        <v>1</v>
      </c>
      <c r="AE104" s="60">
        <v>3</v>
      </c>
      <c r="AF104" s="64">
        <v>42.9</v>
      </c>
      <c r="AG104" s="60" t="s">
        <v>73</v>
      </c>
      <c r="AH104" s="60" t="s">
        <v>629</v>
      </c>
      <c r="AI104">
        <f>IF(AND(OR(Company_Explorer!$B$5="All Companies",$E104=Company_Explorer!$B$5),OR(Company_Explorer!$B$6="All Platforms",$B104=Company_Explorer!$B$6),OR(Company_Explorer!$B$7="All Roles",$D104=Company_Explorer!$B$7),OR(Company_Explorer!$B$8="All Ghost Labels",$AG104=Company_Explorer!$B$8)),1,0)</f>
        <v>0</v>
      </c>
    </row>
    <row r="105" spans="1:35" ht="15" customHeight="1" x14ac:dyDescent="0.3">
      <c r="A105" s="65" t="s">
        <v>630</v>
      </c>
      <c r="B105" s="65" t="s">
        <v>80</v>
      </c>
      <c r="C105" s="65" t="s">
        <v>631</v>
      </c>
      <c r="D105" s="65" t="s">
        <v>125</v>
      </c>
      <c r="E105" s="65" t="s">
        <v>365</v>
      </c>
      <c r="F105" s="65" t="b">
        <f>TRUE()</f>
        <v>1</v>
      </c>
      <c r="G105" s="65" t="s">
        <v>166</v>
      </c>
      <c r="H105" s="65" t="s">
        <v>235</v>
      </c>
      <c r="I105" s="66">
        <v>46192</v>
      </c>
      <c r="J105" s="66">
        <v>46210</v>
      </c>
      <c r="K105" s="65">
        <v>18</v>
      </c>
      <c r="L105" s="65" t="s">
        <v>192</v>
      </c>
      <c r="M105" s="65" t="s">
        <v>185</v>
      </c>
      <c r="N105" s="65" t="b">
        <f>FALSE()</f>
        <v>0</v>
      </c>
      <c r="O105" s="65"/>
      <c r="P105" s="65"/>
      <c r="Q105" s="65" t="s">
        <v>236</v>
      </c>
      <c r="R105" s="65" t="s">
        <v>237</v>
      </c>
      <c r="S105" s="65"/>
      <c r="T105" s="65" t="b">
        <f>FALSE()</f>
        <v>0</v>
      </c>
      <c r="U105" s="65" t="b">
        <f>FALSE()</f>
        <v>0</v>
      </c>
      <c r="V105" s="65">
        <v>929</v>
      </c>
      <c r="W105" s="67" t="s">
        <v>366</v>
      </c>
      <c r="X105" s="65">
        <v>3</v>
      </c>
      <c r="Y105" s="68">
        <v>0.02</v>
      </c>
      <c r="Z105" s="65" t="b">
        <f>FALSE()</f>
        <v>0</v>
      </c>
      <c r="AA105" s="65" t="b">
        <f>TRUE()</f>
        <v>1</v>
      </c>
      <c r="AB105" s="65" t="b">
        <f>FALSE()</f>
        <v>0</v>
      </c>
      <c r="AC105" s="65" t="b">
        <f>FALSE()</f>
        <v>0</v>
      </c>
      <c r="AD105" s="65" t="b">
        <f>FALSE()</f>
        <v>0</v>
      </c>
      <c r="AE105" s="65">
        <v>1</v>
      </c>
      <c r="AF105" s="69">
        <v>14.3</v>
      </c>
      <c r="AG105" s="65" t="s">
        <v>74</v>
      </c>
      <c r="AH105" s="65" t="s">
        <v>632</v>
      </c>
      <c r="AI105">
        <f>IF(AND(OR(Company_Explorer!$B$5="All Companies",$E105=Company_Explorer!$B$5),OR(Company_Explorer!$B$6="All Platforms",$B105=Company_Explorer!$B$6),OR(Company_Explorer!$B$7="All Roles",$D105=Company_Explorer!$B$7),OR(Company_Explorer!$B$8="All Ghost Labels",$AG105=Company_Explorer!$B$8)),1,0)</f>
        <v>0</v>
      </c>
    </row>
    <row r="106" spans="1:35" ht="15" customHeight="1" x14ac:dyDescent="0.3">
      <c r="A106" s="60" t="s">
        <v>633</v>
      </c>
      <c r="B106" s="60" t="s">
        <v>80</v>
      </c>
      <c r="C106" s="60" t="s">
        <v>125</v>
      </c>
      <c r="D106" s="60" t="s">
        <v>125</v>
      </c>
      <c r="E106" s="60" t="s">
        <v>351</v>
      </c>
      <c r="F106" s="60" t="b">
        <f>TRUE()</f>
        <v>1</v>
      </c>
      <c r="G106" s="60" t="s">
        <v>168</v>
      </c>
      <c r="H106" s="60" t="s">
        <v>254</v>
      </c>
      <c r="I106" s="61">
        <v>46196</v>
      </c>
      <c r="J106" s="61">
        <v>46210</v>
      </c>
      <c r="K106" s="60">
        <v>14</v>
      </c>
      <c r="L106" s="60" t="s">
        <v>192</v>
      </c>
      <c r="M106" s="60" t="s">
        <v>186</v>
      </c>
      <c r="N106" s="60" t="b">
        <f>FALSE()</f>
        <v>0</v>
      </c>
      <c r="O106" s="60"/>
      <c r="P106" s="60"/>
      <c r="Q106" s="60" t="s">
        <v>236</v>
      </c>
      <c r="R106" s="60" t="s">
        <v>237</v>
      </c>
      <c r="S106" s="60"/>
      <c r="T106" s="60" t="b">
        <f>FALSE()</f>
        <v>0</v>
      </c>
      <c r="U106" s="60" t="b">
        <f>FALSE()</f>
        <v>0</v>
      </c>
      <c r="V106" s="60">
        <v>522</v>
      </c>
      <c r="W106" s="62" t="s">
        <v>634</v>
      </c>
      <c r="X106" s="60">
        <v>10</v>
      </c>
      <c r="Y106" s="63">
        <v>0.06</v>
      </c>
      <c r="Z106" s="60" t="b">
        <f>FALSE()</f>
        <v>0</v>
      </c>
      <c r="AA106" s="60" t="b">
        <f>TRUE()</f>
        <v>1</v>
      </c>
      <c r="AB106" s="60" t="b">
        <f>FALSE()</f>
        <v>0</v>
      </c>
      <c r="AC106" s="60" t="b">
        <f>FALSE()</f>
        <v>0</v>
      </c>
      <c r="AD106" s="60" t="b">
        <f>FALSE()</f>
        <v>0</v>
      </c>
      <c r="AE106" s="60">
        <v>1</v>
      </c>
      <c r="AF106" s="64">
        <v>14.3</v>
      </c>
      <c r="AG106" s="60" t="s">
        <v>74</v>
      </c>
      <c r="AH106" s="60" t="s">
        <v>635</v>
      </c>
      <c r="AI106">
        <f>IF(AND(OR(Company_Explorer!$B$5="All Companies",$E106=Company_Explorer!$B$5),OR(Company_Explorer!$B$6="All Platforms",$B106=Company_Explorer!$B$6),OR(Company_Explorer!$B$7="All Roles",$D106=Company_Explorer!$B$7),OR(Company_Explorer!$B$8="All Ghost Labels",$AG106=Company_Explorer!$B$8)),1,0)</f>
        <v>0</v>
      </c>
    </row>
    <row r="107" spans="1:35" ht="15" customHeight="1" x14ac:dyDescent="0.3">
      <c r="A107" s="65" t="s">
        <v>636</v>
      </c>
      <c r="B107" s="65" t="s">
        <v>80</v>
      </c>
      <c r="C107" s="65" t="s">
        <v>125</v>
      </c>
      <c r="D107" s="65" t="s">
        <v>125</v>
      </c>
      <c r="E107" s="65" t="s">
        <v>351</v>
      </c>
      <c r="F107" s="65" t="b">
        <f>TRUE()</f>
        <v>1</v>
      </c>
      <c r="G107" s="65" t="s">
        <v>168</v>
      </c>
      <c r="H107" s="65" t="s">
        <v>254</v>
      </c>
      <c r="I107" s="66">
        <v>46195</v>
      </c>
      <c r="J107" s="66">
        <v>46210</v>
      </c>
      <c r="K107" s="65">
        <v>15</v>
      </c>
      <c r="L107" s="65" t="s">
        <v>192</v>
      </c>
      <c r="M107" s="65" t="s">
        <v>186</v>
      </c>
      <c r="N107" s="65" t="b">
        <f>FALSE()</f>
        <v>0</v>
      </c>
      <c r="O107" s="65"/>
      <c r="P107" s="65"/>
      <c r="Q107" s="65" t="s">
        <v>236</v>
      </c>
      <c r="R107" s="65" t="s">
        <v>237</v>
      </c>
      <c r="S107" s="65"/>
      <c r="T107" s="65" t="b">
        <f>FALSE()</f>
        <v>0</v>
      </c>
      <c r="U107" s="65" t="b">
        <f>FALSE()</f>
        <v>0</v>
      </c>
      <c r="V107" s="65">
        <v>407</v>
      </c>
      <c r="W107" s="67" t="s">
        <v>637</v>
      </c>
      <c r="X107" s="65">
        <v>10</v>
      </c>
      <c r="Y107" s="68">
        <v>0.06</v>
      </c>
      <c r="Z107" s="65" t="b">
        <f>FALSE()</f>
        <v>0</v>
      </c>
      <c r="AA107" s="65" t="b">
        <f>TRUE()</f>
        <v>1</v>
      </c>
      <c r="AB107" s="65" t="b">
        <f>FALSE()</f>
        <v>0</v>
      </c>
      <c r="AC107" s="65" t="b">
        <f>FALSE()</f>
        <v>0</v>
      </c>
      <c r="AD107" s="65" t="b">
        <f>FALSE()</f>
        <v>0</v>
      </c>
      <c r="AE107" s="65">
        <v>1</v>
      </c>
      <c r="AF107" s="69">
        <v>14.3</v>
      </c>
      <c r="AG107" s="65" t="s">
        <v>74</v>
      </c>
      <c r="AH107" s="65" t="s">
        <v>638</v>
      </c>
      <c r="AI107">
        <f>IF(AND(OR(Company_Explorer!$B$5="All Companies",$E107=Company_Explorer!$B$5),OR(Company_Explorer!$B$6="All Platforms",$B107=Company_Explorer!$B$6),OR(Company_Explorer!$B$7="All Roles",$D107=Company_Explorer!$B$7),OR(Company_Explorer!$B$8="All Ghost Labels",$AG107=Company_Explorer!$B$8)),1,0)</f>
        <v>0</v>
      </c>
    </row>
    <row r="108" spans="1:35" ht="15" customHeight="1" x14ac:dyDescent="0.3">
      <c r="A108" s="60" t="s">
        <v>639</v>
      </c>
      <c r="B108" s="60" t="s">
        <v>80</v>
      </c>
      <c r="C108" s="60" t="s">
        <v>640</v>
      </c>
      <c r="D108" s="60" t="s">
        <v>131</v>
      </c>
      <c r="E108" s="60" t="s">
        <v>641</v>
      </c>
      <c r="F108" s="60" t="b">
        <f>TRUE()</f>
        <v>1</v>
      </c>
      <c r="G108" s="60" t="s">
        <v>166</v>
      </c>
      <c r="H108" s="60" t="s">
        <v>235</v>
      </c>
      <c r="I108" s="61">
        <v>46147</v>
      </c>
      <c r="J108" s="61">
        <v>46210</v>
      </c>
      <c r="K108" s="60">
        <v>63</v>
      </c>
      <c r="L108" s="60" t="s">
        <v>192</v>
      </c>
      <c r="M108" s="60" t="s">
        <v>185</v>
      </c>
      <c r="N108" s="60" t="b">
        <f>FALSE()</f>
        <v>0</v>
      </c>
      <c r="O108" s="60"/>
      <c r="P108" s="60"/>
      <c r="Q108" s="60" t="s">
        <v>236</v>
      </c>
      <c r="R108" s="60" t="s">
        <v>237</v>
      </c>
      <c r="S108" s="60"/>
      <c r="T108" s="60" t="b">
        <f>FALSE()</f>
        <v>0</v>
      </c>
      <c r="U108" s="60" t="b">
        <f>FALSE()</f>
        <v>0</v>
      </c>
      <c r="V108" s="60">
        <v>460</v>
      </c>
      <c r="W108" s="60" t="s">
        <v>642</v>
      </c>
      <c r="X108" s="60">
        <v>2</v>
      </c>
      <c r="Y108" s="63">
        <v>0.01</v>
      </c>
      <c r="Z108" s="60" t="b">
        <f>FALSE()</f>
        <v>0</v>
      </c>
      <c r="AA108" s="60" t="b">
        <f>TRUE()</f>
        <v>1</v>
      </c>
      <c r="AB108" s="60" t="b">
        <f>FALSE()</f>
        <v>0</v>
      </c>
      <c r="AC108" s="60" t="b">
        <f>TRUE()</f>
        <v>1</v>
      </c>
      <c r="AD108" s="60" t="b">
        <f>FALSE()</f>
        <v>0</v>
      </c>
      <c r="AE108" s="60">
        <v>2</v>
      </c>
      <c r="AF108" s="64">
        <v>28.6</v>
      </c>
      <c r="AG108" s="60" t="s">
        <v>73</v>
      </c>
      <c r="AH108" s="60" t="s">
        <v>643</v>
      </c>
      <c r="AI108">
        <f>IF(AND(OR(Company_Explorer!$B$5="All Companies",$E108=Company_Explorer!$B$5),OR(Company_Explorer!$B$6="All Platforms",$B108=Company_Explorer!$B$6),OR(Company_Explorer!$B$7="All Roles",$D108=Company_Explorer!$B$7),OR(Company_Explorer!$B$8="All Ghost Labels",$AG108=Company_Explorer!$B$8)),1,0)</f>
        <v>0</v>
      </c>
    </row>
    <row r="109" spans="1:35" ht="15" customHeight="1" x14ac:dyDescent="0.3">
      <c r="A109" s="65" t="s">
        <v>644</v>
      </c>
      <c r="B109" s="65" t="s">
        <v>80</v>
      </c>
      <c r="C109" s="65" t="s">
        <v>645</v>
      </c>
      <c r="D109" s="65" t="s">
        <v>126</v>
      </c>
      <c r="E109" s="65" t="s">
        <v>155</v>
      </c>
      <c r="F109" s="65" t="b">
        <f>TRUE()</f>
        <v>1</v>
      </c>
      <c r="G109" s="65" t="s">
        <v>166</v>
      </c>
      <c r="H109" s="65" t="s">
        <v>235</v>
      </c>
      <c r="I109" s="66">
        <v>46197</v>
      </c>
      <c r="J109" s="66">
        <v>46210</v>
      </c>
      <c r="K109" s="65">
        <v>13</v>
      </c>
      <c r="L109" s="65" t="s">
        <v>192</v>
      </c>
      <c r="M109" s="65" t="s">
        <v>184</v>
      </c>
      <c r="N109" s="65" t="b">
        <f>FALSE()</f>
        <v>0</v>
      </c>
      <c r="O109" s="65"/>
      <c r="P109" s="65"/>
      <c r="Q109" s="65" t="s">
        <v>236</v>
      </c>
      <c r="R109" s="65" t="s">
        <v>237</v>
      </c>
      <c r="S109" s="65"/>
      <c r="T109" s="65" t="b">
        <f>FALSE()</f>
        <v>0</v>
      </c>
      <c r="U109" s="65" t="b">
        <f>FALSE()</f>
        <v>0</v>
      </c>
      <c r="V109" s="65">
        <v>659</v>
      </c>
      <c r="W109" s="67" t="s">
        <v>646</v>
      </c>
      <c r="X109" s="65">
        <v>16</v>
      </c>
      <c r="Y109" s="68">
        <v>0.1</v>
      </c>
      <c r="Z109" s="65" t="b">
        <f>FALSE()</f>
        <v>0</v>
      </c>
      <c r="AA109" s="65" t="b">
        <f>TRUE()</f>
        <v>1</v>
      </c>
      <c r="AB109" s="65" t="b">
        <f>FALSE()</f>
        <v>0</v>
      </c>
      <c r="AC109" s="65" t="b">
        <f>FALSE()</f>
        <v>0</v>
      </c>
      <c r="AD109" s="65" t="b">
        <f>FALSE()</f>
        <v>0</v>
      </c>
      <c r="AE109" s="65">
        <v>1</v>
      </c>
      <c r="AF109" s="69">
        <v>14.3</v>
      </c>
      <c r="AG109" s="65" t="s">
        <v>74</v>
      </c>
      <c r="AH109" s="65" t="s">
        <v>647</v>
      </c>
      <c r="AI109">
        <f>IF(AND(OR(Company_Explorer!$B$5="All Companies",$E109=Company_Explorer!$B$5),OR(Company_Explorer!$B$6="All Platforms",$B109=Company_Explorer!$B$6),OR(Company_Explorer!$B$7="All Roles",$D109=Company_Explorer!$B$7),OR(Company_Explorer!$B$8="All Ghost Labels",$AG109=Company_Explorer!$B$8)),1,0)</f>
        <v>0</v>
      </c>
    </row>
    <row r="110" spans="1:35" ht="15" customHeight="1" x14ac:dyDescent="0.3">
      <c r="A110" s="60" t="s">
        <v>648</v>
      </c>
      <c r="B110" s="60" t="s">
        <v>80</v>
      </c>
      <c r="C110" s="60" t="s">
        <v>340</v>
      </c>
      <c r="D110" s="60" t="s">
        <v>126</v>
      </c>
      <c r="E110" s="60" t="s">
        <v>341</v>
      </c>
      <c r="F110" s="60" t="b">
        <f>TRUE()</f>
        <v>1</v>
      </c>
      <c r="G110" s="60" t="s">
        <v>168</v>
      </c>
      <c r="H110" s="60" t="s">
        <v>254</v>
      </c>
      <c r="I110" s="61">
        <v>46205</v>
      </c>
      <c r="J110" s="61">
        <v>46210</v>
      </c>
      <c r="K110" s="60">
        <v>5</v>
      </c>
      <c r="L110" s="60" t="s">
        <v>192</v>
      </c>
      <c r="M110" s="60" t="s">
        <v>185</v>
      </c>
      <c r="N110" s="60" t="b">
        <f>FALSE()</f>
        <v>0</v>
      </c>
      <c r="O110" s="60"/>
      <c r="P110" s="60"/>
      <c r="Q110" s="60" t="s">
        <v>236</v>
      </c>
      <c r="R110" s="60" t="s">
        <v>237</v>
      </c>
      <c r="S110" s="60"/>
      <c r="T110" s="60" t="b">
        <f>FALSE()</f>
        <v>0</v>
      </c>
      <c r="U110" s="60" t="b">
        <f>FALSE()</f>
        <v>0</v>
      </c>
      <c r="V110" s="60">
        <v>121</v>
      </c>
      <c r="W110" s="62" t="s">
        <v>342</v>
      </c>
      <c r="X110" s="60">
        <v>3</v>
      </c>
      <c r="Y110" s="63">
        <v>0.02</v>
      </c>
      <c r="Z110" s="60" t="b">
        <f>FALSE()</f>
        <v>0</v>
      </c>
      <c r="AA110" s="60" t="b">
        <f>TRUE()</f>
        <v>1</v>
      </c>
      <c r="AB110" s="60" t="b">
        <f>TRUE()</f>
        <v>1</v>
      </c>
      <c r="AC110" s="60" t="b">
        <f>FALSE()</f>
        <v>0</v>
      </c>
      <c r="AD110" s="60" t="b">
        <f>FALSE()</f>
        <v>0</v>
      </c>
      <c r="AE110" s="60">
        <v>2</v>
      </c>
      <c r="AF110" s="64">
        <v>28.6</v>
      </c>
      <c r="AG110" s="60" t="s">
        <v>73</v>
      </c>
      <c r="AH110" s="60" t="s">
        <v>649</v>
      </c>
      <c r="AI110">
        <f>IF(AND(OR(Company_Explorer!$B$5="All Companies",$E110=Company_Explorer!$B$5),OR(Company_Explorer!$B$6="All Platforms",$B110=Company_Explorer!$B$6),OR(Company_Explorer!$B$7="All Roles",$D110=Company_Explorer!$B$7),OR(Company_Explorer!$B$8="All Ghost Labels",$AG110=Company_Explorer!$B$8)),1,0)</f>
        <v>0</v>
      </c>
    </row>
    <row r="111" spans="1:35" ht="15" customHeight="1" x14ac:dyDescent="0.3">
      <c r="A111" s="65" t="s">
        <v>650</v>
      </c>
      <c r="B111" s="65" t="s">
        <v>80</v>
      </c>
      <c r="C111" s="65" t="s">
        <v>651</v>
      </c>
      <c r="D111" s="65" t="s">
        <v>125</v>
      </c>
      <c r="E111" s="65" t="s">
        <v>652</v>
      </c>
      <c r="F111" s="65" t="b">
        <f>TRUE()</f>
        <v>1</v>
      </c>
      <c r="G111" s="65" t="s">
        <v>178</v>
      </c>
      <c r="H111" s="65" t="s">
        <v>165</v>
      </c>
      <c r="I111" s="66">
        <v>46195</v>
      </c>
      <c r="J111" s="66">
        <v>46210</v>
      </c>
      <c r="K111" s="65">
        <v>15</v>
      </c>
      <c r="L111" s="65" t="s">
        <v>192</v>
      </c>
      <c r="M111" s="65" t="s">
        <v>184</v>
      </c>
      <c r="N111" s="65" t="b">
        <f>FALSE()</f>
        <v>0</v>
      </c>
      <c r="O111" s="65"/>
      <c r="P111" s="65"/>
      <c r="Q111" s="65" t="s">
        <v>236</v>
      </c>
      <c r="R111" s="65" t="s">
        <v>237</v>
      </c>
      <c r="S111" s="65"/>
      <c r="T111" s="65" t="b">
        <f>FALSE()</f>
        <v>0</v>
      </c>
      <c r="U111" s="65" t="b">
        <f>FALSE()</f>
        <v>0</v>
      </c>
      <c r="V111" s="65">
        <v>516</v>
      </c>
      <c r="W111" s="65" t="s">
        <v>653</v>
      </c>
      <c r="X111" s="65">
        <v>1</v>
      </c>
      <c r="Y111" s="68">
        <v>0.01</v>
      </c>
      <c r="Z111" s="65" t="b">
        <f>FALSE()</f>
        <v>0</v>
      </c>
      <c r="AA111" s="65" t="b">
        <f>TRUE()</f>
        <v>1</v>
      </c>
      <c r="AB111" s="65" t="b">
        <f>FALSE()</f>
        <v>0</v>
      </c>
      <c r="AC111" s="65" t="b">
        <f>FALSE()</f>
        <v>0</v>
      </c>
      <c r="AD111" s="65" t="b">
        <f>FALSE()</f>
        <v>0</v>
      </c>
      <c r="AE111" s="65">
        <v>1</v>
      </c>
      <c r="AF111" s="69">
        <v>14.3</v>
      </c>
      <c r="AG111" s="65" t="s">
        <v>74</v>
      </c>
      <c r="AH111" s="65" t="s">
        <v>654</v>
      </c>
      <c r="AI111">
        <f>IF(AND(OR(Company_Explorer!$B$5="All Companies",$E111=Company_Explorer!$B$5),OR(Company_Explorer!$B$6="All Platforms",$B111=Company_Explorer!$B$6),OR(Company_Explorer!$B$7="All Roles",$D111=Company_Explorer!$B$7),OR(Company_Explorer!$B$8="All Ghost Labels",$AG111=Company_Explorer!$B$8)),1,0)</f>
        <v>0</v>
      </c>
    </row>
    <row r="112" spans="1:35" ht="15" customHeight="1" x14ac:dyDescent="0.3">
      <c r="A112" s="60" t="s">
        <v>655</v>
      </c>
      <c r="B112" s="60" t="s">
        <v>80</v>
      </c>
      <c r="C112" s="60" t="s">
        <v>656</v>
      </c>
      <c r="D112" s="60" t="s">
        <v>126</v>
      </c>
      <c r="E112" s="60" t="s">
        <v>657</v>
      </c>
      <c r="F112" s="60" t="b">
        <f>TRUE()</f>
        <v>1</v>
      </c>
      <c r="G112" s="60" t="s">
        <v>174</v>
      </c>
      <c r="H112" s="60" t="s">
        <v>302</v>
      </c>
      <c r="I112" s="61">
        <v>46184</v>
      </c>
      <c r="J112" s="61">
        <v>46210</v>
      </c>
      <c r="K112" s="60">
        <v>26</v>
      </c>
      <c r="L112" s="60" t="s">
        <v>192</v>
      </c>
      <c r="M112" s="60" t="s">
        <v>184</v>
      </c>
      <c r="N112" s="60" t="b">
        <f>FALSE()</f>
        <v>0</v>
      </c>
      <c r="O112" s="60"/>
      <c r="P112" s="60"/>
      <c r="Q112" s="60" t="s">
        <v>236</v>
      </c>
      <c r="R112" s="60" t="s">
        <v>237</v>
      </c>
      <c r="S112" s="60"/>
      <c r="T112" s="60" t="b">
        <f>FALSE()</f>
        <v>0</v>
      </c>
      <c r="U112" s="60" t="b">
        <f>FALSE()</f>
        <v>0</v>
      </c>
      <c r="V112" s="60">
        <v>615</v>
      </c>
      <c r="W112" s="62" t="s">
        <v>658</v>
      </c>
      <c r="X112" s="60">
        <v>1</v>
      </c>
      <c r="Y112" s="63">
        <v>0.01</v>
      </c>
      <c r="Z112" s="60" t="b">
        <f>FALSE()</f>
        <v>0</v>
      </c>
      <c r="AA112" s="60" t="b">
        <f>TRUE()</f>
        <v>1</v>
      </c>
      <c r="AB112" s="60" t="b">
        <f>FALSE()</f>
        <v>0</v>
      </c>
      <c r="AC112" s="60" t="b">
        <f>TRUE()</f>
        <v>1</v>
      </c>
      <c r="AD112" s="60" t="b">
        <f>FALSE()</f>
        <v>0</v>
      </c>
      <c r="AE112" s="60">
        <v>2</v>
      </c>
      <c r="AF112" s="64">
        <v>28.6</v>
      </c>
      <c r="AG112" s="60" t="s">
        <v>73</v>
      </c>
      <c r="AH112" s="60" t="s">
        <v>659</v>
      </c>
      <c r="AI112">
        <f>IF(AND(OR(Company_Explorer!$B$5="All Companies",$E112=Company_Explorer!$B$5),OR(Company_Explorer!$B$6="All Platforms",$B112=Company_Explorer!$B$6),OR(Company_Explorer!$B$7="All Roles",$D112=Company_Explorer!$B$7),OR(Company_Explorer!$B$8="All Ghost Labels",$AG112=Company_Explorer!$B$8)),1,0)</f>
        <v>0</v>
      </c>
    </row>
    <row r="113" spans="1:35" ht="15" customHeight="1" x14ac:dyDescent="0.3">
      <c r="A113" s="65" t="s">
        <v>660</v>
      </c>
      <c r="B113" s="65" t="s">
        <v>80</v>
      </c>
      <c r="C113" s="65" t="s">
        <v>306</v>
      </c>
      <c r="D113" s="65" t="s">
        <v>125</v>
      </c>
      <c r="E113" s="65" t="s">
        <v>141</v>
      </c>
      <c r="F113" s="65" t="b">
        <f>TRUE()</f>
        <v>1</v>
      </c>
      <c r="G113" s="65" t="s">
        <v>169</v>
      </c>
      <c r="H113" s="65" t="s">
        <v>294</v>
      </c>
      <c r="I113" s="66">
        <v>46205</v>
      </c>
      <c r="J113" s="66">
        <v>46210</v>
      </c>
      <c r="K113" s="65">
        <v>5</v>
      </c>
      <c r="L113" s="65" t="s">
        <v>192</v>
      </c>
      <c r="M113" s="65" t="s">
        <v>184</v>
      </c>
      <c r="N113" s="65" t="b">
        <f>FALSE()</f>
        <v>0</v>
      </c>
      <c r="O113" s="65"/>
      <c r="P113" s="65"/>
      <c r="Q113" s="65" t="s">
        <v>236</v>
      </c>
      <c r="R113" s="65" t="s">
        <v>237</v>
      </c>
      <c r="S113" s="65"/>
      <c r="T113" s="65" t="b">
        <f>FALSE()</f>
        <v>0</v>
      </c>
      <c r="U113" s="65" t="b">
        <f>FALSE()</f>
        <v>0</v>
      </c>
      <c r="V113" s="65">
        <v>263</v>
      </c>
      <c r="W113" s="67" t="s">
        <v>307</v>
      </c>
      <c r="X113" s="65">
        <v>429</v>
      </c>
      <c r="Y113" s="68">
        <v>2.66</v>
      </c>
      <c r="Z113" s="65" t="b">
        <f>FALSE()</f>
        <v>0</v>
      </c>
      <c r="AA113" s="65" t="b">
        <f>TRUE()</f>
        <v>1</v>
      </c>
      <c r="AB113" s="65" t="b">
        <f>TRUE()</f>
        <v>1</v>
      </c>
      <c r="AC113" s="65" t="b">
        <f>FALSE()</f>
        <v>0</v>
      </c>
      <c r="AD113" s="65" t="b">
        <f>TRUE()</f>
        <v>1</v>
      </c>
      <c r="AE113" s="65">
        <v>4</v>
      </c>
      <c r="AF113" s="69">
        <v>57.1</v>
      </c>
      <c r="AG113" s="65" t="s">
        <v>72</v>
      </c>
      <c r="AH113" s="65" t="s">
        <v>661</v>
      </c>
      <c r="AI113">
        <f>IF(AND(OR(Company_Explorer!$B$5="All Companies",$E113=Company_Explorer!$B$5),OR(Company_Explorer!$B$6="All Platforms",$B113=Company_Explorer!$B$6),OR(Company_Explorer!$B$7="All Roles",$D113=Company_Explorer!$B$7),OR(Company_Explorer!$B$8="All Ghost Labels",$AG113=Company_Explorer!$B$8)),1,0)</f>
        <v>0</v>
      </c>
    </row>
    <row r="114" spans="1:35" ht="15" customHeight="1" x14ac:dyDescent="0.3">
      <c r="A114" s="60" t="s">
        <v>662</v>
      </c>
      <c r="B114" s="60" t="s">
        <v>80</v>
      </c>
      <c r="C114" s="60" t="s">
        <v>663</v>
      </c>
      <c r="D114" s="60" t="s">
        <v>125</v>
      </c>
      <c r="E114" s="60" t="s">
        <v>664</v>
      </c>
      <c r="F114" s="60" t="b">
        <f>TRUE()</f>
        <v>1</v>
      </c>
      <c r="G114" s="60" t="s">
        <v>167</v>
      </c>
      <c r="H114" s="60" t="s">
        <v>276</v>
      </c>
      <c r="I114" s="61">
        <v>46059</v>
      </c>
      <c r="J114" s="61">
        <v>46210</v>
      </c>
      <c r="K114" s="60">
        <v>151</v>
      </c>
      <c r="L114" s="60" t="s">
        <v>192</v>
      </c>
      <c r="M114" s="60" t="s">
        <v>187</v>
      </c>
      <c r="N114" s="60" t="b">
        <f>FALSE()</f>
        <v>0</v>
      </c>
      <c r="O114" s="60"/>
      <c r="P114" s="60"/>
      <c r="Q114" s="60" t="s">
        <v>236</v>
      </c>
      <c r="R114" s="60" t="s">
        <v>237</v>
      </c>
      <c r="S114" s="60"/>
      <c r="T114" s="60" t="b">
        <f>FALSE()</f>
        <v>0</v>
      </c>
      <c r="U114" s="60" t="b">
        <f>FALSE()</f>
        <v>0</v>
      </c>
      <c r="V114" s="60">
        <v>106</v>
      </c>
      <c r="W114" s="60" t="s">
        <v>665</v>
      </c>
      <c r="X114" s="60">
        <v>1</v>
      </c>
      <c r="Y114" s="63">
        <v>0.01</v>
      </c>
      <c r="Z114" s="60" t="b">
        <f>FALSE()</f>
        <v>0</v>
      </c>
      <c r="AA114" s="60" t="b">
        <f>TRUE()</f>
        <v>1</v>
      </c>
      <c r="AB114" s="60" t="b">
        <f>TRUE()</f>
        <v>1</v>
      </c>
      <c r="AC114" s="60" t="b">
        <f>TRUE()</f>
        <v>1</v>
      </c>
      <c r="AD114" s="60" t="b">
        <f>FALSE()</f>
        <v>0</v>
      </c>
      <c r="AE114" s="60">
        <v>3</v>
      </c>
      <c r="AF114" s="64">
        <v>42.9</v>
      </c>
      <c r="AG114" s="60" t="s">
        <v>73</v>
      </c>
      <c r="AH114" s="60" t="s">
        <v>666</v>
      </c>
      <c r="AI114">
        <f>IF(AND(OR(Company_Explorer!$B$5="All Companies",$E114=Company_Explorer!$B$5),OR(Company_Explorer!$B$6="All Platforms",$B114=Company_Explorer!$B$6),OR(Company_Explorer!$B$7="All Roles",$D114=Company_Explorer!$B$7),OR(Company_Explorer!$B$8="All Ghost Labels",$AG114=Company_Explorer!$B$8)),1,0)</f>
        <v>0</v>
      </c>
    </row>
    <row r="115" spans="1:35" ht="15" customHeight="1" x14ac:dyDescent="0.3">
      <c r="A115" s="65" t="s">
        <v>667</v>
      </c>
      <c r="B115" s="65" t="s">
        <v>80</v>
      </c>
      <c r="C115" s="65" t="s">
        <v>125</v>
      </c>
      <c r="D115" s="65" t="s">
        <v>125</v>
      </c>
      <c r="E115" s="65" t="s">
        <v>668</v>
      </c>
      <c r="F115" s="65" t="b">
        <f>TRUE()</f>
        <v>1</v>
      </c>
      <c r="G115" s="65" t="s">
        <v>169</v>
      </c>
      <c r="H115" s="65" t="s">
        <v>294</v>
      </c>
      <c r="I115" s="66">
        <v>46162</v>
      </c>
      <c r="J115" s="66">
        <v>46210</v>
      </c>
      <c r="K115" s="65">
        <v>48</v>
      </c>
      <c r="L115" s="65" t="s">
        <v>192</v>
      </c>
      <c r="M115" s="65" t="s">
        <v>186</v>
      </c>
      <c r="N115" s="65" t="b">
        <f>FALSE()</f>
        <v>0</v>
      </c>
      <c r="O115" s="65"/>
      <c r="P115" s="65"/>
      <c r="Q115" s="65" t="s">
        <v>236</v>
      </c>
      <c r="R115" s="65" t="s">
        <v>237</v>
      </c>
      <c r="S115" s="65"/>
      <c r="T115" s="65" t="b">
        <f>FALSE()</f>
        <v>0</v>
      </c>
      <c r="U115" s="65" t="b">
        <f>FALSE()</f>
        <v>0</v>
      </c>
      <c r="V115" s="65">
        <v>374</v>
      </c>
      <c r="W115" s="67" t="s">
        <v>669</v>
      </c>
      <c r="X115" s="65">
        <v>1</v>
      </c>
      <c r="Y115" s="68">
        <v>0.01</v>
      </c>
      <c r="Z115" s="65" t="b">
        <f>FALSE()</f>
        <v>0</v>
      </c>
      <c r="AA115" s="65" t="b">
        <f>TRUE()</f>
        <v>1</v>
      </c>
      <c r="AB115" s="65" t="b">
        <f>FALSE()</f>
        <v>0</v>
      </c>
      <c r="AC115" s="65" t="b">
        <f>TRUE()</f>
        <v>1</v>
      </c>
      <c r="AD115" s="65" t="b">
        <f>FALSE()</f>
        <v>0</v>
      </c>
      <c r="AE115" s="65">
        <v>2</v>
      </c>
      <c r="AF115" s="69">
        <v>28.6</v>
      </c>
      <c r="AG115" s="65" t="s">
        <v>73</v>
      </c>
      <c r="AH115" s="65" t="s">
        <v>670</v>
      </c>
      <c r="AI115">
        <f>IF(AND(OR(Company_Explorer!$B$5="All Companies",$E115=Company_Explorer!$B$5),OR(Company_Explorer!$B$6="All Platforms",$B115=Company_Explorer!$B$6),OR(Company_Explorer!$B$7="All Roles",$D115=Company_Explorer!$B$7),OR(Company_Explorer!$B$8="All Ghost Labels",$AG115=Company_Explorer!$B$8)),1,0)</f>
        <v>0</v>
      </c>
    </row>
    <row r="116" spans="1:35" ht="15" customHeight="1" x14ac:dyDescent="0.3">
      <c r="A116" s="60" t="s">
        <v>671</v>
      </c>
      <c r="B116" s="60" t="s">
        <v>80</v>
      </c>
      <c r="C116" s="60" t="s">
        <v>390</v>
      </c>
      <c r="D116" s="60" t="s">
        <v>125</v>
      </c>
      <c r="E116" s="60" t="s">
        <v>144</v>
      </c>
      <c r="F116" s="60" t="b">
        <f>TRUE()</f>
        <v>1</v>
      </c>
      <c r="G116" s="60" t="s">
        <v>168</v>
      </c>
      <c r="H116" s="60" t="s">
        <v>254</v>
      </c>
      <c r="I116" s="61">
        <v>46209</v>
      </c>
      <c r="J116" s="61">
        <v>46210</v>
      </c>
      <c r="K116" s="60">
        <v>1</v>
      </c>
      <c r="L116" s="60" t="s">
        <v>192</v>
      </c>
      <c r="M116" s="60" t="s">
        <v>184</v>
      </c>
      <c r="N116" s="60" t="b">
        <f>FALSE()</f>
        <v>0</v>
      </c>
      <c r="O116" s="60"/>
      <c r="P116" s="60"/>
      <c r="Q116" s="60" t="s">
        <v>236</v>
      </c>
      <c r="R116" s="60" t="s">
        <v>237</v>
      </c>
      <c r="S116" s="60"/>
      <c r="T116" s="60" t="b">
        <f>FALSE()</f>
        <v>0</v>
      </c>
      <c r="U116" s="60" t="b">
        <f>FALSE()</f>
        <v>0</v>
      </c>
      <c r="V116" s="60">
        <v>243</v>
      </c>
      <c r="W116" s="62" t="s">
        <v>672</v>
      </c>
      <c r="X116" s="60">
        <v>9</v>
      </c>
      <c r="Y116" s="63">
        <v>0.06</v>
      </c>
      <c r="Z116" s="60" t="b">
        <f>FALSE()</f>
        <v>0</v>
      </c>
      <c r="AA116" s="60" t="b">
        <f>TRUE()</f>
        <v>1</v>
      </c>
      <c r="AB116" s="60" t="b">
        <f>TRUE()</f>
        <v>1</v>
      </c>
      <c r="AC116" s="60" t="b">
        <f>FALSE()</f>
        <v>0</v>
      </c>
      <c r="AD116" s="60" t="b">
        <f>FALSE()</f>
        <v>0</v>
      </c>
      <c r="AE116" s="60">
        <v>2</v>
      </c>
      <c r="AF116" s="64">
        <v>28.6</v>
      </c>
      <c r="AG116" s="60" t="s">
        <v>73</v>
      </c>
      <c r="AH116" s="60" t="s">
        <v>673</v>
      </c>
      <c r="AI116">
        <f>IF(AND(OR(Company_Explorer!$B$5="All Companies",$E116=Company_Explorer!$B$5),OR(Company_Explorer!$B$6="All Platforms",$B116=Company_Explorer!$B$6),OR(Company_Explorer!$B$7="All Roles",$D116=Company_Explorer!$B$7),OR(Company_Explorer!$B$8="All Ghost Labels",$AG116=Company_Explorer!$B$8)),1,0)</f>
        <v>0</v>
      </c>
    </row>
    <row r="117" spans="1:35" ht="15" customHeight="1" x14ac:dyDescent="0.3">
      <c r="A117" s="65" t="s">
        <v>674</v>
      </c>
      <c r="B117" s="65" t="s">
        <v>80</v>
      </c>
      <c r="C117" s="65" t="s">
        <v>675</v>
      </c>
      <c r="D117" s="65" t="s">
        <v>125</v>
      </c>
      <c r="E117" s="65" t="s">
        <v>676</v>
      </c>
      <c r="F117" s="65" t="b">
        <f>TRUE()</f>
        <v>1</v>
      </c>
      <c r="G117" s="65" t="s">
        <v>166</v>
      </c>
      <c r="H117" s="65" t="s">
        <v>235</v>
      </c>
      <c r="I117" s="66">
        <v>46197</v>
      </c>
      <c r="J117" s="66">
        <v>46210</v>
      </c>
      <c r="K117" s="65">
        <v>13</v>
      </c>
      <c r="L117" s="65" t="s">
        <v>194</v>
      </c>
      <c r="M117" s="65" t="s">
        <v>186</v>
      </c>
      <c r="N117" s="65" t="b">
        <f>FALSE()</f>
        <v>0</v>
      </c>
      <c r="O117" s="65"/>
      <c r="P117" s="65"/>
      <c r="Q117" s="65" t="s">
        <v>236</v>
      </c>
      <c r="R117" s="65" t="s">
        <v>237</v>
      </c>
      <c r="S117" s="65"/>
      <c r="T117" s="65" t="b">
        <f>FALSE()</f>
        <v>0</v>
      </c>
      <c r="U117" s="65" t="b">
        <f>FALSE()</f>
        <v>0</v>
      </c>
      <c r="V117" s="65">
        <v>408</v>
      </c>
      <c r="W117" s="65" t="s">
        <v>677</v>
      </c>
      <c r="X117" s="65">
        <v>3</v>
      </c>
      <c r="Y117" s="68">
        <v>0.02</v>
      </c>
      <c r="Z117" s="65" t="b">
        <f>FALSE()</f>
        <v>0</v>
      </c>
      <c r="AA117" s="65" t="b">
        <f>TRUE()</f>
        <v>1</v>
      </c>
      <c r="AB117" s="65" t="b">
        <f>FALSE()</f>
        <v>0</v>
      </c>
      <c r="AC117" s="65" t="b">
        <f>FALSE()</f>
        <v>0</v>
      </c>
      <c r="AD117" s="65" t="b">
        <f>FALSE()</f>
        <v>0</v>
      </c>
      <c r="AE117" s="65">
        <v>1</v>
      </c>
      <c r="AF117" s="69">
        <v>14.3</v>
      </c>
      <c r="AG117" s="65" t="s">
        <v>74</v>
      </c>
      <c r="AH117" s="65" t="s">
        <v>678</v>
      </c>
      <c r="AI117">
        <f>IF(AND(OR(Company_Explorer!$B$5="All Companies",$E117=Company_Explorer!$B$5),OR(Company_Explorer!$B$6="All Platforms",$B117=Company_Explorer!$B$6),OR(Company_Explorer!$B$7="All Roles",$D117=Company_Explorer!$B$7),OR(Company_Explorer!$B$8="All Ghost Labels",$AG117=Company_Explorer!$B$8)),1,0)</f>
        <v>0</v>
      </c>
    </row>
    <row r="118" spans="1:35" ht="15" customHeight="1" x14ac:dyDescent="0.3">
      <c r="A118" s="60" t="s">
        <v>679</v>
      </c>
      <c r="B118" s="60" t="s">
        <v>80</v>
      </c>
      <c r="C118" s="60" t="s">
        <v>315</v>
      </c>
      <c r="D118" s="60" t="s">
        <v>126</v>
      </c>
      <c r="E118" s="60" t="s">
        <v>141</v>
      </c>
      <c r="F118" s="60" t="b">
        <f>TRUE()</f>
        <v>1</v>
      </c>
      <c r="G118" s="60" t="s">
        <v>166</v>
      </c>
      <c r="H118" s="60" t="s">
        <v>235</v>
      </c>
      <c r="I118" s="61">
        <v>46198</v>
      </c>
      <c r="J118" s="61">
        <v>46210</v>
      </c>
      <c r="K118" s="60">
        <v>12</v>
      </c>
      <c r="L118" s="60" t="s">
        <v>192</v>
      </c>
      <c r="M118" s="60" t="s">
        <v>184</v>
      </c>
      <c r="N118" s="60" t="b">
        <f>FALSE()</f>
        <v>0</v>
      </c>
      <c r="O118" s="60"/>
      <c r="P118" s="60"/>
      <c r="Q118" s="60" t="s">
        <v>236</v>
      </c>
      <c r="R118" s="60" t="s">
        <v>237</v>
      </c>
      <c r="S118" s="60"/>
      <c r="T118" s="60" t="b">
        <f>FALSE()</f>
        <v>0</v>
      </c>
      <c r="U118" s="60" t="b">
        <f>FALSE()</f>
        <v>0</v>
      </c>
      <c r="V118" s="60">
        <v>322</v>
      </c>
      <c r="W118" s="62" t="s">
        <v>680</v>
      </c>
      <c r="X118" s="60">
        <v>429</v>
      </c>
      <c r="Y118" s="63">
        <v>2.66</v>
      </c>
      <c r="Z118" s="60" t="b">
        <f>FALSE()</f>
        <v>0</v>
      </c>
      <c r="AA118" s="60" t="b">
        <f>TRUE()</f>
        <v>1</v>
      </c>
      <c r="AB118" s="60" t="b">
        <f>FALSE()</f>
        <v>0</v>
      </c>
      <c r="AC118" s="60" t="b">
        <f>FALSE()</f>
        <v>0</v>
      </c>
      <c r="AD118" s="60" t="b">
        <f>TRUE()</f>
        <v>1</v>
      </c>
      <c r="AE118" s="60">
        <v>3</v>
      </c>
      <c r="AF118" s="64">
        <v>42.9</v>
      </c>
      <c r="AG118" s="60" t="s">
        <v>73</v>
      </c>
      <c r="AH118" s="60" t="s">
        <v>681</v>
      </c>
      <c r="AI118">
        <f>IF(AND(OR(Company_Explorer!$B$5="All Companies",$E118=Company_Explorer!$B$5),OR(Company_Explorer!$B$6="All Platforms",$B118=Company_Explorer!$B$6),OR(Company_Explorer!$B$7="All Roles",$D118=Company_Explorer!$B$7),OR(Company_Explorer!$B$8="All Ghost Labels",$AG118=Company_Explorer!$B$8)),1,0)</f>
        <v>0</v>
      </c>
    </row>
    <row r="119" spans="1:35" ht="15" customHeight="1" x14ac:dyDescent="0.3">
      <c r="A119" s="65" t="s">
        <v>682</v>
      </c>
      <c r="B119" s="65" t="s">
        <v>80</v>
      </c>
      <c r="C119" s="65" t="s">
        <v>125</v>
      </c>
      <c r="D119" s="65" t="s">
        <v>125</v>
      </c>
      <c r="E119" s="65" t="s">
        <v>144</v>
      </c>
      <c r="F119" s="65" t="b">
        <f>TRUE()</f>
        <v>1</v>
      </c>
      <c r="G119" s="65" t="s">
        <v>168</v>
      </c>
      <c r="H119" s="65" t="s">
        <v>254</v>
      </c>
      <c r="I119" s="66">
        <v>46168</v>
      </c>
      <c r="J119" s="66">
        <v>46210</v>
      </c>
      <c r="K119" s="65">
        <v>42</v>
      </c>
      <c r="L119" s="65" t="s">
        <v>192</v>
      </c>
      <c r="M119" s="65" t="s">
        <v>184</v>
      </c>
      <c r="N119" s="65" t="b">
        <f>FALSE()</f>
        <v>0</v>
      </c>
      <c r="O119" s="65"/>
      <c r="P119" s="65"/>
      <c r="Q119" s="65" t="s">
        <v>236</v>
      </c>
      <c r="R119" s="65" t="s">
        <v>237</v>
      </c>
      <c r="S119" s="65"/>
      <c r="T119" s="65" t="b">
        <f>FALSE()</f>
        <v>0</v>
      </c>
      <c r="U119" s="65" t="b">
        <f>FALSE()</f>
        <v>0</v>
      </c>
      <c r="V119" s="65">
        <v>342</v>
      </c>
      <c r="W119" s="67" t="s">
        <v>683</v>
      </c>
      <c r="X119" s="65">
        <v>9</v>
      </c>
      <c r="Y119" s="68">
        <v>0.06</v>
      </c>
      <c r="Z119" s="65" t="b">
        <f>FALSE()</f>
        <v>0</v>
      </c>
      <c r="AA119" s="65" t="b">
        <f>TRUE()</f>
        <v>1</v>
      </c>
      <c r="AB119" s="65" t="b">
        <f>FALSE()</f>
        <v>0</v>
      </c>
      <c r="AC119" s="65" t="b">
        <f>TRUE()</f>
        <v>1</v>
      </c>
      <c r="AD119" s="65" t="b">
        <f>FALSE()</f>
        <v>0</v>
      </c>
      <c r="AE119" s="65">
        <v>2</v>
      </c>
      <c r="AF119" s="69">
        <v>28.6</v>
      </c>
      <c r="AG119" s="65" t="s">
        <v>73</v>
      </c>
      <c r="AH119" s="65" t="s">
        <v>684</v>
      </c>
      <c r="AI119">
        <f>IF(AND(OR(Company_Explorer!$B$5="All Companies",$E119=Company_Explorer!$B$5),OR(Company_Explorer!$B$6="All Platforms",$B119=Company_Explorer!$B$6),OR(Company_Explorer!$B$7="All Roles",$D119=Company_Explorer!$B$7),OR(Company_Explorer!$B$8="All Ghost Labels",$AG119=Company_Explorer!$B$8)),1,0)</f>
        <v>0</v>
      </c>
    </row>
    <row r="120" spans="1:35" ht="15" customHeight="1" x14ac:dyDescent="0.3">
      <c r="A120" s="60" t="s">
        <v>685</v>
      </c>
      <c r="B120" s="60" t="s">
        <v>80</v>
      </c>
      <c r="C120" s="60" t="s">
        <v>686</v>
      </c>
      <c r="D120" s="60" t="s">
        <v>125</v>
      </c>
      <c r="E120" s="60" t="s">
        <v>687</v>
      </c>
      <c r="F120" s="60" t="b">
        <f>TRUE()</f>
        <v>1</v>
      </c>
      <c r="G120" s="60" t="s">
        <v>169</v>
      </c>
      <c r="H120" s="60" t="s">
        <v>294</v>
      </c>
      <c r="I120" s="61">
        <v>46155</v>
      </c>
      <c r="J120" s="61">
        <v>46210</v>
      </c>
      <c r="K120" s="60">
        <v>55</v>
      </c>
      <c r="L120" s="60" t="s">
        <v>192</v>
      </c>
      <c r="M120" s="60" t="s">
        <v>185</v>
      </c>
      <c r="N120" s="60" t="b">
        <f>FALSE()</f>
        <v>0</v>
      </c>
      <c r="O120" s="60"/>
      <c r="P120" s="60"/>
      <c r="Q120" s="60" t="s">
        <v>236</v>
      </c>
      <c r="R120" s="60" t="s">
        <v>237</v>
      </c>
      <c r="S120" s="60"/>
      <c r="T120" s="60" t="b">
        <f>FALSE()</f>
        <v>0</v>
      </c>
      <c r="U120" s="60" t="b">
        <f>FALSE()</f>
        <v>0</v>
      </c>
      <c r="V120" s="60">
        <v>499</v>
      </c>
      <c r="W120" s="62" t="s">
        <v>688</v>
      </c>
      <c r="X120" s="60">
        <v>2</v>
      </c>
      <c r="Y120" s="63">
        <v>0.01</v>
      </c>
      <c r="Z120" s="60" t="b">
        <f>FALSE()</f>
        <v>0</v>
      </c>
      <c r="AA120" s="60" t="b">
        <f>TRUE()</f>
        <v>1</v>
      </c>
      <c r="AB120" s="60" t="b">
        <f>FALSE()</f>
        <v>0</v>
      </c>
      <c r="AC120" s="60" t="b">
        <f>TRUE()</f>
        <v>1</v>
      </c>
      <c r="AD120" s="60" t="b">
        <f>FALSE()</f>
        <v>0</v>
      </c>
      <c r="AE120" s="60">
        <v>2</v>
      </c>
      <c r="AF120" s="64">
        <v>28.6</v>
      </c>
      <c r="AG120" s="60" t="s">
        <v>73</v>
      </c>
      <c r="AH120" s="60" t="s">
        <v>689</v>
      </c>
      <c r="AI120">
        <f>IF(AND(OR(Company_Explorer!$B$5="All Companies",$E120=Company_Explorer!$B$5),OR(Company_Explorer!$B$6="All Platforms",$B120=Company_Explorer!$B$6),OR(Company_Explorer!$B$7="All Roles",$D120=Company_Explorer!$B$7),OR(Company_Explorer!$B$8="All Ghost Labels",$AG120=Company_Explorer!$B$8)),1,0)</f>
        <v>0</v>
      </c>
    </row>
    <row r="121" spans="1:35" ht="15" customHeight="1" x14ac:dyDescent="0.3">
      <c r="A121" s="65" t="s">
        <v>690</v>
      </c>
      <c r="B121" s="65" t="s">
        <v>80</v>
      </c>
      <c r="C121" s="65" t="s">
        <v>125</v>
      </c>
      <c r="D121" s="65" t="s">
        <v>125</v>
      </c>
      <c r="E121" s="65" t="s">
        <v>351</v>
      </c>
      <c r="F121" s="65" t="b">
        <f>TRUE()</f>
        <v>1</v>
      </c>
      <c r="G121" s="65" t="s">
        <v>166</v>
      </c>
      <c r="H121" s="65" t="s">
        <v>235</v>
      </c>
      <c r="I121" s="66">
        <v>46196</v>
      </c>
      <c r="J121" s="66">
        <v>46210</v>
      </c>
      <c r="K121" s="65">
        <v>14</v>
      </c>
      <c r="L121" s="65" t="s">
        <v>192</v>
      </c>
      <c r="M121" s="65" t="s">
        <v>186</v>
      </c>
      <c r="N121" s="65" t="b">
        <f>FALSE()</f>
        <v>0</v>
      </c>
      <c r="O121" s="65"/>
      <c r="P121" s="65"/>
      <c r="Q121" s="65" t="s">
        <v>236</v>
      </c>
      <c r="R121" s="65" t="s">
        <v>237</v>
      </c>
      <c r="S121" s="65"/>
      <c r="T121" s="65" t="b">
        <f>FALSE()</f>
        <v>0</v>
      </c>
      <c r="U121" s="65" t="b">
        <f>FALSE()</f>
        <v>0</v>
      </c>
      <c r="V121" s="65">
        <v>249</v>
      </c>
      <c r="W121" s="67" t="s">
        <v>691</v>
      </c>
      <c r="X121" s="65">
        <v>10</v>
      </c>
      <c r="Y121" s="68">
        <v>0.06</v>
      </c>
      <c r="Z121" s="65" t="b">
        <f>FALSE()</f>
        <v>0</v>
      </c>
      <c r="AA121" s="65" t="b">
        <f>TRUE()</f>
        <v>1</v>
      </c>
      <c r="AB121" s="65" t="b">
        <f>TRUE()</f>
        <v>1</v>
      </c>
      <c r="AC121" s="65" t="b">
        <f>FALSE()</f>
        <v>0</v>
      </c>
      <c r="AD121" s="65" t="b">
        <f>FALSE()</f>
        <v>0</v>
      </c>
      <c r="AE121" s="65">
        <v>2</v>
      </c>
      <c r="AF121" s="69">
        <v>28.6</v>
      </c>
      <c r="AG121" s="65" t="s">
        <v>73</v>
      </c>
      <c r="AH121" s="65" t="s">
        <v>692</v>
      </c>
      <c r="AI121">
        <f>IF(AND(OR(Company_Explorer!$B$5="All Companies",$E121=Company_Explorer!$B$5),OR(Company_Explorer!$B$6="All Platforms",$B121=Company_Explorer!$B$6),OR(Company_Explorer!$B$7="All Roles",$D121=Company_Explorer!$B$7),OR(Company_Explorer!$B$8="All Ghost Labels",$AG121=Company_Explorer!$B$8)),1,0)</f>
        <v>0</v>
      </c>
    </row>
    <row r="122" spans="1:35" ht="15" customHeight="1" x14ac:dyDescent="0.3">
      <c r="A122" s="60" t="s">
        <v>693</v>
      </c>
      <c r="B122" s="60" t="s">
        <v>80</v>
      </c>
      <c r="C122" s="60" t="s">
        <v>694</v>
      </c>
      <c r="D122" s="60" t="s">
        <v>125</v>
      </c>
      <c r="E122" s="60" t="s">
        <v>695</v>
      </c>
      <c r="F122" s="60" t="b">
        <f>TRUE()</f>
        <v>1</v>
      </c>
      <c r="G122" s="60" t="s">
        <v>253</v>
      </c>
      <c r="H122" s="60" t="s">
        <v>254</v>
      </c>
      <c r="I122" s="61">
        <v>46189</v>
      </c>
      <c r="J122" s="61">
        <v>46210</v>
      </c>
      <c r="K122" s="60">
        <v>21</v>
      </c>
      <c r="L122" s="60" t="s">
        <v>192</v>
      </c>
      <c r="M122" s="60" t="s">
        <v>184</v>
      </c>
      <c r="N122" s="60" t="b">
        <f>FALSE()</f>
        <v>0</v>
      </c>
      <c r="O122" s="60"/>
      <c r="P122" s="60"/>
      <c r="Q122" s="60" t="s">
        <v>236</v>
      </c>
      <c r="R122" s="60" t="s">
        <v>237</v>
      </c>
      <c r="S122" s="60"/>
      <c r="T122" s="60" t="b">
        <f>FALSE()</f>
        <v>0</v>
      </c>
      <c r="U122" s="60" t="b">
        <f>FALSE()</f>
        <v>0</v>
      </c>
      <c r="V122" s="60">
        <v>199</v>
      </c>
      <c r="W122" s="62" t="s">
        <v>696</v>
      </c>
      <c r="X122" s="60">
        <v>2</v>
      </c>
      <c r="Y122" s="63">
        <v>0.01</v>
      </c>
      <c r="Z122" s="60" t="b">
        <f>FALSE()</f>
        <v>0</v>
      </c>
      <c r="AA122" s="60" t="b">
        <f>TRUE()</f>
        <v>1</v>
      </c>
      <c r="AB122" s="60" t="b">
        <f>TRUE()</f>
        <v>1</v>
      </c>
      <c r="AC122" s="60" t="b">
        <f>TRUE()</f>
        <v>1</v>
      </c>
      <c r="AD122" s="60" t="b">
        <f>FALSE()</f>
        <v>0</v>
      </c>
      <c r="AE122" s="60">
        <v>3</v>
      </c>
      <c r="AF122" s="64">
        <v>42.9</v>
      </c>
      <c r="AG122" s="60" t="s">
        <v>73</v>
      </c>
      <c r="AH122" s="60" t="s">
        <v>697</v>
      </c>
      <c r="AI122">
        <f>IF(AND(OR(Company_Explorer!$B$5="All Companies",$E122=Company_Explorer!$B$5),OR(Company_Explorer!$B$6="All Platforms",$B122=Company_Explorer!$B$6),OR(Company_Explorer!$B$7="All Roles",$D122=Company_Explorer!$B$7),OR(Company_Explorer!$B$8="All Ghost Labels",$AG122=Company_Explorer!$B$8)),1,0)</f>
        <v>0</v>
      </c>
    </row>
    <row r="123" spans="1:35" ht="15" customHeight="1" x14ac:dyDescent="0.3">
      <c r="A123" s="65" t="s">
        <v>698</v>
      </c>
      <c r="B123" s="65" t="s">
        <v>80</v>
      </c>
      <c r="C123" s="65" t="s">
        <v>699</v>
      </c>
      <c r="D123" s="65" t="s">
        <v>130</v>
      </c>
      <c r="E123" s="65" t="s">
        <v>700</v>
      </c>
      <c r="F123" s="65" t="b">
        <f>TRUE()</f>
        <v>1</v>
      </c>
      <c r="G123" s="65" t="s">
        <v>169</v>
      </c>
      <c r="H123" s="65" t="s">
        <v>294</v>
      </c>
      <c r="I123" s="66">
        <v>46200</v>
      </c>
      <c r="J123" s="66">
        <v>46210</v>
      </c>
      <c r="K123" s="65">
        <v>10</v>
      </c>
      <c r="L123" s="65" t="s">
        <v>192</v>
      </c>
      <c r="M123" s="65" t="s">
        <v>186</v>
      </c>
      <c r="N123" s="65" t="b">
        <f>FALSE()</f>
        <v>0</v>
      </c>
      <c r="O123" s="65"/>
      <c r="P123" s="65"/>
      <c r="Q123" s="65" t="s">
        <v>236</v>
      </c>
      <c r="R123" s="65" t="s">
        <v>237</v>
      </c>
      <c r="S123" s="65"/>
      <c r="T123" s="65" t="b">
        <f>FALSE()</f>
        <v>0</v>
      </c>
      <c r="U123" s="65" t="b">
        <f>FALSE()</f>
        <v>0</v>
      </c>
      <c r="V123" s="65">
        <v>707</v>
      </c>
      <c r="W123" s="65" t="s">
        <v>701</v>
      </c>
      <c r="X123" s="65">
        <v>1</v>
      </c>
      <c r="Y123" s="68">
        <v>0.01</v>
      </c>
      <c r="Z123" s="65" t="b">
        <f>FALSE()</f>
        <v>0</v>
      </c>
      <c r="AA123" s="65" t="b">
        <f>TRUE()</f>
        <v>1</v>
      </c>
      <c r="AB123" s="65" t="b">
        <f>FALSE()</f>
        <v>0</v>
      </c>
      <c r="AC123" s="65" t="b">
        <f>FALSE()</f>
        <v>0</v>
      </c>
      <c r="AD123" s="65" t="b">
        <f>FALSE()</f>
        <v>0</v>
      </c>
      <c r="AE123" s="65">
        <v>1</v>
      </c>
      <c r="AF123" s="69">
        <v>14.3</v>
      </c>
      <c r="AG123" s="65" t="s">
        <v>74</v>
      </c>
      <c r="AH123" s="65" t="s">
        <v>702</v>
      </c>
      <c r="AI123">
        <f>IF(AND(OR(Company_Explorer!$B$5="All Companies",$E123=Company_Explorer!$B$5),OR(Company_Explorer!$B$6="All Platforms",$B123=Company_Explorer!$B$6),OR(Company_Explorer!$B$7="All Roles",$D123=Company_Explorer!$B$7),OR(Company_Explorer!$B$8="All Ghost Labels",$AG123=Company_Explorer!$B$8)),1,0)</f>
        <v>0</v>
      </c>
    </row>
    <row r="124" spans="1:35" ht="15" customHeight="1" x14ac:dyDescent="0.3">
      <c r="A124" s="60" t="s">
        <v>703</v>
      </c>
      <c r="B124" s="60" t="s">
        <v>80</v>
      </c>
      <c r="C124" s="60" t="s">
        <v>125</v>
      </c>
      <c r="D124" s="60" t="s">
        <v>125</v>
      </c>
      <c r="E124" s="60" t="s">
        <v>351</v>
      </c>
      <c r="F124" s="60" t="b">
        <f>TRUE()</f>
        <v>1</v>
      </c>
      <c r="G124" s="60" t="s">
        <v>166</v>
      </c>
      <c r="H124" s="60" t="s">
        <v>235</v>
      </c>
      <c r="I124" s="61">
        <v>46170</v>
      </c>
      <c r="J124" s="61">
        <v>46210</v>
      </c>
      <c r="K124" s="60">
        <v>40</v>
      </c>
      <c r="L124" s="60" t="s">
        <v>192</v>
      </c>
      <c r="M124" s="60" t="s">
        <v>186</v>
      </c>
      <c r="N124" s="60" t="b">
        <f>FALSE()</f>
        <v>0</v>
      </c>
      <c r="O124" s="60"/>
      <c r="P124" s="60"/>
      <c r="Q124" s="60" t="s">
        <v>236</v>
      </c>
      <c r="R124" s="60" t="s">
        <v>237</v>
      </c>
      <c r="S124" s="60"/>
      <c r="T124" s="60" t="b">
        <f>FALSE()</f>
        <v>0</v>
      </c>
      <c r="U124" s="60" t="b">
        <f>FALSE()</f>
        <v>0</v>
      </c>
      <c r="V124" s="60">
        <v>226</v>
      </c>
      <c r="W124" s="62" t="s">
        <v>704</v>
      </c>
      <c r="X124" s="60">
        <v>10</v>
      </c>
      <c r="Y124" s="63">
        <v>0.06</v>
      </c>
      <c r="Z124" s="60" t="b">
        <f>FALSE()</f>
        <v>0</v>
      </c>
      <c r="AA124" s="60" t="b">
        <f>TRUE()</f>
        <v>1</v>
      </c>
      <c r="AB124" s="60" t="b">
        <f>TRUE()</f>
        <v>1</v>
      </c>
      <c r="AC124" s="60" t="b">
        <f>TRUE()</f>
        <v>1</v>
      </c>
      <c r="AD124" s="60" t="b">
        <f>FALSE()</f>
        <v>0</v>
      </c>
      <c r="AE124" s="60">
        <v>3</v>
      </c>
      <c r="AF124" s="64">
        <v>42.9</v>
      </c>
      <c r="AG124" s="60" t="s">
        <v>73</v>
      </c>
      <c r="AH124" s="60" t="s">
        <v>705</v>
      </c>
      <c r="AI124">
        <f>IF(AND(OR(Company_Explorer!$B$5="All Companies",$E124=Company_Explorer!$B$5),OR(Company_Explorer!$B$6="All Platforms",$B124=Company_Explorer!$B$6),OR(Company_Explorer!$B$7="All Roles",$D124=Company_Explorer!$B$7),OR(Company_Explorer!$B$8="All Ghost Labels",$AG124=Company_Explorer!$B$8)),1,0)</f>
        <v>0</v>
      </c>
    </row>
    <row r="125" spans="1:35" ht="15" customHeight="1" x14ac:dyDescent="0.3">
      <c r="A125" s="65" t="s">
        <v>706</v>
      </c>
      <c r="B125" s="65" t="s">
        <v>80</v>
      </c>
      <c r="C125" s="65" t="s">
        <v>258</v>
      </c>
      <c r="D125" s="65" t="s">
        <v>125</v>
      </c>
      <c r="E125" s="65" t="s">
        <v>141</v>
      </c>
      <c r="F125" s="65" t="b">
        <f>TRUE()</f>
        <v>1</v>
      </c>
      <c r="G125" s="65" t="s">
        <v>172</v>
      </c>
      <c r="H125" s="65" t="s">
        <v>276</v>
      </c>
      <c r="I125" s="66">
        <v>46198</v>
      </c>
      <c r="J125" s="66">
        <v>46210</v>
      </c>
      <c r="K125" s="65">
        <v>12</v>
      </c>
      <c r="L125" s="65" t="s">
        <v>192</v>
      </c>
      <c r="M125" s="65" t="s">
        <v>184</v>
      </c>
      <c r="N125" s="65" t="b">
        <f>FALSE()</f>
        <v>0</v>
      </c>
      <c r="O125" s="65"/>
      <c r="P125" s="65"/>
      <c r="Q125" s="65" t="s">
        <v>236</v>
      </c>
      <c r="R125" s="65" t="s">
        <v>237</v>
      </c>
      <c r="S125" s="65"/>
      <c r="T125" s="65" t="b">
        <f>FALSE()</f>
        <v>0</v>
      </c>
      <c r="U125" s="65" t="b">
        <f>FALSE()</f>
        <v>0</v>
      </c>
      <c r="V125" s="65">
        <v>256</v>
      </c>
      <c r="W125" s="67" t="s">
        <v>707</v>
      </c>
      <c r="X125" s="65">
        <v>429</v>
      </c>
      <c r="Y125" s="68">
        <v>2.66</v>
      </c>
      <c r="Z125" s="65" t="b">
        <f>FALSE()</f>
        <v>0</v>
      </c>
      <c r="AA125" s="65" t="b">
        <f>TRUE()</f>
        <v>1</v>
      </c>
      <c r="AB125" s="65" t="b">
        <f>TRUE()</f>
        <v>1</v>
      </c>
      <c r="AC125" s="65" t="b">
        <f>FALSE()</f>
        <v>0</v>
      </c>
      <c r="AD125" s="65" t="b">
        <f>TRUE()</f>
        <v>1</v>
      </c>
      <c r="AE125" s="65">
        <v>4</v>
      </c>
      <c r="AF125" s="69">
        <v>57.1</v>
      </c>
      <c r="AG125" s="65" t="s">
        <v>72</v>
      </c>
      <c r="AH125" s="65" t="s">
        <v>708</v>
      </c>
      <c r="AI125">
        <f>IF(AND(OR(Company_Explorer!$B$5="All Companies",$E125=Company_Explorer!$B$5),OR(Company_Explorer!$B$6="All Platforms",$B125=Company_Explorer!$B$6),OR(Company_Explorer!$B$7="All Roles",$D125=Company_Explorer!$B$7),OR(Company_Explorer!$B$8="All Ghost Labels",$AG125=Company_Explorer!$B$8)),1,0)</f>
        <v>0</v>
      </c>
    </row>
    <row r="126" spans="1:35" ht="15" customHeight="1" x14ac:dyDescent="0.3">
      <c r="A126" s="60" t="s">
        <v>709</v>
      </c>
      <c r="B126" s="60" t="s">
        <v>80</v>
      </c>
      <c r="C126" s="60" t="s">
        <v>258</v>
      </c>
      <c r="D126" s="60" t="s">
        <v>125</v>
      </c>
      <c r="E126" s="60" t="s">
        <v>141</v>
      </c>
      <c r="F126" s="60" t="b">
        <f>TRUE()</f>
        <v>1</v>
      </c>
      <c r="G126" s="60" t="s">
        <v>172</v>
      </c>
      <c r="H126" s="60" t="s">
        <v>276</v>
      </c>
      <c r="I126" s="61">
        <v>46198</v>
      </c>
      <c r="J126" s="61">
        <v>46210</v>
      </c>
      <c r="K126" s="60">
        <v>12</v>
      </c>
      <c r="L126" s="60" t="s">
        <v>192</v>
      </c>
      <c r="M126" s="60" t="s">
        <v>184</v>
      </c>
      <c r="N126" s="60" t="b">
        <f>FALSE()</f>
        <v>0</v>
      </c>
      <c r="O126" s="60"/>
      <c r="P126" s="60"/>
      <c r="Q126" s="60" t="s">
        <v>236</v>
      </c>
      <c r="R126" s="60" t="s">
        <v>237</v>
      </c>
      <c r="S126" s="60"/>
      <c r="T126" s="60" t="b">
        <f>FALSE()</f>
        <v>0</v>
      </c>
      <c r="U126" s="60" t="b">
        <f>FALSE()</f>
        <v>0</v>
      </c>
      <c r="V126" s="60">
        <v>284</v>
      </c>
      <c r="W126" s="62" t="s">
        <v>259</v>
      </c>
      <c r="X126" s="60">
        <v>429</v>
      </c>
      <c r="Y126" s="63">
        <v>2.66</v>
      </c>
      <c r="Z126" s="60" t="b">
        <f>FALSE()</f>
        <v>0</v>
      </c>
      <c r="AA126" s="60" t="b">
        <f>TRUE()</f>
        <v>1</v>
      </c>
      <c r="AB126" s="60" t="b">
        <f>FALSE()</f>
        <v>0</v>
      </c>
      <c r="AC126" s="60" t="b">
        <f>FALSE()</f>
        <v>0</v>
      </c>
      <c r="AD126" s="60" t="b">
        <f>TRUE()</f>
        <v>1</v>
      </c>
      <c r="AE126" s="60">
        <v>3</v>
      </c>
      <c r="AF126" s="64">
        <v>42.9</v>
      </c>
      <c r="AG126" s="60" t="s">
        <v>73</v>
      </c>
      <c r="AH126" s="60" t="s">
        <v>710</v>
      </c>
      <c r="AI126">
        <f>IF(AND(OR(Company_Explorer!$B$5="All Companies",$E126=Company_Explorer!$B$5),OR(Company_Explorer!$B$6="All Platforms",$B126=Company_Explorer!$B$6),OR(Company_Explorer!$B$7="All Roles",$D126=Company_Explorer!$B$7),OR(Company_Explorer!$B$8="All Ghost Labels",$AG126=Company_Explorer!$B$8)),1,0)</f>
        <v>0</v>
      </c>
    </row>
    <row r="127" spans="1:35" ht="15" customHeight="1" x14ac:dyDescent="0.3">
      <c r="A127" s="65" t="s">
        <v>711</v>
      </c>
      <c r="B127" s="65" t="s">
        <v>80</v>
      </c>
      <c r="C127" s="65" t="s">
        <v>258</v>
      </c>
      <c r="D127" s="65" t="s">
        <v>125</v>
      </c>
      <c r="E127" s="65" t="s">
        <v>141</v>
      </c>
      <c r="F127" s="65" t="b">
        <f>TRUE()</f>
        <v>1</v>
      </c>
      <c r="G127" s="65" t="s">
        <v>167</v>
      </c>
      <c r="H127" s="65" t="s">
        <v>276</v>
      </c>
      <c r="I127" s="66">
        <v>46198</v>
      </c>
      <c r="J127" s="66">
        <v>46210</v>
      </c>
      <c r="K127" s="65">
        <v>12</v>
      </c>
      <c r="L127" s="65" t="s">
        <v>192</v>
      </c>
      <c r="M127" s="65" t="s">
        <v>184</v>
      </c>
      <c r="N127" s="65" t="b">
        <f>FALSE()</f>
        <v>0</v>
      </c>
      <c r="O127" s="65"/>
      <c r="P127" s="65"/>
      <c r="Q127" s="65" t="s">
        <v>236</v>
      </c>
      <c r="R127" s="65" t="s">
        <v>237</v>
      </c>
      <c r="S127" s="65"/>
      <c r="T127" s="65" t="b">
        <f>FALSE()</f>
        <v>0</v>
      </c>
      <c r="U127" s="65" t="b">
        <f>FALSE()</f>
        <v>0</v>
      </c>
      <c r="V127" s="65">
        <v>245</v>
      </c>
      <c r="W127" s="67" t="s">
        <v>259</v>
      </c>
      <c r="X127" s="65">
        <v>429</v>
      </c>
      <c r="Y127" s="68">
        <v>2.66</v>
      </c>
      <c r="Z127" s="65" t="b">
        <f>FALSE()</f>
        <v>0</v>
      </c>
      <c r="AA127" s="65" t="b">
        <f>TRUE()</f>
        <v>1</v>
      </c>
      <c r="AB127" s="65" t="b">
        <f>TRUE()</f>
        <v>1</v>
      </c>
      <c r="AC127" s="65" t="b">
        <f>FALSE()</f>
        <v>0</v>
      </c>
      <c r="AD127" s="65" t="b">
        <f>TRUE()</f>
        <v>1</v>
      </c>
      <c r="AE127" s="65">
        <v>4</v>
      </c>
      <c r="AF127" s="69">
        <v>57.1</v>
      </c>
      <c r="AG127" s="65" t="s">
        <v>72</v>
      </c>
      <c r="AH127" s="65" t="s">
        <v>712</v>
      </c>
      <c r="AI127">
        <f>IF(AND(OR(Company_Explorer!$B$5="All Companies",$E127=Company_Explorer!$B$5),OR(Company_Explorer!$B$6="All Platforms",$B127=Company_Explorer!$B$6),OR(Company_Explorer!$B$7="All Roles",$D127=Company_Explorer!$B$7),OR(Company_Explorer!$B$8="All Ghost Labels",$AG127=Company_Explorer!$B$8)),1,0)</f>
        <v>0</v>
      </c>
    </row>
    <row r="128" spans="1:35" ht="15" customHeight="1" x14ac:dyDescent="0.3">
      <c r="A128" s="60" t="s">
        <v>713</v>
      </c>
      <c r="B128" s="60" t="s">
        <v>80</v>
      </c>
      <c r="C128" s="60" t="s">
        <v>258</v>
      </c>
      <c r="D128" s="60" t="s">
        <v>125</v>
      </c>
      <c r="E128" s="60" t="s">
        <v>141</v>
      </c>
      <c r="F128" s="60" t="b">
        <f>TRUE()</f>
        <v>1</v>
      </c>
      <c r="G128" s="60" t="s">
        <v>172</v>
      </c>
      <c r="H128" s="60" t="s">
        <v>276</v>
      </c>
      <c r="I128" s="61">
        <v>46198</v>
      </c>
      <c r="J128" s="61">
        <v>46210</v>
      </c>
      <c r="K128" s="60">
        <v>12</v>
      </c>
      <c r="L128" s="60" t="s">
        <v>192</v>
      </c>
      <c r="M128" s="60" t="s">
        <v>184</v>
      </c>
      <c r="N128" s="60" t="b">
        <f>FALSE()</f>
        <v>0</v>
      </c>
      <c r="O128" s="60"/>
      <c r="P128" s="60"/>
      <c r="Q128" s="60" t="s">
        <v>236</v>
      </c>
      <c r="R128" s="60" t="s">
        <v>237</v>
      </c>
      <c r="S128" s="60"/>
      <c r="T128" s="60" t="b">
        <f>FALSE()</f>
        <v>0</v>
      </c>
      <c r="U128" s="60" t="b">
        <f>FALSE()</f>
        <v>0</v>
      </c>
      <c r="V128" s="60">
        <v>317</v>
      </c>
      <c r="W128" s="62" t="s">
        <v>259</v>
      </c>
      <c r="X128" s="60">
        <v>429</v>
      </c>
      <c r="Y128" s="63">
        <v>2.66</v>
      </c>
      <c r="Z128" s="60" t="b">
        <f>FALSE()</f>
        <v>0</v>
      </c>
      <c r="AA128" s="60" t="b">
        <f>TRUE()</f>
        <v>1</v>
      </c>
      <c r="AB128" s="60" t="b">
        <f>FALSE()</f>
        <v>0</v>
      </c>
      <c r="AC128" s="60" t="b">
        <f>FALSE()</f>
        <v>0</v>
      </c>
      <c r="AD128" s="60" t="b">
        <f>TRUE()</f>
        <v>1</v>
      </c>
      <c r="AE128" s="60">
        <v>3</v>
      </c>
      <c r="AF128" s="64">
        <v>42.9</v>
      </c>
      <c r="AG128" s="60" t="s">
        <v>73</v>
      </c>
      <c r="AH128" s="60" t="s">
        <v>714</v>
      </c>
      <c r="AI128">
        <f>IF(AND(OR(Company_Explorer!$B$5="All Companies",$E128=Company_Explorer!$B$5),OR(Company_Explorer!$B$6="All Platforms",$B128=Company_Explorer!$B$6),OR(Company_Explorer!$B$7="All Roles",$D128=Company_Explorer!$B$7),OR(Company_Explorer!$B$8="All Ghost Labels",$AG128=Company_Explorer!$B$8)),1,0)</f>
        <v>0</v>
      </c>
    </row>
    <row r="129" spans="1:35" ht="15" customHeight="1" x14ac:dyDescent="0.3">
      <c r="A129" s="65" t="s">
        <v>715</v>
      </c>
      <c r="B129" s="65" t="s">
        <v>80</v>
      </c>
      <c r="C129" s="65" t="s">
        <v>258</v>
      </c>
      <c r="D129" s="65" t="s">
        <v>125</v>
      </c>
      <c r="E129" s="65" t="s">
        <v>141</v>
      </c>
      <c r="F129" s="65" t="b">
        <f>TRUE()</f>
        <v>1</v>
      </c>
      <c r="G129" s="65" t="s">
        <v>167</v>
      </c>
      <c r="H129" s="65" t="s">
        <v>276</v>
      </c>
      <c r="I129" s="66">
        <v>46205</v>
      </c>
      <c r="J129" s="66">
        <v>46210</v>
      </c>
      <c r="K129" s="65">
        <v>5</v>
      </c>
      <c r="L129" s="65" t="s">
        <v>192</v>
      </c>
      <c r="M129" s="65" t="s">
        <v>184</v>
      </c>
      <c r="N129" s="65" t="b">
        <f>FALSE()</f>
        <v>0</v>
      </c>
      <c r="O129" s="65"/>
      <c r="P129" s="65"/>
      <c r="Q129" s="65" t="s">
        <v>236</v>
      </c>
      <c r="R129" s="65" t="s">
        <v>237</v>
      </c>
      <c r="S129" s="65"/>
      <c r="T129" s="65" t="b">
        <f>FALSE()</f>
        <v>0</v>
      </c>
      <c r="U129" s="65" t="b">
        <f>FALSE()</f>
        <v>0</v>
      </c>
      <c r="V129" s="65">
        <v>322</v>
      </c>
      <c r="W129" s="67" t="s">
        <v>259</v>
      </c>
      <c r="X129" s="65">
        <v>429</v>
      </c>
      <c r="Y129" s="68">
        <v>2.66</v>
      </c>
      <c r="Z129" s="65" t="b">
        <f>FALSE()</f>
        <v>0</v>
      </c>
      <c r="AA129" s="65" t="b">
        <f>TRUE()</f>
        <v>1</v>
      </c>
      <c r="AB129" s="65" t="b">
        <f>FALSE()</f>
        <v>0</v>
      </c>
      <c r="AC129" s="65" t="b">
        <f>FALSE()</f>
        <v>0</v>
      </c>
      <c r="AD129" s="65" t="b">
        <f>TRUE()</f>
        <v>1</v>
      </c>
      <c r="AE129" s="65">
        <v>3</v>
      </c>
      <c r="AF129" s="69">
        <v>42.9</v>
      </c>
      <c r="AG129" s="65" t="s">
        <v>73</v>
      </c>
      <c r="AH129" s="65" t="s">
        <v>716</v>
      </c>
      <c r="AI129">
        <f>IF(AND(OR(Company_Explorer!$B$5="All Companies",$E129=Company_Explorer!$B$5),OR(Company_Explorer!$B$6="All Platforms",$B129=Company_Explorer!$B$6),OR(Company_Explorer!$B$7="All Roles",$D129=Company_Explorer!$B$7),OR(Company_Explorer!$B$8="All Ghost Labels",$AG129=Company_Explorer!$B$8)),1,0)</f>
        <v>0</v>
      </c>
    </row>
    <row r="130" spans="1:35" ht="15" customHeight="1" x14ac:dyDescent="0.3">
      <c r="A130" s="60" t="s">
        <v>717</v>
      </c>
      <c r="B130" s="60" t="s">
        <v>80</v>
      </c>
      <c r="C130" s="60" t="s">
        <v>718</v>
      </c>
      <c r="D130" s="60" t="s">
        <v>125</v>
      </c>
      <c r="E130" s="60" t="s">
        <v>719</v>
      </c>
      <c r="F130" s="60" t="b">
        <f>TRUE()</f>
        <v>1</v>
      </c>
      <c r="G130" s="60" t="s">
        <v>166</v>
      </c>
      <c r="H130" s="60" t="s">
        <v>235</v>
      </c>
      <c r="I130" s="61">
        <v>46204</v>
      </c>
      <c r="J130" s="61">
        <v>46210</v>
      </c>
      <c r="K130" s="60">
        <v>6</v>
      </c>
      <c r="L130" s="60" t="s">
        <v>192</v>
      </c>
      <c r="M130" s="60" t="s">
        <v>185</v>
      </c>
      <c r="N130" s="60" t="b">
        <f>FALSE()</f>
        <v>0</v>
      </c>
      <c r="O130" s="60"/>
      <c r="P130" s="60"/>
      <c r="Q130" s="60" t="s">
        <v>236</v>
      </c>
      <c r="R130" s="60" t="s">
        <v>237</v>
      </c>
      <c r="S130" s="60"/>
      <c r="T130" s="60" t="b">
        <f>FALSE()</f>
        <v>0</v>
      </c>
      <c r="U130" s="60" t="b">
        <f>FALSE()</f>
        <v>0</v>
      </c>
      <c r="V130" s="60">
        <v>711</v>
      </c>
      <c r="W130" s="62" t="s">
        <v>720</v>
      </c>
      <c r="X130" s="60">
        <v>3</v>
      </c>
      <c r="Y130" s="63">
        <v>0.02</v>
      </c>
      <c r="Z130" s="60" t="b">
        <f>FALSE()</f>
        <v>0</v>
      </c>
      <c r="AA130" s="60" t="b">
        <f>TRUE()</f>
        <v>1</v>
      </c>
      <c r="AB130" s="60" t="b">
        <f>FALSE()</f>
        <v>0</v>
      </c>
      <c r="AC130" s="60" t="b">
        <f>FALSE()</f>
        <v>0</v>
      </c>
      <c r="AD130" s="60" t="b">
        <f>FALSE()</f>
        <v>0</v>
      </c>
      <c r="AE130" s="60">
        <v>1</v>
      </c>
      <c r="AF130" s="64">
        <v>14.3</v>
      </c>
      <c r="AG130" s="60" t="s">
        <v>74</v>
      </c>
      <c r="AH130" s="60" t="s">
        <v>721</v>
      </c>
      <c r="AI130">
        <f>IF(AND(OR(Company_Explorer!$B$5="All Companies",$E130=Company_Explorer!$B$5),OR(Company_Explorer!$B$6="All Platforms",$B130=Company_Explorer!$B$6),OR(Company_Explorer!$B$7="All Roles",$D130=Company_Explorer!$B$7),OR(Company_Explorer!$B$8="All Ghost Labels",$AG130=Company_Explorer!$B$8)),1,0)</f>
        <v>0</v>
      </c>
    </row>
    <row r="131" spans="1:35" ht="15" customHeight="1" x14ac:dyDescent="0.3">
      <c r="A131" s="65" t="s">
        <v>722</v>
      </c>
      <c r="B131" s="65" t="s">
        <v>80</v>
      </c>
      <c r="C131" s="65" t="s">
        <v>258</v>
      </c>
      <c r="D131" s="65" t="s">
        <v>125</v>
      </c>
      <c r="E131" s="65" t="s">
        <v>141</v>
      </c>
      <c r="F131" s="65" t="b">
        <f>TRUE()</f>
        <v>1</v>
      </c>
      <c r="G131" s="65" t="s">
        <v>269</v>
      </c>
      <c r="H131" s="65" t="s">
        <v>270</v>
      </c>
      <c r="I131" s="66">
        <v>46198</v>
      </c>
      <c r="J131" s="66">
        <v>46210</v>
      </c>
      <c r="K131" s="65">
        <v>12</v>
      </c>
      <c r="L131" s="65" t="s">
        <v>192</v>
      </c>
      <c r="M131" s="65" t="s">
        <v>184</v>
      </c>
      <c r="N131" s="65" t="b">
        <f>FALSE()</f>
        <v>0</v>
      </c>
      <c r="O131" s="65"/>
      <c r="P131" s="65"/>
      <c r="Q131" s="65" t="s">
        <v>236</v>
      </c>
      <c r="R131" s="65" t="s">
        <v>237</v>
      </c>
      <c r="S131" s="65"/>
      <c r="T131" s="65" t="b">
        <f>FALSE()</f>
        <v>0</v>
      </c>
      <c r="U131" s="65" t="b">
        <f>FALSE()</f>
        <v>0</v>
      </c>
      <c r="V131" s="65">
        <v>284</v>
      </c>
      <c r="W131" s="67" t="s">
        <v>259</v>
      </c>
      <c r="X131" s="65">
        <v>429</v>
      </c>
      <c r="Y131" s="68">
        <v>2.66</v>
      </c>
      <c r="Z131" s="65" t="b">
        <f>FALSE()</f>
        <v>0</v>
      </c>
      <c r="AA131" s="65" t="b">
        <f>TRUE()</f>
        <v>1</v>
      </c>
      <c r="AB131" s="65" t="b">
        <f>FALSE()</f>
        <v>0</v>
      </c>
      <c r="AC131" s="65" t="b">
        <f>FALSE()</f>
        <v>0</v>
      </c>
      <c r="AD131" s="65" t="b">
        <f>TRUE()</f>
        <v>1</v>
      </c>
      <c r="AE131" s="65">
        <v>3</v>
      </c>
      <c r="AF131" s="69">
        <v>42.9</v>
      </c>
      <c r="AG131" s="65" t="s">
        <v>73</v>
      </c>
      <c r="AH131" s="65" t="s">
        <v>723</v>
      </c>
      <c r="AI131">
        <f>IF(AND(OR(Company_Explorer!$B$5="All Companies",$E131=Company_Explorer!$B$5),OR(Company_Explorer!$B$6="All Platforms",$B131=Company_Explorer!$B$6),OR(Company_Explorer!$B$7="All Roles",$D131=Company_Explorer!$B$7),OR(Company_Explorer!$B$8="All Ghost Labels",$AG131=Company_Explorer!$B$8)),1,0)</f>
        <v>0</v>
      </c>
    </row>
    <row r="132" spans="1:35" ht="15" customHeight="1" x14ac:dyDescent="0.3">
      <c r="A132" s="60" t="s">
        <v>724</v>
      </c>
      <c r="B132" s="60" t="s">
        <v>80</v>
      </c>
      <c r="C132" s="60" t="s">
        <v>125</v>
      </c>
      <c r="D132" s="60" t="s">
        <v>125</v>
      </c>
      <c r="E132" s="60" t="s">
        <v>614</v>
      </c>
      <c r="F132" s="60" t="b">
        <f>TRUE()</f>
        <v>1</v>
      </c>
      <c r="G132" s="60" t="s">
        <v>168</v>
      </c>
      <c r="H132" s="60" t="s">
        <v>254</v>
      </c>
      <c r="I132" s="61">
        <v>46207</v>
      </c>
      <c r="J132" s="61">
        <v>46210</v>
      </c>
      <c r="K132" s="60">
        <v>3</v>
      </c>
      <c r="L132" s="60" t="s">
        <v>192</v>
      </c>
      <c r="M132" s="60" t="s">
        <v>185</v>
      </c>
      <c r="N132" s="60" t="b">
        <f>FALSE()</f>
        <v>0</v>
      </c>
      <c r="O132" s="60"/>
      <c r="P132" s="60"/>
      <c r="Q132" s="60" t="s">
        <v>236</v>
      </c>
      <c r="R132" s="60" t="s">
        <v>237</v>
      </c>
      <c r="S132" s="60"/>
      <c r="T132" s="60" t="b">
        <f>FALSE()</f>
        <v>0</v>
      </c>
      <c r="U132" s="60" t="b">
        <f>FALSE()</f>
        <v>0</v>
      </c>
      <c r="V132" s="60">
        <v>792</v>
      </c>
      <c r="W132" s="62" t="s">
        <v>725</v>
      </c>
      <c r="X132" s="60">
        <v>7</v>
      </c>
      <c r="Y132" s="63">
        <v>0.04</v>
      </c>
      <c r="Z132" s="60" t="b">
        <f>FALSE()</f>
        <v>0</v>
      </c>
      <c r="AA132" s="60" t="b">
        <f>TRUE()</f>
        <v>1</v>
      </c>
      <c r="AB132" s="60" t="b">
        <f>FALSE()</f>
        <v>0</v>
      </c>
      <c r="AC132" s="60" t="b">
        <f>FALSE()</f>
        <v>0</v>
      </c>
      <c r="AD132" s="60" t="b">
        <f>FALSE()</f>
        <v>0</v>
      </c>
      <c r="AE132" s="60">
        <v>1</v>
      </c>
      <c r="AF132" s="64">
        <v>14.3</v>
      </c>
      <c r="AG132" s="60" t="s">
        <v>74</v>
      </c>
      <c r="AH132" s="60" t="s">
        <v>726</v>
      </c>
      <c r="AI132">
        <f>IF(AND(OR(Company_Explorer!$B$5="All Companies",$E132=Company_Explorer!$B$5),OR(Company_Explorer!$B$6="All Platforms",$B132=Company_Explorer!$B$6),OR(Company_Explorer!$B$7="All Roles",$D132=Company_Explorer!$B$7),OR(Company_Explorer!$B$8="All Ghost Labels",$AG132=Company_Explorer!$B$8)),1,0)</f>
        <v>0</v>
      </c>
    </row>
    <row r="133" spans="1:35" ht="15" customHeight="1" x14ac:dyDescent="0.3">
      <c r="A133" s="65" t="s">
        <v>727</v>
      </c>
      <c r="B133" s="65" t="s">
        <v>80</v>
      </c>
      <c r="C133" s="65" t="s">
        <v>728</v>
      </c>
      <c r="D133" s="65" t="s">
        <v>125</v>
      </c>
      <c r="E133" s="65" t="s">
        <v>729</v>
      </c>
      <c r="F133" s="65" t="b">
        <f>TRUE()</f>
        <v>1</v>
      </c>
      <c r="G133" s="65" t="s">
        <v>347</v>
      </c>
      <c r="H133" s="65" t="s">
        <v>235</v>
      </c>
      <c r="I133" s="66">
        <v>46191</v>
      </c>
      <c r="J133" s="66">
        <v>46210</v>
      </c>
      <c r="K133" s="65">
        <v>19</v>
      </c>
      <c r="L133" s="65" t="s">
        <v>192</v>
      </c>
      <c r="M133" s="65" t="s">
        <v>184</v>
      </c>
      <c r="N133" s="65" t="b">
        <f>FALSE()</f>
        <v>0</v>
      </c>
      <c r="O133" s="65"/>
      <c r="P133" s="65"/>
      <c r="Q133" s="65" t="s">
        <v>236</v>
      </c>
      <c r="R133" s="65" t="s">
        <v>237</v>
      </c>
      <c r="S133" s="65"/>
      <c r="T133" s="65" t="b">
        <f>FALSE()</f>
        <v>0</v>
      </c>
      <c r="U133" s="65" t="b">
        <f>FALSE()</f>
        <v>0</v>
      </c>
      <c r="V133" s="65">
        <v>310</v>
      </c>
      <c r="W133" s="67" t="s">
        <v>730</v>
      </c>
      <c r="X133" s="65">
        <v>1</v>
      </c>
      <c r="Y133" s="68">
        <v>0.01</v>
      </c>
      <c r="Z133" s="65" t="b">
        <f>FALSE()</f>
        <v>0</v>
      </c>
      <c r="AA133" s="65" t="b">
        <f>TRUE()</f>
        <v>1</v>
      </c>
      <c r="AB133" s="65" t="b">
        <f>FALSE()</f>
        <v>0</v>
      </c>
      <c r="AC133" s="65" t="b">
        <f>TRUE()</f>
        <v>1</v>
      </c>
      <c r="AD133" s="65" t="b">
        <f>FALSE()</f>
        <v>0</v>
      </c>
      <c r="AE133" s="65">
        <v>2</v>
      </c>
      <c r="AF133" s="69">
        <v>28.6</v>
      </c>
      <c r="AG133" s="65" t="s">
        <v>73</v>
      </c>
      <c r="AH133" s="65" t="s">
        <v>731</v>
      </c>
      <c r="AI133">
        <f>IF(AND(OR(Company_Explorer!$B$5="All Companies",$E133=Company_Explorer!$B$5),OR(Company_Explorer!$B$6="All Platforms",$B133=Company_Explorer!$B$6),OR(Company_Explorer!$B$7="All Roles",$D133=Company_Explorer!$B$7),OR(Company_Explorer!$B$8="All Ghost Labels",$AG133=Company_Explorer!$B$8)),1,0)</f>
        <v>0</v>
      </c>
    </row>
    <row r="134" spans="1:35" ht="15" customHeight="1" x14ac:dyDescent="0.3">
      <c r="A134" s="60" t="s">
        <v>732</v>
      </c>
      <c r="B134" s="60" t="s">
        <v>80</v>
      </c>
      <c r="C134" s="60" t="s">
        <v>125</v>
      </c>
      <c r="D134" s="60" t="s">
        <v>125</v>
      </c>
      <c r="E134" s="60" t="s">
        <v>148</v>
      </c>
      <c r="F134" s="60" t="b">
        <f>TRUE()</f>
        <v>1</v>
      </c>
      <c r="G134" s="60" t="s">
        <v>167</v>
      </c>
      <c r="H134" s="60" t="s">
        <v>276</v>
      </c>
      <c r="I134" s="61">
        <v>46199</v>
      </c>
      <c r="J134" s="61">
        <v>46210</v>
      </c>
      <c r="K134" s="60">
        <v>11</v>
      </c>
      <c r="L134" s="60" t="s">
        <v>192</v>
      </c>
      <c r="M134" s="60" t="s">
        <v>185</v>
      </c>
      <c r="N134" s="60" t="b">
        <f>FALSE()</f>
        <v>0</v>
      </c>
      <c r="O134" s="60"/>
      <c r="P134" s="60"/>
      <c r="Q134" s="60" t="s">
        <v>236</v>
      </c>
      <c r="R134" s="60" t="s">
        <v>237</v>
      </c>
      <c r="S134" s="60"/>
      <c r="T134" s="60" t="b">
        <f>FALSE()</f>
        <v>0</v>
      </c>
      <c r="U134" s="60" t="b">
        <f>FALSE()</f>
        <v>0</v>
      </c>
      <c r="V134" s="60">
        <v>730</v>
      </c>
      <c r="W134" s="60" t="s">
        <v>733</v>
      </c>
      <c r="X134" s="60">
        <v>1</v>
      </c>
      <c r="Y134" s="63">
        <v>0.01</v>
      </c>
      <c r="Z134" s="60" t="b">
        <f>FALSE()</f>
        <v>0</v>
      </c>
      <c r="AA134" s="60" t="b">
        <f>TRUE()</f>
        <v>1</v>
      </c>
      <c r="AB134" s="60" t="b">
        <f>FALSE()</f>
        <v>0</v>
      </c>
      <c r="AC134" s="60" t="b">
        <f>FALSE()</f>
        <v>0</v>
      </c>
      <c r="AD134" s="60" t="b">
        <f>FALSE()</f>
        <v>0</v>
      </c>
      <c r="AE134" s="60">
        <v>1</v>
      </c>
      <c r="AF134" s="64">
        <v>14.3</v>
      </c>
      <c r="AG134" s="60" t="s">
        <v>74</v>
      </c>
      <c r="AH134" s="60" t="s">
        <v>734</v>
      </c>
      <c r="AI134">
        <f>IF(AND(OR(Company_Explorer!$B$5="All Companies",$E134=Company_Explorer!$B$5),OR(Company_Explorer!$B$6="All Platforms",$B134=Company_Explorer!$B$6),OR(Company_Explorer!$B$7="All Roles",$D134=Company_Explorer!$B$7),OR(Company_Explorer!$B$8="All Ghost Labels",$AG134=Company_Explorer!$B$8)),1,0)</f>
        <v>0</v>
      </c>
    </row>
    <row r="135" spans="1:35" ht="15" customHeight="1" x14ac:dyDescent="0.3">
      <c r="A135" s="65" t="s">
        <v>735</v>
      </c>
      <c r="B135" s="65" t="s">
        <v>80</v>
      </c>
      <c r="C135" s="65" t="s">
        <v>345</v>
      </c>
      <c r="D135" s="65" t="s">
        <v>125</v>
      </c>
      <c r="E135" s="65" t="s">
        <v>736</v>
      </c>
      <c r="F135" s="65" t="b">
        <f>TRUE()</f>
        <v>1</v>
      </c>
      <c r="G135" s="65" t="s">
        <v>169</v>
      </c>
      <c r="H135" s="65" t="s">
        <v>294</v>
      </c>
      <c r="I135" s="66">
        <v>46196</v>
      </c>
      <c r="J135" s="66">
        <v>46210</v>
      </c>
      <c r="K135" s="65">
        <v>14</v>
      </c>
      <c r="L135" s="65" t="s">
        <v>192</v>
      </c>
      <c r="M135" s="65" t="s">
        <v>186</v>
      </c>
      <c r="N135" s="65" t="b">
        <f>FALSE()</f>
        <v>0</v>
      </c>
      <c r="O135" s="65"/>
      <c r="P135" s="65"/>
      <c r="Q135" s="65" t="s">
        <v>236</v>
      </c>
      <c r="R135" s="65" t="s">
        <v>237</v>
      </c>
      <c r="S135" s="65"/>
      <c r="T135" s="65" t="b">
        <f>FALSE()</f>
        <v>0</v>
      </c>
      <c r="U135" s="65" t="b">
        <f>FALSE()</f>
        <v>0</v>
      </c>
      <c r="V135" s="65">
        <v>320</v>
      </c>
      <c r="W135" s="67" t="s">
        <v>737</v>
      </c>
      <c r="X135" s="65">
        <v>1</v>
      </c>
      <c r="Y135" s="68">
        <v>0.01</v>
      </c>
      <c r="Z135" s="65" t="b">
        <f>FALSE()</f>
        <v>0</v>
      </c>
      <c r="AA135" s="65" t="b">
        <f>TRUE()</f>
        <v>1</v>
      </c>
      <c r="AB135" s="65" t="b">
        <f>FALSE()</f>
        <v>0</v>
      </c>
      <c r="AC135" s="65" t="b">
        <f>FALSE()</f>
        <v>0</v>
      </c>
      <c r="AD135" s="65" t="b">
        <f>FALSE()</f>
        <v>0</v>
      </c>
      <c r="AE135" s="65">
        <v>1</v>
      </c>
      <c r="AF135" s="69">
        <v>14.3</v>
      </c>
      <c r="AG135" s="65" t="s">
        <v>74</v>
      </c>
      <c r="AH135" s="65" t="s">
        <v>738</v>
      </c>
      <c r="AI135">
        <f>IF(AND(OR(Company_Explorer!$B$5="All Companies",$E135=Company_Explorer!$B$5),OR(Company_Explorer!$B$6="All Platforms",$B135=Company_Explorer!$B$6),OR(Company_Explorer!$B$7="All Roles",$D135=Company_Explorer!$B$7),OR(Company_Explorer!$B$8="All Ghost Labels",$AG135=Company_Explorer!$B$8)),1,0)</f>
        <v>0</v>
      </c>
    </row>
    <row r="136" spans="1:35" ht="15" customHeight="1" x14ac:dyDescent="0.3">
      <c r="A136" s="60" t="s">
        <v>739</v>
      </c>
      <c r="B136" s="60" t="s">
        <v>80</v>
      </c>
      <c r="C136" s="60" t="s">
        <v>740</v>
      </c>
      <c r="D136" s="60" t="s">
        <v>125</v>
      </c>
      <c r="E136" s="60" t="s">
        <v>247</v>
      </c>
      <c r="F136" s="60" t="b">
        <f>TRUE()</f>
        <v>1</v>
      </c>
      <c r="G136" s="60" t="s">
        <v>166</v>
      </c>
      <c r="H136" s="60" t="s">
        <v>235</v>
      </c>
      <c r="I136" s="61">
        <v>46195</v>
      </c>
      <c r="J136" s="61">
        <v>46210</v>
      </c>
      <c r="K136" s="60">
        <v>15</v>
      </c>
      <c r="L136" s="60" t="s">
        <v>192</v>
      </c>
      <c r="M136" s="60" t="s">
        <v>185</v>
      </c>
      <c r="N136" s="60" t="b">
        <f>FALSE()</f>
        <v>0</v>
      </c>
      <c r="O136" s="60"/>
      <c r="P136" s="60"/>
      <c r="Q136" s="60" t="s">
        <v>236</v>
      </c>
      <c r="R136" s="60" t="s">
        <v>237</v>
      </c>
      <c r="S136" s="60"/>
      <c r="T136" s="60" t="b">
        <f>FALSE()</f>
        <v>0</v>
      </c>
      <c r="U136" s="60" t="b">
        <f>FALSE()</f>
        <v>0</v>
      </c>
      <c r="V136" s="60">
        <v>1086</v>
      </c>
      <c r="W136" s="62" t="s">
        <v>741</v>
      </c>
      <c r="X136" s="60">
        <v>9</v>
      </c>
      <c r="Y136" s="63">
        <v>0.06</v>
      </c>
      <c r="Z136" s="60" t="b">
        <f>FALSE()</f>
        <v>0</v>
      </c>
      <c r="AA136" s="60" t="b">
        <f>TRUE()</f>
        <v>1</v>
      </c>
      <c r="AB136" s="60" t="b">
        <f>FALSE()</f>
        <v>0</v>
      </c>
      <c r="AC136" s="60" t="b">
        <f>FALSE()</f>
        <v>0</v>
      </c>
      <c r="AD136" s="60" t="b">
        <f>FALSE()</f>
        <v>0</v>
      </c>
      <c r="AE136" s="60">
        <v>1</v>
      </c>
      <c r="AF136" s="64">
        <v>14.3</v>
      </c>
      <c r="AG136" s="60" t="s">
        <v>74</v>
      </c>
      <c r="AH136" s="60" t="s">
        <v>742</v>
      </c>
      <c r="AI136">
        <f>IF(AND(OR(Company_Explorer!$B$5="All Companies",$E136=Company_Explorer!$B$5),OR(Company_Explorer!$B$6="All Platforms",$B136=Company_Explorer!$B$6),OR(Company_Explorer!$B$7="All Roles",$D136=Company_Explorer!$B$7),OR(Company_Explorer!$B$8="All Ghost Labels",$AG136=Company_Explorer!$B$8)),1,0)</f>
        <v>0</v>
      </c>
    </row>
    <row r="137" spans="1:35" ht="15" customHeight="1" x14ac:dyDescent="0.3">
      <c r="A137" s="65" t="s">
        <v>743</v>
      </c>
      <c r="B137" s="65" t="s">
        <v>80</v>
      </c>
      <c r="C137" s="65" t="s">
        <v>125</v>
      </c>
      <c r="D137" s="65" t="s">
        <v>125</v>
      </c>
      <c r="E137" s="65" t="s">
        <v>614</v>
      </c>
      <c r="F137" s="65" t="b">
        <f>TRUE()</f>
        <v>1</v>
      </c>
      <c r="G137" s="65" t="s">
        <v>168</v>
      </c>
      <c r="H137" s="65" t="s">
        <v>254</v>
      </c>
      <c r="I137" s="66">
        <v>46207</v>
      </c>
      <c r="J137" s="66">
        <v>46210</v>
      </c>
      <c r="K137" s="65">
        <v>3</v>
      </c>
      <c r="L137" s="65" t="s">
        <v>192</v>
      </c>
      <c r="M137" s="65" t="s">
        <v>185</v>
      </c>
      <c r="N137" s="65" t="b">
        <f>FALSE()</f>
        <v>0</v>
      </c>
      <c r="O137" s="65"/>
      <c r="P137" s="65"/>
      <c r="Q137" s="65" t="s">
        <v>236</v>
      </c>
      <c r="R137" s="65" t="s">
        <v>237</v>
      </c>
      <c r="S137" s="65"/>
      <c r="T137" s="65" t="b">
        <f>FALSE()</f>
        <v>0</v>
      </c>
      <c r="U137" s="65" t="b">
        <f>FALSE()</f>
        <v>0</v>
      </c>
      <c r="V137" s="65">
        <v>714</v>
      </c>
      <c r="W137" s="67" t="s">
        <v>744</v>
      </c>
      <c r="X137" s="65">
        <v>7</v>
      </c>
      <c r="Y137" s="68">
        <v>0.04</v>
      </c>
      <c r="Z137" s="65" t="b">
        <f>FALSE()</f>
        <v>0</v>
      </c>
      <c r="AA137" s="65" t="b">
        <f>TRUE()</f>
        <v>1</v>
      </c>
      <c r="AB137" s="65" t="b">
        <f>FALSE()</f>
        <v>0</v>
      </c>
      <c r="AC137" s="65" t="b">
        <f>FALSE()</f>
        <v>0</v>
      </c>
      <c r="AD137" s="65" t="b">
        <f>FALSE()</f>
        <v>0</v>
      </c>
      <c r="AE137" s="65">
        <v>1</v>
      </c>
      <c r="AF137" s="69">
        <v>14.3</v>
      </c>
      <c r="AG137" s="65" t="s">
        <v>74</v>
      </c>
      <c r="AH137" s="65" t="s">
        <v>745</v>
      </c>
      <c r="AI137">
        <f>IF(AND(OR(Company_Explorer!$B$5="All Companies",$E137=Company_Explorer!$B$5),OR(Company_Explorer!$B$6="All Platforms",$B137=Company_Explorer!$B$6),OR(Company_Explorer!$B$7="All Roles",$D137=Company_Explorer!$B$7),OR(Company_Explorer!$B$8="All Ghost Labels",$AG137=Company_Explorer!$B$8)),1,0)</f>
        <v>0</v>
      </c>
    </row>
    <row r="138" spans="1:35" ht="15" customHeight="1" x14ac:dyDescent="0.3">
      <c r="A138" s="60" t="s">
        <v>746</v>
      </c>
      <c r="B138" s="60" t="s">
        <v>80</v>
      </c>
      <c r="C138" s="60" t="s">
        <v>747</v>
      </c>
      <c r="D138" s="60" t="s">
        <v>126</v>
      </c>
      <c r="E138" s="60" t="s">
        <v>155</v>
      </c>
      <c r="F138" s="60" t="b">
        <f>TRUE()</f>
        <v>1</v>
      </c>
      <c r="G138" s="60" t="s">
        <v>166</v>
      </c>
      <c r="H138" s="60" t="s">
        <v>235</v>
      </c>
      <c r="I138" s="61">
        <v>46197</v>
      </c>
      <c r="J138" s="61">
        <v>46210</v>
      </c>
      <c r="K138" s="60">
        <v>13</v>
      </c>
      <c r="L138" s="60" t="s">
        <v>192</v>
      </c>
      <c r="M138" s="60" t="s">
        <v>184</v>
      </c>
      <c r="N138" s="60" t="b">
        <f>FALSE()</f>
        <v>0</v>
      </c>
      <c r="O138" s="60"/>
      <c r="P138" s="60"/>
      <c r="Q138" s="60" t="s">
        <v>236</v>
      </c>
      <c r="R138" s="60" t="s">
        <v>237</v>
      </c>
      <c r="S138" s="60"/>
      <c r="T138" s="60" t="b">
        <f>FALSE()</f>
        <v>0</v>
      </c>
      <c r="U138" s="60" t="b">
        <f>FALSE()</f>
        <v>0</v>
      </c>
      <c r="V138" s="60">
        <v>393</v>
      </c>
      <c r="W138" s="62" t="s">
        <v>748</v>
      </c>
      <c r="X138" s="60">
        <v>16</v>
      </c>
      <c r="Y138" s="63">
        <v>0.1</v>
      </c>
      <c r="Z138" s="60" t="b">
        <f>FALSE()</f>
        <v>0</v>
      </c>
      <c r="AA138" s="60" t="b">
        <f>TRUE()</f>
        <v>1</v>
      </c>
      <c r="AB138" s="60" t="b">
        <f>FALSE()</f>
        <v>0</v>
      </c>
      <c r="AC138" s="60" t="b">
        <f>FALSE()</f>
        <v>0</v>
      </c>
      <c r="AD138" s="60" t="b">
        <f>FALSE()</f>
        <v>0</v>
      </c>
      <c r="AE138" s="60">
        <v>1</v>
      </c>
      <c r="AF138" s="64">
        <v>14.3</v>
      </c>
      <c r="AG138" s="60" t="s">
        <v>74</v>
      </c>
      <c r="AH138" s="60" t="s">
        <v>749</v>
      </c>
      <c r="AI138">
        <f>IF(AND(OR(Company_Explorer!$B$5="All Companies",$E138=Company_Explorer!$B$5),OR(Company_Explorer!$B$6="All Platforms",$B138=Company_Explorer!$B$6),OR(Company_Explorer!$B$7="All Roles",$D138=Company_Explorer!$B$7),OR(Company_Explorer!$B$8="All Ghost Labels",$AG138=Company_Explorer!$B$8)),1,0)</f>
        <v>0</v>
      </c>
    </row>
    <row r="139" spans="1:35" ht="15" customHeight="1" x14ac:dyDescent="0.3">
      <c r="A139" s="65" t="s">
        <v>750</v>
      </c>
      <c r="B139" s="65" t="s">
        <v>80</v>
      </c>
      <c r="C139" s="65" t="s">
        <v>751</v>
      </c>
      <c r="D139" s="65" t="s">
        <v>126</v>
      </c>
      <c r="E139" s="65" t="s">
        <v>752</v>
      </c>
      <c r="F139" s="65" t="b">
        <f>TRUE()</f>
        <v>1</v>
      </c>
      <c r="G139" s="65" t="s">
        <v>753</v>
      </c>
      <c r="H139" s="65" t="s">
        <v>754</v>
      </c>
      <c r="I139" s="66">
        <v>46181</v>
      </c>
      <c r="J139" s="66">
        <v>46210</v>
      </c>
      <c r="K139" s="65">
        <v>29</v>
      </c>
      <c r="L139" s="65" t="s">
        <v>192</v>
      </c>
      <c r="M139" s="65" t="s">
        <v>184</v>
      </c>
      <c r="N139" s="65" t="b">
        <f>FALSE()</f>
        <v>0</v>
      </c>
      <c r="O139" s="65"/>
      <c r="P139" s="65"/>
      <c r="Q139" s="65" t="s">
        <v>236</v>
      </c>
      <c r="R139" s="65" t="s">
        <v>237</v>
      </c>
      <c r="S139" s="65"/>
      <c r="T139" s="65" t="b">
        <f>FALSE()</f>
        <v>0</v>
      </c>
      <c r="U139" s="65" t="b">
        <f>FALSE()</f>
        <v>0</v>
      </c>
      <c r="V139" s="65">
        <v>384</v>
      </c>
      <c r="W139" s="67" t="s">
        <v>755</v>
      </c>
      <c r="X139" s="65">
        <v>1</v>
      </c>
      <c r="Y139" s="68">
        <v>0.01</v>
      </c>
      <c r="Z139" s="65" t="b">
        <f>FALSE()</f>
        <v>0</v>
      </c>
      <c r="AA139" s="65" t="b">
        <f>TRUE()</f>
        <v>1</v>
      </c>
      <c r="AB139" s="65" t="b">
        <f>FALSE()</f>
        <v>0</v>
      </c>
      <c r="AC139" s="65" t="b">
        <f>TRUE()</f>
        <v>1</v>
      </c>
      <c r="AD139" s="65" t="b">
        <f>FALSE()</f>
        <v>0</v>
      </c>
      <c r="AE139" s="65">
        <v>2</v>
      </c>
      <c r="AF139" s="69">
        <v>28.6</v>
      </c>
      <c r="AG139" s="65" t="s">
        <v>73</v>
      </c>
      <c r="AH139" s="65" t="s">
        <v>756</v>
      </c>
      <c r="AI139">
        <f>IF(AND(OR(Company_Explorer!$B$5="All Companies",$E139=Company_Explorer!$B$5),OR(Company_Explorer!$B$6="All Platforms",$B139=Company_Explorer!$B$6),OR(Company_Explorer!$B$7="All Roles",$D139=Company_Explorer!$B$7),OR(Company_Explorer!$B$8="All Ghost Labels",$AG139=Company_Explorer!$B$8)),1,0)</f>
        <v>0</v>
      </c>
    </row>
    <row r="140" spans="1:35" ht="15" customHeight="1" x14ac:dyDescent="0.3">
      <c r="A140" s="60" t="s">
        <v>757</v>
      </c>
      <c r="B140" s="60" t="s">
        <v>80</v>
      </c>
      <c r="C140" s="60" t="s">
        <v>758</v>
      </c>
      <c r="D140" s="60" t="s">
        <v>126</v>
      </c>
      <c r="E140" s="60" t="s">
        <v>759</v>
      </c>
      <c r="F140" s="60" t="b">
        <f>TRUE()</f>
        <v>1</v>
      </c>
      <c r="G140" s="60" t="s">
        <v>176</v>
      </c>
      <c r="H140" s="60" t="s">
        <v>302</v>
      </c>
      <c r="I140" s="61">
        <v>46186</v>
      </c>
      <c r="J140" s="61">
        <v>46210</v>
      </c>
      <c r="K140" s="60">
        <v>24</v>
      </c>
      <c r="L140" s="60" t="s">
        <v>192</v>
      </c>
      <c r="M140" s="60" t="s">
        <v>187</v>
      </c>
      <c r="N140" s="60" t="b">
        <f>FALSE()</f>
        <v>0</v>
      </c>
      <c r="O140" s="60"/>
      <c r="P140" s="60"/>
      <c r="Q140" s="60" t="s">
        <v>236</v>
      </c>
      <c r="R140" s="60" t="s">
        <v>237</v>
      </c>
      <c r="S140" s="60"/>
      <c r="T140" s="60" t="b">
        <f>FALSE()</f>
        <v>0</v>
      </c>
      <c r="U140" s="60" t="b">
        <f>FALSE()</f>
        <v>0</v>
      </c>
      <c r="V140" s="60">
        <v>308</v>
      </c>
      <c r="W140" s="60" t="s">
        <v>760</v>
      </c>
      <c r="X140" s="60">
        <v>1</v>
      </c>
      <c r="Y140" s="63">
        <v>0.01</v>
      </c>
      <c r="Z140" s="60" t="b">
        <f>FALSE()</f>
        <v>0</v>
      </c>
      <c r="AA140" s="60" t="b">
        <f>TRUE()</f>
        <v>1</v>
      </c>
      <c r="AB140" s="60" t="b">
        <f>FALSE()</f>
        <v>0</v>
      </c>
      <c r="AC140" s="60" t="b">
        <f>TRUE()</f>
        <v>1</v>
      </c>
      <c r="AD140" s="60" t="b">
        <f>FALSE()</f>
        <v>0</v>
      </c>
      <c r="AE140" s="60">
        <v>2</v>
      </c>
      <c r="AF140" s="64">
        <v>28.6</v>
      </c>
      <c r="AG140" s="60" t="s">
        <v>73</v>
      </c>
      <c r="AH140" s="60" t="s">
        <v>761</v>
      </c>
      <c r="AI140">
        <f>IF(AND(OR(Company_Explorer!$B$5="All Companies",$E140=Company_Explorer!$B$5),OR(Company_Explorer!$B$6="All Platforms",$B140=Company_Explorer!$B$6),OR(Company_Explorer!$B$7="All Roles",$D140=Company_Explorer!$B$7),OR(Company_Explorer!$B$8="All Ghost Labels",$AG140=Company_Explorer!$B$8)),1,0)</f>
        <v>0</v>
      </c>
    </row>
    <row r="141" spans="1:35" ht="15" customHeight="1" x14ac:dyDescent="0.3">
      <c r="A141" s="65" t="s">
        <v>762</v>
      </c>
      <c r="B141" s="65" t="s">
        <v>80</v>
      </c>
      <c r="C141" s="65" t="s">
        <v>763</v>
      </c>
      <c r="D141" s="65" t="s">
        <v>130</v>
      </c>
      <c r="E141" s="65" t="s">
        <v>764</v>
      </c>
      <c r="F141" s="65" t="b">
        <f>TRUE()</f>
        <v>1</v>
      </c>
      <c r="G141" s="65" t="s">
        <v>166</v>
      </c>
      <c r="H141" s="65" t="s">
        <v>235</v>
      </c>
      <c r="I141" s="66">
        <v>46205</v>
      </c>
      <c r="J141" s="66">
        <v>46210</v>
      </c>
      <c r="K141" s="65">
        <v>5</v>
      </c>
      <c r="L141" s="65" t="s">
        <v>192</v>
      </c>
      <c r="M141" s="65" t="s">
        <v>185</v>
      </c>
      <c r="N141" s="65" t="b">
        <f>FALSE()</f>
        <v>0</v>
      </c>
      <c r="O141" s="65"/>
      <c r="P141" s="65"/>
      <c r="Q141" s="65" t="s">
        <v>236</v>
      </c>
      <c r="R141" s="65" t="s">
        <v>237</v>
      </c>
      <c r="S141" s="65"/>
      <c r="T141" s="65" t="b">
        <f>FALSE()</f>
        <v>0</v>
      </c>
      <c r="U141" s="65" t="b">
        <f>FALSE()</f>
        <v>0</v>
      </c>
      <c r="V141" s="65">
        <v>698</v>
      </c>
      <c r="W141" s="65" t="s">
        <v>765</v>
      </c>
      <c r="X141" s="65">
        <v>3</v>
      </c>
      <c r="Y141" s="68">
        <v>0.02</v>
      </c>
      <c r="Z141" s="65" t="b">
        <f>FALSE()</f>
        <v>0</v>
      </c>
      <c r="AA141" s="65" t="b">
        <f>TRUE()</f>
        <v>1</v>
      </c>
      <c r="AB141" s="65" t="b">
        <f>FALSE()</f>
        <v>0</v>
      </c>
      <c r="AC141" s="65" t="b">
        <f>FALSE()</f>
        <v>0</v>
      </c>
      <c r="AD141" s="65" t="b">
        <f>FALSE()</f>
        <v>0</v>
      </c>
      <c r="AE141" s="65">
        <v>1</v>
      </c>
      <c r="AF141" s="69">
        <v>14.3</v>
      </c>
      <c r="AG141" s="65" t="s">
        <v>74</v>
      </c>
      <c r="AH141" s="65" t="s">
        <v>766</v>
      </c>
      <c r="AI141">
        <f>IF(AND(OR(Company_Explorer!$B$5="All Companies",$E141=Company_Explorer!$B$5),OR(Company_Explorer!$B$6="All Platforms",$B141=Company_Explorer!$B$6),OR(Company_Explorer!$B$7="All Roles",$D141=Company_Explorer!$B$7),OR(Company_Explorer!$B$8="All Ghost Labels",$AG141=Company_Explorer!$B$8)),1,0)</f>
        <v>0</v>
      </c>
    </row>
    <row r="142" spans="1:35" ht="15" customHeight="1" x14ac:dyDescent="0.3">
      <c r="A142" s="60" t="s">
        <v>767</v>
      </c>
      <c r="B142" s="60" t="s">
        <v>80</v>
      </c>
      <c r="C142" s="60" t="s">
        <v>258</v>
      </c>
      <c r="D142" s="60" t="s">
        <v>125</v>
      </c>
      <c r="E142" s="60" t="s">
        <v>141</v>
      </c>
      <c r="F142" s="60" t="b">
        <f>TRUE()</f>
        <v>1</v>
      </c>
      <c r="G142" s="60" t="s">
        <v>768</v>
      </c>
      <c r="H142" s="60" t="s">
        <v>769</v>
      </c>
      <c r="I142" s="61">
        <v>46198</v>
      </c>
      <c r="J142" s="61">
        <v>46210</v>
      </c>
      <c r="K142" s="60">
        <v>12</v>
      </c>
      <c r="L142" s="60" t="s">
        <v>192</v>
      </c>
      <c r="M142" s="60" t="s">
        <v>184</v>
      </c>
      <c r="N142" s="60" t="b">
        <f>FALSE()</f>
        <v>0</v>
      </c>
      <c r="O142" s="60"/>
      <c r="P142" s="60"/>
      <c r="Q142" s="60" t="s">
        <v>236</v>
      </c>
      <c r="R142" s="60" t="s">
        <v>237</v>
      </c>
      <c r="S142" s="60"/>
      <c r="T142" s="60" t="b">
        <f>FALSE()</f>
        <v>0</v>
      </c>
      <c r="U142" s="60" t="b">
        <f>FALSE()</f>
        <v>0</v>
      </c>
      <c r="V142" s="60">
        <v>265</v>
      </c>
      <c r="W142" s="62" t="s">
        <v>259</v>
      </c>
      <c r="X142" s="60">
        <v>429</v>
      </c>
      <c r="Y142" s="63">
        <v>2.66</v>
      </c>
      <c r="Z142" s="60" t="b">
        <f>FALSE()</f>
        <v>0</v>
      </c>
      <c r="AA142" s="60" t="b">
        <f>TRUE()</f>
        <v>1</v>
      </c>
      <c r="AB142" s="60" t="b">
        <f>TRUE()</f>
        <v>1</v>
      </c>
      <c r="AC142" s="60" t="b">
        <f>FALSE()</f>
        <v>0</v>
      </c>
      <c r="AD142" s="60" t="b">
        <f>TRUE()</f>
        <v>1</v>
      </c>
      <c r="AE142" s="60">
        <v>4</v>
      </c>
      <c r="AF142" s="64">
        <v>57.1</v>
      </c>
      <c r="AG142" s="60" t="s">
        <v>72</v>
      </c>
      <c r="AH142" s="60" t="s">
        <v>770</v>
      </c>
      <c r="AI142">
        <f>IF(AND(OR(Company_Explorer!$B$5="All Companies",$E142=Company_Explorer!$B$5),OR(Company_Explorer!$B$6="All Platforms",$B142=Company_Explorer!$B$6),OR(Company_Explorer!$B$7="All Roles",$D142=Company_Explorer!$B$7),OR(Company_Explorer!$B$8="All Ghost Labels",$AG142=Company_Explorer!$B$8)),1,0)</f>
        <v>0</v>
      </c>
    </row>
    <row r="143" spans="1:35" ht="15" customHeight="1" x14ac:dyDescent="0.3">
      <c r="A143" s="65" t="s">
        <v>771</v>
      </c>
      <c r="B143" s="65" t="s">
        <v>80</v>
      </c>
      <c r="C143" s="65" t="s">
        <v>772</v>
      </c>
      <c r="D143" s="65" t="s">
        <v>131</v>
      </c>
      <c r="E143" s="65" t="s">
        <v>773</v>
      </c>
      <c r="F143" s="65" t="b">
        <f>TRUE()</f>
        <v>1</v>
      </c>
      <c r="G143" s="65" t="s">
        <v>174</v>
      </c>
      <c r="H143" s="65" t="s">
        <v>302</v>
      </c>
      <c r="I143" s="66">
        <v>46193</v>
      </c>
      <c r="J143" s="66">
        <v>46210</v>
      </c>
      <c r="K143" s="65">
        <v>17</v>
      </c>
      <c r="L143" s="65" t="s">
        <v>192</v>
      </c>
      <c r="M143" s="65" t="s">
        <v>186</v>
      </c>
      <c r="N143" s="65" t="b">
        <f>FALSE()</f>
        <v>0</v>
      </c>
      <c r="O143" s="65"/>
      <c r="P143" s="65"/>
      <c r="Q143" s="65" t="s">
        <v>236</v>
      </c>
      <c r="R143" s="65" t="s">
        <v>237</v>
      </c>
      <c r="S143" s="65"/>
      <c r="T143" s="65" t="b">
        <f>FALSE()</f>
        <v>0</v>
      </c>
      <c r="U143" s="65" t="b">
        <f>FALSE()</f>
        <v>0</v>
      </c>
      <c r="V143" s="65">
        <v>262</v>
      </c>
      <c r="W143" s="67" t="s">
        <v>774</v>
      </c>
      <c r="X143" s="65">
        <v>2</v>
      </c>
      <c r="Y143" s="68">
        <v>0.01</v>
      </c>
      <c r="Z143" s="65" t="b">
        <f>FALSE()</f>
        <v>0</v>
      </c>
      <c r="AA143" s="65" t="b">
        <f>TRUE()</f>
        <v>1</v>
      </c>
      <c r="AB143" s="65" t="b">
        <f>TRUE()</f>
        <v>1</v>
      </c>
      <c r="AC143" s="65" t="b">
        <f>FALSE()</f>
        <v>0</v>
      </c>
      <c r="AD143" s="65" t="b">
        <f>FALSE()</f>
        <v>0</v>
      </c>
      <c r="AE143" s="65">
        <v>2</v>
      </c>
      <c r="AF143" s="69">
        <v>28.6</v>
      </c>
      <c r="AG143" s="65" t="s">
        <v>73</v>
      </c>
      <c r="AH143" s="65" t="s">
        <v>775</v>
      </c>
      <c r="AI143">
        <f>IF(AND(OR(Company_Explorer!$B$5="All Companies",$E143=Company_Explorer!$B$5),OR(Company_Explorer!$B$6="All Platforms",$B143=Company_Explorer!$B$6),OR(Company_Explorer!$B$7="All Roles",$D143=Company_Explorer!$B$7),OR(Company_Explorer!$B$8="All Ghost Labels",$AG143=Company_Explorer!$B$8)),1,0)</f>
        <v>0</v>
      </c>
    </row>
    <row r="144" spans="1:35" ht="15" customHeight="1" x14ac:dyDescent="0.3">
      <c r="A144" s="60" t="s">
        <v>776</v>
      </c>
      <c r="B144" s="60" t="s">
        <v>80</v>
      </c>
      <c r="C144" s="60" t="s">
        <v>315</v>
      </c>
      <c r="D144" s="60" t="s">
        <v>126</v>
      </c>
      <c r="E144" s="60" t="s">
        <v>141</v>
      </c>
      <c r="F144" s="60" t="b">
        <f>TRUE()</f>
        <v>1</v>
      </c>
      <c r="G144" s="60" t="s">
        <v>166</v>
      </c>
      <c r="H144" s="60" t="s">
        <v>235</v>
      </c>
      <c r="I144" s="61">
        <v>46198</v>
      </c>
      <c r="J144" s="61">
        <v>46210</v>
      </c>
      <c r="K144" s="60">
        <v>12</v>
      </c>
      <c r="L144" s="60" t="s">
        <v>192</v>
      </c>
      <c r="M144" s="60" t="s">
        <v>184</v>
      </c>
      <c r="N144" s="60" t="b">
        <f>FALSE()</f>
        <v>0</v>
      </c>
      <c r="O144" s="60"/>
      <c r="P144" s="60"/>
      <c r="Q144" s="60" t="s">
        <v>236</v>
      </c>
      <c r="R144" s="60" t="s">
        <v>237</v>
      </c>
      <c r="S144" s="60"/>
      <c r="T144" s="60" t="b">
        <f>FALSE()</f>
        <v>0</v>
      </c>
      <c r="U144" s="60" t="b">
        <f>FALSE()</f>
        <v>0</v>
      </c>
      <c r="V144" s="60">
        <v>278</v>
      </c>
      <c r="W144" s="62" t="s">
        <v>777</v>
      </c>
      <c r="X144" s="60">
        <v>429</v>
      </c>
      <c r="Y144" s="63">
        <v>2.66</v>
      </c>
      <c r="Z144" s="60" t="b">
        <f>FALSE()</f>
        <v>0</v>
      </c>
      <c r="AA144" s="60" t="b">
        <f>TRUE()</f>
        <v>1</v>
      </c>
      <c r="AB144" s="60" t="b">
        <f>FALSE()</f>
        <v>0</v>
      </c>
      <c r="AC144" s="60" t="b">
        <f>FALSE()</f>
        <v>0</v>
      </c>
      <c r="AD144" s="60" t="b">
        <f>TRUE()</f>
        <v>1</v>
      </c>
      <c r="AE144" s="60">
        <v>3</v>
      </c>
      <c r="AF144" s="64">
        <v>42.9</v>
      </c>
      <c r="AG144" s="60" t="s">
        <v>73</v>
      </c>
      <c r="AH144" s="60" t="s">
        <v>778</v>
      </c>
      <c r="AI144">
        <f>IF(AND(OR(Company_Explorer!$B$5="All Companies",$E144=Company_Explorer!$B$5),OR(Company_Explorer!$B$6="All Platforms",$B144=Company_Explorer!$B$6),OR(Company_Explorer!$B$7="All Roles",$D144=Company_Explorer!$B$7),OR(Company_Explorer!$B$8="All Ghost Labels",$AG144=Company_Explorer!$B$8)),1,0)</f>
        <v>0</v>
      </c>
    </row>
    <row r="145" spans="1:35" ht="15" customHeight="1" x14ac:dyDescent="0.3">
      <c r="A145" s="65" t="s">
        <v>779</v>
      </c>
      <c r="B145" s="65" t="s">
        <v>80</v>
      </c>
      <c r="C145" s="65" t="s">
        <v>780</v>
      </c>
      <c r="D145" s="65" t="s">
        <v>125</v>
      </c>
      <c r="E145" s="65" t="s">
        <v>781</v>
      </c>
      <c r="F145" s="65" t="b">
        <f>TRUE()</f>
        <v>1</v>
      </c>
      <c r="G145" s="65" t="s">
        <v>167</v>
      </c>
      <c r="H145" s="65" t="s">
        <v>276</v>
      </c>
      <c r="I145" s="66">
        <v>46172</v>
      </c>
      <c r="J145" s="66">
        <v>46210</v>
      </c>
      <c r="K145" s="65">
        <v>38</v>
      </c>
      <c r="L145" s="65" t="s">
        <v>192</v>
      </c>
      <c r="M145" s="65" t="s">
        <v>184</v>
      </c>
      <c r="N145" s="65" t="b">
        <f>FALSE()</f>
        <v>0</v>
      </c>
      <c r="O145" s="65"/>
      <c r="P145" s="65"/>
      <c r="Q145" s="65" t="s">
        <v>236</v>
      </c>
      <c r="R145" s="65" t="s">
        <v>237</v>
      </c>
      <c r="S145" s="65"/>
      <c r="T145" s="65" t="b">
        <f>FALSE()</f>
        <v>0</v>
      </c>
      <c r="U145" s="65" t="b">
        <f>FALSE()</f>
        <v>0</v>
      </c>
      <c r="V145" s="65">
        <v>555</v>
      </c>
      <c r="W145" s="67" t="s">
        <v>782</v>
      </c>
      <c r="X145" s="65">
        <v>3</v>
      </c>
      <c r="Y145" s="68">
        <v>0.02</v>
      </c>
      <c r="Z145" s="65" t="b">
        <f>FALSE()</f>
        <v>0</v>
      </c>
      <c r="AA145" s="65" t="b">
        <f>TRUE()</f>
        <v>1</v>
      </c>
      <c r="AB145" s="65" t="b">
        <f>FALSE()</f>
        <v>0</v>
      </c>
      <c r="AC145" s="65" t="b">
        <f>TRUE()</f>
        <v>1</v>
      </c>
      <c r="AD145" s="65" t="b">
        <f>FALSE()</f>
        <v>0</v>
      </c>
      <c r="AE145" s="65">
        <v>2</v>
      </c>
      <c r="AF145" s="69">
        <v>28.6</v>
      </c>
      <c r="AG145" s="65" t="s">
        <v>73</v>
      </c>
      <c r="AH145" s="65" t="s">
        <v>783</v>
      </c>
      <c r="AI145">
        <f>IF(AND(OR(Company_Explorer!$B$5="All Companies",$E145=Company_Explorer!$B$5),OR(Company_Explorer!$B$6="All Platforms",$B145=Company_Explorer!$B$6),OR(Company_Explorer!$B$7="All Roles",$D145=Company_Explorer!$B$7),OR(Company_Explorer!$B$8="All Ghost Labels",$AG145=Company_Explorer!$B$8)),1,0)</f>
        <v>0</v>
      </c>
    </row>
    <row r="146" spans="1:35" ht="15" customHeight="1" x14ac:dyDescent="0.3">
      <c r="A146" s="60" t="s">
        <v>784</v>
      </c>
      <c r="B146" s="60" t="s">
        <v>80</v>
      </c>
      <c r="C146" s="60" t="s">
        <v>125</v>
      </c>
      <c r="D146" s="60" t="s">
        <v>125</v>
      </c>
      <c r="E146" s="60" t="s">
        <v>159</v>
      </c>
      <c r="F146" s="60" t="b">
        <f>TRUE()</f>
        <v>1</v>
      </c>
      <c r="G146" s="60" t="s">
        <v>166</v>
      </c>
      <c r="H146" s="60" t="s">
        <v>235</v>
      </c>
      <c r="I146" s="61">
        <v>46201</v>
      </c>
      <c r="J146" s="61">
        <v>46210</v>
      </c>
      <c r="K146" s="60">
        <v>9</v>
      </c>
      <c r="L146" s="60" t="s">
        <v>192</v>
      </c>
      <c r="M146" s="60" t="s">
        <v>185</v>
      </c>
      <c r="N146" s="60" t="b">
        <f>FALSE()</f>
        <v>0</v>
      </c>
      <c r="O146" s="60"/>
      <c r="P146" s="60"/>
      <c r="Q146" s="60" t="s">
        <v>236</v>
      </c>
      <c r="R146" s="60" t="s">
        <v>237</v>
      </c>
      <c r="S146" s="60"/>
      <c r="T146" s="60" t="b">
        <f>FALSE()</f>
        <v>0</v>
      </c>
      <c r="U146" s="60" t="b">
        <f>FALSE()</f>
        <v>0</v>
      </c>
      <c r="V146" s="60">
        <v>577</v>
      </c>
      <c r="W146" s="62" t="s">
        <v>785</v>
      </c>
      <c r="X146" s="60">
        <v>11</v>
      </c>
      <c r="Y146" s="63">
        <v>7.0000000000000007E-2</v>
      </c>
      <c r="Z146" s="60" t="b">
        <f>FALSE()</f>
        <v>0</v>
      </c>
      <c r="AA146" s="60" t="b">
        <f>TRUE()</f>
        <v>1</v>
      </c>
      <c r="AB146" s="60" t="b">
        <f>FALSE()</f>
        <v>0</v>
      </c>
      <c r="AC146" s="60" t="b">
        <f>FALSE()</f>
        <v>0</v>
      </c>
      <c r="AD146" s="60" t="b">
        <f>FALSE()</f>
        <v>0</v>
      </c>
      <c r="AE146" s="60">
        <v>1</v>
      </c>
      <c r="AF146" s="64">
        <v>14.3</v>
      </c>
      <c r="AG146" s="60" t="s">
        <v>74</v>
      </c>
      <c r="AH146" s="60" t="s">
        <v>786</v>
      </c>
      <c r="AI146">
        <f>IF(AND(OR(Company_Explorer!$B$5="All Companies",$E146=Company_Explorer!$B$5),OR(Company_Explorer!$B$6="All Platforms",$B146=Company_Explorer!$B$6),OR(Company_Explorer!$B$7="All Roles",$D146=Company_Explorer!$B$7),OR(Company_Explorer!$B$8="All Ghost Labels",$AG146=Company_Explorer!$B$8)),1,0)</f>
        <v>0</v>
      </c>
    </row>
    <row r="147" spans="1:35" ht="15" customHeight="1" x14ac:dyDescent="0.3">
      <c r="A147" s="65" t="s">
        <v>787</v>
      </c>
      <c r="B147" s="65" t="s">
        <v>80</v>
      </c>
      <c r="C147" s="65" t="s">
        <v>125</v>
      </c>
      <c r="D147" s="65" t="s">
        <v>125</v>
      </c>
      <c r="E147" s="65" t="s">
        <v>159</v>
      </c>
      <c r="F147" s="65" t="b">
        <f>TRUE()</f>
        <v>1</v>
      </c>
      <c r="G147" s="65" t="s">
        <v>166</v>
      </c>
      <c r="H147" s="65" t="s">
        <v>235</v>
      </c>
      <c r="I147" s="66">
        <v>46206</v>
      </c>
      <c r="J147" s="66">
        <v>46210</v>
      </c>
      <c r="K147" s="65">
        <v>4</v>
      </c>
      <c r="L147" s="65" t="s">
        <v>192</v>
      </c>
      <c r="M147" s="65" t="s">
        <v>185</v>
      </c>
      <c r="N147" s="65" t="b">
        <f>FALSE()</f>
        <v>0</v>
      </c>
      <c r="O147" s="65"/>
      <c r="P147" s="65"/>
      <c r="Q147" s="65" t="s">
        <v>236</v>
      </c>
      <c r="R147" s="65" t="s">
        <v>237</v>
      </c>
      <c r="S147" s="65"/>
      <c r="T147" s="65" t="b">
        <f>FALSE()</f>
        <v>0</v>
      </c>
      <c r="U147" s="65" t="b">
        <f>FALSE()</f>
        <v>0</v>
      </c>
      <c r="V147" s="65">
        <v>484</v>
      </c>
      <c r="W147" s="67" t="s">
        <v>788</v>
      </c>
      <c r="X147" s="65">
        <v>11</v>
      </c>
      <c r="Y147" s="68">
        <v>7.0000000000000007E-2</v>
      </c>
      <c r="Z147" s="65" t="b">
        <f>FALSE()</f>
        <v>0</v>
      </c>
      <c r="AA147" s="65" t="b">
        <f>TRUE()</f>
        <v>1</v>
      </c>
      <c r="AB147" s="65" t="b">
        <f>FALSE()</f>
        <v>0</v>
      </c>
      <c r="AC147" s="65" t="b">
        <f>FALSE()</f>
        <v>0</v>
      </c>
      <c r="AD147" s="65" t="b">
        <f>FALSE()</f>
        <v>0</v>
      </c>
      <c r="AE147" s="65">
        <v>1</v>
      </c>
      <c r="AF147" s="69">
        <v>14.3</v>
      </c>
      <c r="AG147" s="65" t="s">
        <v>74</v>
      </c>
      <c r="AH147" s="65" t="s">
        <v>789</v>
      </c>
      <c r="AI147">
        <f>IF(AND(OR(Company_Explorer!$B$5="All Companies",$E147=Company_Explorer!$B$5),OR(Company_Explorer!$B$6="All Platforms",$B147=Company_Explorer!$B$6),OR(Company_Explorer!$B$7="All Roles",$D147=Company_Explorer!$B$7),OR(Company_Explorer!$B$8="All Ghost Labels",$AG147=Company_Explorer!$B$8)),1,0)</f>
        <v>0</v>
      </c>
    </row>
    <row r="148" spans="1:35" ht="15" customHeight="1" x14ac:dyDescent="0.3">
      <c r="A148" s="60" t="s">
        <v>790</v>
      </c>
      <c r="B148" s="60" t="s">
        <v>80</v>
      </c>
      <c r="C148" s="60" t="s">
        <v>791</v>
      </c>
      <c r="D148" s="60" t="s">
        <v>135</v>
      </c>
      <c r="E148" s="60" t="s">
        <v>792</v>
      </c>
      <c r="F148" s="60" t="b">
        <f>TRUE()</f>
        <v>1</v>
      </c>
      <c r="G148" s="60" t="s">
        <v>171</v>
      </c>
      <c r="H148" s="60" t="s">
        <v>254</v>
      </c>
      <c r="I148" s="61">
        <v>46196</v>
      </c>
      <c r="J148" s="61">
        <v>46210</v>
      </c>
      <c r="K148" s="60">
        <v>14</v>
      </c>
      <c r="L148" s="60" t="s">
        <v>192</v>
      </c>
      <c r="M148" s="60" t="s">
        <v>187</v>
      </c>
      <c r="N148" s="60" t="b">
        <f>FALSE()</f>
        <v>0</v>
      </c>
      <c r="O148" s="60"/>
      <c r="P148" s="60"/>
      <c r="Q148" s="60" t="s">
        <v>236</v>
      </c>
      <c r="R148" s="60" t="s">
        <v>237</v>
      </c>
      <c r="S148" s="60"/>
      <c r="T148" s="60" t="b">
        <f>FALSE()</f>
        <v>0</v>
      </c>
      <c r="U148" s="60" t="b">
        <f>FALSE()</f>
        <v>0</v>
      </c>
      <c r="V148" s="60">
        <v>159</v>
      </c>
      <c r="W148" s="62" t="s">
        <v>793</v>
      </c>
      <c r="X148" s="60">
        <v>1</v>
      </c>
      <c r="Y148" s="63">
        <v>0.01</v>
      </c>
      <c r="Z148" s="60" t="b">
        <f>FALSE()</f>
        <v>0</v>
      </c>
      <c r="AA148" s="60" t="b">
        <f>TRUE()</f>
        <v>1</v>
      </c>
      <c r="AB148" s="60" t="b">
        <f>TRUE()</f>
        <v>1</v>
      </c>
      <c r="AC148" s="60" t="b">
        <f>FALSE()</f>
        <v>0</v>
      </c>
      <c r="AD148" s="60" t="b">
        <f>FALSE()</f>
        <v>0</v>
      </c>
      <c r="AE148" s="60">
        <v>2</v>
      </c>
      <c r="AF148" s="64">
        <v>28.6</v>
      </c>
      <c r="AG148" s="60" t="s">
        <v>73</v>
      </c>
      <c r="AH148" s="60" t="s">
        <v>794</v>
      </c>
      <c r="AI148">
        <f>IF(AND(OR(Company_Explorer!$B$5="All Companies",$E148=Company_Explorer!$B$5),OR(Company_Explorer!$B$6="All Platforms",$B148=Company_Explorer!$B$6),OR(Company_Explorer!$B$7="All Roles",$D148=Company_Explorer!$B$7),OR(Company_Explorer!$B$8="All Ghost Labels",$AG148=Company_Explorer!$B$8)),1,0)</f>
        <v>0</v>
      </c>
    </row>
    <row r="149" spans="1:35" ht="15" customHeight="1" x14ac:dyDescent="0.3">
      <c r="A149" s="65" t="s">
        <v>795</v>
      </c>
      <c r="B149" s="65" t="s">
        <v>80</v>
      </c>
      <c r="C149" s="65" t="s">
        <v>258</v>
      </c>
      <c r="D149" s="65" t="s">
        <v>125</v>
      </c>
      <c r="E149" s="65" t="s">
        <v>141</v>
      </c>
      <c r="F149" s="65" t="b">
        <f>TRUE()</f>
        <v>1</v>
      </c>
      <c r="G149" s="65" t="s">
        <v>172</v>
      </c>
      <c r="H149" s="65" t="s">
        <v>276</v>
      </c>
      <c r="I149" s="66">
        <v>46198</v>
      </c>
      <c r="J149" s="66">
        <v>46210</v>
      </c>
      <c r="K149" s="65">
        <v>12</v>
      </c>
      <c r="L149" s="65" t="s">
        <v>192</v>
      </c>
      <c r="M149" s="65" t="s">
        <v>184</v>
      </c>
      <c r="N149" s="65" t="b">
        <f>FALSE()</f>
        <v>0</v>
      </c>
      <c r="O149" s="65"/>
      <c r="P149" s="65"/>
      <c r="Q149" s="65" t="s">
        <v>236</v>
      </c>
      <c r="R149" s="65" t="s">
        <v>237</v>
      </c>
      <c r="S149" s="65"/>
      <c r="T149" s="65" t="b">
        <f>FALSE()</f>
        <v>0</v>
      </c>
      <c r="U149" s="65" t="b">
        <f>FALSE()</f>
        <v>0</v>
      </c>
      <c r="V149" s="65">
        <v>330</v>
      </c>
      <c r="W149" s="67" t="s">
        <v>259</v>
      </c>
      <c r="X149" s="65">
        <v>429</v>
      </c>
      <c r="Y149" s="68">
        <v>2.66</v>
      </c>
      <c r="Z149" s="65" t="b">
        <f>FALSE()</f>
        <v>0</v>
      </c>
      <c r="AA149" s="65" t="b">
        <f>TRUE()</f>
        <v>1</v>
      </c>
      <c r="AB149" s="65" t="b">
        <f>FALSE()</f>
        <v>0</v>
      </c>
      <c r="AC149" s="65" t="b">
        <f>FALSE()</f>
        <v>0</v>
      </c>
      <c r="AD149" s="65" t="b">
        <f>TRUE()</f>
        <v>1</v>
      </c>
      <c r="AE149" s="65">
        <v>3</v>
      </c>
      <c r="AF149" s="69">
        <v>42.9</v>
      </c>
      <c r="AG149" s="65" t="s">
        <v>73</v>
      </c>
      <c r="AH149" s="65" t="s">
        <v>796</v>
      </c>
      <c r="AI149">
        <f>IF(AND(OR(Company_Explorer!$B$5="All Companies",$E149=Company_Explorer!$B$5),OR(Company_Explorer!$B$6="All Platforms",$B149=Company_Explorer!$B$6),OR(Company_Explorer!$B$7="All Roles",$D149=Company_Explorer!$B$7),OR(Company_Explorer!$B$8="All Ghost Labels",$AG149=Company_Explorer!$B$8)),1,0)</f>
        <v>0</v>
      </c>
    </row>
    <row r="150" spans="1:35" ht="15" customHeight="1" x14ac:dyDescent="0.3">
      <c r="A150" s="60" t="s">
        <v>797</v>
      </c>
      <c r="B150" s="60" t="s">
        <v>80</v>
      </c>
      <c r="C150" s="60" t="s">
        <v>798</v>
      </c>
      <c r="D150" s="60" t="s">
        <v>126</v>
      </c>
      <c r="E150" s="60" t="s">
        <v>799</v>
      </c>
      <c r="F150" s="60" t="b">
        <f>TRUE()</f>
        <v>1</v>
      </c>
      <c r="G150" s="60" t="s">
        <v>166</v>
      </c>
      <c r="H150" s="60" t="s">
        <v>235</v>
      </c>
      <c r="I150" s="61">
        <v>46154</v>
      </c>
      <c r="J150" s="61">
        <v>46210</v>
      </c>
      <c r="K150" s="60">
        <v>56</v>
      </c>
      <c r="L150" s="60" t="s">
        <v>192</v>
      </c>
      <c r="M150" s="60" t="s">
        <v>187</v>
      </c>
      <c r="N150" s="60" t="b">
        <f>FALSE()</f>
        <v>0</v>
      </c>
      <c r="O150" s="60"/>
      <c r="P150" s="60"/>
      <c r="Q150" s="60" t="s">
        <v>236</v>
      </c>
      <c r="R150" s="60" t="s">
        <v>237</v>
      </c>
      <c r="S150" s="60"/>
      <c r="T150" s="60" t="b">
        <f>FALSE()</f>
        <v>0</v>
      </c>
      <c r="U150" s="60" t="b">
        <f>FALSE()</f>
        <v>0</v>
      </c>
      <c r="V150" s="60">
        <v>297</v>
      </c>
      <c r="W150" s="62" t="s">
        <v>800</v>
      </c>
      <c r="X150" s="60">
        <v>1</v>
      </c>
      <c r="Y150" s="63">
        <v>0.01</v>
      </c>
      <c r="Z150" s="60" t="b">
        <f>FALSE()</f>
        <v>0</v>
      </c>
      <c r="AA150" s="60" t="b">
        <f>TRUE()</f>
        <v>1</v>
      </c>
      <c r="AB150" s="60" t="b">
        <f>FALSE()</f>
        <v>0</v>
      </c>
      <c r="AC150" s="60" t="b">
        <f>TRUE()</f>
        <v>1</v>
      </c>
      <c r="AD150" s="60" t="b">
        <f>FALSE()</f>
        <v>0</v>
      </c>
      <c r="AE150" s="60">
        <v>2</v>
      </c>
      <c r="AF150" s="64">
        <v>28.6</v>
      </c>
      <c r="AG150" s="60" t="s">
        <v>73</v>
      </c>
      <c r="AH150" s="60" t="s">
        <v>801</v>
      </c>
      <c r="AI150">
        <f>IF(AND(OR(Company_Explorer!$B$5="All Companies",$E150=Company_Explorer!$B$5),OR(Company_Explorer!$B$6="All Platforms",$B150=Company_Explorer!$B$6),OR(Company_Explorer!$B$7="All Roles",$D150=Company_Explorer!$B$7),OR(Company_Explorer!$B$8="All Ghost Labels",$AG150=Company_Explorer!$B$8)),1,0)</f>
        <v>0</v>
      </c>
    </row>
    <row r="151" spans="1:35" ht="15" customHeight="1" x14ac:dyDescent="0.3">
      <c r="A151" s="65" t="s">
        <v>802</v>
      </c>
      <c r="B151" s="65" t="s">
        <v>80</v>
      </c>
      <c r="C151" s="65" t="s">
        <v>125</v>
      </c>
      <c r="D151" s="65" t="s">
        <v>125</v>
      </c>
      <c r="E151" s="65" t="s">
        <v>803</v>
      </c>
      <c r="F151" s="65" t="b">
        <f>TRUE()</f>
        <v>1</v>
      </c>
      <c r="G151" s="65" t="s">
        <v>254</v>
      </c>
      <c r="H151" s="65" t="s">
        <v>178</v>
      </c>
      <c r="I151" s="66">
        <v>46202</v>
      </c>
      <c r="J151" s="66">
        <v>46210</v>
      </c>
      <c r="K151" s="65">
        <v>8</v>
      </c>
      <c r="L151" s="65" t="s">
        <v>192</v>
      </c>
      <c r="M151" s="65" t="s">
        <v>185</v>
      </c>
      <c r="N151" s="65" t="b">
        <f>FALSE()</f>
        <v>0</v>
      </c>
      <c r="O151" s="65"/>
      <c r="P151" s="65"/>
      <c r="Q151" s="65" t="s">
        <v>236</v>
      </c>
      <c r="R151" s="65" t="s">
        <v>237</v>
      </c>
      <c r="S151" s="65"/>
      <c r="T151" s="65" t="b">
        <f>FALSE()</f>
        <v>0</v>
      </c>
      <c r="U151" s="65" t="b">
        <f>FALSE()</f>
        <v>0</v>
      </c>
      <c r="V151" s="65">
        <v>60</v>
      </c>
      <c r="W151" s="67" t="s">
        <v>804</v>
      </c>
      <c r="X151" s="65">
        <v>2</v>
      </c>
      <c r="Y151" s="68">
        <v>0.01</v>
      </c>
      <c r="Z151" s="65" t="b">
        <f>FALSE()</f>
        <v>0</v>
      </c>
      <c r="AA151" s="65" t="b">
        <f>TRUE()</f>
        <v>1</v>
      </c>
      <c r="AB151" s="65" t="b">
        <f>TRUE()</f>
        <v>1</v>
      </c>
      <c r="AC151" s="65" t="b">
        <f>FALSE()</f>
        <v>0</v>
      </c>
      <c r="AD151" s="65" t="b">
        <f>FALSE()</f>
        <v>0</v>
      </c>
      <c r="AE151" s="65">
        <v>2</v>
      </c>
      <c r="AF151" s="69">
        <v>28.6</v>
      </c>
      <c r="AG151" s="65" t="s">
        <v>73</v>
      </c>
      <c r="AH151" s="65" t="s">
        <v>805</v>
      </c>
      <c r="AI151">
        <f>IF(AND(OR(Company_Explorer!$B$5="All Companies",$E151=Company_Explorer!$B$5),OR(Company_Explorer!$B$6="All Platforms",$B151=Company_Explorer!$B$6),OR(Company_Explorer!$B$7="All Roles",$D151=Company_Explorer!$B$7),OR(Company_Explorer!$B$8="All Ghost Labels",$AG151=Company_Explorer!$B$8)),1,0)</f>
        <v>0</v>
      </c>
    </row>
    <row r="152" spans="1:35" ht="15" customHeight="1" x14ac:dyDescent="0.3">
      <c r="A152" s="60" t="s">
        <v>806</v>
      </c>
      <c r="B152" s="60" t="s">
        <v>80</v>
      </c>
      <c r="C152" s="60" t="s">
        <v>807</v>
      </c>
      <c r="D152" s="60" t="s">
        <v>126</v>
      </c>
      <c r="E152" s="60" t="s">
        <v>155</v>
      </c>
      <c r="F152" s="60" t="b">
        <f>TRUE()</f>
        <v>1</v>
      </c>
      <c r="G152" s="60" t="s">
        <v>166</v>
      </c>
      <c r="H152" s="60" t="s">
        <v>235</v>
      </c>
      <c r="I152" s="61">
        <v>46198</v>
      </c>
      <c r="J152" s="61">
        <v>46210</v>
      </c>
      <c r="K152" s="60">
        <v>12</v>
      </c>
      <c r="L152" s="60" t="s">
        <v>192</v>
      </c>
      <c r="M152" s="60" t="s">
        <v>184</v>
      </c>
      <c r="N152" s="60" t="b">
        <f>FALSE()</f>
        <v>0</v>
      </c>
      <c r="O152" s="60"/>
      <c r="P152" s="60"/>
      <c r="Q152" s="60" t="s">
        <v>236</v>
      </c>
      <c r="R152" s="60" t="s">
        <v>237</v>
      </c>
      <c r="S152" s="60"/>
      <c r="T152" s="60" t="b">
        <f>FALSE()</f>
        <v>0</v>
      </c>
      <c r="U152" s="60" t="b">
        <f>FALSE()</f>
        <v>0</v>
      </c>
      <c r="V152" s="60">
        <v>533</v>
      </c>
      <c r="W152" s="62" t="s">
        <v>808</v>
      </c>
      <c r="X152" s="60">
        <v>16</v>
      </c>
      <c r="Y152" s="63">
        <v>0.1</v>
      </c>
      <c r="Z152" s="60" t="b">
        <f>FALSE()</f>
        <v>0</v>
      </c>
      <c r="AA152" s="60" t="b">
        <f>TRUE()</f>
        <v>1</v>
      </c>
      <c r="AB152" s="60" t="b">
        <f>FALSE()</f>
        <v>0</v>
      </c>
      <c r="AC152" s="60" t="b">
        <f>FALSE()</f>
        <v>0</v>
      </c>
      <c r="AD152" s="60" t="b">
        <f>FALSE()</f>
        <v>0</v>
      </c>
      <c r="AE152" s="60">
        <v>1</v>
      </c>
      <c r="AF152" s="64">
        <v>14.3</v>
      </c>
      <c r="AG152" s="60" t="s">
        <v>74</v>
      </c>
      <c r="AH152" s="60" t="s">
        <v>809</v>
      </c>
      <c r="AI152">
        <f>IF(AND(OR(Company_Explorer!$B$5="All Companies",$E152=Company_Explorer!$B$5),OR(Company_Explorer!$B$6="All Platforms",$B152=Company_Explorer!$B$6),OR(Company_Explorer!$B$7="All Roles",$D152=Company_Explorer!$B$7),OR(Company_Explorer!$B$8="All Ghost Labels",$AG152=Company_Explorer!$B$8)),1,0)</f>
        <v>0</v>
      </c>
    </row>
    <row r="153" spans="1:35" ht="15" customHeight="1" x14ac:dyDescent="0.3">
      <c r="A153" s="65" t="s">
        <v>810</v>
      </c>
      <c r="B153" s="65" t="s">
        <v>80</v>
      </c>
      <c r="C153" s="65" t="s">
        <v>125</v>
      </c>
      <c r="D153" s="65" t="s">
        <v>125</v>
      </c>
      <c r="E153" s="65" t="s">
        <v>811</v>
      </c>
      <c r="F153" s="65" t="b">
        <f>TRUE()</f>
        <v>1</v>
      </c>
      <c r="G153" s="65" t="s">
        <v>166</v>
      </c>
      <c r="H153" s="65" t="s">
        <v>235</v>
      </c>
      <c r="I153" s="66">
        <v>46204</v>
      </c>
      <c r="J153" s="66">
        <v>46210</v>
      </c>
      <c r="K153" s="65">
        <v>6</v>
      </c>
      <c r="L153" s="65" t="s">
        <v>192</v>
      </c>
      <c r="M153" s="65" t="s">
        <v>187</v>
      </c>
      <c r="N153" s="65" t="b">
        <f>FALSE()</f>
        <v>0</v>
      </c>
      <c r="O153" s="65"/>
      <c r="P153" s="65"/>
      <c r="Q153" s="65" t="s">
        <v>236</v>
      </c>
      <c r="R153" s="65" t="s">
        <v>237</v>
      </c>
      <c r="S153" s="65"/>
      <c r="T153" s="65" t="b">
        <f>FALSE()</f>
        <v>0</v>
      </c>
      <c r="U153" s="65" t="b">
        <f>FALSE()</f>
        <v>0</v>
      </c>
      <c r="V153" s="65">
        <v>402</v>
      </c>
      <c r="W153" s="67" t="s">
        <v>812</v>
      </c>
      <c r="X153" s="65">
        <v>1</v>
      </c>
      <c r="Y153" s="68">
        <v>0.01</v>
      </c>
      <c r="Z153" s="65" t="b">
        <f>FALSE()</f>
        <v>0</v>
      </c>
      <c r="AA153" s="65" t="b">
        <f>TRUE()</f>
        <v>1</v>
      </c>
      <c r="AB153" s="65" t="b">
        <f>FALSE()</f>
        <v>0</v>
      </c>
      <c r="AC153" s="65" t="b">
        <f>FALSE()</f>
        <v>0</v>
      </c>
      <c r="AD153" s="65" t="b">
        <f>FALSE()</f>
        <v>0</v>
      </c>
      <c r="AE153" s="65">
        <v>1</v>
      </c>
      <c r="AF153" s="69">
        <v>14.3</v>
      </c>
      <c r="AG153" s="65" t="s">
        <v>74</v>
      </c>
      <c r="AH153" s="65" t="s">
        <v>813</v>
      </c>
      <c r="AI153">
        <f>IF(AND(OR(Company_Explorer!$B$5="All Companies",$E153=Company_Explorer!$B$5),OR(Company_Explorer!$B$6="All Platforms",$B153=Company_Explorer!$B$6),OR(Company_Explorer!$B$7="All Roles",$D153=Company_Explorer!$B$7),OR(Company_Explorer!$B$8="All Ghost Labels",$AG153=Company_Explorer!$B$8)),1,0)</f>
        <v>0</v>
      </c>
    </row>
    <row r="154" spans="1:35" ht="15" customHeight="1" x14ac:dyDescent="0.3">
      <c r="A154" s="60" t="s">
        <v>814</v>
      </c>
      <c r="B154" s="60" t="s">
        <v>80</v>
      </c>
      <c r="C154" s="60" t="s">
        <v>306</v>
      </c>
      <c r="D154" s="60" t="s">
        <v>125</v>
      </c>
      <c r="E154" s="60" t="s">
        <v>141</v>
      </c>
      <c r="F154" s="60" t="b">
        <f>TRUE()</f>
        <v>1</v>
      </c>
      <c r="G154" s="60" t="s">
        <v>169</v>
      </c>
      <c r="H154" s="60" t="s">
        <v>294</v>
      </c>
      <c r="I154" s="61">
        <v>46197</v>
      </c>
      <c r="J154" s="61">
        <v>46210</v>
      </c>
      <c r="K154" s="60">
        <v>13</v>
      </c>
      <c r="L154" s="60" t="s">
        <v>192</v>
      </c>
      <c r="M154" s="60" t="s">
        <v>184</v>
      </c>
      <c r="N154" s="60" t="b">
        <f>FALSE()</f>
        <v>0</v>
      </c>
      <c r="O154" s="60"/>
      <c r="P154" s="60"/>
      <c r="Q154" s="60" t="s">
        <v>236</v>
      </c>
      <c r="R154" s="60" t="s">
        <v>237</v>
      </c>
      <c r="S154" s="60"/>
      <c r="T154" s="60" t="b">
        <f>FALSE()</f>
        <v>0</v>
      </c>
      <c r="U154" s="60" t="b">
        <f>FALSE()</f>
        <v>0</v>
      </c>
      <c r="V154" s="60">
        <v>335</v>
      </c>
      <c r="W154" s="62" t="s">
        <v>815</v>
      </c>
      <c r="X154" s="60">
        <v>429</v>
      </c>
      <c r="Y154" s="63">
        <v>2.66</v>
      </c>
      <c r="Z154" s="60" t="b">
        <f>FALSE()</f>
        <v>0</v>
      </c>
      <c r="AA154" s="60" t="b">
        <f>TRUE()</f>
        <v>1</v>
      </c>
      <c r="AB154" s="60" t="b">
        <f>FALSE()</f>
        <v>0</v>
      </c>
      <c r="AC154" s="60" t="b">
        <f>FALSE()</f>
        <v>0</v>
      </c>
      <c r="AD154" s="60" t="b">
        <f>TRUE()</f>
        <v>1</v>
      </c>
      <c r="AE154" s="60">
        <v>3</v>
      </c>
      <c r="AF154" s="64">
        <v>42.9</v>
      </c>
      <c r="AG154" s="60" t="s">
        <v>73</v>
      </c>
      <c r="AH154" s="60" t="s">
        <v>816</v>
      </c>
      <c r="AI154">
        <f>IF(AND(OR(Company_Explorer!$B$5="All Companies",$E154=Company_Explorer!$B$5),OR(Company_Explorer!$B$6="All Platforms",$B154=Company_Explorer!$B$6),OR(Company_Explorer!$B$7="All Roles",$D154=Company_Explorer!$B$7),OR(Company_Explorer!$B$8="All Ghost Labels",$AG154=Company_Explorer!$B$8)),1,0)</f>
        <v>0</v>
      </c>
    </row>
    <row r="155" spans="1:35" ht="15" customHeight="1" x14ac:dyDescent="0.3">
      <c r="A155" s="65" t="s">
        <v>817</v>
      </c>
      <c r="B155" s="65" t="s">
        <v>80</v>
      </c>
      <c r="C155" s="65" t="s">
        <v>306</v>
      </c>
      <c r="D155" s="65" t="s">
        <v>125</v>
      </c>
      <c r="E155" s="65" t="s">
        <v>141</v>
      </c>
      <c r="F155" s="65" t="b">
        <f>TRUE()</f>
        <v>1</v>
      </c>
      <c r="G155" s="65" t="s">
        <v>462</v>
      </c>
      <c r="H155" s="65" t="s">
        <v>254</v>
      </c>
      <c r="I155" s="66">
        <v>46195</v>
      </c>
      <c r="J155" s="66">
        <v>46210</v>
      </c>
      <c r="K155" s="65">
        <v>15</v>
      </c>
      <c r="L155" s="65" t="s">
        <v>192</v>
      </c>
      <c r="M155" s="65" t="s">
        <v>184</v>
      </c>
      <c r="N155" s="65" t="b">
        <f>FALSE()</f>
        <v>0</v>
      </c>
      <c r="O155" s="65"/>
      <c r="P155" s="65"/>
      <c r="Q155" s="65" t="s">
        <v>236</v>
      </c>
      <c r="R155" s="65" t="s">
        <v>237</v>
      </c>
      <c r="S155" s="65"/>
      <c r="T155" s="65" t="b">
        <f>FALSE()</f>
        <v>0</v>
      </c>
      <c r="U155" s="65" t="b">
        <f>FALSE()</f>
        <v>0</v>
      </c>
      <c r="V155" s="65">
        <v>295</v>
      </c>
      <c r="W155" s="67" t="s">
        <v>818</v>
      </c>
      <c r="X155" s="65">
        <v>429</v>
      </c>
      <c r="Y155" s="68">
        <v>2.66</v>
      </c>
      <c r="Z155" s="65" t="b">
        <f>FALSE()</f>
        <v>0</v>
      </c>
      <c r="AA155" s="65" t="b">
        <f>TRUE()</f>
        <v>1</v>
      </c>
      <c r="AB155" s="65" t="b">
        <f>FALSE()</f>
        <v>0</v>
      </c>
      <c r="AC155" s="65" t="b">
        <f>FALSE()</f>
        <v>0</v>
      </c>
      <c r="AD155" s="65" t="b">
        <f>TRUE()</f>
        <v>1</v>
      </c>
      <c r="AE155" s="65">
        <v>3</v>
      </c>
      <c r="AF155" s="69">
        <v>42.9</v>
      </c>
      <c r="AG155" s="65" t="s">
        <v>73</v>
      </c>
      <c r="AH155" s="65" t="s">
        <v>819</v>
      </c>
      <c r="AI155">
        <f>IF(AND(OR(Company_Explorer!$B$5="All Companies",$E155=Company_Explorer!$B$5),OR(Company_Explorer!$B$6="All Platforms",$B155=Company_Explorer!$B$6),OR(Company_Explorer!$B$7="All Roles",$D155=Company_Explorer!$B$7),OR(Company_Explorer!$B$8="All Ghost Labels",$AG155=Company_Explorer!$B$8)),1,0)</f>
        <v>0</v>
      </c>
    </row>
    <row r="156" spans="1:35" ht="15" customHeight="1" x14ac:dyDescent="0.3">
      <c r="A156" s="60" t="s">
        <v>820</v>
      </c>
      <c r="B156" s="60" t="s">
        <v>80</v>
      </c>
      <c r="C156" s="60" t="s">
        <v>125</v>
      </c>
      <c r="D156" s="60" t="s">
        <v>125</v>
      </c>
      <c r="E156" s="60" t="s">
        <v>589</v>
      </c>
      <c r="F156" s="60" t="b">
        <f>TRUE()</f>
        <v>1</v>
      </c>
      <c r="G156" s="60" t="s">
        <v>753</v>
      </c>
      <c r="H156" s="60" t="s">
        <v>754</v>
      </c>
      <c r="I156" s="61">
        <v>46062</v>
      </c>
      <c r="J156" s="61">
        <v>46210</v>
      </c>
      <c r="K156" s="60">
        <v>148</v>
      </c>
      <c r="L156" s="60" t="s">
        <v>192</v>
      </c>
      <c r="M156" s="60" t="s">
        <v>185</v>
      </c>
      <c r="N156" s="60" t="b">
        <f>TRUE()</f>
        <v>1</v>
      </c>
      <c r="O156" s="70">
        <v>1500000</v>
      </c>
      <c r="P156" s="70">
        <v>2400000</v>
      </c>
      <c r="Q156" s="60" t="s">
        <v>332</v>
      </c>
      <c r="R156" s="60" t="s">
        <v>237</v>
      </c>
      <c r="S156" s="60"/>
      <c r="T156" s="60" t="b">
        <f>FALSE()</f>
        <v>0</v>
      </c>
      <c r="U156" s="60" t="b">
        <f>FALSE()</f>
        <v>0</v>
      </c>
      <c r="V156" s="60">
        <v>168</v>
      </c>
      <c r="W156" s="62" t="s">
        <v>821</v>
      </c>
      <c r="X156" s="60">
        <v>6</v>
      </c>
      <c r="Y156" s="63">
        <v>0.04</v>
      </c>
      <c r="Z156" s="60" t="b">
        <f>FALSE()</f>
        <v>0</v>
      </c>
      <c r="AA156" s="60" t="b">
        <f>FALSE()</f>
        <v>0</v>
      </c>
      <c r="AB156" s="60" t="b">
        <f>TRUE()</f>
        <v>1</v>
      </c>
      <c r="AC156" s="60" t="b">
        <f>TRUE()</f>
        <v>1</v>
      </c>
      <c r="AD156" s="60" t="b">
        <f>FALSE()</f>
        <v>0</v>
      </c>
      <c r="AE156" s="60">
        <v>2</v>
      </c>
      <c r="AF156" s="64">
        <v>28.6</v>
      </c>
      <c r="AG156" s="60" t="s">
        <v>73</v>
      </c>
      <c r="AH156" s="60" t="s">
        <v>822</v>
      </c>
      <c r="AI156">
        <f>IF(AND(OR(Company_Explorer!$B$5="All Companies",$E156=Company_Explorer!$B$5),OR(Company_Explorer!$B$6="All Platforms",$B156=Company_Explorer!$B$6),OR(Company_Explorer!$B$7="All Roles",$D156=Company_Explorer!$B$7),OR(Company_Explorer!$B$8="All Ghost Labels",$AG156=Company_Explorer!$B$8)),1,0)</f>
        <v>0</v>
      </c>
    </row>
    <row r="157" spans="1:35" ht="15" customHeight="1" x14ac:dyDescent="0.3">
      <c r="A157" s="65" t="s">
        <v>823</v>
      </c>
      <c r="B157" s="65" t="s">
        <v>80</v>
      </c>
      <c r="C157" s="65" t="s">
        <v>125</v>
      </c>
      <c r="D157" s="65" t="s">
        <v>125</v>
      </c>
      <c r="E157" s="65" t="s">
        <v>803</v>
      </c>
      <c r="F157" s="65" t="b">
        <f>TRUE()</f>
        <v>1</v>
      </c>
      <c r="G157" s="65" t="s">
        <v>276</v>
      </c>
      <c r="H157" s="65" t="s">
        <v>178</v>
      </c>
      <c r="I157" s="66">
        <v>46202</v>
      </c>
      <c r="J157" s="66">
        <v>46210</v>
      </c>
      <c r="K157" s="65">
        <v>8</v>
      </c>
      <c r="L157" s="65" t="s">
        <v>192</v>
      </c>
      <c r="M157" s="65" t="s">
        <v>185</v>
      </c>
      <c r="N157" s="65" t="b">
        <f>FALSE()</f>
        <v>0</v>
      </c>
      <c r="O157" s="65"/>
      <c r="P157" s="65"/>
      <c r="Q157" s="65" t="s">
        <v>236</v>
      </c>
      <c r="R157" s="65" t="s">
        <v>237</v>
      </c>
      <c r="S157" s="65"/>
      <c r="T157" s="65" t="b">
        <f>FALSE()</f>
        <v>0</v>
      </c>
      <c r="U157" s="65" t="b">
        <f>FALSE()</f>
        <v>0</v>
      </c>
      <c r="V157" s="65">
        <v>60</v>
      </c>
      <c r="W157" s="67" t="s">
        <v>824</v>
      </c>
      <c r="X157" s="65">
        <v>2</v>
      </c>
      <c r="Y157" s="68">
        <v>0.01</v>
      </c>
      <c r="Z157" s="65" t="b">
        <f>FALSE()</f>
        <v>0</v>
      </c>
      <c r="AA157" s="65" t="b">
        <f>TRUE()</f>
        <v>1</v>
      </c>
      <c r="AB157" s="65" t="b">
        <f>TRUE()</f>
        <v>1</v>
      </c>
      <c r="AC157" s="65" t="b">
        <f>FALSE()</f>
        <v>0</v>
      </c>
      <c r="AD157" s="65" t="b">
        <f>FALSE()</f>
        <v>0</v>
      </c>
      <c r="AE157" s="65">
        <v>2</v>
      </c>
      <c r="AF157" s="69">
        <v>28.6</v>
      </c>
      <c r="AG157" s="65" t="s">
        <v>73</v>
      </c>
      <c r="AH157" s="65" t="s">
        <v>825</v>
      </c>
      <c r="AI157">
        <f>IF(AND(OR(Company_Explorer!$B$5="All Companies",$E157=Company_Explorer!$B$5),OR(Company_Explorer!$B$6="All Platforms",$B157=Company_Explorer!$B$6),OR(Company_Explorer!$B$7="All Roles",$D157=Company_Explorer!$B$7),OR(Company_Explorer!$B$8="All Ghost Labels",$AG157=Company_Explorer!$B$8)),1,0)</f>
        <v>0</v>
      </c>
    </row>
    <row r="158" spans="1:35" ht="15" customHeight="1" x14ac:dyDescent="0.3">
      <c r="A158" s="60" t="s">
        <v>826</v>
      </c>
      <c r="B158" s="60" t="s">
        <v>80</v>
      </c>
      <c r="C158" s="60" t="s">
        <v>258</v>
      </c>
      <c r="D158" s="60" t="s">
        <v>125</v>
      </c>
      <c r="E158" s="60" t="s">
        <v>141</v>
      </c>
      <c r="F158" s="60" t="b">
        <f>TRUE()</f>
        <v>1</v>
      </c>
      <c r="G158" s="60" t="s">
        <v>173</v>
      </c>
      <c r="H158" s="60" t="s">
        <v>827</v>
      </c>
      <c r="I158" s="61">
        <v>46206</v>
      </c>
      <c r="J158" s="61">
        <v>46210</v>
      </c>
      <c r="K158" s="60">
        <v>4</v>
      </c>
      <c r="L158" s="60" t="s">
        <v>192</v>
      </c>
      <c r="M158" s="60" t="s">
        <v>184</v>
      </c>
      <c r="N158" s="60" t="b">
        <f>FALSE()</f>
        <v>0</v>
      </c>
      <c r="O158" s="60"/>
      <c r="P158" s="60"/>
      <c r="Q158" s="60" t="s">
        <v>236</v>
      </c>
      <c r="R158" s="60" t="s">
        <v>237</v>
      </c>
      <c r="S158" s="60"/>
      <c r="T158" s="60" t="b">
        <f>FALSE()</f>
        <v>0</v>
      </c>
      <c r="U158" s="60" t="b">
        <f>FALSE()</f>
        <v>0</v>
      </c>
      <c r="V158" s="60">
        <v>330</v>
      </c>
      <c r="W158" s="62" t="s">
        <v>259</v>
      </c>
      <c r="X158" s="60">
        <v>429</v>
      </c>
      <c r="Y158" s="63">
        <v>2.66</v>
      </c>
      <c r="Z158" s="60" t="b">
        <f>FALSE()</f>
        <v>0</v>
      </c>
      <c r="AA158" s="60" t="b">
        <f>TRUE()</f>
        <v>1</v>
      </c>
      <c r="AB158" s="60" t="b">
        <f>FALSE()</f>
        <v>0</v>
      </c>
      <c r="AC158" s="60" t="b">
        <f>FALSE()</f>
        <v>0</v>
      </c>
      <c r="AD158" s="60" t="b">
        <f>TRUE()</f>
        <v>1</v>
      </c>
      <c r="AE158" s="60">
        <v>3</v>
      </c>
      <c r="AF158" s="64">
        <v>42.9</v>
      </c>
      <c r="AG158" s="60" t="s">
        <v>73</v>
      </c>
      <c r="AH158" s="60" t="s">
        <v>828</v>
      </c>
      <c r="AI158">
        <f>IF(AND(OR(Company_Explorer!$B$5="All Companies",$E158=Company_Explorer!$B$5),OR(Company_Explorer!$B$6="All Platforms",$B158=Company_Explorer!$B$6),OR(Company_Explorer!$B$7="All Roles",$D158=Company_Explorer!$B$7),OR(Company_Explorer!$B$8="All Ghost Labels",$AG158=Company_Explorer!$B$8)),1,0)</f>
        <v>0</v>
      </c>
    </row>
    <row r="159" spans="1:35" ht="15" customHeight="1" x14ac:dyDescent="0.3">
      <c r="A159" s="65" t="s">
        <v>829</v>
      </c>
      <c r="B159" s="65" t="s">
        <v>80</v>
      </c>
      <c r="C159" s="65" t="s">
        <v>258</v>
      </c>
      <c r="D159" s="65" t="s">
        <v>125</v>
      </c>
      <c r="E159" s="65" t="s">
        <v>141</v>
      </c>
      <c r="F159" s="65" t="b">
        <f>TRUE()</f>
        <v>1</v>
      </c>
      <c r="G159" s="65" t="s">
        <v>173</v>
      </c>
      <c r="H159" s="65" t="s">
        <v>827</v>
      </c>
      <c r="I159" s="66">
        <v>46206</v>
      </c>
      <c r="J159" s="66">
        <v>46210</v>
      </c>
      <c r="K159" s="65">
        <v>4</v>
      </c>
      <c r="L159" s="65" t="s">
        <v>192</v>
      </c>
      <c r="M159" s="65" t="s">
        <v>184</v>
      </c>
      <c r="N159" s="65" t="b">
        <f>FALSE()</f>
        <v>0</v>
      </c>
      <c r="O159" s="65"/>
      <c r="P159" s="65"/>
      <c r="Q159" s="65" t="s">
        <v>236</v>
      </c>
      <c r="R159" s="65" t="s">
        <v>237</v>
      </c>
      <c r="S159" s="65"/>
      <c r="T159" s="65" t="b">
        <f>FALSE()</f>
        <v>0</v>
      </c>
      <c r="U159" s="65" t="b">
        <f>FALSE()</f>
        <v>0</v>
      </c>
      <c r="V159" s="65">
        <v>330</v>
      </c>
      <c r="W159" s="67" t="s">
        <v>259</v>
      </c>
      <c r="X159" s="65">
        <v>429</v>
      </c>
      <c r="Y159" s="68">
        <v>2.66</v>
      </c>
      <c r="Z159" s="65" t="b">
        <f>FALSE()</f>
        <v>0</v>
      </c>
      <c r="AA159" s="65" t="b">
        <f>TRUE()</f>
        <v>1</v>
      </c>
      <c r="AB159" s="65" t="b">
        <f>FALSE()</f>
        <v>0</v>
      </c>
      <c r="AC159" s="65" t="b">
        <f>FALSE()</f>
        <v>0</v>
      </c>
      <c r="AD159" s="65" t="b">
        <f>TRUE()</f>
        <v>1</v>
      </c>
      <c r="AE159" s="65">
        <v>3</v>
      </c>
      <c r="AF159" s="69">
        <v>42.9</v>
      </c>
      <c r="AG159" s="65" t="s">
        <v>73</v>
      </c>
      <c r="AH159" s="65" t="s">
        <v>830</v>
      </c>
      <c r="AI159">
        <f>IF(AND(OR(Company_Explorer!$B$5="All Companies",$E159=Company_Explorer!$B$5),OR(Company_Explorer!$B$6="All Platforms",$B159=Company_Explorer!$B$6),OR(Company_Explorer!$B$7="All Roles",$D159=Company_Explorer!$B$7),OR(Company_Explorer!$B$8="All Ghost Labels",$AG159=Company_Explorer!$B$8)),1,0)</f>
        <v>0</v>
      </c>
    </row>
    <row r="160" spans="1:35" ht="15" customHeight="1" x14ac:dyDescent="0.3">
      <c r="A160" s="60" t="s">
        <v>831</v>
      </c>
      <c r="B160" s="60" t="s">
        <v>80</v>
      </c>
      <c r="C160" s="60" t="s">
        <v>258</v>
      </c>
      <c r="D160" s="60" t="s">
        <v>125</v>
      </c>
      <c r="E160" s="60" t="s">
        <v>141</v>
      </c>
      <c r="F160" s="60" t="b">
        <f>TRUE()</f>
        <v>1</v>
      </c>
      <c r="G160" s="60" t="s">
        <v>173</v>
      </c>
      <c r="H160" s="60" t="s">
        <v>827</v>
      </c>
      <c r="I160" s="61">
        <v>46206</v>
      </c>
      <c r="J160" s="61">
        <v>46210</v>
      </c>
      <c r="K160" s="60">
        <v>4</v>
      </c>
      <c r="L160" s="60" t="s">
        <v>192</v>
      </c>
      <c r="M160" s="60" t="s">
        <v>184</v>
      </c>
      <c r="N160" s="60" t="b">
        <f>FALSE()</f>
        <v>0</v>
      </c>
      <c r="O160" s="60"/>
      <c r="P160" s="60"/>
      <c r="Q160" s="60" t="s">
        <v>236</v>
      </c>
      <c r="R160" s="60" t="s">
        <v>237</v>
      </c>
      <c r="S160" s="60"/>
      <c r="T160" s="60" t="b">
        <f>FALSE()</f>
        <v>0</v>
      </c>
      <c r="U160" s="60" t="b">
        <f>FALSE()</f>
        <v>0</v>
      </c>
      <c r="V160" s="60">
        <v>330</v>
      </c>
      <c r="W160" s="62" t="s">
        <v>259</v>
      </c>
      <c r="X160" s="60">
        <v>429</v>
      </c>
      <c r="Y160" s="63">
        <v>2.66</v>
      </c>
      <c r="Z160" s="60" t="b">
        <f>FALSE()</f>
        <v>0</v>
      </c>
      <c r="AA160" s="60" t="b">
        <f>TRUE()</f>
        <v>1</v>
      </c>
      <c r="AB160" s="60" t="b">
        <f>FALSE()</f>
        <v>0</v>
      </c>
      <c r="AC160" s="60" t="b">
        <f>FALSE()</f>
        <v>0</v>
      </c>
      <c r="AD160" s="60" t="b">
        <f>TRUE()</f>
        <v>1</v>
      </c>
      <c r="AE160" s="60">
        <v>3</v>
      </c>
      <c r="AF160" s="64">
        <v>42.9</v>
      </c>
      <c r="AG160" s="60" t="s">
        <v>73</v>
      </c>
      <c r="AH160" s="60" t="s">
        <v>832</v>
      </c>
      <c r="AI160">
        <f>IF(AND(OR(Company_Explorer!$B$5="All Companies",$E160=Company_Explorer!$B$5),OR(Company_Explorer!$B$6="All Platforms",$B160=Company_Explorer!$B$6),OR(Company_Explorer!$B$7="All Roles",$D160=Company_Explorer!$B$7),OR(Company_Explorer!$B$8="All Ghost Labels",$AG160=Company_Explorer!$B$8)),1,0)</f>
        <v>0</v>
      </c>
    </row>
    <row r="161" spans="1:35" ht="15" customHeight="1" x14ac:dyDescent="0.3">
      <c r="A161" s="65" t="s">
        <v>833</v>
      </c>
      <c r="B161" s="65" t="s">
        <v>80</v>
      </c>
      <c r="C161" s="65" t="s">
        <v>258</v>
      </c>
      <c r="D161" s="65" t="s">
        <v>125</v>
      </c>
      <c r="E161" s="65" t="s">
        <v>141</v>
      </c>
      <c r="F161" s="65" t="b">
        <f>TRUE()</f>
        <v>1</v>
      </c>
      <c r="G161" s="65" t="s">
        <v>173</v>
      </c>
      <c r="H161" s="65" t="s">
        <v>827</v>
      </c>
      <c r="I161" s="66">
        <v>46206</v>
      </c>
      <c r="J161" s="66">
        <v>46210</v>
      </c>
      <c r="K161" s="65">
        <v>4</v>
      </c>
      <c r="L161" s="65" t="s">
        <v>192</v>
      </c>
      <c r="M161" s="65" t="s">
        <v>184</v>
      </c>
      <c r="N161" s="65" t="b">
        <f>FALSE()</f>
        <v>0</v>
      </c>
      <c r="O161" s="65"/>
      <c r="P161" s="65"/>
      <c r="Q161" s="65" t="s">
        <v>236</v>
      </c>
      <c r="R161" s="65" t="s">
        <v>237</v>
      </c>
      <c r="S161" s="65"/>
      <c r="T161" s="65" t="b">
        <f>FALSE()</f>
        <v>0</v>
      </c>
      <c r="U161" s="65" t="b">
        <f>FALSE()</f>
        <v>0</v>
      </c>
      <c r="V161" s="65">
        <v>330</v>
      </c>
      <c r="W161" s="67" t="s">
        <v>259</v>
      </c>
      <c r="X161" s="65">
        <v>429</v>
      </c>
      <c r="Y161" s="68">
        <v>2.66</v>
      </c>
      <c r="Z161" s="65" t="b">
        <f>FALSE()</f>
        <v>0</v>
      </c>
      <c r="AA161" s="65" t="b">
        <f>TRUE()</f>
        <v>1</v>
      </c>
      <c r="AB161" s="65" t="b">
        <f>FALSE()</f>
        <v>0</v>
      </c>
      <c r="AC161" s="65" t="b">
        <f>FALSE()</f>
        <v>0</v>
      </c>
      <c r="AD161" s="65" t="b">
        <f>TRUE()</f>
        <v>1</v>
      </c>
      <c r="AE161" s="65">
        <v>3</v>
      </c>
      <c r="AF161" s="69">
        <v>42.9</v>
      </c>
      <c r="AG161" s="65" t="s">
        <v>73</v>
      </c>
      <c r="AH161" s="65" t="s">
        <v>834</v>
      </c>
      <c r="AI161">
        <f>IF(AND(OR(Company_Explorer!$B$5="All Companies",$E161=Company_Explorer!$B$5),OR(Company_Explorer!$B$6="All Platforms",$B161=Company_Explorer!$B$6),OR(Company_Explorer!$B$7="All Roles",$D161=Company_Explorer!$B$7),OR(Company_Explorer!$B$8="All Ghost Labels",$AG161=Company_Explorer!$B$8)),1,0)</f>
        <v>0</v>
      </c>
    </row>
    <row r="162" spans="1:35" ht="15" customHeight="1" x14ac:dyDescent="0.3">
      <c r="A162" s="60" t="s">
        <v>835</v>
      </c>
      <c r="B162" s="60" t="s">
        <v>80</v>
      </c>
      <c r="C162" s="60" t="s">
        <v>258</v>
      </c>
      <c r="D162" s="60" t="s">
        <v>125</v>
      </c>
      <c r="E162" s="60" t="s">
        <v>141</v>
      </c>
      <c r="F162" s="60" t="b">
        <f>TRUE()</f>
        <v>1</v>
      </c>
      <c r="G162" s="60" t="s">
        <v>172</v>
      </c>
      <c r="H162" s="60" t="s">
        <v>276</v>
      </c>
      <c r="I162" s="61">
        <v>46198</v>
      </c>
      <c r="J162" s="61">
        <v>46210</v>
      </c>
      <c r="K162" s="60">
        <v>12</v>
      </c>
      <c r="L162" s="60" t="s">
        <v>192</v>
      </c>
      <c r="M162" s="60" t="s">
        <v>184</v>
      </c>
      <c r="N162" s="60" t="b">
        <f>FALSE()</f>
        <v>0</v>
      </c>
      <c r="O162" s="60"/>
      <c r="P162" s="60"/>
      <c r="Q162" s="60" t="s">
        <v>236</v>
      </c>
      <c r="R162" s="60" t="s">
        <v>237</v>
      </c>
      <c r="S162" s="60"/>
      <c r="T162" s="60" t="b">
        <f>FALSE()</f>
        <v>0</v>
      </c>
      <c r="U162" s="60" t="b">
        <f>FALSE()</f>
        <v>0</v>
      </c>
      <c r="V162" s="60">
        <v>326</v>
      </c>
      <c r="W162" s="62" t="s">
        <v>259</v>
      </c>
      <c r="X162" s="60">
        <v>429</v>
      </c>
      <c r="Y162" s="63">
        <v>2.66</v>
      </c>
      <c r="Z162" s="60" t="b">
        <f>FALSE()</f>
        <v>0</v>
      </c>
      <c r="AA162" s="60" t="b">
        <f>TRUE()</f>
        <v>1</v>
      </c>
      <c r="AB162" s="60" t="b">
        <f>FALSE()</f>
        <v>0</v>
      </c>
      <c r="AC162" s="60" t="b">
        <f>FALSE()</f>
        <v>0</v>
      </c>
      <c r="AD162" s="60" t="b">
        <f>TRUE()</f>
        <v>1</v>
      </c>
      <c r="AE162" s="60">
        <v>3</v>
      </c>
      <c r="AF162" s="64">
        <v>42.9</v>
      </c>
      <c r="AG162" s="60" t="s">
        <v>73</v>
      </c>
      <c r="AH162" s="60" t="s">
        <v>836</v>
      </c>
      <c r="AI162">
        <f>IF(AND(OR(Company_Explorer!$B$5="All Companies",$E162=Company_Explorer!$B$5),OR(Company_Explorer!$B$6="All Platforms",$B162=Company_Explorer!$B$6),OR(Company_Explorer!$B$7="All Roles",$D162=Company_Explorer!$B$7),OR(Company_Explorer!$B$8="All Ghost Labels",$AG162=Company_Explorer!$B$8)),1,0)</f>
        <v>0</v>
      </c>
    </row>
    <row r="163" spans="1:35" ht="15" customHeight="1" x14ac:dyDescent="0.3">
      <c r="A163" s="65" t="s">
        <v>837</v>
      </c>
      <c r="B163" s="65" t="s">
        <v>80</v>
      </c>
      <c r="C163" s="65" t="s">
        <v>838</v>
      </c>
      <c r="D163" s="65" t="s">
        <v>125</v>
      </c>
      <c r="E163" s="65" t="s">
        <v>159</v>
      </c>
      <c r="F163" s="65" t="b">
        <f>TRUE()</f>
        <v>1</v>
      </c>
      <c r="G163" s="65" t="s">
        <v>166</v>
      </c>
      <c r="H163" s="65" t="s">
        <v>235</v>
      </c>
      <c r="I163" s="66">
        <v>46205</v>
      </c>
      <c r="J163" s="66">
        <v>46210</v>
      </c>
      <c r="K163" s="65">
        <v>5</v>
      </c>
      <c r="L163" s="65" t="s">
        <v>192</v>
      </c>
      <c r="M163" s="65" t="s">
        <v>185</v>
      </c>
      <c r="N163" s="65" t="b">
        <f>FALSE()</f>
        <v>0</v>
      </c>
      <c r="O163" s="65"/>
      <c r="P163" s="65"/>
      <c r="Q163" s="65" t="s">
        <v>236</v>
      </c>
      <c r="R163" s="65" t="s">
        <v>237</v>
      </c>
      <c r="S163" s="65"/>
      <c r="T163" s="65" t="b">
        <f>FALSE()</f>
        <v>0</v>
      </c>
      <c r="U163" s="65" t="b">
        <f>FALSE()</f>
        <v>0</v>
      </c>
      <c r="V163" s="65">
        <v>788</v>
      </c>
      <c r="W163" s="67" t="s">
        <v>839</v>
      </c>
      <c r="X163" s="65">
        <v>11</v>
      </c>
      <c r="Y163" s="68">
        <v>7.0000000000000007E-2</v>
      </c>
      <c r="Z163" s="65" t="b">
        <f>FALSE()</f>
        <v>0</v>
      </c>
      <c r="AA163" s="65" t="b">
        <f>TRUE()</f>
        <v>1</v>
      </c>
      <c r="AB163" s="65" t="b">
        <f>FALSE()</f>
        <v>0</v>
      </c>
      <c r="AC163" s="65" t="b">
        <f>FALSE()</f>
        <v>0</v>
      </c>
      <c r="AD163" s="65" t="b">
        <f>FALSE()</f>
        <v>0</v>
      </c>
      <c r="AE163" s="65">
        <v>1</v>
      </c>
      <c r="AF163" s="69">
        <v>14.3</v>
      </c>
      <c r="AG163" s="65" t="s">
        <v>74</v>
      </c>
      <c r="AH163" s="65" t="s">
        <v>840</v>
      </c>
      <c r="AI163">
        <f>IF(AND(OR(Company_Explorer!$B$5="All Companies",$E163=Company_Explorer!$B$5),OR(Company_Explorer!$B$6="All Platforms",$B163=Company_Explorer!$B$6),OR(Company_Explorer!$B$7="All Roles",$D163=Company_Explorer!$B$7),OR(Company_Explorer!$B$8="All Ghost Labels",$AG163=Company_Explorer!$B$8)),1,0)</f>
        <v>0</v>
      </c>
    </row>
    <row r="164" spans="1:35" ht="15" customHeight="1" x14ac:dyDescent="0.3">
      <c r="A164" s="60" t="s">
        <v>841</v>
      </c>
      <c r="B164" s="60" t="s">
        <v>80</v>
      </c>
      <c r="C164" s="60" t="s">
        <v>258</v>
      </c>
      <c r="D164" s="60" t="s">
        <v>125</v>
      </c>
      <c r="E164" s="60" t="s">
        <v>141</v>
      </c>
      <c r="F164" s="60" t="b">
        <f>TRUE()</f>
        <v>1</v>
      </c>
      <c r="G164" s="60" t="s">
        <v>167</v>
      </c>
      <c r="H164" s="60" t="s">
        <v>276</v>
      </c>
      <c r="I164" s="61">
        <v>46204</v>
      </c>
      <c r="J164" s="61">
        <v>46210</v>
      </c>
      <c r="K164" s="60">
        <v>6</v>
      </c>
      <c r="L164" s="60" t="s">
        <v>192</v>
      </c>
      <c r="M164" s="60" t="s">
        <v>184</v>
      </c>
      <c r="N164" s="60" t="b">
        <f>FALSE()</f>
        <v>0</v>
      </c>
      <c r="O164" s="60"/>
      <c r="P164" s="60"/>
      <c r="Q164" s="60" t="s">
        <v>236</v>
      </c>
      <c r="R164" s="60" t="s">
        <v>237</v>
      </c>
      <c r="S164" s="60"/>
      <c r="T164" s="60" t="b">
        <f>FALSE()</f>
        <v>0</v>
      </c>
      <c r="U164" s="60" t="b">
        <f>FALSE()</f>
        <v>0</v>
      </c>
      <c r="V164" s="60">
        <v>382</v>
      </c>
      <c r="W164" s="62" t="s">
        <v>259</v>
      </c>
      <c r="X164" s="60">
        <v>429</v>
      </c>
      <c r="Y164" s="63">
        <v>2.66</v>
      </c>
      <c r="Z164" s="60" t="b">
        <f>FALSE()</f>
        <v>0</v>
      </c>
      <c r="AA164" s="60" t="b">
        <f>TRUE()</f>
        <v>1</v>
      </c>
      <c r="AB164" s="60" t="b">
        <f>FALSE()</f>
        <v>0</v>
      </c>
      <c r="AC164" s="60" t="b">
        <f>FALSE()</f>
        <v>0</v>
      </c>
      <c r="AD164" s="60" t="b">
        <f>TRUE()</f>
        <v>1</v>
      </c>
      <c r="AE164" s="60">
        <v>3</v>
      </c>
      <c r="AF164" s="64">
        <v>42.9</v>
      </c>
      <c r="AG164" s="60" t="s">
        <v>73</v>
      </c>
      <c r="AH164" s="60" t="s">
        <v>842</v>
      </c>
      <c r="AI164">
        <f>IF(AND(OR(Company_Explorer!$B$5="All Companies",$E164=Company_Explorer!$B$5),OR(Company_Explorer!$B$6="All Platforms",$B164=Company_Explorer!$B$6),OR(Company_Explorer!$B$7="All Roles",$D164=Company_Explorer!$B$7),OR(Company_Explorer!$B$8="All Ghost Labels",$AG164=Company_Explorer!$B$8)),1,0)</f>
        <v>0</v>
      </c>
    </row>
    <row r="165" spans="1:35" ht="15" customHeight="1" x14ac:dyDescent="0.3">
      <c r="A165" s="65" t="s">
        <v>843</v>
      </c>
      <c r="B165" s="65" t="s">
        <v>80</v>
      </c>
      <c r="C165" s="65" t="s">
        <v>258</v>
      </c>
      <c r="D165" s="65" t="s">
        <v>125</v>
      </c>
      <c r="E165" s="65" t="s">
        <v>141</v>
      </c>
      <c r="F165" s="65" t="b">
        <f>TRUE()</f>
        <v>1</v>
      </c>
      <c r="G165" s="65" t="s">
        <v>166</v>
      </c>
      <c r="H165" s="65" t="s">
        <v>235</v>
      </c>
      <c r="I165" s="66">
        <v>46198</v>
      </c>
      <c r="J165" s="66">
        <v>46210</v>
      </c>
      <c r="K165" s="65">
        <v>12</v>
      </c>
      <c r="L165" s="65" t="s">
        <v>192</v>
      </c>
      <c r="M165" s="65" t="s">
        <v>184</v>
      </c>
      <c r="N165" s="65" t="b">
        <f>FALSE()</f>
        <v>0</v>
      </c>
      <c r="O165" s="65"/>
      <c r="P165" s="65"/>
      <c r="Q165" s="65" t="s">
        <v>236</v>
      </c>
      <c r="R165" s="65" t="s">
        <v>237</v>
      </c>
      <c r="S165" s="65"/>
      <c r="T165" s="65" t="b">
        <f>FALSE()</f>
        <v>0</v>
      </c>
      <c r="U165" s="65" t="b">
        <f>FALSE()</f>
        <v>0</v>
      </c>
      <c r="V165" s="65">
        <v>271</v>
      </c>
      <c r="W165" s="67" t="s">
        <v>844</v>
      </c>
      <c r="X165" s="65">
        <v>429</v>
      </c>
      <c r="Y165" s="68">
        <v>2.66</v>
      </c>
      <c r="Z165" s="65" t="b">
        <f>FALSE()</f>
        <v>0</v>
      </c>
      <c r="AA165" s="65" t="b">
        <f>TRUE()</f>
        <v>1</v>
      </c>
      <c r="AB165" s="65" t="b">
        <f>TRUE()</f>
        <v>1</v>
      </c>
      <c r="AC165" s="65" t="b">
        <f>FALSE()</f>
        <v>0</v>
      </c>
      <c r="AD165" s="65" t="b">
        <f>TRUE()</f>
        <v>1</v>
      </c>
      <c r="AE165" s="65">
        <v>4</v>
      </c>
      <c r="AF165" s="69">
        <v>57.1</v>
      </c>
      <c r="AG165" s="65" t="s">
        <v>72</v>
      </c>
      <c r="AH165" s="65" t="s">
        <v>845</v>
      </c>
      <c r="AI165">
        <f>IF(AND(OR(Company_Explorer!$B$5="All Companies",$E165=Company_Explorer!$B$5),OR(Company_Explorer!$B$6="All Platforms",$B165=Company_Explorer!$B$6),OR(Company_Explorer!$B$7="All Roles",$D165=Company_Explorer!$B$7),OR(Company_Explorer!$B$8="All Ghost Labels",$AG165=Company_Explorer!$B$8)),1,0)</f>
        <v>0</v>
      </c>
    </row>
    <row r="166" spans="1:35" ht="15" customHeight="1" x14ac:dyDescent="0.3">
      <c r="A166" s="60" t="s">
        <v>846</v>
      </c>
      <c r="B166" s="60" t="s">
        <v>80</v>
      </c>
      <c r="C166" s="60" t="s">
        <v>847</v>
      </c>
      <c r="D166" s="60" t="s">
        <v>135</v>
      </c>
      <c r="E166" s="60" t="s">
        <v>848</v>
      </c>
      <c r="F166" s="60" t="b">
        <f>TRUE()</f>
        <v>1</v>
      </c>
      <c r="G166" s="60" t="s">
        <v>253</v>
      </c>
      <c r="H166" s="60" t="s">
        <v>254</v>
      </c>
      <c r="I166" s="61">
        <v>46196</v>
      </c>
      <c r="J166" s="61">
        <v>46210</v>
      </c>
      <c r="K166" s="60">
        <v>14</v>
      </c>
      <c r="L166" s="60" t="s">
        <v>192</v>
      </c>
      <c r="M166" s="60" t="s">
        <v>185</v>
      </c>
      <c r="N166" s="60" t="b">
        <f>FALSE()</f>
        <v>0</v>
      </c>
      <c r="O166" s="60"/>
      <c r="P166" s="60"/>
      <c r="Q166" s="60" t="s">
        <v>236</v>
      </c>
      <c r="R166" s="60" t="s">
        <v>237</v>
      </c>
      <c r="S166" s="60"/>
      <c r="T166" s="60" t="b">
        <f>FALSE()</f>
        <v>0</v>
      </c>
      <c r="U166" s="60" t="b">
        <f>FALSE()</f>
        <v>0</v>
      </c>
      <c r="V166" s="60">
        <v>486</v>
      </c>
      <c r="W166" s="60" t="s">
        <v>849</v>
      </c>
      <c r="X166" s="60">
        <v>1</v>
      </c>
      <c r="Y166" s="63">
        <v>0.01</v>
      </c>
      <c r="Z166" s="60" t="b">
        <f>FALSE()</f>
        <v>0</v>
      </c>
      <c r="AA166" s="60" t="b">
        <f>TRUE()</f>
        <v>1</v>
      </c>
      <c r="AB166" s="60" t="b">
        <f>FALSE()</f>
        <v>0</v>
      </c>
      <c r="AC166" s="60" t="b">
        <f>FALSE()</f>
        <v>0</v>
      </c>
      <c r="AD166" s="60" t="b">
        <f>FALSE()</f>
        <v>0</v>
      </c>
      <c r="AE166" s="60">
        <v>1</v>
      </c>
      <c r="AF166" s="64">
        <v>14.3</v>
      </c>
      <c r="AG166" s="60" t="s">
        <v>74</v>
      </c>
      <c r="AH166" s="60" t="s">
        <v>850</v>
      </c>
      <c r="AI166">
        <f>IF(AND(OR(Company_Explorer!$B$5="All Companies",$E166=Company_Explorer!$B$5),OR(Company_Explorer!$B$6="All Platforms",$B166=Company_Explorer!$B$6),OR(Company_Explorer!$B$7="All Roles",$D166=Company_Explorer!$B$7),OR(Company_Explorer!$B$8="All Ghost Labels",$AG166=Company_Explorer!$B$8)),1,0)</f>
        <v>0</v>
      </c>
    </row>
    <row r="167" spans="1:35" ht="15" customHeight="1" x14ac:dyDescent="0.3">
      <c r="A167" s="65" t="s">
        <v>851</v>
      </c>
      <c r="B167" s="65" t="s">
        <v>80</v>
      </c>
      <c r="C167" s="65" t="s">
        <v>852</v>
      </c>
      <c r="D167" s="65" t="s">
        <v>135</v>
      </c>
      <c r="E167" s="65" t="s">
        <v>853</v>
      </c>
      <c r="F167" s="65" t="b">
        <f>TRUE()</f>
        <v>1</v>
      </c>
      <c r="G167" s="65" t="s">
        <v>178</v>
      </c>
      <c r="H167" s="65" t="s">
        <v>165</v>
      </c>
      <c r="I167" s="66">
        <v>46196</v>
      </c>
      <c r="J167" s="66">
        <v>46210</v>
      </c>
      <c r="K167" s="65">
        <v>14</v>
      </c>
      <c r="L167" s="65" t="s">
        <v>192</v>
      </c>
      <c r="M167" s="65" t="s">
        <v>184</v>
      </c>
      <c r="N167" s="65" t="b">
        <f>FALSE()</f>
        <v>0</v>
      </c>
      <c r="O167" s="65"/>
      <c r="P167" s="65"/>
      <c r="Q167" s="65" t="s">
        <v>236</v>
      </c>
      <c r="R167" s="65" t="s">
        <v>237</v>
      </c>
      <c r="S167" s="65"/>
      <c r="T167" s="65" t="b">
        <f>FALSE()</f>
        <v>0</v>
      </c>
      <c r="U167" s="65" t="b">
        <f>FALSE()</f>
        <v>0</v>
      </c>
      <c r="V167" s="65">
        <v>172</v>
      </c>
      <c r="W167" s="67" t="s">
        <v>854</v>
      </c>
      <c r="X167" s="65">
        <v>2</v>
      </c>
      <c r="Y167" s="68">
        <v>0.01</v>
      </c>
      <c r="Z167" s="65" t="b">
        <f>FALSE()</f>
        <v>0</v>
      </c>
      <c r="AA167" s="65" t="b">
        <f>TRUE()</f>
        <v>1</v>
      </c>
      <c r="AB167" s="65" t="b">
        <f>TRUE()</f>
        <v>1</v>
      </c>
      <c r="AC167" s="65" t="b">
        <f>FALSE()</f>
        <v>0</v>
      </c>
      <c r="AD167" s="65" t="b">
        <f>FALSE()</f>
        <v>0</v>
      </c>
      <c r="AE167" s="65">
        <v>2</v>
      </c>
      <c r="AF167" s="69">
        <v>28.6</v>
      </c>
      <c r="AG167" s="65" t="s">
        <v>73</v>
      </c>
      <c r="AH167" s="65" t="s">
        <v>855</v>
      </c>
      <c r="AI167">
        <f>IF(AND(OR(Company_Explorer!$B$5="All Companies",$E167=Company_Explorer!$B$5),OR(Company_Explorer!$B$6="All Platforms",$B167=Company_Explorer!$B$6),OR(Company_Explorer!$B$7="All Roles",$D167=Company_Explorer!$B$7),OR(Company_Explorer!$B$8="All Ghost Labels",$AG167=Company_Explorer!$B$8)),1,0)</f>
        <v>0</v>
      </c>
    </row>
    <row r="168" spans="1:35" ht="15" customHeight="1" x14ac:dyDescent="0.3">
      <c r="A168" s="60" t="s">
        <v>856</v>
      </c>
      <c r="B168" s="60" t="s">
        <v>80</v>
      </c>
      <c r="C168" s="60" t="s">
        <v>258</v>
      </c>
      <c r="D168" s="60" t="s">
        <v>125</v>
      </c>
      <c r="E168" s="60" t="s">
        <v>141</v>
      </c>
      <c r="F168" s="60" t="b">
        <f>TRUE()</f>
        <v>1</v>
      </c>
      <c r="G168" s="60" t="s">
        <v>173</v>
      </c>
      <c r="H168" s="60" t="s">
        <v>827</v>
      </c>
      <c r="I168" s="61">
        <v>46198</v>
      </c>
      <c r="J168" s="61">
        <v>46210</v>
      </c>
      <c r="K168" s="60">
        <v>12</v>
      </c>
      <c r="L168" s="60" t="s">
        <v>192</v>
      </c>
      <c r="M168" s="60" t="s">
        <v>184</v>
      </c>
      <c r="N168" s="60" t="b">
        <f>FALSE()</f>
        <v>0</v>
      </c>
      <c r="O168" s="60"/>
      <c r="P168" s="60"/>
      <c r="Q168" s="60" t="s">
        <v>236</v>
      </c>
      <c r="R168" s="60" t="s">
        <v>237</v>
      </c>
      <c r="S168" s="60"/>
      <c r="T168" s="60" t="b">
        <f>FALSE()</f>
        <v>0</v>
      </c>
      <c r="U168" s="60" t="b">
        <f>FALSE()</f>
        <v>0</v>
      </c>
      <c r="V168" s="60">
        <v>285</v>
      </c>
      <c r="W168" s="62" t="s">
        <v>259</v>
      </c>
      <c r="X168" s="60">
        <v>429</v>
      </c>
      <c r="Y168" s="63">
        <v>2.66</v>
      </c>
      <c r="Z168" s="60" t="b">
        <f>FALSE()</f>
        <v>0</v>
      </c>
      <c r="AA168" s="60" t="b">
        <f>TRUE()</f>
        <v>1</v>
      </c>
      <c r="AB168" s="60" t="b">
        <f>FALSE()</f>
        <v>0</v>
      </c>
      <c r="AC168" s="60" t="b">
        <f>FALSE()</f>
        <v>0</v>
      </c>
      <c r="AD168" s="60" t="b">
        <f>TRUE()</f>
        <v>1</v>
      </c>
      <c r="AE168" s="60">
        <v>3</v>
      </c>
      <c r="AF168" s="64">
        <v>42.9</v>
      </c>
      <c r="AG168" s="60" t="s">
        <v>73</v>
      </c>
      <c r="AH168" s="60" t="s">
        <v>857</v>
      </c>
      <c r="AI168">
        <f>IF(AND(OR(Company_Explorer!$B$5="All Companies",$E168=Company_Explorer!$B$5),OR(Company_Explorer!$B$6="All Platforms",$B168=Company_Explorer!$B$6),OR(Company_Explorer!$B$7="All Roles",$D168=Company_Explorer!$B$7),OR(Company_Explorer!$B$8="All Ghost Labels",$AG168=Company_Explorer!$B$8)),1,0)</f>
        <v>0</v>
      </c>
    </row>
    <row r="169" spans="1:35" ht="15" customHeight="1" x14ac:dyDescent="0.3">
      <c r="A169" s="65" t="s">
        <v>858</v>
      </c>
      <c r="B169" s="65" t="s">
        <v>80</v>
      </c>
      <c r="C169" s="65" t="s">
        <v>258</v>
      </c>
      <c r="D169" s="65" t="s">
        <v>125</v>
      </c>
      <c r="E169" s="65" t="s">
        <v>141</v>
      </c>
      <c r="F169" s="65" t="b">
        <f>TRUE()</f>
        <v>1</v>
      </c>
      <c r="G169" s="65" t="s">
        <v>262</v>
      </c>
      <c r="H169" s="65" t="s">
        <v>263</v>
      </c>
      <c r="I169" s="66">
        <v>46198</v>
      </c>
      <c r="J169" s="66">
        <v>46210</v>
      </c>
      <c r="K169" s="65">
        <v>12</v>
      </c>
      <c r="L169" s="65" t="s">
        <v>192</v>
      </c>
      <c r="M169" s="65" t="s">
        <v>187</v>
      </c>
      <c r="N169" s="65" t="b">
        <f>FALSE()</f>
        <v>0</v>
      </c>
      <c r="O169" s="65"/>
      <c r="P169" s="65"/>
      <c r="Q169" s="65" t="s">
        <v>236</v>
      </c>
      <c r="R169" s="65" t="s">
        <v>237</v>
      </c>
      <c r="S169" s="65"/>
      <c r="T169" s="65" t="b">
        <f>FALSE()</f>
        <v>0</v>
      </c>
      <c r="U169" s="65" t="b">
        <f>FALSE()</f>
        <v>0</v>
      </c>
      <c r="V169" s="65">
        <v>291</v>
      </c>
      <c r="W169" s="67" t="s">
        <v>259</v>
      </c>
      <c r="X169" s="65">
        <v>429</v>
      </c>
      <c r="Y169" s="68">
        <v>2.66</v>
      </c>
      <c r="Z169" s="65" t="b">
        <f>FALSE()</f>
        <v>0</v>
      </c>
      <c r="AA169" s="65" t="b">
        <f>TRUE()</f>
        <v>1</v>
      </c>
      <c r="AB169" s="65" t="b">
        <f>FALSE()</f>
        <v>0</v>
      </c>
      <c r="AC169" s="65" t="b">
        <f>FALSE()</f>
        <v>0</v>
      </c>
      <c r="AD169" s="65" t="b">
        <f>TRUE()</f>
        <v>1</v>
      </c>
      <c r="AE169" s="65">
        <v>3</v>
      </c>
      <c r="AF169" s="69">
        <v>42.9</v>
      </c>
      <c r="AG169" s="65" t="s">
        <v>73</v>
      </c>
      <c r="AH169" s="65" t="s">
        <v>859</v>
      </c>
      <c r="AI169">
        <f>IF(AND(OR(Company_Explorer!$B$5="All Companies",$E169=Company_Explorer!$B$5),OR(Company_Explorer!$B$6="All Platforms",$B169=Company_Explorer!$B$6),OR(Company_Explorer!$B$7="All Roles",$D169=Company_Explorer!$B$7),OR(Company_Explorer!$B$8="All Ghost Labels",$AG169=Company_Explorer!$B$8)),1,0)</f>
        <v>0</v>
      </c>
    </row>
    <row r="170" spans="1:35" ht="15" customHeight="1" x14ac:dyDescent="0.3">
      <c r="A170" s="60" t="s">
        <v>860</v>
      </c>
      <c r="B170" s="60" t="s">
        <v>80</v>
      </c>
      <c r="C170" s="60" t="s">
        <v>130</v>
      </c>
      <c r="D170" s="60" t="s">
        <v>130</v>
      </c>
      <c r="E170" s="60" t="s">
        <v>141</v>
      </c>
      <c r="F170" s="60" t="b">
        <f>TRUE()</f>
        <v>1</v>
      </c>
      <c r="G170" s="60" t="s">
        <v>172</v>
      </c>
      <c r="H170" s="60" t="s">
        <v>276</v>
      </c>
      <c r="I170" s="61">
        <v>46198</v>
      </c>
      <c r="J170" s="61">
        <v>46210</v>
      </c>
      <c r="K170" s="60">
        <v>12</v>
      </c>
      <c r="L170" s="60" t="s">
        <v>192</v>
      </c>
      <c r="M170" s="60" t="s">
        <v>184</v>
      </c>
      <c r="N170" s="60" t="b">
        <f>FALSE()</f>
        <v>0</v>
      </c>
      <c r="O170" s="60"/>
      <c r="P170" s="60"/>
      <c r="Q170" s="60" t="s">
        <v>236</v>
      </c>
      <c r="R170" s="60" t="s">
        <v>237</v>
      </c>
      <c r="S170" s="60"/>
      <c r="T170" s="60" t="b">
        <f>FALSE()</f>
        <v>0</v>
      </c>
      <c r="U170" s="60" t="b">
        <f>FALSE()</f>
        <v>0</v>
      </c>
      <c r="V170" s="60">
        <v>309</v>
      </c>
      <c r="W170" s="62" t="s">
        <v>861</v>
      </c>
      <c r="X170" s="60">
        <v>429</v>
      </c>
      <c r="Y170" s="63">
        <v>2.66</v>
      </c>
      <c r="Z170" s="60" t="b">
        <f>FALSE()</f>
        <v>0</v>
      </c>
      <c r="AA170" s="60" t="b">
        <f>TRUE()</f>
        <v>1</v>
      </c>
      <c r="AB170" s="60" t="b">
        <f>FALSE()</f>
        <v>0</v>
      </c>
      <c r="AC170" s="60" t="b">
        <f>FALSE()</f>
        <v>0</v>
      </c>
      <c r="AD170" s="60" t="b">
        <f>TRUE()</f>
        <v>1</v>
      </c>
      <c r="AE170" s="60">
        <v>3</v>
      </c>
      <c r="AF170" s="64">
        <v>42.9</v>
      </c>
      <c r="AG170" s="60" t="s">
        <v>73</v>
      </c>
      <c r="AH170" s="60" t="s">
        <v>862</v>
      </c>
      <c r="AI170">
        <f>IF(AND(OR(Company_Explorer!$B$5="All Companies",$E170=Company_Explorer!$B$5),OR(Company_Explorer!$B$6="All Platforms",$B170=Company_Explorer!$B$6),OR(Company_Explorer!$B$7="All Roles",$D170=Company_Explorer!$B$7),OR(Company_Explorer!$B$8="All Ghost Labels",$AG170=Company_Explorer!$B$8)),1,0)</f>
        <v>0</v>
      </c>
    </row>
    <row r="171" spans="1:35" ht="15" customHeight="1" x14ac:dyDescent="0.3">
      <c r="A171" s="65" t="s">
        <v>863</v>
      </c>
      <c r="B171" s="65" t="s">
        <v>80</v>
      </c>
      <c r="C171" s="65" t="s">
        <v>258</v>
      </c>
      <c r="D171" s="65" t="s">
        <v>125</v>
      </c>
      <c r="E171" s="65" t="s">
        <v>141</v>
      </c>
      <c r="F171" s="65" t="b">
        <f>TRUE()</f>
        <v>1</v>
      </c>
      <c r="G171" s="65" t="s">
        <v>173</v>
      </c>
      <c r="H171" s="65" t="s">
        <v>827</v>
      </c>
      <c r="I171" s="66">
        <v>46206</v>
      </c>
      <c r="J171" s="66">
        <v>46210</v>
      </c>
      <c r="K171" s="65">
        <v>4</v>
      </c>
      <c r="L171" s="65" t="s">
        <v>192</v>
      </c>
      <c r="M171" s="65" t="s">
        <v>184</v>
      </c>
      <c r="N171" s="65" t="b">
        <f>FALSE()</f>
        <v>0</v>
      </c>
      <c r="O171" s="65"/>
      <c r="P171" s="65"/>
      <c r="Q171" s="65" t="s">
        <v>236</v>
      </c>
      <c r="R171" s="65" t="s">
        <v>237</v>
      </c>
      <c r="S171" s="65"/>
      <c r="T171" s="65" t="b">
        <f>FALSE()</f>
        <v>0</v>
      </c>
      <c r="U171" s="65" t="b">
        <f>FALSE()</f>
        <v>0</v>
      </c>
      <c r="V171" s="65">
        <v>330</v>
      </c>
      <c r="W171" s="67" t="s">
        <v>259</v>
      </c>
      <c r="X171" s="65">
        <v>429</v>
      </c>
      <c r="Y171" s="68">
        <v>2.66</v>
      </c>
      <c r="Z171" s="65" t="b">
        <f>FALSE()</f>
        <v>0</v>
      </c>
      <c r="AA171" s="65" t="b">
        <f>TRUE()</f>
        <v>1</v>
      </c>
      <c r="AB171" s="65" t="b">
        <f>FALSE()</f>
        <v>0</v>
      </c>
      <c r="AC171" s="65" t="b">
        <f>FALSE()</f>
        <v>0</v>
      </c>
      <c r="AD171" s="65" t="b">
        <f>TRUE()</f>
        <v>1</v>
      </c>
      <c r="AE171" s="65">
        <v>3</v>
      </c>
      <c r="AF171" s="69">
        <v>42.9</v>
      </c>
      <c r="AG171" s="65" t="s">
        <v>73</v>
      </c>
      <c r="AH171" s="65" t="s">
        <v>864</v>
      </c>
      <c r="AI171">
        <f>IF(AND(OR(Company_Explorer!$B$5="All Companies",$E171=Company_Explorer!$B$5),OR(Company_Explorer!$B$6="All Platforms",$B171=Company_Explorer!$B$6),OR(Company_Explorer!$B$7="All Roles",$D171=Company_Explorer!$B$7),OR(Company_Explorer!$B$8="All Ghost Labels",$AG171=Company_Explorer!$B$8)),1,0)</f>
        <v>0</v>
      </c>
    </row>
    <row r="172" spans="1:35" ht="15" customHeight="1" x14ac:dyDescent="0.3">
      <c r="A172" s="60" t="s">
        <v>865</v>
      </c>
      <c r="B172" s="60" t="s">
        <v>80</v>
      </c>
      <c r="C172" s="60" t="s">
        <v>258</v>
      </c>
      <c r="D172" s="60" t="s">
        <v>125</v>
      </c>
      <c r="E172" s="60" t="s">
        <v>141</v>
      </c>
      <c r="F172" s="60" t="b">
        <f>TRUE()</f>
        <v>1</v>
      </c>
      <c r="G172" s="60" t="s">
        <v>173</v>
      </c>
      <c r="H172" s="60" t="s">
        <v>827</v>
      </c>
      <c r="I172" s="61">
        <v>46198</v>
      </c>
      <c r="J172" s="61">
        <v>46210</v>
      </c>
      <c r="K172" s="60">
        <v>12</v>
      </c>
      <c r="L172" s="60" t="s">
        <v>192</v>
      </c>
      <c r="M172" s="60" t="s">
        <v>184</v>
      </c>
      <c r="N172" s="60" t="b">
        <f>FALSE()</f>
        <v>0</v>
      </c>
      <c r="O172" s="60"/>
      <c r="P172" s="60"/>
      <c r="Q172" s="60" t="s">
        <v>236</v>
      </c>
      <c r="R172" s="60" t="s">
        <v>237</v>
      </c>
      <c r="S172" s="60"/>
      <c r="T172" s="60" t="b">
        <f>FALSE()</f>
        <v>0</v>
      </c>
      <c r="U172" s="60" t="b">
        <f>FALSE()</f>
        <v>0</v>
      </c>
      <c r="V172" s="60">
        <v>318</v>
      </c>
      <c r="W172" s="62" t="s">
        <v>866</v>
      </c>
      <c r="X172" s="60">
        <v>429</v>
      </c>
      <c r="Y172" s="63">
        <v>2.66</v>
      </c>
      <c r="Z172" s="60" t="b">
        <f>FALSE()</f>
        <v>0</v>
      </c>
      <c r="AA172" s="60" t="b">
        <f>TRUE()</f>
        <v>1</v>
      </c>
      <c r="AB172" s="60" t="b">
        <f>FALSE()</f>
        <v>0</v>
      </c>
      <c r="AC172" s="60" t="b">
        <f>FALSE()</f>
        <v>0</v>
      </c>
      <c r="AD172" s="60" t="b">
        <f>TRUE()</f>
        <v>1</v>
      </c>
      <c r="AE172" s="60">
        <v>3</v>
      </c>
      <c r="AF172" s="64">
        <v>42.9</v>
      </c>
      <c r="AG172" s="60" t="s">
        <v>73</v>
      </c>
      <c r="AH172" s="60" t="s">
        <v>867</v>
      </c>
      <c r="AI172">
        <f>IF(AND(OR(Company_Explorer!$B$5="All Companies",$E172=Company_Explorer!$B$5),OR(Company_Explorer!$B$6="All Platforms",$B172=Company_Explorer!$B$6),OR(Company_Explorer!$B$7="All Roles",$D172=Company_Explorer!$B$7),OR(Company_Explorer!$B$8="All Ghost Labels",$AG172=Company_Explorer!$B$8)),1,0)</f>
        <v>0</v>
      </c>
    </row>
    <row r="173" spans="1:35" ht="15" customHeight="1" x14ac:dyDescent="0.3">
      <c r="A173" s="65" t="s">
        <v>868</v>
      </c>
      <c r="B173" s="65" t="s">
        <v>80</v>
      </c>
      <c r="C173" s="65" t="s">
        <v>258</v>
      </c>
      <c r="D173" s="65" t="s">
        <v>125</v>
      </c>
      <c r="E173" s="65" t="s">
        <v>141</v>
      </c>
      <c r="F173" s="65" t="b">
        <f>TRUE()</f>
        <v>1</v>
      </c>
      <c r="G173" s="65" t="s">
        <v>172</v>
      </c>
      <c r="H173" s="65" t="s">
        <v>276</v>
      </c>
      <c r="I173" s="66">
        <v>46199</v>
      </c>
      <c r="J173" s="66">
        <v>46210</v>
      </c>
      <c r="K173" s="65">
        <v>11</v>
      </c>
      <c r="L173" s="65" t="s">
        <v>192</v>
      </c>
      <c r="M173" s="65" t="s">
        <v>184</v>
      </c>
      <c r="N173" s="65" t="b">
        <f>FALSE()</f>
        <v>0</v>
      </c>
      <c r="O173" s="65"/>
      <c r="P173" s="65"/>
      <c r="Q173" s="65" t="s">
        <v>236</v>
      </c>
      <c r="R173" s="65" t="s">
        <v>237</v>
      </c>
      <c r="S173" s="65"/>
      <c r="T173" s="65" t="b">
        <f>FALSE()</f>
        <v>0</v>
      </c>
      <c r="U173" s="65" t="b">
        <f>FALSE()</f>
        <v>0</v>
      </c>
      <c r="V173" s="65">
        <v>306</v>
      </c>
      <c r="W173" s="67" t="s">
        <v>259</v>
      </c>
      <c r="X173" s="65">
        <v>429</v>
      </c>
      <c r="Y173" s="68">
        <v>2.66</v>
      </c>
      <c r="Z173" s="65" t="b">
        <f>FALSE()</f>
        <v>0</v>
      </c>
      <c r="AA173" s="65" t="b">
        <f>TRUE()</f>
        <v>1</v>
      </c>
      <c r="AB173" s="65" t="b">
        <f>FALSE()</f>
        <v>0</v>
      </c>
      <c r="AC173" s="65" t="b">
        <f>FALSE()</f>
        <v>0</v>
      </c>
      <c r="AD173" s="65" t="b">
        <f>TRUE()</f>
        <v>1</v>
      </c>
      <c r="AE173" s="65">
        <v>3</v>
      </c>
      <c r="AF173" s="69">
        <v>42.9</v>
      </c>
      <c r="AG173" s="65" t="s">
        <v>73</v>
      </c>
      <c r="AH173" s="65" t="s">
        <v>869</v>
      </c>
      <c r="AI173">
        <f>IF(AND(OR(Company_Explorer!$B$5="All Companies",$E173=Company_Explorer!$B$5),OR(Company_Explorer!$B$6="All Platforms",$B173=Company_Explorer!$B$6),OR(Company_Explorer!$B$7="All Roles",$D173=Company_Explorer!$B$7),OR(Company_Explorer!$B$8="All Ghost Labels",$AG173=Company_Explorer!$B$8)),1,0)</f>
        <v>0</v>
      </c>
    </row>
    <row r="174" spans="1:35" ht="15" customHeight="1" x14ac:dyDescent="0.3">
      <c r="A174" s="60" t="s">
        <v>870</v>
      </c>
      <c r="B174" s="60" t="s">
        <v>80</v>
      </c>
      <c r="C174" s="60" t="s">
        <v>258</v>
      </c>
      <c r="D174" s="60" t="s">
        <v>125</v>
      </c>
      <c r="E174" s="60" t="s">
        <v>141</v>
      </c>
      <c r="F174" s="60" t="b">
        <f>TRUE()</f>
        <v>1</v>
      </c>
      <c r="G174" s="60" t="s">
        <v>173</v>
      </c>
      <c r="H174" s="60" t="s">
        <v>827</v>
      </c>
      <c r="I174" s="61">
        <v>46206</v>
      </c>
      <c r="J174" s="61">
        <v>46210</v>
      </c>
      <c r="K174" s="60">
        <v>4</v>
      </c>
      <c r="L174" s="60" t="s">
        <v>192</v>
      </c>
      <c r="M174" s="60" t="s">
        <v>184</v>
      </c>
      <c r="N174" s="60" t="b">
        <f>FALSE()</f>
        <v>0</v>
      </c>
      <c r="O174" s="60"/>
      <c r="P174" s="60"/>
      <c r="Q174" s="60" t="s">
        <v>236</v>
      </c>
      <c r="R174" s="60" t="s">
        <v>237</v>
      </c>
      <c r="S174" s="60"/>
      <c r="T174" s="60" t="b">
        <f>FALSE()</f>
        <v>0</v>
      </c>
      <c r="U174" s="60" t="b">
        <f>FALSE()</f>
        <v>0</v>
      </c>
      <c r="V174" s="60">
        <v>325</v>
      </c>
      <c r="W174" s="62" t="s">
        <v>259</v>
      </c>
      <c r="X174" s="60">
        <v>429</v>
      </c>
      <c r="Y174" s="63">
        <v>2.66</v>
      </c>
      <c r="Z174" s="60" t="b">
        <f>FALSE()</f>
        <v>0</v>
      </c>
      <c r="AA174" s="60" t="b">
        <f>TRUE()</f>
        <v>1</v>
      </c>
      <c r="AB174" s="60" t="b">
        <f>FALSE()</f>
        <v>0</v>
      </c>
      <c r="AC174" s="60" t="b">
        <f>FALSE()</f>
        <v>0</v>
      </c>
      <c r="AD174" s="60" t="b">
        <f>TRUE()</f>
        <v>1</v>
      </c>
      <c r="AE174" s="60">
        <v>3</v>
      </c>
      <c r="AF174" s="64">
        <v>42.9</v>
      </c>
      <c r="AG174" s="60" t="s">
        <v>73</v>
      </c>
      <c r="AH174" s="60" t="s">
        <v>871</v>
      </c>
      <c r="AI174">
        <f>IF(AND(OR(Company_Explorer!$B$5="All Companies",$E174=Company_Explorer!$B$5),OR(Company_Explorer!$B$6="All Platforms",$B174=Company_Explorer!$B$6),OR(Company_Explorer!$B$7="All Roles",$D174=Company_Explorer!$B$7),OR(Company_Explorer!$B$8="All Ghost Labels",$AG174=Company_Explorer!$B$8)),1,0)</f>
        <v>0</v>
      </c>
    </row>
    <row r="175" spans="1:35" ht="15" customHeight="1" x14ac:dyDescent="0.3">
      <c r="A175" s="65" t="s">
        <v>872</v>
      </c>
      <c r="B175" s="65" t="s">
        <v>80</v>
      </c>
      <c r="C175" s="65" t="s">
        <v>258</v>
      </c>
      <c r="D175" s="65" t="s">
        <v>125</v>
      </c>
      <c r="E175" s="65" t="s">
        <v>141</v>
      </c>
      <c r="F175" s="65" t="b">
        <f>TRUE()</f>
        <v>1</v>
      </c>
      <c r="G175" s="65" t="s">
        <v>167</v>
      </c>
      <c r="H175" s="65" t="s">
        <v>276</v>
      </c>
      <c r="I175" s="66">
        <v>46198</v>
      </c>
      <c r="J175" s="66">
        <v>46210</v>
      </c>
      <c r="K175" s="65">
        <v>12</v>
      </c>
      <c r="L175" s="65" t="s">
        <v>192</v>
      </c>
      <c r="M175" s="65" t="s">
        <v>184</v>
      </c>
      <c r="N175" s="65" t="b">
        <f>FALSE()</f>
        <v>0</v>
      </c>
      <c r="O175" s="65"/>
      <c r="P175" s="65"/>
      <c r="Q175" s="65" t="s">
        <v>236</v>
      </c>
      <c r="R175" s="65" t="s">
        <v>237</v>
      </c>
      <c r="S175" s="65"/>
      <c r="T175" s="65" t="b">
        <f>FALSE()</f>
        <v>0</v>
      </c>
      <c r="U175" s="65" t="b">
        <f>FALSE()</f>
        <v>0</v>
      </c>
      <c r="V175" s="65">
        <v>381</v>
      </c>
      <c r="W175" s="67" t="s">
        <v>259</v>
      </c>
      <c r="X175" s="65">
        <v>429</v>
      </c>
      <c r="Y175" s="68">
        <v>2.66</v>
      </c>
      <c r="Z175" s="65" t="b">
        <f>FALSE()</f>
        <v>0</v>
      </c>
      <c r="AA175" s="65" t="b">
        <f>TRUE()</f>
        <v>1</v>
      </c>
      <c r="AB175" s="65" t="b">
        <f>FALSE()</f>
        <v>0</v>
      </c>
      <c r="AC175" s="65" t="b">
        <f>FALSE()</f>
        <v>0</v>
      </c>
      <c r="AD175" s="65" t="b">
        <f>TRUE()</f>
        <v>1</v>
      </c>
      <c r="AE175" s="65">
        <v>3</v>
      </c>
      <c r="AF175" s="69">
        <v>42.9</v>
      </c>
      <c r="AG175" s="65" t="s">
        <v>73</v>
      </c>
      <c r="AH175" s="65" t="s">
        <v>873</v>
      </c>
      <c r="AI175">
        <f>IF(AND(OR(Company_Explorer!$B$5="All Companies",$E175=Company_Explorer!$B$5),OR(Company_Explorer!$B$6="All Platforms",$B175=Company_Explorer!$B$6),OR(Company_Explorer!$B$7="All Roles",$D175=Company_Explorer!$B$7),OR(Company_Explorer!$B$8="All Ghost Labels",$AG175=Company_Explorer!$B$8)),1,0)</f>
        <v>0</v>
      </c>
    </row>
    <row r="176" spans="1:35" ht="15" customHeight="1" x14ac:dyDescent="0.3">
      <c r="A176" s="60" t="s">
        <v>874</v>
      </c>
      <c r="B176" s="60" t="s">
        <v>80</v>
      </c>
      <c r="C176" s="60" t="s">
        <v>258</v>
      </c>
      <c r="D176" s="60" t="s">
        <v>125</v>
      </c>
      <c r="E176" s="60" t="s">
        <v>141</v>
      </c>
      <c r="F176" s="60" t="b">
        <f>TRUE()</f>
        <v>1</v>
      </c>
      <c r="G176" s="60" t="s">
        <v>166</v>
      </c>
      <c r="H176" s="60" t="s">
        <v>235</v>
      </c>
      <c r="I176" s="61">
        <v>46205</v>
      </c>
      <c r="J176" s="61">
        <v>46210</v>
      </c>
      <c r="K176" s="60">
        <v>5</v>
      </c>
      <c r="L176" s="60" t="s">
        <v>192</v>
      </c>
      <c r="M176" s="60" t="s">
        <v>184</v>
      </c>
      <c r="N176" s="60" t="b">
        <f>FALSE()</f>
        <v>0</v>
      </c>
      <c r="O176" s="60"/>
      <c r="P176" s="60"/>
      <c r="Q176" s="60" t="s">
        <v>236</v>
      </c>
      <c r="R176" s="60" t="s">
        <v>237</v>
      </c>
      <c r="S176" s="60"/>
      <c r="T176" s="60" t="b">
        <f>FALSE()</f>
        <v>0</v>
      </c>
      <c r="U176" s="60" t="b">
        <f>FALSE()</f>
        <v>0</v>
      </c>
      <c r="V176" s="60">
        <v>328</v>
      </c>
      <c r="W176" s="62" t="s">
        <v>259</v>
      </c>
      <c r="X176" s="60">
        <v>429</v>
      </c>
      <c r="Y176" s="63">
        <v>2.66</v>
      </c>
      <c r="Z176" s="60" t="b">
        <f>FALSE()</f>
        <v>0</v>
      </c>
      <c r="AA176" s="60" t="b">
        <f>TRUE()</f>
        <v>1</v>
      </c>
      <c r="AB176" s="60" t="b">
        <f>FALSE()</f>
        <v>0</v>
      </c>
      <c r="AC176" s="60" t="b">
        <f>FALSE()</f>
        <v>0</v>
      </c>
      <c r="AD176" s="60" t="b">
        <f>TRUE()</f>
        <v>1</v>
      </c>
      <c r="AE176" s="60">
        <v>3</v>
      </c>
      <c r="AF176" s="64">
        <v>42.9</v>
      </c>
      <c r="AG176" s="60" t="s">
        <v>73</v>
      </c>
      <c r="AH176" s="60" t="s">
        <v>875</v>
      </c>
      <c r="AI176">
        <f>IF(AND(OR(Company_Explorer!$B$5="All Companies",$E176=Company_Explorer!$B$5),OR(Company_Explorer!$B$6="All Platforms",$B176=Company_Explorer!$B$6),OR(Company_Explorer!$B$7="All Roles",$D176=Company_Explorer!$B$7),OR(Company_Explorer!$B$8="All Ghost Labels",$AG176=Company_Explorer!$B$8)),1,0)</f>
        <v>0</v>
      </c>
    </row>
    <row r="177" spans="1:35" ht="15" customHeight="1" x14ac:dyDescent="0.3">
      <c r="A177" s="65" t="s">
        <v>876</v>
      </c>
      <c r="B177" s="65" t="s">
        <v>80</v>
      </c>
      <c r="C177" s="65" t="s">
        <v>258</v>
      </c>
      <c r="D177" s="65" t="s">
        <v>125</v>
      </c>
      <c r="E177" s="65" t="s">
        <v>141</v>
      </c>
      <c r="F177" s="65" t="b">
        <f>TRUE()</f>
        <v>1</v>
      </c>
      <c r="G177" s="65" t="s">
        <v>325</v>
      </c>
      <c r="H177" s="65" t="s">
        <v>326</v>
      </c>
      <c r="I177" s="66">
        <v>46198</v>
      </c>
      <c r="J177" s="66">
        <v>46210</v>
      </c>
      <c r="K177" s="65">
        <v>12</v>
      </c>
      <c r="L177" s="65" t="s">
        <v>192</v>
      </c>
      <c r="M177" s="65" t="s">
        <v>184</v>
      </c>
      <c r="N177" s="65" t="b">
        <f>FALSE()</f>
        <v>0</v>
      </c>
      <c r="O177" s="65"/>
      <c r="P177" s="65"/>
      <c r="Q177" s="65" t="s">
        <v>236</v>
      </c>
      <c r="R177" s="65" t="s">
        <v>237</v>
      </c>
      <c r="S177" s="65"/>
      <c r="T177" s="65" t="b">
        <f>FALSE()</f>
        <v>0</v>
      </c>
      <c r="U177" s="65" t="b">
        <f>FALSE()</f>
        <v>0</v>
      </c>
      <c r="V177" s="65">
        <v>314</v>
      </c>
      <c r="W177" s="67" t="s">
        <v>259</v>
      </c>
      <c r="X177" s="65">
        <v>429</v>
      </c>
      <c r="Y177" s="68">
        <v>2.66</v>
      </c>
      <c r="Z177" s="65" t="b">
        <f>FALSE()</f>
        <v>0</v>
      </c>
      <c r="AA177" s="65" t="b">
        <f>TRUE()</f>
        <v>1</v>
      </c>
      <c r="AB177" s="65" t="b">
        <f>FALSE()</f>
        <v>0</v>
      </c>
      <c r="AC177" s="65" t="b">
        <f>FALSE()</f>
        <v>0</v>
      </c>
      <c r="AD177" s="65" t="b">
        <f>TRUE()</f>
        <v>1</v>
      </c>
      <c r="AE177" s="65">
        <v>3</v>
      </c>
      <c r="AF177" s="69">
        <v>42.9</v>
      </c>
      <c r="AG177" s="65" t="s">
        <v>73</v>
      </c>
      <c r="AH177" s="65" t="s">
        <v>877</v>
      </c>
      <c r="AI177">
        <f>IF(AND(OR(Company_Explorer!$B$5="All Companies",$E177=Company_Explorer!$B$5),OR(Company_Explorer!$B$6="All Platforms",$B177=Company_Explorer!$B$6),OR(Company_Explorer!$B$7="All Roles",$D177=Company_Explorer!$B$7),OR(Company_Explorer!$B$8="All Ghost Labels",$AG177=Company_Explorer!$B$8)),1,0)</f>
        <v>0</v>
      </c>
    </row>
    <row r="178" spans="1:35" ht="15" customHeight="1" x14ac:dyDescent="0.3">
      <c r="A178" s="60" t="s">
        <v>878</v>
      </c>
      <c r="B178" s="60" t="s">
        <v>80</v>
      </c>
      <c r="C178" s="60" t="s">
        <v>258</v>
      </c>
      <c r="D178" s="60" t="s">
        <v>125</v>
      </c>
      <c r="E178" s="60" t="s">
        <v>141</v>
      </c>
      <c r="F178" s="60" t="b">
        <f>TRUE()</f>
        <v>1</v>
      </c>
      <c r="G178" s="60" t="s">
        <v>172</v>
      </c>
      <c r="H178" s="60" t="s">
        <v>276</v>
      </c>
      <c r="I178" s="61">
        <v>46198</v>
      </c>
      <c r="J178" s="61">
        <v>46210</v>
      </c>
      <c r="K178" s="60">
        <v>12</v>
      </c>
      <c r="L178" s="60" t="s">
        <v>192</v>
      </c>
      <c r="M178" s="60" t="s">
        <v>184</v>
      </c>
      <c r="N178" s="60" t="b">
        <f>FALSE()</f>
        <v>0</v>
      </c>
      <c r="O178" s="60"/>
      <c r="P178" s="60"/>
      <c r="Q178" s="60" t="s">
        <v>236</v>
      </c>
      <c r="R178" s="60" t="s">
        <v>237</v>
      </c>
      <c r="S178" s="60"/>
      <c r="T178" s="60" t="b">
        <f>FALSE()</f>
        <v>0</v>
      </c>
      <c r="U178" s="60" t="b">
        <f>FALSE()</f>
        <v>0</v>
      </c>
      <c r="V178" s="60">
        <v>245</v>
      </c>
      <c r="W178" s="62" t="s">
        <v>259</v>
      </c>
      <c r="X178" s="60">
        <v>429</v>
      </c>
      <c r="Y178" s="63">
        <v>2.66</v>
      </c>
      <c r="Z178" s="60" t="b">
        <f>FALSE()</f>
        <v>0</v>
      </c>
      <c r="AA178" s="60" t="b">
        <f>TRUE()</f>
        <v>1</v>
      </c>
      <c r="AB178" s="60" t="b">
        <f>TRUE()</f>
        <v>1</v>
      </c>
      <c r="AC178" s="60" t="b">
        <f>FALSE()</f>
        <v>0</v>
      </c>
      <c r="AD178" s="60" t="b">
        <f>TRUE()</f>
        <v>1</v>
      </c>
      <c r="AE178" s="60">
        <v>4</v>
      </c>
      <c r="AF178" s="64">
        <v>57.1</v>
      </c>
      <c r="AG178" s="60" t="s">
        <v>72</v>
      </c>
      <c r="AH178" s="60" t="s">
        <v>879</v>
      </c>
      <c r="AI178">
        <f>IF(AND(OR(Company_Explorer!$B$5="All Companies",$E178=Company_Explorer!$B$5),OR(Company_Explorer!$B$6="All Platforms",$B178=Company_Explorer!$B$6),OR(Company_Explorer!$B$7="All Roles",$D178=Company_Explorer!$B$7),OR(Company_Explorer!$B$8="All Ghost Labels",$AG178=Company_Explorer!$B$8)),1,0)</f>
        <v>0</v>
      </c>
    </row>
    <row r="179" spans="1:35" ht="15" customHeight="1" x14ac:dyDescent="0.3">
      <c r="A179" s="65" t="s">
        <v>880</v>
      </c>
      <c r="B179" s="65" t="s">
        <v>80</v>
      </c>
      <c r="C179" s="65" t="s">
        <v>258</v>
      </c>
      <c r="D179" s="65" t="s">
        <v>125</v>
      </c>
      <c r="E179" s="65" t="s">
        <v>141</v>
      </c>
      <c r="F179" s="65" t="b">
        <f>TRUE()</f>
        <v>1</v>
      </c>
      <c r="G179" s="65" t="s">
        <v>169</v>
      </c>
      <c r="H179" s="65" t="s">
        <v>294</v>
      </c>
      <c r="I179" s="66">
        <v>46199</v>
      </c>
      <c r="J179" s="66">
        <v>46210</v>
      </c>
      <c r="K179" s="65">
        <v>11</v>
      </c>
      <c r="L179" s="65" t="s">
        <v>192</v>
      </c>
      <c r="M179" s="65" t="s">
        <v>184</v>
      </c>
      <c r="N179" s="65" t="b">
        <f>FALSE()</f>
        <v>0</v>
      </c>
      <c r="O179" s="65"/>
      <c r="P179" s="65"/>
      <c r="Q179" s="65" t="s">
        <v>236</v>
      </c>
      <c r="R179" s="65" t="s">
        <v>237</v>
      </c>
      <c r="S179" s="65"/>
      <c r="T179" s="65" t="b">
        <f>FALSE()</f>
        <v>0</v>
      </c>
      <c r="U179" s="65" t="b">
        <f>FALSE()</f>
        <v>0</v>
      </c>
      <c r="V179" s="65">
        <v>328</v>
      </c>
      <c r="W179" s="67" t="s">
        <v>259</v>
      </c>
      <c r="X179" s="65">
        <v>429</v>
      </c>
      <c r="Y179" s="68">
        <v>2.66</v>
      </c>
      <c r="Z179" s="65" t="b">
        <f>FALSE()</f>
        <v>0</v>
      </c>
      <c r="AA179" s="65" t="b">
        <f>TRUE()</f>
        <v>1</v>
      </c>
      <c r="AB179" s="65" t="b">
        <f>FALSE()</f>
        <v>0</v>
      </c>
      <c r="AC179" s="65" t="b">
        <f>FALSE()</f>
        <v>0</v>
      </c>
      <c r="AD179" s="65" t="b">
        <f>TRUE()</f>
        <v>1</v>
      </c>
      <c r="AE179" s="65">
        <v>3</v>
      </c>
      <c r="AF179" s="69">
        <v>42.9</v>
      </c>
      <c r="AG179" s="65" t="s">
        <v>73</v>
      </c>
      <c r="AH179" s="65" t="s">
        <v>881</v>
      </c>
      <c r="AI179">
        <f>IF(AND(OR(Company_Explorer!$B$5="All Companies",$E179=Company_Explorer!$B$5),OR(Company_Explorer!$B$6="All Platforms",$B179=Company_Explorer!$B$6),OR(Company_Explorer!$B$7="All Roles",$D179=Company_Explorer!$B$7),OR(Company_Explorer!$B$8="All Ghost Labels",$AG179=Company_Explorer!$B$8)),1,0)</f>
        <v>0</v>
      </c>
    </row>
    <row r="180" spans="1:35" ht="15" customHeight="1" x14ac:dyDescent="0.3">
      <c r="A180" s="60" t="s">
        <v>882</v>
      </c>
      <c r="B180" s="60" t="s">
        <v>80</v>
      </c>
      <c r="C180" s="60" t="s">
        <v>258</v>
      </c>
      <c r="D180" s="60" t="s">
        <v>125</v>
      </c>
      <c r="E180" s="60" t="s">
        <v>141</v>
      </c>
      <c r="F180" s="60" t="b">
        <f>TRUE()</f>
        <v>1</v>
      </c>
      <c r="G180" s="60" t="s">
        <v>166</v>
      </c>
      <c r="H180" s="60" t="s">
        <v>235</v>
      </c>
      <c r="I180" s="61">
        <v>46198</v>
      </c>
      <c r="J180" s="61">
        <v>46210</v>
      </c>
      <c r="K180" s="60">
        <v>12</v>
      </c>
      <c r="L180" s="60" t="s">
        <v>192</v>
      </c>
      <c r="M180" s="60" t="s">
        <v>184</v>
      </c>
      <c r="N180" s="60" t="b">
        <f>FALSE()</f>
        <v>0</v>
      </c>
      <c r="O180" s="60"/>
      <c r="P180" s="60"/>
      <c r="Q180" s="60" t="s">
        <v>236</v>
      </c>
      <c r="R180" s="60" t="s">
        <v>237</v>
      </c>
      <c r="S180" s="60"/>
      <c r="T180" s="60" t="b">
        <f>FALSE()</f>
        <v>0</v>
      </c>
      <c r="U180" s="60" t="b">
        <f>FALSE()</f>
        <v>0</v>
      </c>
      <c r="V180" s="60">
        <v>336</v>
      </c>
      <c r="W180" s="62" t="s">
        <v>259</v>
      </c>
      <c r="X180" s="60">
        <v>429</v>
      </c>
      <c r="Y180" s="63">
        <v>2.66</v>
      </c>
      <c r="Z180" s="60" t="b">
        <f>FALSE()</f>
        <v>0</v>
      </c>
      <c r="AA180" s="60" t="b">
        <f>TRUE()</f>
        <v>1</v>
      </c>
      <c r="AB180" s="60" t="b">
        <f>FALSE()</f>
        <v>0</v>
      </c>
      <c r="AC180" s="60" t="b">
        <f>FALSE()</f>
        <v>0</v>
      </c>
      <c r="AD180" s="60" t="b">
        <f>TRUE()</f>
        <v>1</v>
      </c>
      <c r="AE180" s="60">
        <v>3</v>
      </c>
      <c r="AF180" s="64">
        <v>42.9</v>
      </c>
      <c r="AG180" s="60" t="s">
        <v>73</v>
      </c>
      <c r="AH180" s="60" t="s">
        <v>883</v>
      </c>
      <c r="AI180">
        <f>IF(AND(OR(Company_Explorer!$B$5="All Companies",$E180=Company_Explorer!$B$5),OR(Company_Explorer!$B$6="All Platforms",$B180=Company_Explorer!$B$6),OR(Company_Explorer!$B$7="All Roles",$D180=Company_Explorer!$B$7),OR(Company_Explorer!$B$8="All Ghost Labels",$AG180=Company_Explorer!$B$8)),1,0)</f>
        <v>0</v>
      </c>
    </row>
    <row r="181" spans="1:35" ht="15" customHeight="1" x14ac:dyDescent="0.3">
      <c r="A181" s="65" t="s">
        <v>884</v>
      </c>
      <c r="B181" s="65" t="s">
        <v>80</v>
      </c>
      <c r="C181" s="65" t="s">
        <v>258</v>
      </c>
      <c r="D181" s="65" t="s">
        <v>125</v>
      </c>
      <c r="E181" s="65" t="s">
        <v>141</v>
      </c>
      <c r="F181" s="65" t="b">
        <f>TRUE()</f>
        <v>1</v>
      </c>
      <c r="G181" s="65" t="s">
        <v>174</v>
      </c>
      <c r="H181" s="65" t="s">
        <v>302</v>
      </c>
      <c r="I181" s="66">
        <v>46200</v>
      </c>
      <c r="J181" s="66">
        <v>46210</v>
      </c>
      <c r="K181" s="65">
        <v>10</v>
      </c>
      <c r="L181" s="65" t="s">
        <v>192</v>
      </c>
      <c r="M181" s="65" t="s">
        <v>184</v>
      </c>
      <c r="N181" s="65" t="b">
        <f>FALSE()</f>
        <v>0</v>
      </c>
      <c r="O181" s="65"/>
      <c r="P181" s="65"/>
      <c r="Q181" s="65" t="s">
        <v>236</v>
      </c>
      <c r="R181" s="65" t="s">
        <v>237</v>
      </c>
      <c r="S181" s="65"/>
      <c r="T181" s="65" t="b">
        <f>FALSE()</f>
        <v>0</v>
      </c>
      <c r="U181" s="65" t="b">
        <f>FALSE()</f>
        <v>0</v>
      </c>
      <c r="V181" s="65">
        <v>305</v>
      </c>
      <c r="W181" s="67" t="s">
        <v>259</v>
      </c>
      <c r="X181" s="65">
        <v>429</v>
      </c>
      <c r="Y181" s="68">
        <v>2.66</v>
      </c>
      <c r="Z181" s="65" t="b">
        <f>FALSE()</f>
        <v>0</v>
      </c>
      <c r="AA181" s="65" t="b">
        <f>TRUE()</f>
        <v>1</v>
      </c>
      <c r="AB181" s="65" t="b">
        <f>FALSE()</f>
        <v>0</v>
      </c>
      <c r="AC181" s="65" t="b">
        <f>FALSE()</f>
        <v>0</v>
      </c>
      <c r="AD181" s="65" t="b">
        <f>TRUE()</f>
        <v>1</v>
      </c>
      <c r="AE181" s="65">
        <v>3</v>
      </c>
      <c r="AF181" s="69">
        <v>42.9</v>
      </c>
      <c r="AG181" s="65" t="s">
        <v>73</v>
      </c>
      <c r="AH181" s="65" t="s">
        <v>885</v>
      </c>
      <c r="AI181">
        <f>IF(AND(OR(Company_Explorer!$B$5="All Companies",$E181=Company_Explorer!$B$5),OR(Company_Explorer!$B$6="All Platforms",$B181=Company_Explorer!$B$6),OR(Company_Explorer!$B$7="All Roles",$D181=Company_Explorer!$B$7),OR(Company_Explorer!$B$8="All Ghost Labels",$AG181=Company_Explorer!$B$8)),1,0)</f>
        <v>0</v>
      </c>
    </row>
    <row r="182" spans="1:35" ht="15" customHeight="1" x14ac:dyDescent="0.3">
      <c r="A182" s="60" t="s">
        <v>886</v>
      </c>
      <c r="B182" s="60" t="s">
        <v>80</v>
      </c>
      <c r="C182" s="60" t="s">
        <v>258</v>
      </c>
      <c r="D182" s="60" t="s">
        <v>125</v>
      </c>
      <c r="E182" s="60" t="s">
        <v>141</v>
      </c>
      <c r="F182" s="60" t="b">
        <f>TRUE()</f>
        <v>1</v>
      </c>
      <c r="G182" s="60" t="s">
        <v>768</v>
      </c>
      <c r="H182" s="60" t="s">
        <v>769</v>
      </c>
      <c r="I182" s="61">
        <v>46198</v>
      </c>
      <c r="J182" s="61">
        <v>46210</v>
      </c>
      <c r="K182" s="60">
        <v>12</v>
      </c>
      <c r="L182" s="60" t="s">
        <v>192</v>
      </c>
      <c r="M182" s="60" t="s">
        <v>184</v>
      </c>
      <c r="N182" s="60" t="b">
        <f>FALSE()</f>
        <v>0</v>
      </c>
      <c r="O182" s="60"/>
      <c r="P182" s="60"/>
      <c r="Q182" s="60" t="s">
        <v>236</v>
      </c>
      <c r="R182" s="60" t="s">
        <v>237</v>
      </c>
      <c r="S182" s="60"/>
      <c r="T182" s="60" t="b">
        <f>FALSE()</f>
        <v>0</v>
      </c>
      <c r="U182" s="60" t="b">
        <f>FALSE()</f>
        <v>0</v>
      </c>
      <c r="V182" s="60">
        <v>331</v>
      </c>
      <c r="W182" s="62" t="s">
        <v>887</v>
      </c>
      <c r="X182" s="60">
        <v>429</v>
      </c>
      <c r="Y182" s="63">
        <v>2.66</v>
      </c>
      <c r="Z182" s="60" t="b">
        <f>FALSE()</f>
        <v>0</v>
      </c>
      <c r="AA182" s="60" t="b">
        <f>TRUE()</f>
        <v>1</v>
      </c>
      <c r="AB182" s="60" t="b">
        <f>FALSE()</f>
        <v>0</v>
      </c>
      <c r="AC182" s="60" t="b">
        <f>FALSE()</f>
        <v>0</v>
      </c>
      <c r="AD182" s="60" t="b">
        <f>TRUE()</f>
        <v>1</v>
      </c>
      <c r="AE182" s="60">
        <v>3</v>
      </c>
      <c r="AF182" s="64">
        <v>42.9</v>
      </c>
      <c r="AG182" s="60" t="s">
        <v>73</v>
      </c>
      <c r="AH182" s="60" t="s">
        <v>888</v>
      </c>
      <c r="AI182">
        <f>IF(AND(OR(Company_Explorer!$B$5="All Companies",$E182=Company_Explorer!$B$5),OR(Company_Explorer!$B$6="All Platforms",$B182=Company_Explorer!$B$6),OR(Company_Explorer!$B$7="All Roles",$D182=Company_Explorer!$B$7),OR(Company_Explorer!$B$8="All Ghost Labels",$AG182=Company_Explorer!$B$8)),1,0)</f>
        <v>0</v>
      </c>
    </row>
    <row r="183" spans="1:35" ht="15" customHeight="1" x14ac:dyDescent="0.3">
      <c r="A183" s="65" t="s">
        <v>889</v>
      </c>
      <c r="B183" s="65" t="s">
        <v>80</v>
      </c>
      <c r="C183" s="65" t="s">
        <v>130</v>
      </c>
      <c r="D183" s="65" t="s">
        <v>130</v>
      </c>
      <c r="E183" s="65" t="s">
        <v>141</v>
      </c>
      <c r="F183" s="65" t="b">
        <f>TRUE()</f>
        <v>1</v>
      </c>
      <c r="G183" s="65" t="s">
        <v>172</v>
      </c>
      <c r="H183" s="65" t="s">
        <v>276</v>
      </c>
      <c r="I183" s="66">
        <v>46198</v>
      </c>
      <c r="J183" s="66">
        <v>46210</v>
      </c>
      <c r="K183" s="65">
        <v>12</v>
      </c>
      <c r="L183" s="65" t="s">
        <v>192</v>
      </c>
      <c r="M183" s="65" t="s">
        <v>184</v>
      </c>
      <c r="N183" s="65" t="b">
        <f>FALSE()</f>
        <v>0</v>
      </c>
      <c r="O183" s="65"/>
      <c r="P183" s="65"/>
      <c r="Q183" s="65" t="s">
        <v>236</v>
      </c>
      <c r="R183" s="65" t="s">
        <v>237</v>
      </c>
      <c r="S183" s="65"/>
      <c r="T183" s="65" t="b">
        <f>FALSE()</f>
        <v>0</v>
      </c>
      <c r="U183" s="65" t="b">
        <f>FALSE()</f>
        <v>0</v>
      </c>
      <c r="V183" s="65">
        <v>321</v>
      </c>
      <c r="W183" s="67" t="s">
        <v>861</v>
      </c>
      <c r="X183" s="65">
        <v>429</v>
      </c>
      <c r="Y183" s="68">
        <v>2.66</v>
      </c>
      <c r="Z183" s="65" t="b">
        <f>FALSE()</f>
        <v>0</v>
      </c>
      <c r="AA183" s="65" t="b">
        <f>TRUE()</f>
        <v>1</v>
      </c>
      <c r="AB183" s="65" t="b">
        <f>FALSE()</f>
        <v>0</v>
      </c>
      <c r="AC183" s="65" t="b">
        <f>FALSE()</f>
        <v>0</v>
      </c>
      <c r="AD183" s="65" t="b">
        <f>TRUE()</f>
        <v>1</v>
      </c>
      <c r="AE183" s="65">
        <v>3</v>
      </c>
      <c r="AF183" s="69">
        <v>42.9</v>
      </c>
      <c r="AG183" s="65" t="s">
        <v>73</v>
      </c>
      <c r="AH183" s="65" t="s">
        <v>890</v>
      </c>
      <c r="AI183">
        <f>IF(AND(OR(Company_Explorer!$B$5="All Companies",$E183=Company_Explorer!$B$5),OR(Company_Explorer!$B$6="All Platforms",$B183=Company_Explorer!$B$6),OR(Company_Explorer!$B$7="All Roles",$D183=Company_Explorer!$B$7),OR(Company_Explorer!$B$8="All Ghost Labels",$AG183=Company_Explorer!$B$8)),1,0)</f>
        <v>0</v>
      </c>
    </row>
    <row r="184" spans="1:35" ht="15" customHeight="1" x14ac:dyDescent="0.3">
      <c r="A184" s="60" t="s">
        <v>891</v>
      </c>
      <c r="B184" s="60" t="s">
        <v>80</v>
      </c>
      <c r="C184" s="60" t="s">
        <v>258</v>
      </c>
      <c r="D184" s="60" t="s">
        <v>125</v>
      </c>
      <c r="E184" s="60" t="s">
        <v>141</v>
      </c>
      <c r="F184" s="60" t="b">
        <f>TRUE()</f>
        <v>1</v>
      </c>
      <c r="G184" s="60" t="s">
        <v>174</v>
      </c>
      <c r="H184" s="60" t="s">
        <v>302</v>
      </c>
      <c r="I184" s="61">
        <v>46200</v>
      </c>
      <c r="J184" s="61">
        <v>46210</v>
      </c>
      <c r="K184" s="60">
        <v>10</v>
      </c>
      <c r="L184" s="60" t="s">
        <v>192</v>
      </c>
      <c r="M184" s="60" t="s">
        <v>184</v>
      </c>
      <c r="N184" s="60" t="b">
        <f>FALSE()</f>
        <v>0</v>
      </c>
      <c r="O184" s="60"/>
      <c r="P184" s="60"/>
      <c r="Q184" s="60" t="s">
        <v>236</v>
      </c>
      <c r="R184" s="60" t="s">
        <v>237</v>
      </c>
      <c r="S184" s="60"/>
      <c r="T184" s="60" t="b">
        <f>FALSE()</f>
        <v>0</v>
      </c>
      <c r="U184" s="60" t="b">
        <f>FALSE()</f>
        <v>0</v>
      </c>
      <c r="V184" s="60">
        <v>320</v>
      </c>
      <c r="W184" s="62" t="s">
        <v>259</v>
      </c>
      <c r="X184" s="60">
        <v>429</v>
      </c>
      <c r="Y184" s="63">
        <v>2.66</v>
      </c>
      <c r="Z184" s="60" t="b">
        <f>FALSE()</f>
        <v>0</v>
      </c>
      <c r="AA184" s="60" t="b">
        <f>TRUE()</f>
        <v>1</v>
      </c>
      <c r="AB184" s="60" t="b">
        <f>FALSE()</f>
        <v>0</v>
      </c>
      <c r="AC184" s="60" t="b">
        <f>FALSE()</f>
        <v>0</v>
      </c>
      <c r="AD184" s="60" t="b">
        <f>TRUE()</f>
        <v>1</v>
      </c>
      <c r="AE184" s="60">
        <v>3</v>
      </c>
      <c r="AF184" s="64">
        <v>42.9</v>
      </c>
      <c r="AG184" s="60" t="s">
        <v>73</v>
      </c>
      <c r="AH184" s="60" t="s">
        <v>892</v>
      </c>
      <c r="AI184">
        <f>IF(AND(OR(Company_Explorer!$B$5="All Companies",$E184=Company_Explorer!$B$5),OR(Company_Explorer!$B$6="All Platforms",$B184=Company_Explorer!$B$6),OR(Company_Explorer!$B$7="All Roles",$D184=Company_Explorer!$B$7),OR(Company_Explorer!$B$8="All Ghost Labels",$AG184=Company_Explorer!$B$8)),1,0)</f>
        <v>0</v>
      </c>
    </row>
    <row r="185" spans="1:35" ht="15" customHeight="1" x14ac:dyDescent="0.3">
      <c r="A185" s="65" t="s">
        <v>893</v>
      </c>
      <c r="B185" s="65" t="s">
        <v>80</v>
      </c>
      <c r="C185" s="65" t="s">
        <v>258</v>
      </c>
      <c r="D185" s="65" t="s">
        <v>125</v>
      </c>
      <c r="E185" s="65" t="s">
        <v>141</v>
      </c>
      <c r="F185" s="65" t="b">
        <f>TRUE()</f>
        <v>1</v>
      </c>
      <c r="G185" s="65" t="s">
        <v>173</v>
      </c>
      <c r="H185" s="65" t="s">
        <v>827</v>
      </c>
      <c r="I185" s="66">
        <v>46198</v>
      </c>
      <c r="J185" s="66">
        <v>46210</v>
      </c>
      <c r="K185" s="65">
        <v>12</v>
      </c>
      <c r="L185" s="65" t="s">
        <v>192</v>
      </c>
      <c r="M185" s="65" t="s">
        <v>184</v>
      </c>
      <c r="N185" s="65" t="b">
        <f>FALSE()</f>
        <v>0</v>
      </c>
      <c r="O185" s="65"/>
      <c r="P185" s="65"/>
      <c r="Q185" s="65" t="s">
        <v>236</v>
      </c>
      <c r="R185" s="65" t="s">
        <v>237</v>
      </c>
      <c r="S185" s="65"/>
      <c r="T185" s="65" t="b">
        <f>FALSE()</f>
        <v>0</v>
      </c>
      <c r="U185" s="65" t="b">
        <f>FALSE()</f>
        <v>0</v>
      </c>
      <c r="V185" s="65">
        <v>319</v>
      </c>
      <c r="W185" s="67" t="s">
        <v>259</v>
      </c>
      <c r="X185" s="65">
        <v>429</v>
      </c>
      <c r="Y185" s="68">
        <v>2.66</v>
      </c>
      <c r="Z185" s="65" t="b">
        <f>FALSE()</f>
        <v>0</v>
      </c>
      <c r="AA185" s="65" t="b">
        <f>TRUE()</f>
        <v>1</v>
      </c>
      <c r="AB185" s="65" t="b">
        <f>FALSE()</f>
        <v>0</v>
      </c>
      <c r="AC185" s="65" t="b">
        <f>FALSE()</f>
        <v>0</v>
      </c>
      <c r="AD185" s="65" t="b">
        <f>TRUE()</f>
        <v>1</v>
      </c>
      <c r="AE185" s="65">
        <v>3</v>
      </c>
      <c r="AF185" s="69">
        <v>42.9</v>
      </c>
      <c r="AG185" s="65" t="s">
        <v>73</v>
      </c>
      <c r="AH185" s="65" t="s">
        <v>894</v>
      </c>
      <c r="AI185">
        <f>IF(AND(OR(Company_Explorer!$B$5="All Companies",$E185=Company_Explorer!$B$5),OR(Company_Explorer!$B$6="All Platforms",$B185=Company_Explorer!$B$6),OR(Company_Explorer!$B$7="All Roles",$D185=Company_Explorer!$B$7),OR(Company_Explorer!$B$8="All Ghost Labels",$AG185=Company_Explorer!$B$8)),1,0)</f>
        <v>0</v>
      </c>
    </row>
    <row r="186" spans="1:35" ht="15" customHeight="1" x14ac:dyDescent="0.3">
      <c r="A186" s="60" t="s">
        <v>895</v>
      </c>
      <c r="B186" s="60" t="s">
        <v>80</v>
      </c>
      <c r="C186" s="60" t="s">
        <v>258</v>
      </c>
      <c r="D186" s="60" t="s">
        <v>125</v>
      </c>
      <c r="E186" s="60" t="s">
        <v>141</v>
      </c>
      <c r="F186" s="60" t="b">
        <f>TRUE()</f>
        <v>1</v>
      </c>
      <c r="G186" s="60" t="s">
        <v>166</v>
      </c>
      <c r="H186" s="60" t="s">
        <v>235</v>
      </c>
      <c r="I186" s="61">
        <v>46198</v>
      </c>
      <c r="J186" s="61">
        <v>46210</v>
      </c>
      <c r="K186" s="60">
        <v>12</v>
      </c>
      <c r="L186" s="60" t="s">
        <v>192</v>
      </c>
      <c r="M186" s="60" t="s">
        <v>184</v>
      </c>
      <c r="N186" s="60" t="b">
        <f>FALSE()</f>
        <v>0</v>
      </c>
      <c r="O186" s="60"/>
      <c r="P186" s="60"/>
      <c r="Q186" s="60" t="s">
        <v>236</v>
      </c>
      <c r="R186" s="60" t="s">
        <v>237</v>
      </c>
      <c r="S186" s="60"/>
      <c r="T186" s="60" t="b">
        <f>FALSE()</f>
        <v>0</v>
      </c>
      <c r="U186" s="60" t="b">
        <f>FALSE()</f>
        <v>0</v>
      </c>
      <c r="V186" s="60">
        <v>291</v>
      </c>
      <c r="W186" s="62" t="s">
        <v>498</v>
      </c>
      <c r="X186" s="60">
        <v>429</v>
      </c>
      <c r="Y186" s="63">
        <v>2.66</v>
      </c>
      <c r="Z186" s="60" t="b">
        <f>FALSE()</f>
        <v>0</v>
      </c>
      <c r="AA186" s="60" t="b">
        <f>TRUE()</f>
        <v>1</v>
      </c>
      <c r="AB186" s="60" t="b">
        <f>FALSE()</f>
        <v>0</v>
      </c>
      <c r="AC186" s="60" t="b">
        <f>FALSE()</f>
        <v>0</v>
      </c>
      <c r="AD186" s="60" t="b">
        <f>TRUE()</f>
        <v>1</v>
      </c>
      <c r="AE186" s="60">
        <v>3</v>
      </c>
      <c r="AF186" s="64">
        <v>42.9</v>
      </c>
      <c r="AG186" s="60" t="s">
        <v>73</v>
      </c>
      <c r="AH186" s="60" t="s">
        <v>896</v>
      </c>
      <c r="AI186">
        <f>IF(AND(OR(Company_Explorer!$B$5="All Companies",$E186=Company_Explorer!$B$5),OR(Company_Explorer!$B$6="All Platforms",$B186=Company_Explorer!$B$6),OR(Company_Explorer!$B$7="All Roles",$D186=Company_Explorer!$B$7),OR(Company_Explorer!$B$8="All Ghost Labels",$AG186=Company_Explorer!$B$8)),1,0)</f>
        <v>0</v>
      </c>
    </row>
    <row r="187" spans="1:35" ht="15" customHeight="1" x14ac:dyDescent="0.3">
      <c r="A187" s="65" t="s">
        <v>897</v>
      </c>
      <c r="B187" s="65" t="s">
        <v>80</v>
      </c>
      <c r="C187" s="65" t="s">
        <v>258</v>
      </c>
      <c r="D187" s="65" t="s">
        <v>125</v>
      </c>
      <c r="E187" s="65" t="s">
        <v>141</v>
      </c>
      <c r="F187" s="65" t="b">
        <f>TRUE()</f>
        <v>1</v>
      </c>
      <c r="G187" s="65" t="s">
        <v>172</v>
      </c>
      <c r="H187" s="65" t="s">
        <v>276</v>
      </c>
      <c r="I187" s="66">
        <v>46205</v>
      </c>
      <c r="J187" s="66">
        <v>46210</v>
      </c>
      <c r="K187" s="65">
        <v>5</v>
      </c>
      <c r="L187" s="65" t="s">
        <v>192</v>
      </c>
      <c r="M187" s="65" t="s">
        <v>184</v>
      </c>
      <c r="N187" s="65" t="b">
        <f>FALSE()</f>
        <v>0</v>
      </c>
      <c r="O187" s="65"/>
      <c r="P187" s="65"/>
      <c r="Q187" s="65" t="s">
        <v>236</v>
      </c>
      <c r="R187" s="65" t="s">
        <v>237</v>
      </c>
      <c r="S187" s="65"/>
      <c r="T187" s="65" t="b">
        <f>FALSE()</f>
        <v>0</v>
      </c>
      <c r="U187" s="65" t="b">
        <f>FALSE()</f>
        <v>0</v>
      </c>
      <c r="V187" s="65">
        <v>316</v>
      </c>
      <c r="W187" s="67" t="s">
        <v>259</v>
      </c>
      <c r="X187" s="65">
        <v>429</v>
      </c>
      <c r="Y187" s="68">
        <v>2.66</v>
      </c>
      <c r="Z187" s="65" t="b">
        <f>FALSE()</f>
        <v>0</v>
      </c>
      <c r="AA187" s="65" t="b">
        <f>TRUE()</f>
        <v>1</v>
      </c>
      <c r="AB187" s="65" t="b">
        <f>FALSE()</f>
        <v>0</v>
      </c>
      <c r="AC187" s="65" t="b">
        <f>FALSE()</f>
        <v>0</v>
      </c>
      <c r="AD187" s="65" t="b">
        <f>TRUE()</f>
        <v>1</v>
      </c>
      <c r="AE187" s="65">
        <v>3</v>
      </c>
      <c r="AF187" s="69">
        <v>42.9</v>
      </c>
      <c r="AG187" s="65" t="s">
        <v>73</v>
      </c>
      <c r="AH187" s="65" t="s">
        <v>898</v>
      </c>
      <c r="AI187">
        <f>IF(AND(OR(Company_Explorer!$B$5="All Companies",$E187=Company_Explorer!$B$5),OR(Company_Explorer!$B$6="All Platforms",$B187=Company_Explorer!$B$6),OR(Company_Explorer!$B$7="All Roles",$D187=Company_Explorer!$B$7),OR(Company_Explorer!$B$8="All Ghost Labels",$AG187=Company_Explorer!$B$8)),1,0)</f>
        <v>0</v>
      </c>
    </row>
    <row r="188" spans="1:35" ht="15" customHeight="1" x14ac:dyDescent="0.3">
      <c r="A188" s="60" t="s">
        <v>899</v>
      </c>
      <c r="B188" s="60" t="s">
        <v>80</v>
      </c>
      <c r="C188" s="60" t="s">
        <v>258</v>
      </c>
      <c r="D188" s="60" t="s">
        <v>125</v>
      </c>
      <c r="E188" s="60" t="s">
        <v>141</v>
      </c>
      <c r="F188" s="60" t="b">
        <f>TRUE()</f>
        <v>1</v>
      </c>
      <c r="G188" s="60" t="s">
        <v>167</v>
      </c>
      <c r="H188" s="60" t="s">
        <v>276</v>
      </c>
      <c r="I188" s="61">
        <v>46198</v>
      </c>
      <c r="J188" s="61">
        <v>46210</v>
      </c>
      <c r="K188" s="60">
        <v>12</v>
      </c>
      <c r="L188" s="60" t="s">
        <v>192</v>
      </c>
      <c r="M188" s="60" t="s">
        <v>184</v>
      </c>
      <c r="N188" s="60" t="b">
        <f>FALSE()</f>
        <v>0</v>
      </c>
      <c r="O188" s="60"/>
      <c r="P188" s="60"/>
      <c r="Q188" s="60" t="s">
        <v>236</v>
      </c>
      <c r="R188" s="60" t="s">
        <v>237</v>
      </c>
      <c r="S188" s="60"/>
      <c r="T188" s="60" t="b">
        <f>FALSE()</f>
        <v>0</v>
      </c>
      <c r="U188" s="60" t="b">
        <f>FALSE()</f>
        <v>0</v>
      </c>
      <c r="V188" s="60">
        <v>327</v>
      </c>
      <c r="W188" s="62" t="s">
        <v>259</v>
      </c>
      <c r="X188" s="60">
        <v>429</v>
      </c>
      <c r="Y188" s="63">
        <v>2.66</v>
      </c>
      <c r="Z188" s="60" t="b">
        <f>FALSE()</f>
        <v>0</v>
      </c>
      <c r="AA188" s="60" t="b">
        <f>TRUE()</f>
        <v>1</v>
      </c>
      <c r="AB188" s="60" t="b">
        <f>FALSE()</f>
        <v>0</v>
      </c>
      <c r="AC188" s="60" t="b">
        <f>FALSE()</f>
        <v>0</v>
      </c>
      <c r="AD188" s="60" t="b">
        <f>TRUE()</f>
        <v>1</v>
      </c>
      <c r="AE188" s="60">
        <v>3</v>
      </c>
      <c r="AF188" s="64">
        <v>42.9</v>
      </c>
      <c r="AG188" s="60" t="s">
        <v>73</v>
      </c>
      <c r="AH188" s="60" t="s">
        <v>900</v>
      </c>
      <c r="AI188">
        <f>IF(AND(OR(Company_Explorer!$B$5="All Companies",$E188=Company_Explorer!$B$5),OR(Company_Explorer!$B$6="All Platforms",$B188=Company_Explorer!$B$6),OR(Company_Explorer!$B$7="All Roles",$D188=Company_Explorer!$B$7),OR(Company_Explorer!$B$8="All Ghost Labels",$AG188=Company_Explorer!$B$8)),1,0)</f>
        <v>0</v>
      </c>
    </row>
    <row r="189" spans="1:35" ht="15" customHeight="1" x14ac:dyDescent="0.3">
      <c r="A189" s="65" t="s">
        <v>901</v>
      </c>
      <c r="B189" s="65" t="s">
        <v>80</v>
      </c>
      <c r="C189" s="65" t="s">
        <v>258</v>
      </c>
      <c r="D189" s="65" t="s">
        <v>125</v>
      </c>
      <c r="E189" s="65" t="s">
        <v>141</v>
      </c>
      <c r="F189" s="65" t="b">
        <f>TRUE()</f>
        <v>1</v>
      </c>
      <c r="G189" s="65" t="s">
        <v>174</v>
      </c>
      <c r="H189" s="65" t="s">
        <v>302</v>
      </c>
      <c r="I189" s="66">
        <v>46198</v>
      </c>
      <c r="J189" s="66">
        <v>46210</v>
      </c>
      <c r="K189" s="65">
        <v>12</v>
      </c>
      <c r="L189" s="65" t="s">
        <v>192</v>
      </c>
      <c r="M189" s="65" t="s">
        <v>184</v>
      </c>
      <c r="N189" s="65" t="b">
        <f>FALSE()</f>
        <v>0</v>
      </c>
      <c r="O189" s="65"/>
      <c r="P189" s="65"/>
      <c r="Q189" s="65" t="s">
        <v>236</v>
      </c>
      <c r="R189" s="65" t="s">
        <v>237</v>
      </c>
      <c r="S189" s="65"/>
      <c r="T189" s="65" t="b">
        <f>FALSE()</f>
        <v>0</v>
      </c>
      <c r="U189" s="65" t="b">
        <f>FALSE()</f>
        <v>0</v>
      </c>
      <c r="V189" s="65">
        <v>254</v>
      </c>
      <c r="W189" s="67" t="s">
        <v>902</v>
      </c>
      <c r="X189" s="65">
        <v>429</v>
      </c>
      <c r="Y189" s="68">
        <v>2.66</v>
      </c>
      <c r="Z189" s="65" t="b">
        <f>FALSE()</f>
        <v>0</v>
      </c>
      <c r="AA189" s="65" t="b">
        <f>TRUE()</f>
        <v>1</v>
      </c>
      <c r="AB189" s="65" t="b">
        <f>TRUE()</f>
        <v>1</v>
      </c>
      <c r="AC189" s="65" t="b">
        <f>FALSE()</f>
        <v>0</v>
      </c>
      <c r="AD189" s="65" t="b">
        <f>TRUE()</f>
        <v>1</v>
      </c>
      <c r="AE189" s="65">
        <v>4</v>
      </c>
      <c r="AF189" s="69">
        <v>57.1</v>
      </c>
      <c r="AG189" s="65" t="s">
        <v>72</v>
      </c>
      <c r="AH189" s="65" t="s">
        <v>903</v>
      </c>
      <c r="AI189">
        <f>IF(AND(OR(Company_Explorer!$B$5="All Companies",$E189=Company_Explorer!$B$5),OR(Company_Explorer!$B$6="All Platforms",$B189=Company_Explorer!$B$6),OR(Company_Explorer!$B$7="All Roles",$D189=Company_Explorer!$B$7),OR(Company_Explorer!$B$8="All Ghost Labels",$AG189=Company_Explorer!$B$8)),1,0)</f>
        <v>0</v>
      </c>
    </row>
    <row r="190" spans="1:35" ht="15" customHeight="1" x14ac:dyDescent="0.3">
      <c r="A190" s="60" t="s">
        <v>904</v>
      </c>
      <c r="B190" s="60" t="s">
        <v>80</v>
      </c>
      <c r="C190" s="60" t="s">
        <v>258</v>
      </c>
      <c r="D190" s="60" t="s">
        <v>125</v>
      </c>
      <c r="E190" s="60" t="s">
        <v>141</v>
      </c>
      <c r="F190" s="60" t="b">
        <f>TRUE()</f>
        <v>1</v>
      </c>
      <c r="G190" s="60" t="s">
        <v>174</v>
      </c>
      <c r="H190" s="60" t="s">
        <v>302</v>
      </c>
      <c r="I190" s="61">
        <v>46202</v>
      </c>
      <c r="J190" s="61">
        <v>46210</v>
      </c>
      <c r="K190" s="60">
        <v>8</v>
      </c>
      <c r="L190" s="60" t="s">
        <v>192</v>
      </c>
      <c r="M190" s="60" t="s">
        <v>184</v>
      </c>
      <c r="N190" s="60" t="b">
        <f>FALSE()</f>
        <v>0</v>
      </c>
      <c r="O190" s="60"/>
      <c r="P190" s="60"/>
      <c r="Q190" s="60" t="s">
        <v>236</v>
      </c>
      <c r="R190" s="60" t="s">
        <v>237</v>
      </c>
      <c r="S190" s="60"/>
      <c r="T190" s="60" t="b">
        <f>FALSE()</f>
        <v>0</v>
      </c>
      <c r="U190" s="60" t="b">
        <f>FALSE()</f>
        <v>0</v>
      </c>
      <c r="V190" s="60">
        <v>314</v>
      </c>
      <c r="W190" s="62" t="s">
        <v>259</v>
      </c>
      <c r="X190" s="60">
        <v>429</v>
      </c>
      <c r="Y190" s="63">
        <v>2.66</v>
      </c>
      <c r="Z190" s="60" t="b">
        <f>FALSE()</f>
        <v>0</v>
      </c>
      <c r="AA190" s="60" t="b">
        <f>TRUE()</f>
        <v>1</v>
      </c>
      <c r="AB190" s="60" t="b">
        <f>FALSE()</f>
        <v>0</v>
      </c>
      <c r="AC190" s="60" t="b">
        <f>FALSE()</f>
        <v>0</v>
      </c>
      <c r="AD190" s="60" t="b">
        <f>TRUE()</f>
        <v>1</v>
      </c>
      <c r="AE190" s="60">
        <v>3</v>
      </c>
      <c r="AF190" s="64">
        <v>42.9</v>
      </c>
      <c r="AG190" s="60" t="s">
        <v>73</v>
      </c>
      <c r="AH190" s="60" t="s">
        <v>905</v>
      </c>
      <c r="AI190">
        <f>IF(AND(OR(Company_Explorer!$B$5="All Companies",$E190=Company_Explorer!$B$5),OR(Company_Explorer!$B$6="All Platforms",$B190=Company_Explorer!$B$6),OR(Company_Explorer!$B$7="All Roles",$D190=Company_Explorer!$B$7),OR(Company_Explorer!$B$8="All Ghost Labels",$AG190=Company_Explorer!$B$8)),1,0)</f>
        <v>0</v>
      </c>
    </row>
    <row r="191" spans="1:35" ht="15" customHeight="1" x14ac:dyDescent="0.3">
      <c r="A191" s="65" t="s">
        <v>906</v>
      </c>
      <c r="B191" s="65" t="s">
        <v>80</v>
      </c>
      <c r="C191" s="65" t="s">
        <v>258</v>
      </c>
      <c r="D191" s="65" t="s">
        <v>125</v>
      </c>
      <c r="E191" s="65" t="s">
        <v>141</v>
      </c>
      <c r="F191" s="65" t="b">
        <f>TRUE()</f>
        <v>1</v>
      </c>
      <c r="G191" s="65" t="s">
        <v>768</v>
      </c>
      <c r="H191" s="65" t="s">
        <v>769</v>
      </c>
      <c r="I191" s="66">
        <v>46198</v>
      </c>
      <c r="J191" s="66">
        <v>46210</v>
      </c>
      <c r="K191" s="65">
        <v>12</v>
      </c>
      <c r="L191" s="65" t="s">
        <v>192</v>
      </c>
      <c r="M191" s="65" t="s">
        <v>184</v>
      </c>
      <c r="N191" s="65" t="b">
        <f>FALSE()</f>
        <v>0</v>
      </c>
      <c r="O191" s="65"/>
      <c r="P191" s="65"/>
      <c r="Q191" s="65" t="s">
        <v>236</v>
      </c>
      <c r="R191" s="65" t="s">
        <v>237</v>
      </c>
      <c r="S191" s="65"/>
      <c r="T191" s="65" t="b">
        <f>FALSE()</f>
        <v>0</v>
      </c>
      <c r="U191" s="65" t="b">
        <f>FALSE()</f>
        <v>0</v>
      </c>
      <c r="V191" s="65">
        <v>271</v>
      </c>
      <c r="W191" s="67" t="s">
        <v>707</v>
      </c>
      <c r="X191" s="65">
        <v>429</v>
      </c>
      <c r="Y191" s="68">
        <v>2.66</v>
      </c>
      <c r="Z191" s="65" t="b">
        <f>FALSE()</f>
        <v>0</v>
      </c>
      <c r="AA191" s="65" t="b">
        <f>TRUE()</f>
        <v>1</v>
      </c>
      <c r="AB191" s="65" t="b">
        <f>TRUE()</f>
        <v>1</v>
      </c>
      <c r="AC191" s="65" t="b">
        <f>FALSE()</f>
        <v>0</v>
      </c>
      <c r="AD191" s="65" t="b">
        <f>TRUE()</f>
        <v>1</v>
      </c>
      <c r="AE191" s="65">
        <v>4</v>
      </c>
      <c r="AF191" s="69">
        <v>57.1</v>
      </c>
      <c r="AG191" s="65" t="s">
        <v>72</v>
      </c>
      <c r="AH191" s="65" t="s">
        <v>907</v>
      </c>
      <c r="AI191">
        <f>IF(AND(OR(Company_Explorer!$B$5="All Companies",$E191=Company_Explorer!$B$5),OR(Company_Explorer!$B$6="All Platforms",$B191=Company_Explorer!$B$6),OR(Company_Explorer!$B$7="All Roles",$D191=Company_Explorer!$B$7),OR(Company_Explorer!$B$8="All Ghost Labels",$AG191=Company_Explorer!$B$8)),1,0)</f>
        <v>0</v>
      </c>
    </row>
    <row r="192" spans="1:35" ht="15" customHeight="1" x14ac:dyDescent="0.3">
      <c r="A192" s="60" t="s">
        <v>908</v>
      </c>
      <c r="B192" s="60" t="s">
        <v>80</v>
      </c>
      <c r="C192" s="60" t="s">
        <v>258</v>
      </c>
      <c r="D192" s="60" t="s">
        <v>125</v>
      </c>
      <c r="E192" s="60" t="s">
        <v>141</v>
      </c>
      <c r="F192" s="60" t="b">
        <f>TRUE()</f>
        <v>1</v>
      </c>
      <c r="G192" s="60" t="s">
        <v>167</v>
      </c>
      <c r="H192" s="60" t="s">
        <v>276</v>
      </c>
      <c r="I192" s="61">
        <v>46198</v>
      </c>
      <c r="J192" s="61">
        <v>46210</v>
      </c>
      <c r="K192" s="60">
        <v>12</v>
      </c>
      <c r="L192" s="60" t="s">
        <v>192</v>
      </c>
      <c r="M192" s="60" t="s">
        <v>184</v>
      </c>
      <c r="N192" s="60" t="b">
        <f>FALSE()</f>
        <v>0</v>
      </c>
      <c r="O192" s="60"/>
      <c r="P192" s="60"/>
      <c r="Q192" s="60" t="s">
        <v>236</v>
      </c>
      <c r="R192" s="60" t="s">
        <v>237</v>
      </c>
      <c r="S192" s="60"/>
      <c r="T192" s="60" t="b">
        <f>FALSE()</f>
        <v>0</v>
      </c>
      <c r="U192" s="60" t="b">
        <f>FALSE()</f>
        <v>0</v>
      </c>
      <c r="V192" s="60">
        <v>275</v>
      </c>
      <c r="W192" s="62" t="s">
        <v>259</v>
      </c>
      <c r="X192" s="60">
        <v>429</v>
      </c>
      <c r="Y192" s="63">
        <v>2.66</v>
      </c>
      <c r="Z192" s="60" t="b">
        <f>FALSE()</f>
        <v>0</v>
      </c>
      <c r="AA192" s="60" t="b">
        <f>TRUE()</f>
        <v>1</v>
      </c>
      <c r="AB192" s="60" t="b">
        <f>FALSE()</f>
        <v>0</v>
      </c>
      <c r="AC192" s="60" t="b">
        <f>FALSE()</f>
        <v>0</v>
      </c>
      <c r="AD192" s="60" t="b">
        <f>TRUE()</f>
        <v>1</v>
      </c>
      <c r="AE192" s="60">
        <v>3</v>
      </c>
      <c r="AF192" s="64">
        <v>42.9</v>
      </c>
      <c r="AG192" s="60" t="s">
        <v>73</v>
      </c>
      <c r="AH192" s="60" t="s">
        <v>909</v>
      </c>
      <c r="AI192">
        <f>IF(AND(OR(Company_Explorer!$B$5="All Companies",$E192=Company_Explorer!$B$5),OR(Company_Explorer!$B$6="All Platforms",$B192=Company_Explorer!$B$6),OR(Company_Explorer!$B$7="All Roles",$D192=Company_Explorer!$B$7),OR(Company_Explorer!$B$8="All Ghost Labels",$AG192=Company_Explorer!$B$8)),1,0)</f>
        <v>0</v>
      </c>
    </row>
    <row r="193" spans="1:35" ht="15" customHeight="1" x14ac:dyDescent="0.3">
      <c r="A193" s="65" t="s">
        <v>910</v>
      </c>
      <c r="B193" s="65" t="s">
        <v>80</v>
      </c>
      <c r="C193" s="65" t="s">
        <v>258</v>
      </c>
      <c r="D193" s="65" t="s">
        <v>125</v>
      </c>
      <c r="E193" s="65" t="s">
        <v>141</v>
      </c>
      <c r="F193" s="65" t="b">
        <f>TRUE()</f>
        <v>1</v>
      </c>
      <c r="G193" s="65" t="s">
        <v>172</v>
      </c>
      <c r="H193" s="65" t="s">
        <v>276</v>
      </c>
      <c r="I193" s="66">
        <v>46198</v>
      </c>
      <c r="J193" s="66">
        <v>46210</v>
      </c>
      <c r="K193" s="65">
        <v>12</v>
      </c>
      <c r="L193" s="65" t="s">
        <v>192</v>
      </c>
      <c r="M193" s="65" t="s">
        <v>184</v>
      </c>
      <c r="N193" s="65" t="b">
        <f>FALSE()</f>
        <v>0</v>
      </c>
      <c r="O193" s="65"/>
      <c r="P193" s="65"/>
      <c r="Q193" s="65" t="s">
        <v>236</v>
      </c>
      <c r="R193" s="65" t="s">
        <v>237</v>
      </c>
      <c r="S193" s="65"/>
      <c r="T193" s="65" t="b">
        <f>FALSE()</f>
        <v>0</v>
      </c>
      <c r="U193" s="65" t="b">
        <f>FALSE()</f>
        <v>0</v>
      </c>
      <c r="V193" s="65">
        <v>245</v>
      </c>
      <c r="W193" s="67" t="s">
        <v>259</v>
      </c>
      <c r="X193" s="65">
        <v>429</v>
      </c>
      <c r="Y193" s="68">
        <v>2.66</v>
      </c>
      <c r="Z193" s="65" t="b">
        <f>FALSE()</f>
        <v>0</v>
      </c>
      <c r="AA193" s="65" t="b">
        <f>TRUE()</f>
        <v>1</v>
      </c>
      <c r="AB193" s="65" t="b">
        <f>TRUE()</f>
        <v>1</v>
      </c>
      <c r="AC193" s="65" t="b">
        <f>FALSE()</f>
        <v>0</v>
      </c>
      <c r="AD193" s="65" t="b">
        <f>TRUE()</f>
        <v>1</v>
      </c>
      <c r="AE193" s="65">
        <v>4</v>
      </c>
      <c r="AF193" s="69">
        <v>57.1</v>
      </c>
      <c r="AG193" s="65" t="s">
        <v>72</v>
      </c>
      <c r="AH193" s="65" t="s">
        <v>911</v>
      </c>
      <c r="AI193">
        <f>IF(AND(OR(Company_Explorer!$B$5="All Companies",$E193=Company_Explorer!$B$5),OR(Company_Explorer!$B$6="All Platforms",$B193=Company_Explorer!$B$6),OR(Company_Explorer!$B$7="All Roles",$D193=Company_Explorer!$B$7),OR(Company_Explorer!$B$8="All Ghost Labels",$AG193=Company_Explorer!$B$8)),1,0)</f>
        <v>0</v>
      </c>
    </row>
    <row r="194" spans="1:35" ht="15" customHeight="1" x14ac:dyDescent="0.3">
      <c r="A194" s="60" t="s">
        <v>912</v>
      </c>
      <c r="B194" s="60" t="s">
        <v>80</v>
      </c>
      <c r="C194" s="60" t="s">
        <v>258</v>
      </c>
      <c r="D194" s="60" t="s">
        <v>125</v>
      </c>
      <c r="E194" s="60" t="s">
        <v>141</v>
      </c>
      <c r="F194" s="60" t="b">
        <f>TRUE()</f>
        <v>1</v>
      </c>
      <c r="G194" s="60" t="s">
        <v>269</v>
      </c>
      <c r="H194" s="60" t="s">
        <v>270</v>
      </c>
      <c r="I194" s="61">
        <v>46198</v>
      </c>
      <c r="J194" s="61">
        <v>46210</v>
      </c>
      <c r="K194" s="60">
        <v>12</v>
      </c>
      <c r="L194" s="60" t="s">
        <v>192</v>
      </c>
      <c r="M194" s="60" t="s">
        <v>184</v>
      </c>
      <c r="N194" s="60" t="b">
        <f>FALSE()</f>
        <v>0</v>
      </c>
      <c r="O194" s="60"/>
      <c r="P194" s="60"/>
      <c r="Q194" s="60" t="s">
        <v>236</v>
      </c>
      <c r="R194" s="60" t="s">
        <v>237</v>
      </c>
      <c r="S194" s="60"/>
      <c r="T194" s="60" t="b">
        <f>FALSE()</f>
        <v>0</v>
      </c>
      <c r="U194" s="60" t="b">
        <f>FALSE()</f>
        <v>0</v>
      </c>
      <c r="V194" s="60">
        <v>261</v>
      </c>
      <c r="W194" s="62" t="s">
        <v>913</v>
      </c>
      <c r="X194" s="60">
        <v>429</v>
      </c>
      <c r="Y194" s="63">
        <v>2.66</v>
      </c>
      <c r="Z194" s="60" t="b">
        <f>FALSE()</f>
        <v>0</v>
      </c>
      <c r="AA194" s="60" t="b">
        <f>TRUE()</f>
        <v>1</v>
      </c>
      <c r="AB194" s="60" t="b">
        <f>TRUE()</f>
        <v>1</v>
      </c>
      <c r="AC194" s="60" t="b">
        <f>FALSE()</f>
        <v>0</v>
      </c>
      <c r="AD194" s="60" t="b">
        <f>TRUE()</f>
        <v>1</v>
      </c>
      <c r="AE194" s="60">
        <v>4</v>
      </c>
      <c r="AF194" s="64">
        <v>57.1</v>
      </c>
      <c r="AG194" s="60" t="s">
        <v>72</v>
      </c>
      <c r="AH194" s="60" t="s">
        <v>914</v>
      </c>
      <c r="AI194">
        <f>IF(AND(OR(Company_Explorer!$B$5="All Companies",$E194=Company_Explorer!$B$5),OR(Company_Explorer!$B$6="All Platforms",$B194=Company_Explorer!$B$6),OR(Company_Explorer!$B$7="All Roles",$D194=Company_Explorer!$B$7),OR(Company_Explorer!$B$8="All Ghost Labels",$AG194=Company_Explorer!$B$8)),1,0)</f>
        <v>0</v>
      </c>
    </row>
    <row r="195" spans="1:35" ht="15" customHeight="1" x14ac:dyDescent="0.3">
      <c r="A195" s="65" t="s">
        <v>915</v>
      </c>
      <c r="B195" s="65" t="s">
        <v>80</v>
      </c>
      <c r="C195" s="65" t="s">
        <v>258</v>
      </c>
      <c r="D195" s="65" t="s">
        <v>125</v>
      </c>
      <c r="E195" s="65" t="s">
        <v>141</v>
      </c>
      <c r="F195" s="65" t="b">
        <f>TRUE()</f>
        <v>1</v>
      </c>
      <c r="G195" s="65" t="s">
        <v>269</v>
      </c>
      <c r="H195" s="65" t="s">
        <v>270</v>
      </c>
      <c r="I195" s="66">
        <v>46203</v>
      </c>
      <c r="J195" s="66">
        <v>46210</v>
      </c>
      <c r="K195" s="65">
        <v>7</v>
      </c>
      <c r="L195" s="65" t="s">
        <v>192</v>
      </c>
      <c r="M195" s="65" t="s">
        <v>184</v>
      </c>
      <c r="N195" s="65" t="b">
        <f>FALSE()</f>
        <v>0</v>
      </c>
      <c r="O195" s="65"/>
      <c r="P195" s="65"/>
      <c r="Q195" s="65" t="s">
        <v>236</v>
      </c>
      <c r="R195" s="65" t="s">
        <v>237</v>
      </c>
      <c r="S195" s="65"/>
      <c r="T195" s="65" t="b">
        <f>FALSE()</f>
        <v>0</v>
      </c>
      <c r="U195" s="65" t="b">
        <f>FALSE()</f>
        <v>0</v>
      </c>
      <c r="V195" s="65">
        <v>318</v>
      </c>
      <c r="W195" s="67" t="s">
        <v>259</v>
      </c>
      <c r="X195" s="65">
        <v>429</v>
      </c>
      <c r="Y195" s="68">
        <v>2.66</v>
      </c>
      <c r="Z195" s="65" t="b">
        <f>FALSE()</f>
        <v>0</v>
      </c>
      <c r="AA195" s="65" t="b">
        <f>TRUE()</f>
        <v>1</v>
      </c>
      <c r="AB195" s="65" t="b">
        <f>FALSE()</f>
        <v>0</v>
      </c>
      <c r="AC195" s="65" t="b">
        <f>FALSE()</f>
        <v>0</v>
      </c>
      <c r="AD195" s="65" t="b">
        <f>TRUE()</f>
        <v>1</v>
      </c>
      <c r="AE195" s="65">
        <v>3</v>
      </c>
      <c r="AF195" s="69">
        <v>42.9</v>
      </c>
      <c r="AG195" s="65" t="s">
        <v>73</v>
      </c>
      <c r="AH195" s="65" t="s">
        <v>916</v>
      </c>
      <c r="AI195">
        <f>IF(AND(OR(Company_Explorer!$B$5="All Companies",$E195=Company_Explorer!$B$5),OR(Company_Explorer!$B$6="All Platforms",$B195=Company_Explorer!$B$6),OR(Company_Explorer!$B$7="All Roles",$D195=Company_Explorer!$B$7),OR(Company_Explorer!$B$8="All Ghost Labels",$AG195=Company_Explorer!$B$8)),1,0)</f>
        <v>0</v>
      </c>
    </row>
    <row r="196" spans="1:35" ht="15" customHeight="1" x14ac:dyDescent="0.3">
      <c r="A196" s="60" t="s">
        <v>917</v>
      </c>
      <c r="B196" s="60" t="s">
        <v>80</v>
      </c>
      <c r="C196" s="60" t="s">
        <v>258</v>
      </c>
      <c r="D196" s="60" t="s">
        <v>125</v>
      </c>
      <c r="E196" s="60" t="s">
        <v>141</v>
      </c>
      <c r="F196" s="60" t="b">
        <f>TRUE()</f>
        <v>1</v>
      </c>
      <c r="G196" s="60" t="s">
        <v>174</v>
      </c>
      <c r="H196" s="60" t="s">
        <v>302</v>
      </c>
      <c r="I196" s="61">
        <v>46202</v>
      </c>
      <c r="J196" s="61">
        <v>46210</v>
      </c>
      <c r="K196" s="60">
        <v>8</v>
      </c>
      <c r="L196" s="60" t="s">
        <v>192</v>
      </c>
      <c r="M196" s="60" t="s">
        <v>184</v>
      </c>
      <c r="N196" s="60" t="b">
        <f>FALSE()</f>
        <v>0</v>
      </c>
      <c r="O196" s="60"/>
      <c r="P196" s="60"/>
      <c r="Q196" s="60" t="s">
        <v>236</v>
      </c>
      <c r="R196" s="60" t="s">
        <v>237</v>
      </c>
      <c r="S196" s="60"/>
      <c r="T196" s="60" t="b">
        <f>FALSE()</f>
        <v>0</v>
      </c>
      <c r="U196" s="60" t="b">
        <f>FALSE()</f>
        <v>0</v>
      </c>
      <c r="V196" s="60">
        <v>311</v>
      </c>
      <c r="W196" s="62" t="s">
        <v>259</v>
      </c>
      <c r="X196" s="60">
        <v>429</v>
      </c>
      <c r="Y196" s="63">
        <v>2.66</v>
      </c>
      <c r="Z196" s="60" t="b">
        <f>FALSE()</f>
        <v>0</v>
      </c>
      <c r="AA196" s="60" t="b">
        <f>TRUE()</f>
        <v>1</v>
      </c>
      <c r="AB196" s="60" t="b">
        <f>FALSE()</f>
        <v>0</v>
      </c>
      <c r="AC196" s="60" t="b">
        <f>FALSE()</f>
        <v>0</v>
      </c>
      <c r="AD196" s="60" t="b">
        <f>TRUE()</f>
        <v>1</v>
      </c>
      <c r="AE196" s="60">
        <v>3</v>
      </c>
      <c r="AF196" s="64">
        <v>42.9</v>
      </c>
      <c r="AG196" s="60" t="s">
        <v>73</v>
      </c>
      <c r="AH196" s="60" t="s">
        <v>918</v>
      </c>
      <c r="AI196">
        <f>IF(AND(OR(Company_Explorer!$B$5="All Companies",$E196=Company_Explorer!$B$5),OR(Company_Explorer!$B$6="All Platforms",$B196=Company_Explorer!$B$6),OR(Company_Explorer!$B$7="All Roles",$D196=Company_Explorer!$B$7),OR(Company_Explorer!$B$8="All Ghost Labels",$AG196=Company_Explorer!$B$8)),1,0)</f>
        <v>0</v>
      </c>
    </row>
    <row r="197" spans="1:35" ht="15" customHeight="1" x14ac:dyDescent="0.3">
      <c r="A197" s="65" t="s">
        <v>919</v>
      </c>
      <c r="B197" s="65" t="s">
        <v>80</v>
      </c>
      <c r="C197" s="65" t="s">
        <v>258</v>
      </c>
      <c r="D197" s="65" t="s">
        <v>125</v>
      </c>
      <c r="E197" s="65" t="s">
        <v>141</v>
      </c>
      <c r="F197" s="65" t="b">
        <f>TRUE()</f>
        <v>1</v>
      </c>
      <c r="G197" s="65" t="s">
        <v>768</v>
      </c>
      <c r="H197" s="65" t="s">
        <v>769</v>
      </c>
      <c r="I197" s="66">
        <v>46198</v>
      </c>
      <c r="J197" s="66">
        <v>46210</v>
      </c>
      <c r="K197" s="65">
        <v>12</v>
      </c>
      <c r="L197" s="65" t="s">
        <v>192</v>
      </c>
      <c r="M197" s="65" t="s">
        <v>184</v>
      </c>
      <c r="N197" s="65" t="b">
        <f>FALSE()</f>
        <v>0</v>
      </c>
      <c r="O197" s="65"/>
      <c r="P197" s="65"/>
      <c r="Q197" s="65" t="s">
        <v>236</v>
      </c>
      <c r="R197" s="65" t="s">
        <v>237</v>
      </c>
      <c r="S197" s="65"/>
      <c r="T197" s="65" t="b">
        <f>FALSE()</f>
        <v>0</v>
      </c>
      <c r="U197" s="65" t="b">
        <f>FALSE()</f>
        <v>0</v>
      </c>
      <c r="V197" s="65">
        <v>335</v>
      </c>
      <c r="W197" s="67" t="s">
        <v>259</v>
      </c>
      <c r="X197" s="65">
        <v>429</v>
      </c>
      <c r="Y197" s="68">
        <v>2.66</v>
      </c>
      <c r="Z197" s="65" t="b">
        <f>FALSE()</f>
        <v>0</v>
      </c>
      <c r="AA197" s="65" t="b">
        <f>TRUE()</f>
        <v>1</v>
      </c>
      <c r="AB197" s="65" t="b">
        <f>FALSE()</f>
        <v>0</v>
      </c>
      <c r="AC197" s="65" t="b">
        <f>FALSE()</f>
        <v>0</v>
      </c>
      <c r="AD197" s="65" t="b">
        <f>TRUE()</f>
        <v>1</v>
      </c>
      <c r="AE197" s="65">
        <v>3</v>
      </c>
      <c r="AF197" s="69">
        <v>42.9</v>
      </c>
      <c r="AG197" s="65" t="s">
        <v>73</v>
      </c>
      <c r="AH197" s="65" t="s">
        <v>920</v>
      </c>
      <c r="AI197">
        <f>IF(AND(OR(Company_Explorer!$B$5="All Companies",$E197=Company_Explorer!$B$5),OR(Company_Explorer!$B$6="All Platforms",$B197=Company_Explorer!$B$6),OR(Company_Explorer!$B$7="All Roles",$D197=Company_Explorer!$B$7),OR(Company_Explorer!$B$8="All Ghost Labels",$AG197=Company_Explorer!$B$8)),1,0)</f>
        <v>0</v>
      </c>
    </row>
    <row r="198" spans="1:35" ht="15" customHeight="1" x14ac:dyDescent="0.3">
      <c r="A198" s="60" t="s">
        <v>921</v>
      </c>
      <c r="B198" s="60" t="s">
        <v>80</v>
      </c>
      <c r="C198" s="60" t="s">
        <v>728</v>
      </c>
      <c r="D198" s="60" t="s">
        <v>125</v>
      </c>
      <c r="E198" s="60" t="s">
        <v>922</v>
      </c>
      <c r="F198" s="60" t="b">
        <f>TRUE()</f>
        <v>1</v>
      </c>
      <c r="G198" s="60" t="s">
        <v>166</v>
      </c>
      <c r="H198" s="60" t="s">
        <v>235</v>
      </c>
      <c r="I198" s="61">
        <v>46209</v>
      </c>
      <c r="J198" s="61">
        <v>46210</v>
      </c>
      <c r="K198" s="60">
        <v>1</v>
      </c>
      <c r="L198" s="60" t="s">
        <v>192</v>
      </c>
      <c r="M198" s="60" t="s">
        <v>184</v>
      </c>
      <c r="N198" s="60" t="b">
        <f>FALSE()</f>
        <v>0</v>
      </c>
      <c r="O198" s="60"/>
      <c r="P198" s="60"/>
      <c r="Q198" s="60" t="s">
        <v>236</v>
      </c>
      <c r="R198" s="60" t="s">
        <v>237</v>
      </c>
      <c r="S198" s="60"/>
      <c r="T198" s="60" t="b">
        <f>FALSE()</f>
        <v>0</v>
      </c>
      <c r="U198" s="60" t="b">
        <f>FALSE()</f>
        <v>0</v>
      </c>
      <c r="V198" s="60">
        <v>428</v>
      </c>
      <c r="W198" s="62" t="s">
        <v>923</v>
      </c>
      <c r="X198" s="60">
        <v>1</v>
      </c>
      <c r="Y198" s="63">
        <v>0.01</v>
      </c>
      <c r="Z198" s="60" t="b">
        <f>FALSE()</f>
        <v>0</v>
      </c>
      <c r="AA198" s="60" t="b">
        <f>TRUE()</f>
        <v>1</v>
      </c>
      <c r="AB198" s="60" t="b">
        <f>FALSE()</f>
        <v>0</v>
      </c>
      <c r="AC198" s="60" t="b">
        <f>FALSE()</f>
        <v>0</v>
      </c>
      <c r="AD198" s="60" t="b">
        <f>FALSE()</f>
        <v>0</v>
      </c>
      <c r="AE198" s="60">
        <v>1</v>
      </c>
      <c r="AF198" s="64">
        <v>14.3</v>
      </c>
      <c r="AG198" s="60" t="s">
        <v>74</v>
      </c>
      <c r="AH198" s="60" t="s">
        <v>924</v>
      </c>
      <c r="AI198">
        <f>IF(AND(OR(Company_Explorer!$B$5="All Companies",$E198=Company_Explorer!$B$5),OR(Company_Explorer!$B$6="All Platforms",$B198=Company_Explorer!$B$6),OR(Company_Explorer!$B$7="All Roles",$D198=Company_Explorer!$B$7),OR(Company_Explorer!$B$8="All Ghost Labels",$AG198=Company_Explorer!$B$8)),1,0)</f>
        <v>0</v>
      </c>
    </row>
    <row r="199" spans="1:35" ht="15" customHeight="1" x14ac:dyDescent="0.3">
      <c r="A199" s="65" t="s">
        <v>925</v>
      </c>
      <c r="B199" s="65" t="s">
        <v>80</v>
      </c>
      <c r="C199" s="65" t="s">
        <v>258</v>
      </c>
      <c r="D199" s="65" t="s">
        <v>125</v>
      </c>
      <c r="E199" s="65" t="s">
        <v>141</v>
      </c>
      <c r="F199" s="65" t="b">
        <f>TRUE()</f>
        <v>1</v>
      </c>
      <c r="G199" s="65" t="s">
        <v>174</v>
      </c>
      <c r="H199" s="65" t="s">
        <v>302</v>
      </c>
      <c r="I199" s="66">
        <v>46204</v>
      </c>
      <c r="J199" s="66">
        <v>46210</v>
      </c>
      <c r="K199" s="65">
        <v>6</v>
      </c>
      <c r="L199" s="65" t="s">
        <v>192</v>
      </c>
      <c r="M199" s="65" t="s">
        <v>184</v>
      </c>
      <c r="N199" s="65" t="b">
        <f>FALSE()</f>
        <v>0</v>
      </c>
      <c r="O199" s="65"/>
      <c r="P199" s="65"/>
      <c r="Q199" s="65" t="s">
        <v>236</v>
      </c>
      <c r="R199" s="65" t="s">
        <v>237</v>
      </c>
      <c r="S199" s="65"/>
      <c r="T199" s="65" t="b">
        <f>FALSE()</f>
        <v>0</v>
      </c>
      <c r="U199" s="65" t="b">
        <f>FALSE()</f>
        <v>0</v>
      </c>
      <c r="V199" s="65">
        <v>343</v>
      </c>
      <c r="W199" s="67" t="s">
        <v>259</v>
      </c>
      <c r="X199" s="65">
        <v>429</v>
      </c>
      <c r="Y199" s="68">
        <v>2.66</v>
      </c>
      <c r="Z199" s="65" t="b">
        <f>FALSE()</f>
        <v>0</v>
      </c>
      <c r="AA199" s="65" t="b">
        <f>TRUE()</f>
        <v>1</v>
      </c>
      <c r="AB199" s="65" t="b">
        <f>FALSE()</f>
        <v>0</v>
      </c>
      <c r="AC199" s="65" t="b">
        <f>FALSE()</f>
        <v>0</v>
      </c>
      <c r="AD199" s="65" t="b">
        <f>TRUE()</f>
        <v>1</v>
      </c>
      <c r="AE199" s="65">
        <v>3</v>
      </c>
      <c r="AF199" s="69">
        <v>42.9</v>
      </c>
      <c r="AG199" s="65" t="s">
        <v>73</v>
      </c>
      <c r="AH199" s="65" t="s">
        <v>926</v>
      </c>
      <c r="AI199">
        <f>IF(AND(OR(Company_Explorer!$B$5="All Companies",$E199=Company_Explorer!$B$5),OR(Company_Explorer!$B$6="All Platforms",$B199=Company_Explorer!$B$6),OR(Company_Explorer!$B$7="All Roles",$D199=Company_Explorer!$B$7),OR(Company_Explorer!$B$8="All Ghost Labels",$AG199=Company_Explorer!$B$8)),1,0)</f>
        <v>0</v>
      </c>
    </row>
    <row r="200" spans="1:35" ht="15" customHeight="1" x14ac:dyDescent="0.3">
      <c r="A200" s="60" t="s">
        <v>927</v>
      </c>
      <c r="B200" s="60" t="s">
        <v>80</v>
      </c>
      <c r="C200" s="60" t="s">
        <v>125</v>
      </c>
      <c r="D200" s="60" t="s">
        <v>125</v>
      </c>
      <c r="E200" s="60" t="s">
        <v>144</v>
      </c>
      <c r="F200" s="60" t="b">
        <f>TRUE()</f>
        <v>1</v>
      </c>
      <c r="G200" s="60" t="s">
        <v>168</v>
      </c>
      <c r="H200" s="60" t="s">
        <v>254</v>
      </c>
      <c r="I200" s="61">
        <v>46209</v>
      </c>
      <c r="J200" s="61">
        <v>46210</v>
      </c>
      <c r="K200" s="60">
        <v>1</v>
      </c>
      <c r="L200" s="60" t="s">
        <v>192</v>
      </c>
      <c r="M200" s="60" t="s">
        <v>184</v>
      </c>
      <c r="N200" s="60" t="b">
        <f>FALSE()</f>
        <v>0</v>
      </c>
      <c r="O200" s="60"/>
      <c r="P200" s="60"/>
      <c r="Q200" s="60" t="s">
        <v>236</v>
      </c>
      <c r="R200" s="60" t="s">
        <v>237</v>
      </c>
      <c r="S200" s="60"/>
      <c r="T200" s="60" t="b">
        <f>FALSE()</f>
        <v>0</v>
      </c>
      <c r="U200" s="60" t="b">
        <f>FALSE()</f>
        <v>0</v>
      </c>
      <c r="V200" s="60">
        <v>228</v>
      </c>
      <c r="W200" s="62" t="s">
        <v>683</v>
      </c>
      <c r="X200" s="60">
        <v>9</v>
      </c>
      <c r="Y200" s="63">
        <v>0.06</v>
      </c>
      <c r="Z200" s="60" t="b">
        <f>FALSE()</f>
        <v>0</v>
      </c>
      <c r="AA200" s="60" t="b">
        <f>TRUE()</f>
        <v>1</v>
      </c>
      <c r="AB200" s="60" t="b">
        <f>TRUE()</f>
        <v>1</v>
      </c>
      <c r="AC200" s="60" t="b">
        <f>FALSE()</f>
        <v>0</v>
      </c>
      <c r="AD200" s="60" t="b">
        <f>FALSE()</f>
        <v>0</v>
      </c>
      <c r="AE200" s="60">
        <v>2</v>
      </c>
      <c r="AF200" s="64">
        <v>28.6</v>
      </c>
      <c r="AG200" s="60" t="s">
        <v>73</v>
      </c>
      <c r="AH200" s="60" t="s">
        <v>928</v>
      </c>
      <c r="AI200">
        <f>IF(AND(OR(Company_Explorer!$B$5="All Companies",$E200=Company_Explorer!$B$5),OR(Company_Explorer!$B$6="All Platforms",$B200=Company_Explorer!$B$6),OR(Company_Explorer!$B$7="All Roles",$D200=Company_Explorer!$B$7),OR(Company_Explorer!$B$8="All Ghost Labels",$AG200=Company_Explorer!$B$8)),1,0)</f>
        <v>0</v>
      </c>
    </row>
    <row r="201" spans="1:35" ht="15" customHeight="1" x14ac:dyDescent="0.3">
      <c r="A201" s="65" t="s">
        <v>929</v>
      </c>
      <c r="B201" s="65" t="s">
        <v>80</v>
      </c>
      <c r="C201" s="65" t="s">
        <v>125</v>
      </c>
      <c r="D201" s="65" t="s">
        <v>125</v>
      </c>
      <c r="E201" s="65" t="s">
        <v>614</v>
      </c>
      <c r="F201" s="65" t="b">
        <f>TRUE()</f>
        <v>1</v>
      </c>
      <c r="G201" s="65" t="s">
        <v>168</v>
      </c>
      <c r="H201" s="65" t="s">
        <v>254</v>
      </c>
      <c r="I201" s="66">
        <v>46207</v>
      </c>
      <c r="J201" s="66">
        <v>46210</v>
      </c>
      <c r="K201" s="65">
        <v>3</v>
      </c>
      <c r="L201" s="65" t="s">
        <v>192</v>
      </c>
      <c r="M201" s="65" t="s">
        <v>185</v>
      </c>
      <c r="N201" s="65" t="b">
        <f>FALSE()</f>
        <v>0</v>
      </c>
      <c r="O201" s="65"/>
      <c r="P201" s="65"/>
      <c r="Q201" s="65" t="s">
        <v>236</v>
      </c>
      <c r="R201" s="65" t="s">
        <v>237</v>
      </c>
      <c r="S201" s="65"/>
      <c r="T201" s="65" t="b">
        <f>FALSE()</f>
        <v>0</v>
      </c>
      <c r="U201" s="65" t="b">
        <f>FALSE()</f>
        <v>0</v>
      </c>
      <c r="V201" s="65">
        <v>780</v>
      </c>
      <c r="W201" s="67" t="s">
        <v>930</v>
      </c>
      <c r="X201" s="65">
        <v>7</v>
      </c>
      <c r="Y201" s="68">
        <v>0.04</v>
      </c>
      <c r="Z201" s="65" t="b">
        <f>FALSE()</f>
        <v>0</v>
      </c>
      <c r="AA201" s="65" t="b">
        <f>TRUE()</f>
        <v>1</v>
      </c>
      <c r="AB201" s="65" t="b">
        <f>FALSE()</f>
        <v>0</v>
      </c>
      <c r="AC201" s="65" t="b">
        <f>FALSE()</f>
        <v>0</v>
      </c>
      <c r="AD201" s="65" t="b">
        <f>FALSE()</f>
        <v>0</v>
      </c>
      <c r="AE201" s="65">
        <v>1</v>
      </c>
      <c r="AF201" s="69">
        <v>14.3</v>
      </c>
      <c r="AG201" s="65" t="s">
        <v>74</v>
      </c>
      <c r="AH201" s="65" t="s">
        <v>931</v>
      </c>
      <c r="AI201">
        <f>IF(AND(OR(Company_Explorer!$B$5="All Companies",$E201=Company_Explorer!$B$5),OR(Company_Explorer!$B$6="All Platforms",$B201=Company_Explorer!$B$6),OR(Company_Explorer!$B$7="All Roles",$D201=Company_Explorer!$B$7),OR(Company_Explorer!$B$8="All Ghost Labels",$AG201=Company_Explorer!$B$8)),1,0)</f>
        <v>0</v>
      </c>
    </row>
    <row r="202" spans="1:35" ht="15" customHeight="1" x14ac:dyDescent="0.3">
      <c r="A202" s="60" t="s">
        <v>932</v>
      </c>
      <c r="B202" s="60" t="s">
        <v>80</v>
      </c>
      <c r="C202" s="60" t="s">
        <v>125</v>
      </c>
      <c r="D202" s="60" t="s">
        <v>125</v>
      </c>
      <c r="E202" s="60" t="s">
        <v>144</v>
      </c>
      <c r="F202" s="60" t="b">
        <f>TRUE()</f>
        <v>1</v>
      </c>
      <c r="G202" s="60" t="s">
        <v>168</v>
      </c>
      <c r="H202" s="60" t="s">
        <v>254</v>
      </c>
      <c r="I202" s="61">
        <v>46209</v>
      </c>
      <c r="J202" s="61">
        <v>46210</v>
      </c>
      <c r="K202" s="60">
        <v>1</v>
      </c>
      <c r="L202" s="60" t="s">
        <v>192</v>
      </c>
      <c r="M202" s="60" t="s">
        <v>184</v>
      </c>
      <c r="N202" s="60" t="b">
        <f>FALSE()</f>
        <v>0</v>
      </c>
      <c r="O202" s="60"/>
      <c r="P202" s="60"/>
      <c r="Q202" s="60" t="s">
        <v>236</v>
      </c>
      <c r="R202" s="60" t="s">
        <v>237</v>
      </c>
      <c r="S202" s="60"/>
      <c r="T202" s="60" t="b">
        <f>FALSE()</f>
        <v>0</v>
      </c>
      <c r="U202" s="60" t="b">
        <f>FALSE()</f>
        <v>0</v>
      </c>
      <c r="V202" s="60">
        <v>228</v>
      </c>
      <c r="W202" s="62" t="s">
        <v>683</v>
      </c>
      <c r="X202" s="60">
        <v>9</v>
      </c>
      <c r="Y202" s="63">
        <v>0.06</v>
      </c>
      <c r="Z202" s="60" t="b">
        <f>FALSE()</f>
        <v>0</v>
      </c>
      <c r="AA202" s="60" t="b">
        <f>TRUE()</f>
        <v>1</v>
      </c>
      <c r="AB202" s="60" t="b">
        <f>TRUE()</f>
        <v>1</v>
      </c>
      <c r="AC202" s="60" t="b">
        <f>FALSE()</f>
        <v>0</v>
      </c>
      <c r="AD202" s="60" t="b">
        <f>FALSE()</f>
        <v>0</v>
      </c>
      <c r="AE202" s="60">
        <v>2</v>
      </c>
      <c r="AF202" s="64">
        <v>28.6</v>
      </c>
      <c r="AG202" s="60" t="s">
        <v>73</v>
      </c>
      <c r="AH202" s="60" t="s">
        <v>933</v>
      </c>
      <c r="AI202">
        <f>IF(AND(OR(Company_Explorer!$B$5="All Companies",$E202=Company_Explorer!$B$5),OR(Company_Explorer!$B$6="All Platforms",$B202=Company_Explorer!$B$6),OR(Company_Explorer!$B$7="All Roles",$D202=Company_Explorer!$B$7),OR(Company_Explorer!$B$8="All Ghost Labels",$AG202=Company_Explorer!$B$8)),1,0)</f>
        <v>0</v>
      </c>
    </row>
    <row r="203" spans="1:35" ht="15" customHeight="1" x14ac:dyDescent="0.3">
      <c r="A203" s="65" t="s">
        <v>934</v>
      </c>
      <c r="B203" s="65" t="s">
        <v>80</v>
      </c>
      <c r="C203" s="65" t="s">
        <v>125</v>
      </c>
      <c r="D203" s="65" t="s">
        <v>125</v>
      </c>
      <c r="E203" s="65" t="s">
        <v>935</v>
      </c>
      <c r="F203" s="65" t="b">
        <f>TRUE()</f>
        <v>1</v>
      </c>
      <c r="G203" s="65" t="s">
        <v>166</v>
      </c>
      <c r="H203" s="65" t="s">
        <v>235</v>
      </c>
      <c r="I203" s="66">
        <v>46185</v>
      </c>
      <c r="J203" s="66">
        <v>46210</v>
      </c>
      <c r="K203" s="65">
        <v>25</v>
      </c>
      <c r="L203" s="65" t="s">
        <v>192</v>
      </c>
      <c r="M203" s="65" t="s">
        <v>184</v>
      </c>
      <c r="N203" s="65" t="b">
        <f>FALSE()</f>
        <v>0</v>
      </c>
      <c r="O203" s="65"/>
      <c r="P203" s="65"/>
      <c r="Q203" s="65" t="s">
        <v>236</v>
      </c>
      <c r="R203" s="65" t="s">
        <v>237</v>
      </c>
      <c r="S203" s="65"/>
      <c r="T203" s="65" t="b">
        <f>FALSE()</f>
        <v>0</v>
      </c>
      <c r="U203" s="65" t="b">
        <f>FALSE()</f>
        <v>0</v>
      </c>
      <c r="V203" s="65">
        <v>75</v>
      </c>
      <c r="W203" s="67" t="s">
        <v>936</v>
      </c>
      <c r="X203" s="65">
        <v>1</v>
      </c>
      <c r="Y203" s="68">
        <v>0.01</v>
      </c>
      <c r="Z203" s="65" t="b">
        <f>FALSE()</f>
        <v>0</v>
      </c>
      <c r="AA203" s="65" t="b">
        <f>TRUE()</f>
        <v>1</v>
      </c>
      <c r="AB203" s="65" t="b">
        <f>TRUE()</f>
        <v>1</v>
      </c>
      <c r="AC203" s="65" t="b">
        <f>TRUE()</f>
        <v>1</v>
      </c>
      <c r="AD203" s="65" t="b">
        <f>FALSE()</f>
        <v>0</v>
      </c>
      <c r="AE203" s="65">
        <v>3</v>
      </c>
      <c r="AF203" s="69">
        <v>42.9</v>
      </c>
      <c r="AG203" s="65" t="s">
        <v>73</v>
      </c>
      <c r="AH203" s="65" t="s">
        <v>937</v>
      </c>
      <c r="AI203">
        <f>IF(AND(OR(Company_Explorer!$B$5="All Companies",$E203=Company_Explorer!$B$5),OR(Company_Explorer!$B$6="All Platforms",$B203=Company_Explorer!$B$6),OR(Company_Explorer!$B$7="All Roles",$D203=Company_Explorer!$B$7),OR(Company_Explorer!$B$8="All Ghost Labels",$AG203=Company_Explorer!$B$8)),1,0)</f>
        <v>0</v>
      </c>
    </row>
    <row r="204" spans="1:35" ht="15" customHeight="1" x14ac:dyDescent="0.3">
      <c r="A204" s="60" t="s">
        <v>938</v>
      </c>
      <c r="B204" s="60" t="s">
        <v>80</v>
      </c>
      <c r="C204" s="60" t="s">
        <v>125</v>
      </c>
      <c r="D204" s="60" t="s">
        <v>125</v>
      </c>
      <c r="E204" s="60" t="s">
        <v>159</v>
      </c>
      <c r="F204" s="60" t="b">
        <f>TRUE()</f>
        <v>1</v>
      </c>
      <c r="G204" s="60" t="s">
        <v>166</v>
      </c>
      <c r="H204" s="60" t="s">
        <v>235</v>
      </c>
      <c r="I204" s="61">
        <v>46201</v>
      </c>
      <c r="J204" s="61">
        <v>46210</v>
      </c>
      <c r="K204" s="60">
        <v>9</v>
      </c>
      <c r="L204" s="60" t="s">
        <v>192</v>
      </c>
      <c r="M204" s="60" t="s">
        <v>185</v>
      </c>
      <c r="N204" s="60" t="b">
        <f>FALSE()</f>
        <v>0</v>
      </c>
      <c r="O204" s="60"/>
      <c r="P204" s="60"/>
      <c r="Q204" s="60" t="s">
        <v>236</v>
      </c>
      <c r="R204" s="60" t="s">
        <v>237</v>
      </c>
      <c r="S204" s="60"/>
      <c r="T204" s="60" t="b">
        <f>FALSE()</f>
        <v>0</v>
      </c>
      <c r="U204" s="60" t="b">
        <f>FALSE()</f>
        <v>0</v>
      </c>
      <c r="V204" s="60">
        <v>339</v>
      </c>
      <c r="W204" s="62" t="s">
        <v>939</v>
      </c>
      <c r="X204" s="60">
        <v>11</v>
      </c>
      <c r="Y204" s="63">
        <v>7.0000000000000007E-2</v>
      </c>
      <c r="Z204" s="60" t="b">
        <f>FALSE()</f>
        <v>0</v>
      </c>
      <c r="AA204" s="60" t="b">
        <f>TRUE()</f>
        <v>1</v>
      </c>
      <c r="AB204" s="60" t="b">
        <f>FALSE()</f>
        <v>0</v>
      </c>
      <c r="AC204" s="60" t="b">
        <f>FALSE()</f>
        <v>0</v>
      </c>
      <c r="AD204" s="60" t="b">
        <f>FALSE()</f>
        <v>0</v>
      </c>
      <c r="AE204" s="60">
        <v>1</v>
      </c>
      <c r="AF204" s="64">
        <v>14.3</v>
      </c>
      <c r="AG204" s="60" t="s">
        <v>74</v>
      </c>
      <c r="AH204" s="60" t="s">
        <v>940</v>
      </c>
      <c r="AI204">
        <f>IF(AND(OR(Company_Explorer!$B$5="All Companies",$E204=Company_Explorer!$B$5),OR(Company_Explorer!$B$6="All Platforms",$B204=Company_Explorer!$B$6),OR(Company_Explorer!$B$7="All Roles",$D204=Company_Explorer!$B$7),OR(Company_Explorer!$B$8="All Ghost Labels",$AG204=Company_Explorer!$B$8)),1,0)</f>
        <v>0</v>
      </c>
    </row>
    <row r="205" spans="1:35" ht="15" customHeight="1" x14ac:dyDescent="0.3">
      <c r="A205" s="65" t="s">
        <v>941</v>
      </c>
      <c r="B205" s="65" t="s">
        <v>80</v>
      </c>
      <c r="C205" s="65" t="s">
        <v>125</v>
      </c>
      <c r="D205" s="65" t="s">
        <v>125</v>
      </c>
      <c r="E205" s="65" t="s">
        <v>614</v>
      </c>
      <c r="F205" s="65" t="b">
        <f>TRUE()</f>
        <v>1</v>
      </c>
      <c r="G205" s="65" t="s">
        <v>168</v>
      </c>
      <c r="H205" s="65" t="s">
        <v>254</v>
      </c>
      <c r="I205" s="66">
        <v>46207</v>
      </c>
      <c r="J205" s="66">
        <v>46210</v>
      </c>
      <c r="K205" s="65">
        <v>3</v>
      </c>
      <c r="L205" s="65" t="s">
        <v>192</v>
      </c>
      <c r="M205" s="65" t="s">
        <v>185</v>
      </c>
      <c r="N205" s="65" t="b">
        <f>FALSE()</f>
        <v>0</v>
      </c>
      <c r="O205" s="65"/>
      <c r="P205" s="65"/>
      <c r="Q205" s="65" t="s">
        <v>236</v>
      </c>
      <c r="R205" s="65" t="s">
        <v>237</v>
      </c>
      <c r="S205" s="65"/>
      <c r="T205" s="65" t="b">
        <f>FALSE()</f>
        <v>0</v>
      </c>
      <c r="U205" s="65" t="b">
        <f>FALSE()</f>
        <v>0</v>
      </c>
      <c r="V205" s="65">
        <v>716</v>
      </c>
      <c r="W205" s="67" t="s">
        <v>930</v>
      </c>
      <c r="X205" s="65">
        <v>7</v>
      </c>
      <c r="Y205" s="68">
        <v>0.04</v>
      </c>
      <c r="Z205" s="65" t="b">
        <f>FALSE()</f>
        <v>0</v>
      </c>
      <c r="AA205" s="65" t="b">
        <f>TRUE()</f>
        <v>1</v>
      </c>
      <c r="AB205" s="65" t="b">
        <f>FALSE()</f>
        <v>0</v>
      </c>
      <c r="AC205" s="65" t="b">
        <f>FALSE()</f>
        <v>0</v>
      </c>
      <c r="AD205" s="65" t="b">
        <f>FALSE()</f>
        <v>0</v>
      </c>
      <c r="AE205" s="65">
        <v>1</v>
      </c>
      <c r="AF205" s="69">
        <v>14.3</v>
      </c>
      <c r="AG205" s="65" t="s">
        <v>74</v>
      </c>
      <c r="AH205" s="65" t="s">
        <v>942</v>
      </c>
      <c r="AI205">
        <f>IF(AND(OR(Company_Explorer!$B$5="All Companies",$E205=Company_Explorer!$B$5),OR(Company_Explorer!$B$6="All Platforms",$B205=Company_Explorer!$B$6),OR(Company_Explorer!$B$7="All Roles",$D205=Company_Explorer!$B$7),OR(Company_Explorer!$B$8="All Ghost Labels",$AG205=Company_Explorer!$B$8)),1,0)</f>
        <v>0</v>
      </c>
    </row>
    <row r="206" spans="1:35" ht="15" customHeight="1" x14ac:dyDescent="0.3">
      <c r="A206" s="60" t="s">
        <v>943</v>
      </c>
      <c r="B206" s="60" t="s">
        <v>80</v>
      </c>
      <c r="C206" s="60" t="s">
        <v>944</v>
      </c>
      <c r="D206" s="60" t="s">
        <v>131</v>
      </c>
      <c r="E206" s="60" t="s">
        <v>945</v>
      </c>
      <c r="F206" s="60" t="b">
        <f>TRUE()</f>
        <v>1</v>
      </c>
      <c r="G206" s="60" t="s">
        <v>753</v>
      </c>
      <c r="H206" s="60" t="s">
        <v>754</v>
      </c>
      <c r="I206" s="61">
        <v>46168</v>
      </c>
      <c r="J206" s="61">
        <v>46210</v>
      </c>
      <c r="K206" s="60">
        <v>42</v>
      </c>
      <c r="L206" s="60" t="s">
        <v>192</v>
      </c>
      <c r="M206" s="60" t="s">
        <v>185</v>
      </c>
      <c r="N206" s="60" t="b">
        <f>FALSE()</f>
        <v>0</v>
      </c>
      <c r="O206" s="60"/>
      <c r="P206" s="60"/>
      <c r="Q206" s="60" t="s">
        <v>236</v>
      </c>
      <c r="R206" s="60" t="s">
        <v>237</v>
      </c>
      <c r="S206" s="60"/>
      <c r="T206" s="60" t="b">
        <f>FALSE()</f>
        <v>0</v>
      </c>
      <c r="U206" s="60" t="b">
        <f>FALSE()</f>
        <v>0</v>
      </c>
      <c r="V206" s="60">
        <v>197</v>
      </c>
      <c r="W206" s="62" t="s">
        <v>946</v>
      </c>
      <c r="X206" s="60">
        <v>1</v>
      </c>
      <c r="Y206" s="63">
        <v>0.01</v>
      </c>
      <c r="Z206" s="60" t="b">
        <f>FALSE()</f>
        <v>0</v>
      </c>
      <c r="AA206" s="60" t="b">
        <f>TRUE()</f>
        <v>1</v>
      </c>
      <c r="AB206" s="60" t="b">
        <f>TRUE()</f>
        <v>1</v>
      </c>
      <c r="AC206" s="60" t="b">
        <f>TRUE()</f>
        <v>1</v>
      </c>
      <c r="AD206" s="60" t="b">
        <f>FALSE()</f>
        <v>0</v>
      </c>
      <c r="AE206" s="60">
        <v>3</v>
      </c>
      <c r="AF206" s="64">
        <v>42.9</v>
      </c>
      <c r="AG206" s="60" t="s">
        <v>73</v>
      </c>
      <c r="AH206" s="60" t="s">
        <v>947</v>
      </c>
      <c r="AI206">
        <f>IF(AND(OR(Company_Explorer!$B$5="All Companies",$E206=Company_Explorer!$B$5),OR(Company_Explorer!$B$6="All Platforms",$B206=Company_Explorer!$B$6),OR(Company_Explorer!$B$7="All Roles",$D206=Company_Explorer!$B$7),OR(Company_Explorer!$B$8="All Ghost Labels",$AG206=Company_Explorer!$B$8)),1,0)</f>
        <v>0</v>
      </c>
    </row>
    <row r="207" spans="1:35" ht="15" customHeight="1" x14ac:dyDescent="0.3">
      <c r="A207" s="65" t="s">
        <v>948</v>
      </c>
      <c r="B207" s="65" t="s">
        <v>80</v>
      </c>
      <c r="C207" s="65" t="s">
        <v>258</v>
      </c>
      <c r="D207" s="65" t="s">
        <v>125</v>
      </c>
      <c r="E207" s="65" t="s">
        <v>141</v>
      </c>
      <c r="F207" s="65" t="b">
        <f>TRUE()</f>
        <v>1</v>
      </c>
      <c r="G207" s="65" t="s">
        <v>949</v>
      </c>
      <c r="H207" s="65" t="s">
        <v>254</v>
      </c>
      <c r="I207" s="66">
        <v>46198</v>
      </c>
      <c r="J207" s="66">
        <v>46210</v>
      </c>
      <c r="K207" s="65">
        <v>12</v>
      </c>
      <c r="L207" s="65" t="s">
        <v>192</v>
      </c>
      <c r="M207" s="65" t="s">
        <v>184</v>
      </c>
      <c r="N207" s="65" t="b">
        <f>FALSE()</f>
        <v>0</v>
      </c>
      <c r="O207" s="65"/>
      <c r="P207" s="65"/>
      <c r="Q207" s="65" t="s">
        <v>236</v>
      </c>
      <c r="R207" s="65" t="s">
        <v>237</v>
      </c>
      <c r="S207" s="65"/>
      <c r="T207" s="65" t="b">
        <f>FALSE()</f>
        <v>0</v>
      </c>
      <c r="U207" s="65" t="b">
        <f>FALSE()</f>
        <v>0</v>
      </c>
      <c r="V207" s="65">
        <v>250</v>
      </c>
      <c r="W207" s="67" t="s">
        <v>950</v>
      </c>
      <c r="X207" s="65">
        <v>429</v>
      </c>
      <c r="Y207" s="68">
        <v>2.66</v>
      </c>
      <c r="Z207" s="65" t="b">
        <f>FALSE()</f>
        <v>0</v>
      </c>
      <c r="AA207" s="65" t="b">
        <f>TRUE()</f>
        <v>1</v>
      </c>
      <c r="AB207" s="65" t="b">
        <f>TRUE()</f>
        <v>1</v>
      </c>
      <c r="AC207" s="65" t="b">
        <f>FALSE()</f>
        <v>0</v>
      </c>
      <c r="AD207" s="65" t="b">
        <f>TRUE()</f>
        <v>1</v>
      </c>
      <c r="AE207" s="65">
        <v>4</v>
      </c>
      <c r="AF207" s="69">
        <v>57.1</v>
      </c>
      <c r="AG207" s="65" t="s">
        <v>72</v>
      </c>
      <c r="AH207" s="65" t="s">
        <v>951</v>
      </c>
      <c r="AI207">
        <f>IF(AND(OR(Company_Explorer!$B$5="All Companies",$E207=Company_Explorer!$B$5),OR(Company_Explorer!$B$6="All Platforms",$B207=Company_Explorer!$B$6),OR(Company_Explorer!$B$7="All Roles",$D207=Company_Explorer!$B$7),OR(Company_Explorer!$B$8="All Ghost Labels",$AG207=Company_Explorer!$B$8)),1,0)</f>
        <v>0</v>
      </c>
    </row>
    <row r="208" spans="1:35" ht="15" customHeight="1" x14ac:dyDescent="0.3">
      <c r="A208" s="60" t="s">
        <v>952</v>
      </c>
      <c r="B208" s="60" t="s">
        <v>80</v>
      </c>
      <c r="C208" s="60" t="s">
        <v>258</v>
      </c>
      <c r="D208" s="60" t="s">
        <v>125</v>
      </c>
      <c r="E208" s="60" t="s">
        <v>141</v>
      </c>
      <c r="F208" s="60" t="b">
        <f>TRUE()</f>
        <v>1</v>
      </c>
      <c r="G208" s="60" t="s">
        <v>173</v>
      </c>
      <c r="H208" s="60" t="s">
        <v>827</v>
      </c>
      <c r="I208" s="61">
        <v>46198</v>
      </c>
      <c r="J208" s="61">
        <v>46210</v>
      </c>
      <c r="K208" s="60">
        <v>12</v>
      </c>
      <c r="L208" s="60" t="s">
        <v>192</v>
      </c>
      <c r="M208" s="60" t="s">
        <v>184</v>
      </c>
      <c r="N208" s="60" t="b">
        <f>FALSE()</f>
        <v>0</v>
      </c>
      <c r="O208" s="60"/>
      <c r="P208" s="60"/>
      <c r="Q208" s="60" t="s">
        <v>236</v>
      </c>
      <c r="R208" s="60" t="s">
        <v>237</v>
      </c>
      <c r="S208" s="60"/>
      <c r="T208" s="60" t="b">
        <f>FALSE()</f>
        <v>0</v>
      </c>
      <c r="U208" s="60" t="b">
        <f>FALSE()</f>
        <v>0</v>
      </c>
      <c r="V208" s="60">
        <v>322</v>
      </c>
      <c r="W208" s="62" t="s">
        <v>259</v>
      </c>
      <c r="X208" s="60">
        <v>429</v>
      </c>
      <c r="Y208" s="63">
        <v>2.66</v>
      </c>
      <c r="Z208" s="60" t="b">
        <f>FALSE()</f>
        <v>0</v>
      </c>
      <c r="AA208" s="60" t="b">
        <f>TRUE()</f>
        <v>1</v>
      </c>
      <c r="AB208" s="60" t="b">
        <f>FALSE()</f>
        <v>0</v>
      </c>
      <c r="AC208" s="60" t="b">
        <f>FALSE()</f>
        <v>0</v>
      </c>
      <c r="AD208" s="60" t="b">
        <f>TRUE()</f>
        <v>1</v>
      </c>
      <c r="AE208" s="60">
        <v>3</v>
      </c>
      <c r="AF208" s="64">
        <v>42.9</v>
      </c>
      <c r="AG208" s="60" t="s">
        <v>73</v>
      </c>
      <c r="AH208" s="60" t="s">
        <v>953</v>
      </c>
      <c r="AI208">
        <f>IF(AND(OR(Company_Explorer!$B$5="All Companies",$E208=Company_Explorer!$B$5),OR(Company_Explorer!$B$6="All Platforms",$B208=Company_Explorer!$B$6),OR(Company_Explorer!$B$7="All Roles",$D208=Company_Explorer!$B$7),OR(Company_Explorer!$B$8="All Ghost Labels",$AG208=Company_Explorer!$B$8)),1,0)</f>
        <v>0</v>
      </c>
    </row>
    <row r="209" spans="1:35" ht="15" customHeight="1" x14ac:dyDescent="0.3">
      <c r="A209" s="65" t="s">
        <v>954</v>
      </c>
      <c r="B209" s="65" t="s">
        <v>80</v>
      </c>
      <c r="C209" s="65" t="s">
        <v>258</v>
      </c>
      <c r="D209" s="65" t="s">
        <v>125</v>
      </c>
      <c r="E209" s="65" t="s">
        <v>141</v>
      </c>
      <c r="F209" s="65" t="b">
        <f>TRUE()</f>
        <v>1</v>
      </c>
      <c r="G209" s="65" t="s">
        <v>166</v>
      </c>
      <c r="H209" s="65" t="s">
        <v>235</v>
      </c>
      <c r="I209" s="66">
        <v>46198</v>
      </c>
      <c r="J209" s="66">
        <v>46210</v>
      </c>
      <c r="K209" s="65">
        <v>12</v>
      </c>
      <c r="L209" s="65" t="s">
        <v>192</v>
      </c>
      <c r="M209" s="65" t="s">
        <v>184</v>
      </c>
      <c r="N209" s="65" t="b">
        <f>FALSE()</f>
        <v>0</v>
      </c>
      <c r="O209" s="65"/>
      <c r="P209" s="65"/>
      <c r="Q209" s="65" t="s">
        <v>236</v>
      </c>
      <c r="R209" s="65" t="s">
        <v>237</v>
      </c>
      <c r="S209" s="65"/>
      <c r="T209" s="65" t="b">
        <f>FALSE()</f>
        <v>0</v>
      </c>
      <c r="U209" s="65" t="b">
        <f>FALSE()</f>
        <v>0</v>
      </c>
      <c r="V209" s="65">
        <v>263</v>
      </c>
      <c r="W209" s="67" t="s">
        <v>955</v>
      </c>
      <c r="X209" s="65">
        <v>429</v>
      </c>
      <c r="Y209" s="68">
        <v>2.66</v>
      </c>
      <c r="Z209" s="65" t="b">
        <f>FALSE()</f>
        <v>0</v>
      </c>
      <c r="AA209" s="65" t="b">
        <f>TRUE()</f>
        <v>1</v>
      </c>
      <c r="AB209" s="65" t="b">
        <f>TRUE()</f>
        <v>1</v>
      </c>
      <c r="AC209" s="65" t="b">
        <f>FALSE()</f>
        <v>0</v>
      </c>
      <c r="AD209" s="65" t="b">
        <f>TRUE()</f>
        <v>1</v>
      </c>
      <c r="AE209" s="65">
        <v>4</v>
      </c>
      <c r="AF209" s="69">
        <v>57.1</v>
      </c>
      <c r="AG209" s="65" t="s">
        <v>72</v>
      </c>
      <c r="AH209" s="65" t="s">
        <v>956</v>
      </c>
      <c r="AI209">
        <f>IF(AND(OR(Company_Explorer!$B$5="All Companies",$E209=Company_Explorer!$B$5),OR(Company_Explorer!$B$6="All Platforms",$B209=Company_Explorer!$B$6),OR(Company_Explorer!$B$7="All Roles",$D209=Company_Explorer!$B$7),OR(Company_Explorer!$B$8="All Ghost Labels",$AG209=Company_Explorer!$B$8)),1,0)</f>
        <v>0</v>
      </c>
    </row>
    <row r="210" spans="1:35" ht="15" customHeight="1" x14ac:dyDescent="0.3">
      <c r="A210" s="60" t="s">
        <v>957</v>
      </c>
      <c r="B210" s="60" t="s">
        <v>80</v>
      </c>
      <c r="C210" s="60" t="s">
        <v>258</v>
      </c>
      <c r="D210" s="60" t="s">
        <v>125</v>
      </c>
      <c r="E210" s="60" t="s">
        <v>141</v>
      </c>
      <c r="F210" s="60" t="b">
        <f>TRUE()</f>
        <v>1</v>
      </c>
      <c r="G210" s="60" t="s">
        <v>173</v>
      </c>
      <c r="H210" s="60" t="s">
        <v>827</v>
      </c>
      <c r="I210" s="61">
        <v>46198</v>
      </c>
      <c r="J210" s="61">
        <v>46210</v>
      </c>
      <c r="K210" s="60">
        <v>12</v>
      </c>
      <c r="L210" s="60" t="s">
        <v>192</v>
      </c>
      <c r="M210" s="60" t="s">
        <v>184</v>
      </c>
      <c r="N210" s="60" t="b">
        <f>FALSE()</f>
        <v>0</v>
      </c>
      <c r="O210" s="60"/>
      <c r="P210" s="60"/>
      <c r="Q210" s="60" t="s">
        <v>236</v>
      </c>
      <c r="R210" s="60" t="s">
        <v>237</v>
      </c>
      <c r="S210" s="60"/>
      <c r="T210" s="60" t="b">
        <f>FALSE()</f>
        <v>0</v>
      </c>
      <c r="U210" s="60" t="b">
        <f>FALSE()</f>
        <v>0</v>
      </c>
      <c r="V210" s="60">
        <v>322</v>
      </c>
      <c r="W210" s="62" t="s">
        <v>259</v>
      </c>
      <c r="X210" s="60">
        <v>429</v>
      </c>
      <c r="Y210" s="63">
        <v>2.66</v>
      </c>
      <c r="Z210" s="60" t="b">
        <f>FALSE()</f>
        <v>0</v>
      </c>
      <c r="AA210" s="60" t="b">
        <f>TRUE()</f>
        <v>1</v>
      </c>
      <c r="AB210" s="60" t="b">
        <f>FALSE()</f>
        <v>0</v>
      </c>
      <c r="AC210" s="60" t="b">
        <f>FALSE()</f>
        <v>0</v>
      </c>
      <c r="AD210" s="60" t="b">
        <f>TRUE()</f>
        <v>1</v>
      </c>
      <c r="AE210" s="60">
        <v>3</v>
      </c>
      <c r="AF210" s="64">
        <v>42.9</v>
      </c>
      <c r="AG210" s="60" t="s">
        <v>73</v>
      </c>
      <c r="AH210" s="60" t="s">
        <v>958</v>
      </c>
      <c r="AI210">
        <f>IF(AND(OR(Company_Explorer!$B$5="All Companies",$E210=Company_Explorer!$B$5),OR(Company_Explorer!$B$6="All Platforms",$B210=Company_Explorer!$B$6),OR(Company_Explorer!$B$7="All Roles",$D210=Company_Explorer!$B$7),OR(Company_Explorer!$B$8="All Ghost Labels",$AG210=Company_Explorer!$B$8)),1,0)</f>
        <v>0</v>
      </c>
    </row>
    <row r="211" spans="1:35" ht="15" customHeight="1" x14ac:dyDescent="0.3">
      <c r="A211" s="65" t="s">
        <v>959</v>
      </c>
      <c r="B211" s="65" t="s">
        <v>80</v>
      </c>
      <c r="C211" s="65" t="s">
        <v>125</v>
      </c>
      <c r="D211" s="65" t="s">
        <v>125</v>
      </c>
      <c r="E211" s="65" t="s">
        <v>346</v>
      </c>
      <c r="F211" s="65" t="b">
        <f>TRUE()</f>
        <v>1</v>
      </c>
      <c r="G211" s="65" t="s">
        <v>585</v>
      </c>
      <c r="H211" s="65" t="s">
        <v>178</v>
      </c>
      <c r="I211" s="66">
        <v>46181</v>
      </c>
      <c r="J211" s="66">
        <v>46210</v>
      </c>
      <c r="K211" s="65">
        <v>29</v>
      </c>
      <c r="L211" s="65" t="s">
        <v>192</v>
      </c>
      <c r="M211" s="65" t="s">
        <v>184</v>
      </c>
      <c r="N211" s="65" t="b">
        <f>FALSE()</f>
        <v>0</v>
      </c>
      <c r="O211" s="65"/>
      <c r="P211" s="65"/>
      <c r="Q211" s="65" t="s">
        <v>236</v>
      </c>
      <c r="R211" s="65" t="s">
        <v>237</v>
      </c>
      <c r="S211" s="65"/>
      <c r="T211" s="65" t="b">
        <f>FALSE()</f>
        <v>0</v>
      </c>
      <c r="U211" s="65" t="b">
        <f>FALSE()</f>
        <v>0</v>
      </c>
      <c r="V211" s="65">
        <v>100</v>
      </c>
      <c r="W211" s="67" t="s">
        <v>960</v>
      </c>
      <c r="X211" s="65">
        <v>4</v>
      </c>
      <c r="Y211" s="68">
        <v>0.02</v>
      </c>
      <c r="Z211" s="65" t="b">
        <f>FALSE()</f>
        <v>0</v>
      </c>
      <c r="AA211" s="65" t="b">
        <f>TRUE()</f>
        <v>1</v>
      </c>
      <c r="AB211" s="65" t="b">
        <f>TRUE()</f>
        <v>1</v>
      </c>
      <c r="AC211" s="65" t="b">
        <f>TRUE()</f>
        <v>1</v>
      </c>
      <c r="AD211" s="65" t="b">
        <f>FALSE()</f>
        <v>0</v>
      </c>
      <c r="AE211" s="65">
        <v>3</v>
      </c>
      <c r="AF211" s="69">
        <v>42.9</v>
      </c>
      <c r="AG211" s="65" t="s">
        <v>73</v>
      </c>
      <c r="AH211" s="65" t="s">
        <v>961</v>
      </c>
      <c r="AI211">
        <f>IF(AND(OR(Company_Explorer!$B$5="All Companies",$E211=Company_Explorer!$B$5),OR(Company_Explorer!$B$6="All Platforms",$B211=Company_Explorer!$B$6),OR(Company_Explorer!$B$7="All Roles",$D211=Company_Explorer!$B$7),OR(Company_Explorer!$B$8="All Ghost Labels",$AG211=Company_Explorer!$B$8)),1,0)</f>
        <v>0</v>
      </c>
    </row>
    <row r="212" spans="1:35" ht="15" customHeight="1" x14ac:dyDescent="0.3">
      <c r="A212" s="60" t="s">
        <v>962</v>
      </c>
      <c r="B212" s="60" t="s">
        <v>80</v>
      </c>
      <c r="C212" s="60" t="s">
        <v>258</v>
      </c>
      <c r="D212" s="60" t="s">
        <v>125</v>
      </c>
      <c r="E212" s="60" t="s">
        <v>141</v>
      </c>
      <c r="F212" s="60" t="b">
        <f>TRUE()</f>
        <v>1</v>
      </c>
      <c r="G212" s="60" t="s">
        <v>172</v>
      </c>
      <c r="H212" s="60" t="s">
        <v>276</v>
      </c>
      <c r="I212" s="61">
        <v>46198</v>
      </c>
      <c r="J212" s="61">
        <v>46210</v>
      </c>
      <c r="K212" s="60">
        <v>12</v>
      </c>
      <c r="L212" s="60" t="s">
        <v>192</v>
      </c>
      <c r="M212" s="60" t="s">
        <v>184</v>
      </c>
      <c r="N212" s="60" t="b">
        <f>FALSE()</f>
        <v>0</v>
      </c>
      <c r="O212" s="60"/>
      <c r="P212" s="60"/>
      <c r="Q212" s="60" t="s">
        <v>236</v>
      </c>
      <c r="R212" s="60" t="s">
        <v>237</v>
      </c>
      <c r="S212" s="60"/>
      <c r="T212" s="60" t="b">
        <f>FALSE()</f>
        <v>0</v>
      </c>
      <c r="U212" s="60" t="b">
        <f>FALSE()</f>
        <v>0</v>
      </c>
      <c r="V212" s="60">
        <v>274</v>
      </c>
      <c r="W212" s="62" t="s">
        <v>707</v>
      </c>
      <c r="X212" s="60">
        <v>429</v>
      </c>
      <c r="Y212" s="63">
        <v>2.66</v>
      </c>
      <c r="Z212" s="60" t="b">
        <f>FALSE()</f>
        <v>0</v>
      </c>
      <c r="AA212" s="60" t="b">
        <f>TRUE()</f>
        <v>1</v>
      </c>
      <c r="AB212" s="60" t="b">
        <f>FALSE()</f>
        <v>0</v>
      </c>
      <c r="AC212" s="60" t="b">
        <f>FALSE()</f>
        <v>0</v>
      </c>
      <c r="AD212" s="60" t="b">
        <f>TRUE()</f>
        <v>1</v>
      </c>
      <c r="AE212" s="60">
        <v>3</v>
      </c>
      <c r="AF212" s="64">
        <v>42.9</v>
      </c>
      <c r="AG212" s="60" t="s">
        <v>73</v>
      </c>
      <c r="AH212" s="60" t="s">
        <v>963</v>
      </c>
      <c r="AI212">
        <f>IF(AND(OR(Company_Explorer!$B$5="All Companies",$E212=Company_Explorer!$B$5),OR(Company_Explorer!$B$6="All Platforms",$B212=Company_Explorer!$B$6),OR(Company_Explorer!$B$7="All Roles",$D212=Company_Explorer!$B$7),OR(Company_Explorer!$B$8="All Ghost Labels",$AG212=Company_Explorer!$B$8)),1,0)</f>
        <v>0</v>
      </c>
    </row>
    <row r="213" spans="1:35" ht="15" customHeight="1" x14ac:dyDescent="0.3">
      <c r="A213" s="65" t="s">
        <v>964</v>
      </c>
      <c r="B213" s="65" t="s">
        <v>80</v>
      </c>
      <c r="C213" s="65" t="s">
        <v>965</v>
      </c>
      <c r="D213" s="65" t="s">
        <v>125</v>
      </c>
      <c r="E213" s="65" t="s">
        <v>966</v>
      </c>
      <c r="F213" s="65" t="b">
        <f>TRUE()</f>
        <v>1</v>
      </c>
      <c r="G213" s="65" t="s">
        <v>170</v>
      </c>
      <c r="H213" s="65" t="s">
        <v>165</v>
      </c>
      <c r="I213" s="66">
        <v>46198</v>
      </c>
      <c r="J213" s="66">
        <v>46210</v>
      </c>
      <c r="K213" s="65">
        <v>12</v>
      </c>
      <c r="L213" s="65" t="s">
        <v>192</v>
      </c>
      <c r="M213" s="65" t="s">
        <v>184</v>
      </c>
      <c r="N213" s="65" t="b">
        <f>FALSE()</f>
        <v>0</v>
      </c>
      <c r="O213" s="65"/>
      <c r="P213" s="65"/>
      <c r="Q213" s="65" t="s">
        <v>236</v>
      </c>
      <c r="R213" s="65" t="s">
        <v>237</v>
      </c>
      <c r="S213" s="65"/>
      <c r="T213" s="65" t="b">
        <f>FALSE()</f>
        <v>0</v>
      </c>
      <c r="U213" s="65" t="b">
        <f>FALSE()</f>
        <v>0</v>
      </c>
      <c r="V213" s="65">
        <v>904</v>
      </c>
      <c r="W213" s="67" t="s">
        <v>967</v>
      </c>
      <c r="X213" s="65">
        <v>1</v>
      </c>
      <c r="Y213" s="68">
        <v>0.01</v>
      </c>
      <c r="Z213" s="65" t="b">
        <f>FALSE()</f>
        <v>0</v>
      </c>
      <c r="AA213" s="65" t="b">
        <f>TRUE()</f>
        <v>1</v>
      </c>
      <c r="AB213" s="65" t="b">
        <f>FALSE()</f>
        <v>0</v>
      </c>
      <c r="AC213" s="65" t="b">
        <f>FALSE()</f>
        <v>0</v>
      </c>
      <c r="AD213" s="65" t="b">
        <f>FALSE()</f>
        <v>0</v>
      </c>
      <c r="AE213" s="65">
        <v>1</v>
      </c>
      <c r="AF213" s="69">
        <v>14.3</v>
      </c>
      <c r="AG213" s="65" t="s">
        <v>74</v>
      </c>
      <c r="AH213" s="65" t="s">
        <v>968</v>
      </c>
      <c r="AI213">
        <f>IF(AND(OR(Company_Explorer!$B$5="All Companies",$E213=Company_Explorer!$B$5),OR(Company_Explorer!$B$6="All Platforms",$B213=Company_Explorer!$B$6),OR(Company_Explorer!$B$7="All Roles",$D213=Company_Explorer!$B$7),OR(Company_Explorer!$B$8="All Ghost Labels",$AG213=Company_Explorer!$B$8)),1,0)</f>
        <v>0</v>
      </c>
    </row>
    <row r="214" spans="1:35" ht="15" customHeight="1" x14ac:dyDescent="0.3">
      <c r="A214" s="60" t="s">
        <v>969</v>
      </c>
      <c r="B214" s="60" t="s">
        <v>80</v>
      </c>
      <c r="C214" s="60" t="s">
        <v>125</v>
      </c>
      <c r="D214" s="60" t="s">
        <v>125</v>
      </c>
      <c r="E214" s="60" t="s">
        <v>970</v>
      </c>
      <c r="F214" s="60" t="b">
        <f>TRUE()</f>
        <v>1</v>
      </c>
      <c r="G214" s="60" t="s">
        <v>347</v>
      </c>
      <c r="H214" s="60" t="s">
        <v>235</v>
      </c>
      <c r="I214" s="61">
        <v>46204</v>
      </c>
      <c r="J214" s="61">
        <v>46210</v>
      </c>
      <c r="K214" s="60">
        <v>6</v>
      </c>
      <c r="L214" s="60" t="s">
        <v>192</v>
      </c>
      <c r="M214" s="60" t="s">
        <v>185</v>
      </c>
      <c r="N214" s="60" t="b">
        <f>FALSE()</f>
        <v>0</v>
      </c>
      <c r="O214" s="60"/>
      <c r="P214" s="60"/>
      <c r="Q214" s="60" t="s">
        <v>236</v>
      </c>
      <c r="R214" s="60" t="s">
        <v>237</v>
      </c>
      <c r="S214" s="60"/>
      <c r="T214" s="60" t="b">
        <f>FALSE()</f>
        <v>0</v>
      </c>
      <c r="U214" s="60" t="b">
        <f>FALSE()</f>
        <v>0</v>
      </c>
      <c r="V214" s="60">
        <v>223</v>
      </c>
      <c r="W214" s="60" t="s">
        <v>971</v>
      </c>
      <c r="X214" s="60">
        <v>3</v>
      </c>
      <c r="Y214" s="63">
        <v>0.02</v>
      </c>
      <c r="Z214" s="60" t="b">
        <f>FALSE()</f>
        <v>0</v>
      </c>
      <c r="AA214" s="60" t="b">
        <f>TRUE()</f>
        <v>1</v>
      </c>
      <c r="AB214" s="60" t="b">
        <f>TRUE()</f>
        <v>1</v>
      </c>
      <c r="AC214" s="60" t="b">
        <f>FALSE()</f>
        <v>0</v>
      </c>
      <c r="AD214" s="60" t="b">
        <f>FALSE()</f>
        <v>0</v>
      </c>
      <c r="AE214" s="60">
        <v>2</v>
      </c>
      <c r="AF214" s="64">
        <v>28.6</v>
      </c>
      <c r="AG214" s="60" t="s">
        <v>73</v>
      </c>
      <c r="AH214" s="60" t="s">
        <v>972</v>
      </c>
      <c r="AI214">
        <f>IF(AND(OR(Company_Explorer!$B$5="All Companies",$E214=Company_Explorer!$B$5),OR(Company_Explorer!$B$6="All Platforms",$B214=Company_Explorer!$B$6),OR(Company_Explorer!$B$7="All Roles",$D214=Company_Explorer!$B$7),OR(Company_Explorer!$B$8="All Ghost Labels",$AG214=Company_Explorer!$B$8)),1,0)</f>
        <v>0</v>
      </c>
    </row>
    <row r="215" spans="1:35" ht="15" customHeight="1" x14ac:dyDescent="0.3">
      <c r="A215" s="65" t="s">
        <v>973</v>
      </c>
      <c r="B215" s="65" t="s">
        <v>80</v>
      </c>
      <c r="C215" s="65" t="s">
        <v>974</v>
      </c>
      <c r="D215" s="65" t="s">
        <v>131</v>
      </c>
      <c r="E215" s="65" t="s">
        <v>975</v>
      </c>
      <c r="F215" s="65" t="b">
        <f>TRUE()</f>
        <v>1</v>
      </c>
      <c r="G215" s="65" t="s">
        <v>171</v>
      </c>
      <c r="H215" s="65" t="s">
        <v>254</v>
      </c>
      <c r="I215" s="66">
        <v>46205</v>
      </c>
      <c r="J215" s="66">
        <v>46210</v>
      </c>
      <c r="K215" s="65">
        <v>5</v>
      </c>
      <c r="L215" s="65" t="s">
        <v>192</v>
      </c>
      <c r="M215" s="65" t="s">
        <v>184</v>
      </c>
      <c r="N215" s="65" t="b">
        <f>FALSE()</f>
        <v>0</v>
      </c>
      <c r="O215" s="65"/>
      <c r="P215" s="65"/>
      <c r="Q215" s="65" t="s">
        <v>236</v>
      </c>
      <c r="R215" s="65" t="s">
        <v>237</v>
      </c>
      <c r="S215" s="65"/>
      <c r="T215" s="65" t="b">
        <f>FALSE()</f>
        <v>0</v>
      </c>
      <c r="U215" s="65" t="b">
        <f>FALSE()</f>
        <v>0</v>
      </c>
      <c r="V215" s="65">
        <v>216</v>
      </c>
      <c r="W215" s="67" t="s">
        <v>976</v>
      </c>
      <c r="X215" s="65">
        <v>1</v>
      </c>
      <c r="Y215" s="68">
        <v>0.01</v>
      </c>
      <c r="Z215" s="65" t="b">
        <f>FALSE()</f>
        <v>0</v>
      </c>
      <c r="AA215" s="65" t="b">
        <f>TRUE()</f>
        <v>1</v>
      </c>
      <c r="AB215" s="65" t="b">
        <f>TRUE()</f>
        <v>1</v>
      </c>
      <c r="AC215" s="65" t="b">
        <f>FALSE()</f>
        <v>0</v>
      </c>
      <c r="AD215" s="65" t="b">
        <f>FALSE()</f>
        <v>0</v>
      </c>
      <c r="AE215" s="65">
        <v>2</v>
      </c>
      <c r="AF215" s="69">
        <v>28.6</v>
      </c>
      <c r="AG215" s="65" t="s">
        <v>73</v>
      </c>
      <c r="AH215" s="65" t="s">
        <v>977</v>
      </c>
      <c r="AI215">
        <f>IF(AND(OR(Company_Explorer!$B$5="All Companies",$E215=Company_Explorer!$B$5),OR(Company_Explorer!$B$6="All Platforms",$B215=Company_Explorer!$B$6),OR(Company_Explorer!$B$7="All Roles",$D215=Company_Explorer!$B$7),OR(Company_Explorer!$B$8="All Ghost Labels",$AG215=Company_Explorer!$B$8)),1,0)</f>
        <v>0</v>
      </c>
    </row>
    <row r="216" spans="1:35" ht="15" customHeight="1" x14ac:dyDescent="0.3">
      <c r="A216" s="60" t="s">
        <v>978</v>
      </c>
      <c r="B216" s="60" t="s">
        <v>80</v>
      </c>
      <c r="C216" s="60" t="s">
        <v>258</v>
      </c>
      <c r="D216" s="60" t="s">
        <v>125</v>
      </c>
      <c r="E216" s="60" t="s">
        <v>141</v>
      </c>
      <c r="F216" s="60" t="b">
        <f>TRUE()</f>
        <v>1</v>
      </c>
      <c r="G216" s="60" t="s">
        <v>173</v>
      </c>
      <c r="H216" s="60" t="s">
        <v>827</v>
      </c>
      <c r="I216" s="61">
        <v>46198</v>
      </c>
      <c r="J216" s="61">
        <v>46210</v>
      </c>
      <c r="K216" s="60">
        <v>12</v>
      </c>
      <c r="L216" s="60" t="s">
        <v>192</v>
      </c>
      <c r="M216" s="60" t="s">
        <v>184</v>
      </c>
      <c r="N216" s="60" t="b">
        <f>FALSE()</f>
        <v>0</v>
      </c>
      <c r="O216" s="60"/>
      <c r="P216" s="60"/>
      <c r="Q216" s="60" t="s">
        <v>236</v>
      </c>
      <c r="R216" s="60" t="s">
        <v>237</v>
      </c>
      <c r="S216" s="60"/>
      <c r="T216" s="60" t="b">
        <f>FALSE()</f>
        <v>0</v>
      </c>
      <c r="U216" s="60" t="b">
        <f>FALSE()</f>
        <v>0</v>
      </c>
      <c r="V216" s="60">
        <v>751</v>
      </c>
      <c r="W216" s="62" t="s">
        <v>259</v>
      </c>
      <c r="X216" s="60">
        <v>429</v>
      </c>
      <c r="Y216" s="63">
        <v>2.66</v>
      </c>
      <c r="Z216" s="60" t="b">
        <f>FALSE()</f>
        <v>0</v>
      </c>
      <c r="AA216" s="60" t="b">
        <f>TRUE()</f>
        <v>1</v>
      </c>
      <c r="AB216" s="60" t="b">
        <f>FALSE()</f>
        <v>0</v>
      </c>
      <c r="AC216" s="60" t="b">
        <f>FALSE()</f>
        <v>0</v>
      </c>
      <c r="AD216" s="60" t="b">
        <f>TRUE()</f>
        <v>1</v>
      </c>
      <c r="AE216" s="60">
        <v>3</v>
      </c>
      <c r="AF216" s="64">
        <v>42.9</v>
      </c>
      <c r="AG216" s="60" t="s">
        <v>73</v>
      </c>
      <c r="AH216" s="60" t="s">
        <v>979</v>
      </c>
      <c r="AI216">
        <f>IF(AND(OR(Company_Explorer!$B$5="All Companies",$E216=Company_Explorer!$B$5),OR(Company_Explorer!$B$6="All Platforms",$B216=Company_Explorer!$B$6),OR(Company_Explorer!$B$7="All Roles",$D216=Company_Explorer!$B$7),OR(Company_Explorer!$B$8="All Ghost Labels",$AG216=Company_Explorer!$B$8)),1,0)</f>
        <v>0</v>
      </c>
    </row>
    <row r="217" spans="1:35" ht="15" customHeight="1" x14ac:dyDescent="0.3">
      <c r="A217" s="65" t="s">
        <v>980</v>
      </c>
      <c r="B217" s="65" t="s">
        <v>80</v>
      </c>
      <c r="C217" s="65" t="s">
        <v>258</v>
      </c>
      <c r="D217" s="65" t="s">
        <v>125</v>
      </c>
      <c r="E217" s="65" t="s">
        <v>141</v>
      </c>
      <c r="F217" s="65" t="b">
        <f>TRUE()</f>
        <v>1</v>
      </c>
      <c r="G217" s="65" t="s">
        <v>173</v>
      </c>
      <c r="H217" s="65" t="s">
        <v>827</v>
      </c>
      <c r="I217" s="66">
        <v>46198</v>
      </c>
      <c r="J217" s="66">
        <v>46210</v>
      </c>
      <c r="K217" s="65">
        <v>12</v>
      </c>
      <c r="L217" s="65" t="s">
        <v>192</v>
      </c>
      <c r="M217" s="65" t="s">
        <v>184</v>
      </c>
      <c r="N217" s="65" t="b">
        <f>FALSE()</f>
        <v>0</v>
      </c>
      <c r="O217" s="65"/>
      <c r="P217" s="65"/>
      <c r="Q217" s="65" t="s">
        <v>236</v>
      </c>
      <c r="R217" s="65" t="s">
        <v>237</v>
      </c>
      <c r="S217" s="65"/>
      <c r="T217" s="65" t="b">
        <f>FALSE()</f>
        <v>0</v>
      </c>
      <c r="U217" s="65" t="b">
        <f>FALSE()</f>
        <v>0</v>
      </c>
      <c r="V217" s="65">
        <v>751</v>
      </c>
      <c r="W217" s="67" t="s">
        <v>259</v>
      </c>
      <c r="X217" s="65">
        <v>429</v>
      </c>
      <c r="Y217" s="68">
        <v>2.66</v>
      </c>
      <c r="Z217" s="65" t="b">
        <f>FALSE()</f>
        <v>0</v>
      </c>
      <c r="AA217" s="65" t="b">
        <f>TRUE()</f>
        <v>1</v>
      </c>
      <c r="AB217" s="65" t="b">
        <f>FALSE()</f>
        <v>0</v>
      </c>
      <c r="AC217" s="65" t="b">
        <f>FALSE()</f>
        <v>0</v>
      </c>
      <c r="AD217" s="65" t="b">
        <f>TRUE()</f>
        <v>1</v>
      </c>
      <c r="AE217" s="65">
        <v>3</v>
      </c>
      <c r="AF217" s="69">
        <v>42.9</v>
      </c>
      <c r="AG217" s="65" t="s">
        <v>73</v>
      </c>
      <c r="AH217" s="65" t="s">
        <v>981</v>
      </c>
      <c r="AI217">
        <f>IF(AND(OR(Company_Explorer!$B$5="All Companies",$E217=Company_Explorer!$B$5),OR(Company_Explorer!$B$6="All Platforms",$B217=Company_Explorer!$B$6),OR(Company_Explorer!$B$7="All Roles",$D217=Company_Explorer!$B$7),OR(Company_Explorer!$B$8="All Ghost Labels",$AG217=Company_Explorer!$B$8)),1,0)</f>
        <v>0</v>
      </c>
    </row>
    <row r="218" spans="1:35" ht="15" customHeight="1" x14ac:dyDescent="0.3">
      <c r="A218" s="60" t="s">
        <v>982</v>
      </c>
      <c r="B218" s="60" t="s">
        <v>80</v>
      </c>
      <c r="C218" s="60" t="s">
        <v>258</v>
      </c>
      <c r="D218" s="60" t="s">
        <v>125</v>
      </c>
      <c r="E218" s="60" t="s">
        <v>141</v>
      </c>
      <c r="F218" s="60" t="b">
        <f>TRUE()</f>
        <v>1</v>
      </c>
      <c r="G218" s="60" t="s">
        <v>173</v>
      </c>
      <c r="H218" s="60" t="s">
        <v>827</v>
      </c>
      <c r="I218" s="61">
        <v>46198</v>
      </c>
      <c r="J218" s="61">
        <v>46210</v>
      </c>
      <c r="K218" s="60">
        <v>12</v>
      </c>
      <c r="L218" s="60" t="s">
        <v>192</v>
      </c>
      <c r="M218" s="60" t="s">
        <v>184</v>
      </c>
      <c r="N218" s="60" t="b">
        <f>FALSE()</f>
        <v>0</v>
      </c>
      <c r="O218" s="60"/>
      <c r="P218" s="60"/>
      <c r="Q218" s="60" t="s">
        <v>236</v>
      </c>
      <c r="R218" s="60" t="s">
        <v>237</v>
      </c>
      <c r="S218" s="60"/>
      <c r="T218" s="60" t="b">
        <f>FALSE()</f>
        <v>0</v>
      </c>
      <c r="U218" s="60" t="b">
        <f>FALSE()</f>
        <v>0</v>
      </c>
      <c r="V218" s="60">
        <v>751</v>
      </c>
      <c r="W218" s="62" t="s">
        <v>259</v>
      </c>
      <c r="X218" s="60">
        <v>429</v>
      </c>
      <c r="Y218" s="63">
        <v>2.66</v>
      </c>
      <c r="Z218" s="60" t="b">
        <f>FALSE()</f>
        <v>0</v>
      </c>
      <c r="AA218" s="60" t="b">
        <f>TRUE()</f>
        <v>1</v>
      </c>
      <c r="AB218" s="60" t="b">
        <f>FALSE()</f>
        <v>0</v>
      </c>
      <c r="AC218" s="60" t="b">
        <f>FALSE()</f>
        <v>0</v>
      </c>
      <c r="AD218" s="60" t="b">
        <f>TRUE()</f>
        <v>1</v>
      </c>
      <c r="AE218" s="60">
        <v>3</v>
      </c>
      <c r="AF218" s="64">
        <v>42.9</v>
      </c>
      <c r="AG218" s="60" t="s">
        <v>73</v>
      </c>
      <c r="AH218" s="60" t="s">
        <v>983</v>
      </c>
      <c r="AI218">
        <f>IF(AND(OR(Company_Explorer!$B$5="All Companies",$E218=Company_Explorer!$B$5),OR(Company_Explorer!$B$6="All Platforms",$B218=Company_Explorer!$B$6),OR(Company_Explorer!$B$7="All Roles",$D218=Company_Explorer!$B$7),OR(Company_Explorer!$B$8="All Ghost Labels",$AG218=Company_Explorer!$B$8)),1,0)</f>
        <v>0</v>
      </c>
    </row>
    <row r="219" spans="1:35" ht="15" customHeight="1" x14ac:dyDescent="0.3">
      <c r="A219" s="65" t="s">
        <v>984</v>
      </c>
      <c r="B219" s="65" t="s">
        <v>80</v>
      </c>
      <c r="C219" s="65" t="s">
        <v>258</v>
      </c>
      <c r="D219" s="65" t="s">
        <v>125</v>
      </c>
      <c r="E219" s="65" t="s">
        <v>141</v>
      </c>
      <c r="F219" s="65" t="b">
        <f>TRUE()</f>
        <v>1</v>
      </c>
      <c r="G219" s="65" t="s">
        <v>173</v>
      </c>
      <c r="H219" s="65" t="s">
        <v>827</v>
      </c>
      <c r="I219" s="66">
        <v>46198</v>
      </c>
      <c r="J219" s="66">
        <v>46210</v>
      </c>
      <c r="K219" s="65">
        <v>12</v>
      </c>
      <c r="L219" s="65" t="s">
        <v>192</v>
      </c>
      <c r="M219" s="65" t="s">
        <v>184</v>
      </c>
      <c r="N219" s="65" t="b">
        <f>FALSE()</f>
        <v>0</v>
      </c>
      <c r="O219" s="65"/>
      <c r="P219" s="65"/>
      <c r="Q219" s="65" t="s">
        <v>236</v>
      </c>
      <c r="R219" s="65" t="s">
        <v>237</v>
      </c>
      <c r="S219" s="65"/>
      <c r="T219" s="65" t="b">
        <f>FALSE()</f>
        <v>0</v>
      </c>
      <c r="U219" s="65" t="b">
        <f>FALSE()</f>
        <v>0</v>
      </c>
      <c r="V219" s="65">
        <v>751</v>
      </c>
      <c r="W219" s="67" t="s">
        <v>259</v>
      </c>
      <c r="X219" s="65">
        <v>429</v>
      </c>
      <c r="Y219" s="68">
        <v>2.66</v>
      </c>
      <c r="Z219" s="65" t="b">
        <f>FALSE()</f>
        <v>0</v>
      </c>
      <c r="AA219" s="65" t="b">
        <f>TRUE()</f>
        <v>1</v>
      </c>
      <c r="AB219" s="65" t="b">
        <f>FALSE()</f>
        <v>0</v>
      </c>
      <c r="AC219" s="65" t="b">
        <f>FALSE()</f>
        <v>0</v>
      </c>
      <c r="AD219" s="65" t="b">
        <f>TRUE()</f>
        <v>1</v>
      </c>
      <c r="AE219" s="65">
        <v>3</v>
      </c>
      <c r="AF219" s="69">
        <v>42.9</v>
      </c>
      <c r="AG219" s="65" t="s">
        <v>73</v>
      </c>
      <c r="AH219" s="65" t="s">
        <v>985</v>
      </c>
      <c r="AI219">
        <f>IF(AND(OR(Company_Explorer!$B$5="All Companies",$E219=Company_Explorer!$B$5),OR(Company_Explorer!$B$6="All Platforms",$B219=Company_Explorer!$B$6),OR(Company_Explorer!$B$7="All Roles",$D219=Company_Explorer!$B$7),OR(Company_Explorer!$B$8="All Ghost Labels",$AG219=Company_Explorer!$B$8)),1,0)</f>
        <v>0</v>
      </c>
    </row>
    <row r="220" spans="1:35" ht="15" customHeight="1" x14ac:dyDescent="0.3">
      <c r="A220" s="60" t="s">
        <v>986</v>
      </c>
      <c r="B220" s="60" t="s">
        <v>80</v>
      </c>
      <c r="C220" s="60" t="s">
        <v>258</v>
      </c>
      <c r="D220" s="60" t="s">
        <v>125</v>
      </c>
      <c r="E220" s="60" t="s">
        <v>141</v>
      </c>
      <c r="F220" s="60" t="b">
        <f>TRUE()</f>
        <v>1</v>
      </c>
      <c r="G220" s="60" t="s">
        <v>173</v>
      </c>
      <c r="H220" s="60" t="s">
        <v>827</v>
      </c>
      <c r="I220" s="61">
        <v>46198</v>
      </c>
      <c r="J220" s="61">
        <v>46210</v>
      </c>
      <c r="K220" s="60">
        <v>12</v>
      </c>
      <c r="L220" s="60" t="s">
        <v>192</v>
      </c>
      <c r="M220" s="60" t="s">
        <v>184</v>
      </c>
      <c r="N220" s="60" t="b">
        <f>FALSE()</f>
        <v>0</v>
      </c>
      <c r="O220" s="60"/>
      <c r="P220" s="60"/>
      <c r="Q220" s="60" t="s">
        <v>236</v>
      </c>
      <c r="R220" s="60" t="s">
        <v>237</v>
      </c>
      <c r="S220" s="60"/>
      <c r="T220" s="60" t="b">
        <f>FALSE()</f>
        <v>0</v>
      </c>
      <c r="U220" s="60" t="b">
        <f>FALSE()</f>
        <v>0</v>
      </c>
      <c r="V220" s="60">
        <v>751</v>
      </c>
      <c r="W220" s="62" t="s">
        <v>259</v>
      </c>
      <c r="X220" s="60">
        <v>429</v>
      </c>
      <c r="Y220" s="63">
        <v>2.66</v>
      </c>
      <c r="Z220" s="60" t="b">
        <f>FALSE()</f>
        <v>0</v>
      </c>
      <c r="AA220" s="60" t="b">
        <f>TRUE()</f>
        <v>1</v>
      </c>
      <c r="AB220" s="60" t="b">
        <f>FALSE()</f>
        <v>0</v>
      </c>
      <c r="AC220" s="60" t="b">
        <f>FALSE()</f>
        <v>0</v>
      </c>
      <c r="AD220" s="60" t="b">
        <f>TRUE()</f>
        <v>1</v>
      </c>
      <c r="AE220" s="60">
        <v>3</v>
      </c>
      <c r="AF220" s="64">
        <v>42.9</v>
      </c>
      <c r="AG220" s="60" t="s">
        <v>73</v>
      </c>
      <c r="AH220" s="60" t="s">
        <v>987</v>
      </c>
      <c r="AI220">
        <f>IF(AND(OR(Company_Explorer!$B$5="All Companies",$E220=Company_Explorer!$B$5),OR(Company_Explorer!$B$6="All Platforms",$B220=Company_Explorer!$B$6),OR(Company_Explorer!$B$7="All Roles",$D220=Company_Explorer!$B$7),OR(Company_Explorer!$B$8="All Ghost Labels",$AG220=Company_Explorer!$B$8)),1,0)</f>
        <v>0</v>
      </c>
    </row>
    <row r="221" spans="1:35" ht="15" customHeight="1" x14ac:dyDescent="0.3">
      <c r="A221" s="65" t="s">
        <v>988</v>
      </c>
      <c r="B221" s="65" t="s">
        <v>80</v>
      </c>
      <c r="C221" s="65" t="s">
        <v>258</v>
      </c>
      <c r="D221" s="65" t="s">
        <v>125</v>
      </c>
      <c r="E221" s="65" t="s">
        <v>141</v>
      </c>
      <c r="F221" s="65" t="b">
        <f>TRUE()</f>
        <v>1</v>
      </c>
      <c r="G221" s="65" t="s">
        <v>173</v>
      </c>
      <c r="H221" s="65" t="s">
        <v>827</v>
      </c>
      <c r="I221" s="66">
        <v>46198</v>
      </c>
      <c r="J221" s="66">
        <v>46210</v>
      </c>
      <c r="K221" s="65">
        <v>12</v>
      </c>
      <c r="L221" s="65" t="s">
        <v>192</v>
      </c>
      <c r="M221" s="65" t="s">
        <v>184</v>
      </c>
      <c r="N221" s="65" t="b">
        <f>FALSE()</f>
        <v>0</v>
      </c>
      <c r="O221" s="65"/>
      <c r="P221" s="65"/>
      <c r="Q221" s="65" t="s">
        <v>236</v>
      </c>
      <c r="R221" s="65" t="s">
        <v>237</v>
      </c>
      <c r="S221" s="65"/>
      <c r="T221" s="65" t="b">
        <f>FALSE()</f>
        <v>0</v>
      </c>
      <c r="U221" s="65" t="b">
        <f>FALSE()</f>
        <v>0</v>
      </c>
      <c r="V221" s="65">
        <v>751</v>
      </c>
      <c r="W221" s="67" t="s">
        <v>259</v>
      </c>
      <c r="X221" s="65">
        <v>429</v>
      </c>
      <c r="Y221" s="68">
        <v>2.66</v>
      </c>
      <c r="Z221" s="65" t="b">
        <f>FALSE()</f>
        <v>0</v>
      </c>
      <c r="AA221" s="65" t="b">
        <f>TRUE()</f>
        <v>1</v>
      </c>
      <c r="AB221" s="65" t="b">
        <f>FALSE()</f>
        <v>0</v>
      </c>
      <c r="AC221" s="65" t="b">
        <f>FALSE()</f>
        <v>0</v>
      </c>
      <c r="AD221" s="65" t="b">
        <f>TRUE()</f>
        <v>1</v>
      </c>
      <c r="AE221" s="65">
        <v>3</v>
      </c>
      <c r="AF221" s="69">
        <v>42.9</v>
      </c>
      <c r="AG221" s="65" t="s">
        <v>73</v>
      </c>
      <c r="AH221" s="65" t="s">
        <v>989</v>
      </c>
      <c r="AI221">
        <f>IF(AND(OR(Company_Explorer!$B$5="All Companies",$E221=Company_Explorer!$B$5),OR(Company_Explorer!$B$6="All Platforms",$B221=Company_Explorer!$B$6),OR(Company_Explorer!$B$7="All Roles",$D221=Company_Explorer!$B$7),OR(Company_Explorer!$B$8="All Ghost Labels",$AG221=Company_Explorer!$B$8)),1,0)</f>
        <v>0</v>
      </c>
    </row>
    <row r="222" spans="1:35" ht="15" customHeight="1" x14ac:dyDescent="0.3">
      <c r="A222" s="60" t="s">
        <v>990</v>
      </c>
      <c r="B222" s="60" t="s">
        <v>80</v>
      </c>
      <c r="C222" s="60" t="s">
        <v>258</v>
      </c>
      <c r="D222" s="60" t="s">
        <v>125</v>
      </c>
      <c r="E222" s="60" t="s">
        <v>141</v>
      </c>
      <c r="F222" s="60" t="b">
        <f>TRUE()</f>
        <v>1</v>
      </c>
      <c r="G222" s="60" t="s">
        <v>167</v>
      </c>
      <c r="H222" s="60" t="s">
        <v>276</v>
      </c>
      <c r="I222" s="61">
        <v>46198</v>
      </c>
      <c r="J222" s="61">
        <v>46210</v>
      </c>
      <c r="K222" s="60">
        <v>12</v>
      </c>
      <c r="L222" s="60" t="s">
        <v>192</v>
      </c>
      <c r="M222" s="60" t="s">
        <v>184</v>
      </c>
      <c r="N222" s="60" t="b">
        <f>FALSE()</f>
        <v>0</v>
      </c>
      <c r="O222" s="60"/>
      <c r="P222" s="60"/>
      <c r="Q222" s="60" t="s">
        <v>236</v>
      </c>
      <c r="R222" s="60" t="s">
        <v>237</v>
      </c>
      <c r="S222" s="60"/>
      <c r="T222" s="60" t="b">
        <f>FALSE()</f>
        <v>0</v>
      </c>
      <c r="U222" s="60" t="b">
        <f>FALSE()</f>
        <v>0</v>
      </c>
      <c r="V222" s="60">
        <v>289</v>
      </c>
      <c r="W222" s="62" t="s">
        <v>259</v>
      </c>
      <c r="X222" s="60">
        <v>429</v>
      </c>
      <c r="Y222" s="63">
        <v>2.66</v>
      </c>
      <c r="Z222" s="60" t="b">
        <f>FALSE()</f>
        <v>0</v>
      </c>
      <c r="AA222" s="60" t="b">
        <f>TRUE()</f>
        <v>1</v>
      </c>
      <c r="AB222" s="60" t="b">
        <f>FALSE()</f>
        <v>0</v>
      </c>
      <c r="AC222" s="60" t="b">
        <f>FALSE()</f>
        <v>0</v>
      </c>
      <c r="AD222" s="60" t="b">
        <f>TRUE()</f>
        <v>1</v>
      </c>
      <c r="AE222" s="60">
        <v>3</v>
      </c>
      <c r="AF222" s="64">
        <v>42.9</v>
      </c>
      <c r="AG222" s="60" t="s">
        <v>73</v>
      </c>
      <c r="AH222" s="60" t="s">
        <v>991</v>
      </c>
      <c r="AI222">
        <f>IF(AND(OR(Company_Explorer!$B$5="All Companies",$E222=Company_Explorer!$B$5),OR(Company_Explorer!$B$6="All Platforms",$B222=Company_Explorer!$B$6),OR(Company_Explorer!$B$7="All Roles",$D222=Company_Explorer!$B$7),OR(Company_Explorer!$B$8="All Ghost Labels",$AG222=Company_Explorer!$B$8)),1,0)</f>
        <v>0</v>
      </c>
    </row>
    <row r="223" spans="1:35" ht="15" customHeight="1" x14ac:dyDescent="0.3">
      <c r="A223" s="65" t="s">
        <v>992</v>
      </c>
      <c r="B223" s="65" t="s">
        <v>80</v>
      </c>
      <c r="C223" s="65" t="s">
        <v>125</v>
      </c>
      <c r="D223" s="65" t="s">
        <v>125</v>
      </c>
      <c r="E223" s="65" t="s">
        <v>993</v>
      </c>
      <c r="F223" s="65" t="b">
        <f>TRUE()</f>
        <v>1</v>
      </c>
      <c r="G223" s="65" t="s">
        <v>254</v>
      </c>
      <c r="H223" s="65" t="s">
        <v>178</v>
      </c>
      <c r="I223" s="66">
        <v>46199</v>
      </c>
      <c r="J223" s="66">
        <v>46210</v>
      </c>
      <c r="K223" s="65">
        <v>11</v>
      </c>
      <c r="L223" s="65" t="s">
        <v>192</v>
      </c>
      <c r="M223" s="65" t="s">
        <v>186</v>
      </c>
      <c r="N223" s="65" t="b">
        <f>FALSE()</f>
        <v>0</v>
      </c>
      <c r="O223" s="65"/>
      <c r="P223" s="65"/>
      <c r="Q223" s="65" t="s">
        <v>236</v>
      </c>
      <c r="R223" s="65" t="s">
        <v>237</v>
      </c>
      <c r="S223" s="65"/>
      <c r="T223" s="65" t="b">
        <f>FALSE()</f>
        <v>0</v>
      </c>
      <c r="U223" s="65" t="b">
        <f>FALSE()</f>
        <v>0</v>
      </c>
      <c r="V223" s="65">
        <v>52</v>
      </c>
      <c r="W223" s="65" t="s">
        <v>994</v>
      </c>
      <c r="X223" s="65">
        <v>1</v>
      </c>
      <c r="Y223" s="68">
        <v>0.01</v>
      </c>
      <c r="Z223" s="65" t="b">
        <f>FALSE()</f>
        <v>0</v>
      </c>
      <c r="AA223" s="65" t="b">
        <f>TRUE()</f>
        <v>1</v>
      </c>
      <c r="AB223" s="65" t="b">
        <f>TRUE()</f>
        <v>1</v>
      </c>
      <c r="AC223" s="65" t="b">
        <f>FALSE()</f>
        <v>0</v>
      </c>
      <c r="AD223" s="65" t="b">
        <f>FALSE()</f>
        <v>0</v>
      </c>
      <c r="AE223" s="65">
        <v>2</v>
      </c>
      <c r="AF223" s="69">
        <v>28.6</v>
      </c>
      <c r="AG223" s="65" t="s">
        <v>73</v>
      </c>
      <c r="AH223" s="65" t="s">
        <v>995</v>
      </c>
      <c r="AI223">
        <f>IF(AND(OR(Company_Explorer!$B$5="All Companies",$E223=Company_Explorer!$B$5),OR(Company_Explorer!$B$6="All Platforms",$B223=Company_Explorer!$B$6),OR(Company_Explorer!$B$7="All Roles",$D223=Company_Explorer!$B$7),OR(Company_Explorer!$B$8="All Ghost Labels",$AG223=Company_Explorer!$B$8)),1,0)</f>
        <v>0</v>
      </c>
    </row>
    <row r="224" spans="1:35" ht="15" customHeight="1" x14ac:dyDescent="0.3">
      <c r="A224" s="60" t="s">
        <v>996</v>
      </c>
      <c r="B224" s="60" t="s">
        <v>80</v>
      </c>
      <c r="C224" s="60" t="s">
        <v>258</v>
      </c>
      <c r="D224" s="60" t="s">
        <v>125</v>
      </c>
      <c r="E224" s="60" t="s">
        <v>141</v>
      </c>
      <c r="F224" s="60" t="b">
        <f>TRUE()</f>
        <v>1</v>
      </c>
      <c r="G224" s="60" t="s">
        <v>173</v>
      </c>
      <c r="H224" s="60" t="s">
        <v>827</v>
      </c>
      <c r="I224" s="61">
        <v>46198</v>
      </c>
      <c r="J224" s="61">
        <v>46210</v>
      </c>
      <c r="K224" s="60">
        <v>12</v>
      </c>
      <c r="L224" s="60" t="s">
        <v>192</v>
      </c>
      <c r="M224" s="60" t="s">
        <v>184</v>
      </c>
      <c r="N224" s="60" t="b">
        <f>FALSE()</f>
        <v>0</v>
      </c>
      <c r="O224" s="60"/>
      <c r="P224" s="60"/>
      <c r="Q224" s="60" t="s">
        <v>236</v>
      </c>
      <c r="R224" s="60" t="s">
        <v>237</v>
      </c>
      <c r="S224" s="60"/>
      <c r="T224" s="60" t="b">
        <f>FALSE()</f>
        <v>0</v>
      </c>
      <c r="U224" s="60" t="b">
        <f>FALSE()</f>
        <v>0</v>
      </c>
      <c r="V224" s="60">
        <v>322</v>
      </c>
      <c r="W224" s="62" t="s">
        <v>259</v>
      </c>
      <c r="X224" s="60">
        <v>429</v>
      </c>
      <c r="Y224" s="63">
        <v>2.66</v>
      </c>
      <c r="Z224" s="60" t="b">
        <f>FALSE()</f>
        <v>0</v>
      </c>
      <c r="AA224" s="60" t="b">
        <f>TRUE()</f>
        <v>1</v>
      </c>
      <c r="AB224" s="60" t="b">
        <f>FALSE()</f>
        <v>0</v>
      </c>
      <c r="AC224" s="60" t="b">
        <f>FALSE()</f>
        <v>0</v>
      </c>
      <c r="AD224" s="60" t="b">
        <f>TRUE()</f>
        <v>1</v>
      </c>
      <c r="AE224" s="60">
        <v>3</v>
      </c>
      <c r="AF224" s="64">
        <v>42.9</v>
      </c>
      <c r="AG224" s="60" t="s">
        <v>73</v>
      </c>
      <c r="AH224" s="60" t="s">
        <v>997</v>
      </c>
      <c r="AI224">
        <f>IF(AND(OR(Company_Explorer!$B$5="All Companies",$E224=Company_Explorer!$B$5),OR(Company_Explorer!$B$6="All Platforms",$B224=Company_Explorer!$B$6),OR(Company_Explorer!$B$7="All Roles",$D224=Company_Explorer!$B$7),OR(Company_Explorer!$B$8="All Ghost Labels",$AG224=Company_Explorer!$B$8)),1,0)</f>
        <v>0</v>
      </c>
    </row>
    <row r="225" spans="1:35" ht="15" customHeight="1" x14ac:dyDescent="0.3">
      <c r="A225" s="65" t="s">
        <v>998</v>
      </c>
      <c r="B225" s="65" t="s">
        <v>80</v>
      </c>
      <c r="C225" s="65" t="s">
        <v>258</v>
      </c>
      <c r="D225" s="65" t="s">
        <v>125</v>
      </c>
      <c r="E225" s="65" t="s">
        <v>141</v>
      </c>
      <c r="F225" s="65" t="b">
        <f>TRUE()</f>
        <v>1</v>
      </c>
      <c r="G225" s="65" t="s">
        <v>173</v>
      </c>
      <c r="H225" s="65" t="s">
        <v>827</v>
      </c>
      <c r="I225" s="66">
        <v>46198</v>
      </c>
      <c r="J225" s="66">
        <v>46210</v>
      </c>
      <c r="K225" s="65">
        <v>12</v>
      </c>
      <c r="L225" s="65" t="s">
        <v>192</v>
      </c>
      <c r="M225" s="65" t="s">
        <v>184</v>
      </c>
      <c r="N225" s="65" t="b">
        <f>FALSE()</f>
        <v>0</v>
      </c>
      <c r="O225" s="65"/>
      <c r="P225" s="65"/>
      <c r="Q225" s="65" t="s">
        <v>236</v>
      </c>
      <c r="R225" s="65" t="s">
        <v>237</v>
      </c>
      <c r="S225" s="65"/>
      <c r="T225" s="65" t="b">
        <f>FALSE()</f>
        <v>0</v>
      </c>
      <c r="U225" s="65" t="b">
        <f>FALSE()</f>
        <v>0</v>
      </c>
      <c r="V225" s="65">
        <v>322</v>
      </c>
      <c r="W225" s="67" t="s">
        <v>259</v>
      </c>
      <c r="X225" s="65">
        <v>429</v>
      </c>
      <c r="Y225" s="68">
        <v>2.66</v>
      </c>
      <c r="Z225" s="65" t="b">
        <f>FALSE()</f>
        <v>0</v>
      </c>
      <c r="AA225" s="65" t="b">
        <f>TRUE()</f>
        <v>1</v>
      </c>
      <c r="AB225" s="65" t="b">
        <f>FALSE()</f>
        <v>0</v>
      </c>
      <c r="AC225" s="65" t="b">
        <f>FALSE()</f>
        <v>0</v>
      </c>
      <c r="AD225" s="65" t="b">
        <f>TRUE()</f>
        <v>1</v>
      </c>
      <c r="AE225" s="65">
        <v>3</v>
      </c>
      <c r="AF225" s="69">
        <v>42.9</v>
      </c>
      <c r="AG225" s="65" t="s">
        <v>73</v>
      </c>
      <c r="AH225" s="65" t="s">
        <v>999</v>
      </c>
      <c r="AI225">
        <f>IF(AND(OR(Company_Explorer!$B$5="All Companies",$E225=Company_Explorer!$B$5),OR(Company_Explorer!$B$6="All Platforms",$B225=Company_Explorer!$B$6),OR(Company_Explorer!$B$7="All Roles",$D225=Company_Explorer!$B$7),OR(Company_Explorer!$B$8="All Ghost Labels",$AG225=Company_Explorer!$B$8)),1,0)</f>
        <v>0</v>
      </c>
    </row>
    <row r="226" spans="1:35" ht="15" customHeight="1" x14ac:dyDescent="0.3">
      <c r="A226" s="60" t="s">
        <v>1000</v>
      </c>
      <c r="B226" s="60" t="s">
        <v>80</v>
      </c>
      <c r="C226" s="60" t="s">
        <v>258</v>
      </c>
      <c r="D226" s="60" t="s">
        <v>125</v>
      </c>
      <c r="E226" s="60" t="s">
        <v>141</v>
      </c>
      <c r="F226" s="60" t="b">
        <f>TRUE()</f>
        <v>1</v>
      </c>
      <c r="G226" s="60" t="s">
        <v>173</v>
      </c>
      <c r="H226" s="60" t="s">
        <v>827</v>
      </c>
      <c r="I226" s="61">
        <v>46198</v>
      </c>
      <c r="J226" s="61">
        <v>46210</v>
      </c>
      <c r="K226" s="60">
        <v>12</v>
      </c>
      <c r="L226" s="60" t="s">
        <v>192</v>
      </c>
      <c r="M226" s="60" t="s">
        <v>184</v>
      </c>
      <c r="N226" s="60" t="b">
        <f>FALSE()</f>
        <v>0</v>
      </c>
      <c r="O226" s="60"/>
      <c r="P226" s="60"/>
      <c r="Q226" s="60" t="s">
        <v>236</v>
      </c>
      <c r="R226" s="60" t="s">
        <v>237</v>
      </c>
      <c r="S226" s="60"/>
      <c r="T226" s="60" t="b">
        <f>FALSE()</f>
        <v>0</v>
      </c>
      <c r="U226" s="60" t="b">
        <f>FALSE()</f>
        <v>0</v>
      </c>
      <c r="V226" s="60">
        <v>322</v>
      </c>
      <c r="W226" s="62" t="s">
        <v>259</v>
      </c>
      <c r="X226" s="60">
        <v>429</v>
      </c>
      <c r="Y226" s="63">
        <v>2.66</v>
      </c>
      <c r="Z226" s="60" t="b">
        <f>FALSE()</f>
        <v>0</v>
      </c>
      <c r="AA226" s="60" t="b">
        <f>TRUE()</f>
        <v>1</v>
      </c>
      <c r="AB226" s="60" t="b">
        <f>FALSE()</f>
        <v>0</v>
      </c>
      <c r="AC226" s="60" t="b">
        <f>FALSE()</f>
        <v>0</v>
      </c>
      <c r="AD226" s="60" t="b">
        <f>TRUE()</f>
        <v>1</v>
      </c>
      <c r="AE226" s="60">
        <v>3</v>
      </c>
      <c r="AF226" s="64">
        <v>42.9</v>
      </c>
      <c r="AG226" s="60" t="s">
        <v>73</v>
      </c>
      <c r="AH226" s="60" t="s">
        <v>1001</v>
      </c>
      <c r="AI226">
        <f>IF(AND(OR(Company_Explorer!$B$5="All Companies",$E226=Company_Explorer!$B$5),OR(Company_Explorer!$B$6="All Platforms",$B226=Company_Explorer!$B$6),OR(Company_Explorer!$B$7="All Roles",$D226=Company_Explorer!$B$7),OR(Company_Explorer!$B$8="All Ghost Labels",$AG226=Company_Explorer!$B$8)),1,0)</f>
        <v>0</v>
      </c>
    </row>
    <row r="227" spans="1:35" ht="15" customHeight="1" x14ac:dyDescent="0.3">
      <c r="A227" s="65" t="s">
        <v>1002</v>
      </c>
      <c r="B227" s="65" t="s">
        <v>80</v>
      </c>
      <c r="C227" s="65" t="s">
        <v>258</v>
      </c>
      <c r="D227" s="65" t="s">
        <v>125</v>
      </c>
      <c r="E227" s="65" t="s">
        <v>141</v>
      </c>
      <c r="F227" s="65" t="b">
        <f>TRUE()</f>
        <v>1</v>
      </c>
      <c r="G227" s="65" t="s">
        <v>173</v>
      </c>
      <c r="H227" s="65" t="s">
        <v>827</v>
      </c>
      <c r="I227" s="66">
        <v>46198</v>
      </c>
      <c r="J227" s="66">
        <v>46210</v>
      </c>
      <c r="K227" s="65">
        <v>12</v>
      </c>
      <c r="L227" s="65" t="s">
        <v>192</v>
      </c>
      <c r="M227" s="65" t="s">
        <v>184</v>
      </c>
      <c r="N227" s="65" t="b">
        <f>FALSE()</f>
        <v>0</v>
      </c>
      <c r="O227" s="65"/>
      <c r="P227" s="65"/>
      <c r="Q227" s="65" t="s">
        <v>236</v>
      </c>
      <c r="R227" s="65" t="s">
        <v>237</v>
      </c>
      <c r="S227" s="65"/>
      <c r="T227" s="65" t="b">
        <f>FALSE()</f>
        <v>0</v>
      </c>
      <c r="U227" s="65" t="b">
        <f>FALSE()</f>
        <v>0</v>
      </c>
      <c r="V227" s="65">
        <v>322</v>
      </c>
      <c r="W227" s="67" t="s">
        <v>259</v>
      </c>
      <c r="X227" s="65">
        <v>429</v>
      </c>
      <c r="Y227" s="68">
        <v>2.66</v>
      </c>
      <c r="Z227" s="65" t="b">
        <f>FALSE()</f>
        <v>0</v>
      </c>
      <c r="AA227" s="65" t="b">
        <f>TRUE()</f>
        <v>1</v>
      </c>
      <c r="AB227" s="65" t="b">
        <f>FALSE()</f>
        <v>0</v>
      </c>
      <c r="AC227" s="65" t="b">
        <f>FALSE()</f>
        <v>0</v>
      </c>
      <c r="AD227" s="65" t="b">
        <f>TRUE()</f>
        <v>1</v>
      </c>
      <c r="AE227" s="65">
        <v>3</v>
      </c>
      <c r="AF227" s="69">
        <v>42.9</v>
      </c>
      <c r="AG227" s="65" t="s">
        <v>73</v>
      </c>
      <c r="AH227" s="65" t="s">
        <v>1003</v>
      </c>
      <c r="AI227">
        <f>IF(AND(OR(Company_Explorer!$B$5="All Companies",$E227=Company_Explorer!$B$5),OR(Company_Explorer!$B$6="All Platforms",$B227=Company_Explorer!$B$6),OR(Company_Explorer!$B$7="All Roles",$D227=Company_Explorer!$B$7),OR(Company_Explorer!$B$8="All Ghost Labels",$AG227=Company_Explorer!$B$8)),1,0)</f>
        <v>0</v>
      </c>
    </row>
    <row r="228" spans="1:35" ht="15" customHeight="1" x14ac:dyDescent="0.3">
      <c r="A228" s="60" t="s">
        <v>1004</v>
      </c>
      <c r="B228" s="60" t="s">
        <v>80</v>
      </c>
      <c r="C228" s="60" t="s">
        <v>125</v>
      </c>
      <c r="D228" s="60" t="s">
        <v>125</v>
      </c>
      <c r="E228" s="60" t="s">
        <v>970</v>
      </c>
      <c r="F228" s="60" t="b">
        <f>TRUE()</f>
        <v>1</v>
      </c>
      <c r="G228" s="60" t="s">
        <v>347</v>
      </c>
      <c r="H228" s="60" t="s">
        <v>235</v>
      </c>
      <c r="I228" s="61">
        <v>46203</v>
      </c>
      <c r="J228" s="61">
        <v>46210</v>
      </c>
      <c r="K228" s="60">
        <v>7</v>
      </c>
      <c r="L228" s="60" t="s">
        <v>192</v>
      </c>
      <c r="M228" s="60" t="s">
        <v>185</v>
      </c>
      <c r="N228" s="60" t="b">
        <f>FALSE()</f>
        <v>0</v>
      </c>
      <c r="O228" s="60"/>
      <c r="P228" s="60"/>
      <c r="Q228" s="60" t="s">
        <v>236</v>
      </c>
      <c r="R228" s="60" t="s">
        <v>237</v>
      </c>
      <c r="S228" s="60"/>
      <c r="T228" s="60" t="b">
        <f>FALSE()</f>
        <v>0</v>
      </c>
      <c r="U228" s="60" t="b">
        <f>FALSE()</f>
        <v>0</v>
      </c>
      <c r="V228" s="60">
        <v>266</v>
      </c>
      <c r="W228" s="62" t="s">
        <v>1005</v>
      </c>
      <c r="X228" s="60">
        <v>3</v>
      </c>
      <c r="Y228" s="63">
        <v>0.02</v>
      </c>
      <c r="Z228" s="60" t="b">
        <f>FALSE()</f>
        <v>0</v>
      </c>
      <c r="AA228" s="60" t="b">
        <f>TRUE()</f>
        <v>1</v>
      </c>
      <c r="AB228" s="60" t="b">
        <f>TRUE()</f>
        <v>1</v>
      </c>
      <c r="AC228" s="60" t="b">
        <f>FALSE()</f>
        <v>0</v>
      </c>
      <c r="AD228" s="60" t="b">
        <f>FALSE()</f>
        <v>0</v>
      </c>
      <c r="AE228" s="60">
        <v>2</v>
      </c>
      <c r="AF228" s="64">
        <v>28.6</v>
      </c>
      <c r="AG228" s="60" t="s">
        <v>73</v>
      </c>
      <c r="AH228" s="60" t="s">
        <v>1006</v>
      </c>
      <c r="AI228">
        <f>IF(AND(OR(Company_Explorer!$B$5="All Companies",$E228=Company_Explorer!$B$5),OR(Company_Explorer!$B$6="All Platforms",$B228=Company_Explorer!$B$6),OR(Company_Explorer!$B$7="All Roles",$D228=Company_Explorer!$B$7),OR(Company_Explorer!$B$8="All Ghost Labels",$AG228=Company_Explorer!$B$8)),1,0)</f>
        <v>0</v>
      </c>
    </row>
    <row r="229" spans="1:35" ht="15" customHeight="1" x14ac:dyDescent="0.3">
      <c r="A229" s="65" t="s">
        <v>1007</v>
      </c>
      <c r="B229" s="65" t="s">
        <v>80</v>
      </c>
      <c r="C229" s="65" t="s">
        <v>125</v>
      </c>
      <c r="D229" s="65" t="s">
        <v>125</v>
      </c>
      <c r="E229" s="65" t="s">
        <v>1008</v>
      </c>
      <c r="F229" s="65" t="b">
        <f>TRUE()</f>
        <v>1</v>
      </c>
      <c r="G229" s="65" t="s">
        <v>167</v>
      </c>
      <c r="H229" s="65" t="s">
        <v>276</v>
      </c>
      <c r="I229" s="66">
        <v>46147</v>
      </c>
      <c r="J229" s="66">
        <v>46210</v>
      </c>
      <c r="K229" s="65">
        <v>63</v>
      </c>
      <c r="L229" s="65" t="s">
        <v>192</v>
      </c>
      <c r="M229" s="65" t="s">
        <v>185</v>
      </c>
      <c r="N229" s="65" t="b">
        <f>FALSE()</f>
        <v>0</v>
      </c>
      <c r="O229" s="65"/>
      <c r="P229" s="65"/>
      <c r="Q229" s="65" t="s">
        <v>236</v>
      </c>
      <c r="R229" s="65" t="s">
        <v>237</v>
      </c>
      <c r="S229" s="65"/>
      <c r="T229" s="65" t="b">
        <f>FALSE()</f>
        <v>0</v>
      </c>
      <c r="U229" s="65" t="b">
        <f>FALSE()</f>
        <v>0</v>
      </c>
      <c r="V229" s="65">
        <v>23</v>
      </c>
      <c r="W229" s="67" t="s">
        <v>1009</v>
      </c>
      <c r="X229" s="65">
        <v>2</v>
      </c>
      <c r="Y229" s="68">
        <v>0.01</v>
      </c>
      <c r="Z229" s="65" t="b">
        <f>FALSE()</f>
        <v>0</v>
      </c>
      <c r="AA229" s="65" t="b">
        <f>TRUE()</f>
        <v>1</v>
      </c>
      <c r="AB229" s="65" t="b">
        <f>TRUE()</f>
        <v>1</v>
      </c>
      <c r="AC229" s="65" t="b">
        <f>TRUE()</f>
        <v>1</v>
      </c>
      <c r="AD229" s="65" t="b">
        <f>FALSE()</f>
        <v>0</v>
      </c>
      <c r="AE229" s="65">
        <v>3</v>
      </c>
      <c r="AF229" s="69">
        <v>42.9</v>
      </c>
      <c r="AG229" s="65" t="s">
        <v>73</v>
      </c>
      <c r="AH229" s="65" t="s">
        <v>1010</v>
      </c>
      <c r="AI229">
        <f>IF(AND(OR(Company_Explorer!$B$5="All Companies",$E229=Company_Explorer!$B$5),OR(Company_Explorer!$B$6="All Platforms",$B229=Company_Explorer!$B$6),OR(Company_Explorer!$B$7="All Roles",$D229=Company_Explorer!$B$7),OR(Company_Explorer!$B$8="All Ghost Labels",$AG229=Company_Explorer!$B$8)),1,0)</f>
        <v>0</v>
      </c>
    </row>
    <row r="230" spans="1:35" ht="15" customHeight="1" x14ac:dyDescent="0.3">
      <c r="A230" s="60" t="s">
        <v>1011</v>
      </c>
      <c r="B230" s="60" t="s">
        <v>80</v>
      </c>
      <c r="C230" s="60" t="s">
        <v>125</v>
      </c>
      <c r="D230" s="60" t="s">
        <v>125</v>
      </c>
      <c r="E230" s="60" t="s">
        <v>1012</v>
      </c>
      <c r="F230" s="60" t="b">
        <f>TRUE()</f>
        <v>1</v>
      </c>
      <c r="G230" s="60" t="s">
        <v>176</v>
      </c>
      <c r="H230" s="60" t="s">
        <v>302</v>
      </c>
      <c r="I230" s="61">
        <v>46205</v>
      </c>
      <c r="J230" s="61">
        <v>46210</v>
      </c>
      <c r="K230" s="60">
        <v>5</v>
      </c>
      <c r="L230" s="60" t="s">
        <v>192</v>
      </c>
      <c r="M230" s="60" t="s">
        <v>185</v>
      </c>
      <c r="N230" s="60" t="b">
        <f>FALSE()</f>
        <v>0</v>
      </c>
      <c r="O230" s="60"/>
      <c r="P230" s="60"/>
      <c r="Q230" s="60" t="s">
        <v>236</v>
      </c>
      <c r="R230" s="60" t="s">
        <v>237</v>
      </c>
      <c r="S230" s="60"/>
      <c r="T230" s="60" t="b">
        <f>FALSE()</f>
        <v>0</v>
      </c>
      <c r="U230" s="60" t="b">
        <f>FALSE()</f>
        <v>0</v>
      </c>
      <c r="V230" s="60">
        <v>537</v>
      </c>
      <c r="W230" s="62" t="s">
        <v>1013</v>
      </c>
      <c r="X230" s="60">
        <v>1</v>
      </c>
      <c r="Y230" s="63">
        <v>0.01</v>
      </c>
      <c r="Z230" s="60" t="b">
        <f>FALSE()</f>
        <v>0</v>
      </c>
      <c r="AA230" s="60" t="b">
        <f>TRUE()</f>
        <v>1</v>
      </c>
      <c r="AB230" s="60" t="b">
        <f>FALSE()</f>
        <v>0</v>
      </c>
      <c r="AC230" s="60" t="b">
        <f>FALSE()</f>
        <v>0</v>
      </c>
      <c r="AD230" s="60" t="b">
        <f>FALSE()</f>
        <v>0</v>
      </c>
      <c r="AE230" s="60">
        <v>1</v>
      </c>
      <c r="AF230" s="64">
        <v>14.3</v>
      </c>
      <c r="AG230" s="60" t="s">
        <v>74</v>
      </c>
      <c r="AH230" s="60" t="s">
        <v>1014</v>
      </c>
      <c r="AI230">
        <f>IF(AND(OR(Company_Explorer!$B$5="All Companies",$E230=Company_Explorer!$B$5),OR(Company_Explorer!$B$6="All Platforms",$B230=Company_Explorer!$B$6),OR(Company_Explorer!$B$7="All Roles",$D230=Company_Explorer!$B$7),OR(Company_Explorer!$B$8="All Ghost Labels",$AG230=Company_Explorer!$B$8)),1,0)</f>
        <v>0</v>
      </c>
    </row>
    <row r="231" spans="1:35" ht="15" customHeight="1" x14ac:dyDescent="0.3">
      <c r="A231" s="65" t="s">
        <v>1015</v>
      </c>
      <c r="B231" s="65" t="s">
        <v>80</v>
      </c>
      <c r="C231" s="65" t="s">
        <v>1016</v>
      </c>
      <c r="D231" s="65" t="s">
        <v>131</v>
      </c>
      <c r="E231" s="65" t="s">
        <v>1017</v>
      </c>
      <c r="F231" s="65" t="b">
        <f>TRUE()</f>
        <v>1</v>
      </c>
      <c r="G231" s="65" t="s">
        <v>166</v>
      </c>
      <c r="H231" s="65" t="s">
        <v>235</v>
      </c>
      <c r="I231" s="66">
        <v>45822</v>
      </c>
      <c r="J231" s="66">
        <v>46210</v>
      </c>
      <c r="K231" s="65">
        <v>388</v>
      </c>
      <c r="L231" s="65" t="s">
        <v>192</v>
      </c>
      <c r="M231" s="65" t="s">
        <v>185</v>
      </c>
      <c r="N231" s="65" t="b">
        <f>TRUE()</f>
        <v>1</v>
      </c>
      <c r="O231" s="71">
        <v>1000000</v>
      </c>
      <c r="P231" s="71">
        <v>2000000</v>
      </c>
      <c r="Q231" s="65" t="s">
        <v>332</v>
      </c>
      <c r="R231" s="65" t="s">
        <v>237</v>
      </c>
      <c r="S231" s="65"/>
      <c r="T231" s="65" t="b">
        <f>FALSE()</f>
        <v>0</v>
      </c>
      <c r="U231" s="65" t="b">
        <f>FALSE()</f>
        <v>0</v>
      </c>
      <c r="V231" s="65">
        <v>269</v>
      </c>
      <c r="W231" s="67" t="s">
        <v>1018</v>
      </c>
      <c r="X231" s="65">
        <v>1</v>
      </c>
      <c r="Y231" s="68">
        <v>0.01</v>
      </c>
      <c r="Z231" s="65" t="b">
        <f>FALSE()</f>
        <v>0</v>
      </c>
      <c r="AA231" s="65" t="b">
        <f>FALSE()</f>
        <v>0</v>
      </c>
      <c r="AB231" s="65" t="b">
        <f>TRUE()</f>
        <v>1</v>
      </c>
      <c r="AC231" s="65" t="b">
        <f>TRUE()</f>
        <v>1</v>
      </c>
      <c r="AD231" s="65" t="b">
        <f>FALSE()</f>
        <v>0</v>
      </c>
      <c r="AE231" s="65">
        <v>2</v>
      </c>
      <c r="AF231" s="69">
        <v>28.6</v>
      </c>
      <c r="AG231" s="65" t="s">
        <v>73</v>
      </c>
      <c r="AH231" s="65" t="s">
        <v>1019</v>
      </c>
      <c r="AI231">
        <f>IF(AND(OR(Company_Explorer!$B$5="All Companies",$E231=Company_Explorer!$B$5),OR(Company_Explorer!$B$6="All Platforms",$B231=Company_Explorer!$B$6),OR(Company_Explorer!$B$7="All Roles",$D231=Company_Explorer!$B$7),OR(Company_Explorer!$B$8="All Ghost Labels",$AG231=Company_Explorer!$B$8)),1,0)</f>
        <v>0</v>
      </c>
    </row>
    <row r="232" spans="1:35" ht="15" customHeight="1" x14ac:dyDescent="0.3">
      <c r="A232" s="60" t="s">
        <v>1020</v>
      </c>
      <c r="B232" s="60" t="s">
        <v>80</v>
      </c>
      <c r="C232" s="60" t="s">
        <v>258</v>
      </c>
      <c r="D232" s="60" t="s">
        <v>125</v>
      </c>
      <c r="E232" s="60" t="s">
        <v>141</v>
      </c>
      <c r="F232" s="60" t="b">
        <f>TRUE()</f>
        <v>1</v>
      </c>
      <c r="G232" s="60" t="s">
        <v>173</v>
      </c>
      <c r="H232" s="60" t="s">
        <v>827</v>
      </c>
      <c r="I232" s="61">
        <v>46198</v>
      </c>
      <c r="J232" s="61">
        <v>46210</v>
      </c>
      <c r="K232" s="60">
        <v>12</v>
      </c>
      <c r="L232" s="60" t="s">
        <v>192</v>
      </c>
      <c r="M232" s="60" t="s">
        <v>184</v>
      </c>
      <c r="N232" s="60" t="b">
        <f>FALSE()</f>
        <v>0</v>
      </c>
      <c r="O232" s="60"/>
      <c r="P232" s="60"/>
      <c r="Q232" s="60" t="s">
        <v>236</v>
      </c>
      <c r="R232" s="60" t="s">
        <v>237</v>
      </c>
      <c r="S232" s="60"/>
      <c r="T232" s="60" t="b">
        <f>FALSE()</f>
        <v>0</v>
      </c>
      <c r="U232" s="60" t="b">
        <f>FALSE()</f>
        <v>0</v>
      </c>
      <c r="V232" s="60">
        <v>322</v>
      </c>
      <c r="W232" s="62" t="s">
        <v>259</v>
      </c>
      <c r="X232" s="60">
        <v>429</v>
      </c>
      <c r="Y232" s="63">
        <v>2.66</v>
      </c>
      <c r="Z232" s="60" t="b">
        <f>FALSE()</f>
        <v>0</v>
      </c>
      <c r="AA232" s="60" t="b">
        <f>TRUE()</f>
        <v>1</v>
      </c>
      <c r="AB232" s="60" t="b">
        <f>FALSE()</f>
        <v>0</v>
      </c>
      <c r="AC232" s="60" t="b">
        <f>FALSE()</f>
        <v>0</v>
      </c>
      <c r="AD232" s="60" t="b">
        <f>TRUE()</f>
        <v>1</v>
      </c>
      <c r="AE232" s="60">
        <v>3</v>
      </c>
      <c r="AF232" s="64">
        <v>42.9</v>
      </c>
      <c r="AG232" s="60" t="s">
        <v>73</v>
      </c>
      <c r="AH232" s="60" t="s">
        <v>1021</v>
      </c>
      <c r="AI232">
        <f>IF(AND(OR(Company_Explorer!$B$5="All Companies",$E232=Company_Explorer!$B$5),OR(Company_Explorer!$B$6="All Platforms",$B232=Company_Explorer!$B$6),OR(Company_Explorer!$B$7="All Roles",$D232=Company_Explorer!$B$7),OR(Company_Explorer!$B$8="All Ghost Labels",$AG232=Company_Explorer!$B$8)),1,0)</f>
        <v>0</v>
      </c>
    </row>
    <row r="233" spans="1:35" ht="15" customHeight="1" x14ac:dyDescent="0.3">
      <c r="A233" s="65" t="s">
        <v>1022</v>
      </c>
      <c r="B233" s="65" t="s">
        <v>80</v>
      </c>
      <c r="C233" s="65" t="s">
        <v>125</v>
      </c>
      <c r="D233" s="65" t="s">
        <v>125</v>
      </c>
      <c r="E233" s="65" t="s">
        <v>159</v>
      </c>
      <c r="F233" s="65" t="b">
        <f>TRUE()</f>
        <v>1</v>
      </c>
      <c r="G233" s="65" t="s">
        <v>166</v>
      </c>
      <c r="H233" s="65" t="s">
        <v>235</v>
      </c>
      <c r="I233" s="66">
        <v>46209</v>
      </c>
      <c r="J233" s="66">
        <v>46210</v>
      </c>
      <c r="K233" s="65">
        <v>1</v>
      </c>
      <c r="L233" s="65" t="s">
        <v>192</v>
      </c>
      <c r="M233" s="65" t="s">
        <v>185</v>
      </c>
      <c r="N233" s="65" t="b">
        <f>FALSE()</f>
        <v>0</v>
      </c>
      <c r="O233" s="65"/>
      <c r="P233" s="65"/>
      <c r="Q233" s="65" t="s">
        <v>236</v>
      </c>
      <c r="R233" s="65" t="s">
        <v>237</v>
      </c>
      <c r="S233" s="65"/>
      <c r="T233" s="65" t="b">
        <f>FALSE()</f>
        <v>0</v>
      </c>
      <c r="U233" s="65" t="b">
        <f>FALSE()</f>
        <v>0</v>
      </c>
      <c r="V233" s="65">
        <v>496</v>
      </c>
      <c r="W233" s="67" t="s">
        <v>1023</v>
      </c>
      <c r="X233" s="65">
        <v>11</v>
      </c>
      <c r="Y233" s="68">
        <v>7.0000000000000007E-2</v>
      </c>
      <c r="Z233" s="65" t="b">
        <f>FALSE()</f>
        <v>0</v>
      </c>
      <c r="AA233" s="65" t="b">
        <f>TRUE()</f>
        <v>1</v>
      </c>
      <c r="AB233" s="65" t="b">
        <f>FALSE()</f>
        <v>0</v>
      </c>
      <c r="AC233" s="65" t="b">
        <f>FALSE()</f>
        <v>0</v>
      </c>
      <c r="AD233" s="65" t="b">
        <f>FALSE()</f>
        <v>0</v>
      </c>
      <c r="AE233" s="65">
        <v>1</v>
      </c>
      <c r="AF233" s="69">
        <v>14.3</v>
      </c>
      <c r="AG233" s="65" t="s">
        <v>74</v>
      </c>
      <c r="AH233" s="65" t="s">
        <v>1024</v>
      </c>
      <c r="AI233">
        <f>IF(AND(OR(Company_Explorer!$B$5="All Companies",$E233=Company_Explorer!$B$5),OR(Company_Explorer!$B$6="All Platforms",$B233=Company_Explorer!$B$6),OR(Company_Explorer!$B$7="All Roles",$D233=Company_Explorer!$B$7),OR(Company_Explorer!$B$8="All Ghost Labels",$AG233=Company_Explorer!$B$8)),1,0)</f>
        <v>0</v>
      </c>
    </row>
    <row r="234" spans="1:35" ht="15" customHeight="1" x14ac:dyDescent="0.3">
      <c r="A234" s="60" t="s">
        <v>1025</v>
      </c>
      <c r="B234" s="60" t="s">
        <v>80</v>
      </c>
      <c r="C234" s="60" t="s">
        <v>125</v>
      </c>
      <c r="D234" s="60" t="s">
        <v>125</v>
      </c>
      <c r="E234" s="60" t="s">
        <v>159</v>
      </c>
      <c r="F234" s="60" t="b">
        <f>TRUE()</f>
        <v>1</v>
      </c>
      <c r="G234" s="60" t="s">
        <v>166</v>
      </c>
      <c r="H234" s="60" t="s">
        <v>235</v>
      </c>
      <c r="I234" s="61">
        <v>46201</v>
      </c>
      <c r="J234" s="61">
        <v>46210</v>
      </c>
      <c r="K234" s="60">
        <v>9</v>
      </c>
      <c r="L234" s="60" t="s">
        <v>192</v>
      </c>
      <c r="M234" s="60" t="s">
        <v>185</v>
      </c>
      <c r="N234" s="60" t="b">
        <f>FALSE()</f>
        <v>0</v>
      </c>
      <c r="O234" s="60"/>
      <c r="P234" s="60"/>
      <c r="Q234" s="60" t="s">
        <v>236</v>
      </c>
      <c r="R234" s="60" t="s">
        <v>237</v>
      </c>
      <c r="S234" s="60"/>
      <c r="T234" s="60" t="b">
        <f>FALSE()</f>
        <v>0</v>
      </c>
      <c r="U234" s="60" t="b">
        <f>FALSE()</f>
        <v>0</v>
      </c>
      <c r="V234" s="60">
        <v>372</v>
      </c>
      <c r="W234" s="62" t="s">
        <v>1026</v>
      </c>
      <c r="X234" s="60">
        <v>11</v>
      </c>
      <c r="Y234" s="63">
        <v>7.0000000000000007E-2</v>
      </c>
      <c r="Z234" s="60" t="b">
        <f>FALSE()</f>
        <v>0</v>
      </c>
      <c r="AA234" s="60" t="b">
        <f>TRUE()</f>
        <v>1</v>
      </c>
      <c r="AB234" s="60" t="b">
        <f>FALSE()</f>
        <v>0</v>
      </c>
      <c r="AC234" s="60" t="b">
        <f>FALSE()</f>
        <v>0</v>
      </c>
      <c r="AD234" s="60" t="b">
        <f>FALSE()</f>
        <v>0</v>
      </c>
      <c r="AE234" s="60">
        <v>1</v>
      </c>
      <c r="AF234" s="64">
        <v>14.3</v>
      </c>
      <c r="AG234" s="60" t="s">
        <v>74</v>
      </c>
      <c r="AH234" s="60" t="s">
        <v>1027</v>
      </c>
      <c r="AI234">
        <f>IF(AND(OR(Company_Explorer!$B$5="All Companies",$E234=Company_Explorer!$B$5),OR(Company_Explorer!$B$6="All Platforms",$B234=Company_Explorer!$B$6),OR(Company_Explorer!$B$7="All Roles",$D234=Company_Explorer!$B$7),OR(Company_Explorer!$B$8="All Ghost Labels",$AG234=Company_Explorer!$B$8)),1,0)</f>
        <v>0</v>
      </c>
    </row>
    <row r="235" spans="1:35" ht="15" customHeight="1" x14ac:dyDescent="0.3">
      <c r="A235" s="65" t="s">
        <v>1028</v>
      </c>
      <c r="B235" s="65" t="s">
        <v>80</v>
      </c>
      <c r="C235" s="65" t="s">
        <v>315</v>
      </c>
      <c r="D235" s="65" t="s">
        <v>126</v>
      </c>
      <c r="E235" s="65" t="s">
        <v>155</v>
      </c>
      <c r="F235" s="65" t="b">
        <f>TRUE()</f>
        <v>1</v>
      </c>
      <c r="G235" s="65" t="s">
        <v>166</v>
      </c>
      <c r="H235" s="65" t="s">
        <v>235</v>
      </c>
      <c r="I235" s="66">
        <v>46193</v>
      </c>
      <c r="J235" s="66">
        <v>46210</v>
      </c>
      <c r="K235" s="65">
        <v>17</v>
      </c>
      <c r="L235" s="65" t="s">
        <v>192</v>
      </c>
      <c r="M235" s="65" t="s">
        <v>184</v>
      </c>
      <c r="N235" s="65" t="b">
        <f>FALSE()</f>
        <v>0</v>
      </c>
      <c r="O235" s="65"/>
      <c r="P235" s="65"/>
      <c r="Q235" s="65" t="s">
        <v>236</v>
      </c>
      <c r="R235" s="65" t="s">
        <v>237</v>
      </c>
      <c r="S235" s="65"/>
      <c r="T235" s="65" t="b">
        <f>FALSE()</f>
        <v>0</v>
      </c>
      <c r="U235" s="65" t="b">
        <f>FALSE()</f>
        <v>0</v>
      </c>
      <c r="V235" s="65">
        <v>354</v>
      </c>
      <c r="W235" s="67" t="s">
        <v>1029</v>
      </c>
      <c r="X235" s="65">
        <v>16</v>
      </c>
      <c r="Y235" s="68">
        <v>0.1</v>
      </c>
      <c r="Z235" s="65" t="b">
        <f>FALSE()</f>
        <v>0</v>
      </c>
      <c r="AA235" s="65" t="b">
        <f>TRUE()</f>
        <v>1</v>
      </c>
      <c r="AB235" s="65" t="b">
        <f>FALSE()</f>
        <v>0</v>
      </c>
      <c r="AC235" s="65" t="b">
        <f>FALSE()</f>
        <v>0</v>
      </c>
      <c r="AD235" s="65" t="b">
        <f>FALSE()</f>
        <v>0</v>
      </c>
      <c r="AE235" s="65">
        <v>1</v>
      </c>
      <c r="AF235" s="69">
        <v>14.3</v>
      </c>
      <c r="AG235" s="65" t="s">
        <v>74</v>
      </c>
      <c r="AH235" s="65" t="s">
        <v>1030</v>
      </c>
      <c r="AI235">
        <f>IF(AND(OR(Company_Explorer!$B$5="All Companies",$E235=Company_Explorer!$B$5),OR(Company_Explorer!$B$6="All Platforms",$B235=Company_Explorer!$B$6),OR(Company_Explorer!$B$7="All Roles",$D235=Company_Explorer!$B$7),OR(Company_Explorer!$B$8="All Ghost Labels",$AG235=Company_Explorer!$B$8)),1,0)</f>
        <v>0</v>
      </c>
    </row>
    <row r="236" spans="1:35" ht="15" customHeight="1" x14ac:dyDescent="0.3">
      <c r="A236" s="60" t="s">
        <v>1031</v>
      </c>
      <c r="B236" s="60" t="s">
        <v>80</v>
      </c>
      <c r="C236" s="60" t="s">
        <v>258</v>
      </c>
      <c r="D236" s="60" t="s">
        <v>125</v>
      </c>
      <c r="E236" s="60" t="s">
        <v>141</v>
      </c>
      <c r="F236" s="60" t="b">
        <f>TRUE()</f>
        <v>1</v>
      </c>
      <c r="G236" s="60" t="s">
        <v>173</v>
      </c>
      <c r="H236" s="60" t="s">
        <v>827</v>
      </c>
      <c r="I236" s="61">
        <v>46198</v>
      </c>
      <c r="J236" s="61">
        <v>46210</v>
      </c>
      <c r="K236" s="60">
        <v>12</v>
      </c>
      <c r="L236" s="60" t="s">
        <v>192</v>
      </c>
      <c r="M236" s="60" t="s">
        <v>184</v>
      </c>
      <c r="N236" s="60" t="b">
        <f>FALSE()</f>
        <v>0</v>
      </c>
      <c r="O236" s="60"/>
      <c r="P236" s="60"/>
      <c r="Q236" s="60" t="s">
        <v>236</v>
      </c>
      <c r="R236" s="60" t="s">
        <v>237</v>
      </c>
      <c r="S236" s="60"/>
      <c r="T236" s="60" t="b">
        <f>FALSE()</f>
        <v>0</v>
      </c>
      <c r="U236" s="60" t="b">
        <f>FALSE()</f>
        <v>0</v>
      </c>
      <c r="V236" s="60">
        <v>751</v>
      </c>
      <c r="W236" s="62" t="s">
        <v>259</v>
      </c>
      <c r="X236" s="60">
        <v>429</v>
      </c>
      <c r="Y236" s="63">
        <v>2.66</v>
      </c>
      <c r="Z236" s="60" t="b">
        <f>FALSE()</f>
        <v>0</v>
      </c>
      <c r="AA236" s="60" t="b">
        <f>TRUE()</f>
        <v>1</v>
      </c>
      <c r="AB236" s="60" t="b">
        <f>FALSE()</f>
        <v>0</v>
      </c>
      <c r="AC236" s="60" t="b">
        <f>FALSE()</f>
        <v>0</v>
      </c>
      <c r="AD236" s="60" t="b">
        <f>TRUE()</f>
        <v>1</v>
      </c>
      <c r="AE236" s="60">
        <v>3</v>
      </c>
      <c r="AF236" s="64">
        <v>42.9</v>
      </c>
      <c r="AG236" s="60" t="s">
        <v>73</v>
      </c>
      <c r="AH236" s="60" t="s">
        <v>1032</v>
      </c>
      <c r="AI236">
        <f>IF(AND(OR(Company_Explorer!$B$5="All Companies",$E236=Company_Explorer!$B$5),OR(Company_Explorer!$B$6="All Platforms",$B236=Company_Explorer!$B$6),OR(Company_Explorer!$B$7="All Roles",$D236=Company_Explorer!$B$7),OR(Company_Explorer!$B$8="All Ghost Labels",$AG236=Company_Explorer!$B$8)),1,0)</f>
        <v>0</v>
      </c>
    </row>
    <row r="237" spans="1:35" ht="15" customHeight="1" x14ac:dyDescent="0.3">
      <c r="A237" s="65" t="s">
        <v>1033</v>
      </c>
      <c r="B237" s="65" t="s">
        <v>80</v>
      </c>
      <c r="C237" s="65" t="s">
        <v>1034</v>
      </c>
      <c r="D237" s="65" t="s">
        <v>125</v>
      </c>
      <c r="E237" s="65" t="s">
        <v>247</v>
      </c>
      <c r="F237" s="65" t="b">
        <f>TRUE()</f>
        <v>1</v>
      </c>
      <c r="G237" s="65" t="s">
        <v>166</v>
      </c>
      <c r="H237" s="65" t="s">
        <v>235</v>
      </c>
      <c r="I237" s="66">
        <v>46201</v>
      </c>
      <c r="J237" s="66">
        <v>46210</v>
      </c>
      <c r="K237" s="65">
        <v>9</v>
      </c>
      <c r="L237" s="65" t="s">
        <v>192</v>
      </c>
      <c r="M237" s="65" t="s">
        <v>185</v>
      </c>
      <c r="N237" s="65" t="b">
        <f>FALSE()</f>
        <v>0</v>
      </c>
      <c r="O237" s="65"/>
      <c r="P237" s="65"/>
      <c r="Q237" s="65" t="s">
        <v>236</v>
      </c>
      <c r="R237" s="65" t="s">
        <v>237</v>
      </c>
      <c r="S237" s="65"/>
      <c r="T237" s="65" t="b">
        <f>FALSE()</f>
        <v>0</v>
      </c>
      <c r="U237" s="65" t="b">
        <f>FALSE()</f>
        <v>0</v>
      </c>
      <c r="V237" s="65">
        <v>1046</v>
      </c>
      <c r="W237" s="67" t="s">
        <v>1035</v>
      </c>
      <c r="X237" s="65">
        <v>9</v>
      </c>
      <c r="Y237" s="68">
        <v>0.06</v>
      </c>
      <c r="Z237" s="65" t="b">
        <f>FALSE()</f>
        <v>0</v>
      </c>
      <c r="AA237" s="65" t="b">
        <f>TRUE()</f>
        <v>1</v>
      </c>
      <c r="AB237" s="65" t="b">
        <f>FALSE()</f>
        <v>0</v>
      </c>
      <c r="AC237" s="65" t="b">
        <f>FALSE()</f>
        <v>0</v>
      </c>
      <c r="AD237" s="65" t="b">
        <f>FALSE()</f>
        <v>0</v>
      </c>
      <c r="AE237" s="65">
        <v>1</v>
      </c>
      <c r="AF237" s="69">
        <v>14.3</v>
      </c>
      <c r="AG237" s="65" t="s">
        <v>74</v>
      </c>
      <c r="AH237" s="65" t="s">
        <v>1036</v>
      </c>
      <c r="AI237">
        <f>IF(AND(OR(Company_Explorer!$B$5="All Companies",$E237=Company_Explorer!$B$5),OR(Company_Explorer!$B$6="All Platforms",$B237=Company_Explorer!$B$6),OR(Company_Explorer!$B$7="All Roles",$D237=Company_Explorer!$B$7),OR(Company_Explorer!$B$8="All Ghost Labels",$AG237=Company_Explorer!$B$8)),1,0)</f>
        <v>0</v>
      </c>
    </row>
    <row r="238" spans="1:35" ht="15" customHeight="1" x14ac:dyDescent="0.3">
      <c r="A238" s="60" t="s">
        <v>1037</v>
      </c>
      <c r="B238" s="60" t="s">
        <v>80</v>
      </c>
      <c r="C238" s="60" t="s">
        <v>1038</v>
      </c>
      <c r="D238" s="60" t="s">
        <v>125</v>
      </c>
      <c r="E238" s="60" t="s">
        <v>1039</v>
      </c>
      <c r="F238" s="60" t="b">
        <f>TRUE()</f>
        <v>1</v>
      </c>
      <c r="G238" s="60" t="s">
        <v>166</v>
      </c>
      <c r="H238" s="60" t="s">
        <v>235</v>
      </c>
      <c r="I238" s="61">
        <v>46192</v>
      </c>
      <c r="J238" s="61">
        <v>46210</v>
      </c>
      <c r="K238" s="60">
        <v>18</v>
      </c>
      <c r="L238" s="60" t="s">
        <v>192</v>
      </c>
      <c r="M238" s="60" t="s">
        <v>186</v>
      </c>
      <c r="N238" s="60" t="b">
        <f>FALSE()</f>
        <v>0</v>
      </c>
      <c r="O238" s="60"/>
      <c r="P238" s="60"/>
      <c r="Q238" s="60" t="s">
        <v>236</v>
      </c>
      <c r="R238" s="60" t="s">
        <v>237</v>
      </c>
      <c r="S238" s="60"/>
      <c r="T238" s="60" t="b">
        <f>FALSE()</f>
        <v>0</v>
      </c>
      <c r="U238" s="60" t="b">
        <f>FALSE()</f>
        <v>0</v>
      </c>
      <c r="V238" s="60">
        <v>316</v>
      </c>
      <c r="W238" s="62" t="s">
        <v>1040</v>
      </c>
      <c r="X238" s="60">
        <v>1</v>
      </c>
      <c r="Y238" s="63">
        <v>0.01</v>
      </c>
      <c r="Z238" s="60" t="b">
        <f>FALSE()</f>
        <v>0</v>
      </c>
      <c r="AA238" s="60" t="b">
        <f>TRUE()</f>
        <v>1</v>
      </c>
      <c r="AB238" s="60" t="b">
        <f>FALSE()</f>
        <v>0</v>
      </c>
      <c r="AC238" s="60" t="b">
        <f>FALSE()</f>
        <v>0</v>
      </c>
      <c r="AD238" s="60" t="b">
        <f>FALSE()</f>
        <v>0</v>
      </c>
      <c r="AE238" s="60">
        <v>1</v>
      </c>
      <c r="AF238" s="64">
        <v>14.3</v>
      </c>
      <c r="AG238" s="60" t="s">
        <v>74</v>
      </c>
      <c r="AH238" s="60" t="s">
        <v>1041</v>
      </c>
      <c r="AI238">
        <f>IF(AND(OR(Company_Explorer!$B$5="All Companies",$E238=Company_Explorer!$B$5),OR(Company_Explorer!$B$6="All Platforms",$B238=Company_Explorer!$B$6),OR(Company_Explorer!$B$7="All Roles",$D238=Company_Explorer!$B$7),OR(Company_Explorer!$B$8="All Ghost Labels",$AG238=Company_Explorer!$B$8)),1,0)</f>
        <v>0</v>
      </c>
    </row>
    <row r="239" spans="1:35" ht="15" customHeight="1" x14ac:dyDescent="0.3">
      <c r="A239" s="65" t="s">
        <v>1042</v>
      </c>
      <c r="B239" s="65" t="s">
        <v>80</v>
      </c>
      <c r="C239" s="65" t="s">
        <v>258</v>
      </c>
      <c r="D239" s="65" t="s">
        <v>125</v>
      </c>
      <c r="E239" s="65" t="s">
        <v>141</v>
      </c>
      <c r="F239" s="65" t="b">
        <f>TRUE()</f>
        <v>1</v>
      </c>
      <c r="G239" s="65" t="s">
        <v>173</v>
      </c>
      <c r="H239" s="65" t="s">
        <v>827</v>
      </c>
      <c r="I239" s="66">
        <v>46198</v>
      </c>
      <c r="J239" s="66">
        <v>46210</v>
      </c>
      <c r="K239" s="65">
        <v>12</v>
      </c>
      <c r="L239" s="65" t="s">
        <v>192</v>
      </c>
      <c r="M239" s="65" t="s">
        <v>184</v>
      </c>
      <c r="N239" s="65" t="b">
        <f>FALSE()</f>
        <v>0</v>
      </c>
      <c r="O239" s="65"/>
      <c r="P239" s="65"/>
      <c r="Q239" s="65" t="s">
        <v>236</v>
      </c>
      <c r="R239" s="65" t="s">
        <v>237</v>
      </c>
      <c r="S239" s="65"/>
      <c r="T239" s="65" t="b">
        <f>FALSE()</f>
        <v>0</v>
      </c>
      <c r="U239" s="65" t="b">
        <f>FALSE()</f>
        <v>0</v>
      </c>
      <c r="V239" s="65">
        <v>322</v>
      </c>
      <c r="W239" s="67" t="s">
        <v>259</v>
      </c>
      <c r="X239" s="65">
        <v>429</v>
      </c>
      <c r="Y239" s="68">
        <v>2.66</v>
      </c>
      <c r="Z239" s="65" t="b">
        <f>FALSE()</f>
        <v>0</v>
      </c>
      <c r="AA239" s="65" t="b">
        <f>TRUE()</f>
        <v>1</v>
      </c>
      <c r="AB239" s="65" t="b">
        <f>FALSE()</f>
        <v>0</v>
      </c>
      <c r="AC239" s="65" t="b">
        <f>FALSE()</f>
        <v>0</v>
      </c>
      <c r="AD239" s="65" t="b">
        <f>TRUE()</f>
        <v>1</v>
      </c>
      <c r="AE239" s="65">
        <v>3</v>
      </c>
      <c r="AF239" s="69">
        <v>42.9</v>
      </c>
      <c r="AG239" s="65" t="s">
        <v>73</v>
      </c>
      <c r="AH239" s="65" t="s">
        <v>1043</v>
      </c>
      <c r="AI239">
        <f>IF(AND(OR(Company_Explorer!$B$5="All Companies",$E239=Company_Explorer!$B$5),OR(Company_Explorer!$B$6="All Platforms",$B239=Company_Explorer!$B$6),OR(Company_Explorer!$B$7="All Roles",$D239=Company_Explorer!$B$7),OR(Company_Explorer!$B$8="All Ghost Labels",$AG239=Company_Explorer!$B$8)),1,0)</f>
        <v>0</v>
      </c>
    </row>
    <row r="240" spans="1:35" ht="15" customHeight="1" x14ac:dyDescent="0.3">
      <c r="A240" s="60" t="s">
        <v>1044</v>
      </c>
      <c r="B240" s="60" t="s">
        <v>80</v>
      </c>
      <c r="C240" s="60" t="s">
        <v>258</v>
      </c>
      <c r="D240" s="60" t="s">
        <v>125</v>
      </c>
      <c r="E240" s="60" t="s">
        <v>141</v>
      </c>
      <c r="F240" s="60" t="b">
        <f>TRUE()</f>
        <v>1</v>
      </c>
      <c r="G240" s="60" t="s">
        <v>173</v>
      </c>
      <c r="H240" s="60" t="s">
        <v>827</v>
      </c>
      <c r="I240" s="61">
        <v>46198</v>
      </c>
      <c r="J240" s="61">
        <v>46210</v>
      </c>
      <c r="K240" s="60">
        <v>12</v>
      </c>
      <c r="L240" s="60" t="s">
        <v>192</v>
      </c>
      <c r="M240" s="60" t="s">
        <v>184</v>
      </c>
      <c r="N240" s="60" t="b">
        <f>FALSE()</f>
        <v>0</v>
      </c>
      <c r="O240" s="60"/>
      <c r="P240" s="60"/>
      <c r="Q240" s="60" t="s">
        <v>236</v>
      </c>
      <c r="R240" s="60" t="s">
        <v>237</v>
      </c>
      <c r="S240" s="60"/>
      <c r="T240" s="60" t="b">
        <f>FALSE()</f>
        <v>0</v>
      </c>
      <c r="U240" s="60" t="b">
        <f>FALSE()</f>
        <v>0</v>
      </c>
      <c r="V240" s="60">
        <v>322</v>
      </c>
      <c r="W240" s="62" t="s">
        <v>259</v>
      </c>
      <c r="X240" s="60">
        <v>429</v>
      </c>
      <c r="Y240" s="63">
        <v>2.66</v>
      </c>
      <c r="Z240" s="60" t="b">
        <f>FALSE()</f>
        <v>0</v>
      </c>
      <c r="AA240" s="60" t="b">
        <f>TRUE()</f>
        <v>1</v>
      </c>
      <c r="AB240" s="60" t="b">
        <f>FALSE()</f>
        <v>0</v>
      </c>
      <c r="AC240" s="60" t="b">
        <f>FALSE()</f>
        <v>0</v>
      </c>
      <c r="AD240" s="60" t="b">
        <f>TRUE()</f>
        <v>1</v>
      </c>
      <c r="AE240" s="60">
        <v>3</v>
      </c>
      <c r="AF240" s="64">
        <v>42.9</v>
      </c>
      <c r="AG240" s="60" t="s">
        <v>73</v>
      </c>
      <c r="AH240" s="60" t="s">
        <v>1045</v>
      </c>
      <c r="AI240">
        <f>IF(AND(OR(Company_Explorer!$B$5="All Companies",$E240=Company_Explorer!$B$5),OR(Company_Explorer!$B$6="All Platforms",$B240=Company_Explorer!$B$6),OR(Company_Explorer!$B$7="All Roles",$D240=Company_Explorer!$B$7),OR(Company_Explorer!$B$8="All Ghost Labels",$AG240=Company_Explorer!$B$8)),1,0)</f>
        <v>0</v>
      </c>
    </row>
    <row r="241" spans="1:35" ht="15" customHeight="1" x14ac:dyDescent="0.3">
      <c r="A241" s="65" t="s">
        <v>1046</v>
      </c>
      <c r="B241" s="65" t="s">
        <v>80</v>
      </c>
      <c r="C241" s="65" t="s">
        <v>1047</v>
      </c>
      <c r="D241" s="65" t="s">
        <v>126</v>
      </c>
      <c r="E241" s="65" t="s">
        <v>1048</v>
      </c>
      <c r="F241" s="65" t="b">
        <f>TRUE()</f>
        <v>1</v>
      </c>
      <c r="G241" s="65" t="s">
        <v>1049</v>
      </c>
      <c r="H241" s="65" t="s">
        <v>270</v>
      </c>
      <c r="I241" s="66">
        <v>46205</v>
      </c>
      <c r="J241" s="66">
        <v>46210</v>
      </c>
      <c r="K241" s="65">
        <v>5</v>
      </c>
      <c r="L241" s="65" t="s">
        <v>192</v>
      </c>
      <c r="M241" s="65" t="s">
        <v>187</v>
      </c>
      <c r="N241" s="65" t="b">
        <f>FALSE()</f>
        <v>0</v>
      </c>
      <c r="O241" s="65"/>
      <c r="P241" s="65"/>
      <c r="Q241" s="65" t="s">
        <v>236</v>
      </c>
      <c r="R241" s="65" t="s">
        <v>237</v>
      </c>
      <c r="S241" s="65"/>
      <c r="T241" s="65" t="b">
        <f>FALSE()</f>
        <v>0</v>
      </c>
      <c r="U241" s="65" t="b">
        <f>FALSE()</f>
        <v>0</v>
      </c>
      <c r="V241" s="65">
        <v>775</v>
      </c>
      <c r="W241" s="67" t="s">
        <v>1050</v>
      </c>
      <c r="X241" s="65">
        <v>1</v>
      </c>
      <c r="Y241" s="68">
        <v>0.01</v>
      </c>
      <c r="Z241" s="65" t="b">
        <f>FALSE()</f>
        <v>0</v>
      </c>
      <c r="AA241" s="65" t="b">
        <f>TRUE()</f>
        <v>1</v>
      </c>
      <c r="AB241" s="65" t="b">
        <f>FALSE()</f>
        <v>0</v>
      </c>
      <c r="AC241" s="65" t="b">
        <f>FALSE()</f>
        <v>0</v>
      </c>
      <c r="AD241" s="65" t="b">
        <f>FALSE()</f>
        <v>0</v>
      </c>
      <c r="AE241" s="65">
        <v>1</v>
      </c>
      <c r="AF241" s="69">
        <v>14.3</v>
      </c>
      <c r="AG241" s="65" t="s">
        <v>74</v>
      </c>
      <c r="AH241" s="65" t="s">
        <v>1051</v>
      </c>
      <c r="AI241">
        <f>IF(AND(OR(Company_Explorer!$B$5="All Companies",$E241=Company_Explorer!$B$5),OR(Company_Explorer!$B$6="All Platforms",$B241=Company_Explorer!$B$6),OR(Company_Explorer!$B$7="All Roles",$D241=Company_Explorer!$B$7),OR(Company_Explorer!$B$8="All Ghost Labels",$AG241=Company_Explorer!$B$8)),1,0)</f>
        <v>0</v>
      </c>
    </row>
    <row r="242" spans="1:35" ht="15" customHeight="1" x14ac:dyDescent="0.3">
      <c r="A242" s="60" t="s">
        <v>1052</v>
      </c>
      <c r="B242" s="60" t="s">
        <v>80</v>
      </c>
      <c r="C242" s="60" t="s">
        <v>125</v>
      </c>
      <c r="D242" s="60" t="s">
        <v>125</v>
      </c>
      <c r="E242" s="60" t="s">
        <v>144</v>
      </c>
      <c r="F242" s="60" t="b">
        <f>TRUE()</f>
        <v>1</v>
      </c>
      <c r="G242" s="60" t="s">
        <v>168</v>
      </c>
      <c r="H242" s="60" t="s">
        <v>254</v>
      </c>
      <c r="I242" s="61">
        <v>46209</v>
      </c>
      <c r="J242" s="61">
        <v>46210</v>
      </c>
      <c r="K242" s="60">
        <v>1</v>
      </c>
      <c r="L242" s="60" t="s">
        <v>192</v>
      </c>
      <c r="M242" s="60" t="s">
        <v>184</v>
      </c>
      <c r="N242" s="60" t="b">
        <f>FALSE()</f>
        <v>0</v>
      </c>
      <c r="O242" s="60"/>
      <c r="P242" s="60"/>
      <c r="Q242" s="60" t="s">
        <v>236</v>
      </c>
      <c r="R242" s="60" t="s">
        <v>237</v>
      </c>
      <c r="S242" s="60"/>
      <c r="T242" s="60" t="b">
        <f>FALSE()</f>
        <v>0</v>
      </c>
      <c r="U242" s="60" t="b">
        <f>FALSE()</f>
        <v>0</v>
      </c>
      <c r="V242" s="60">
        <v>228</v>
      </c>
      <c r="W242" s="62" t="s">
        <v>683</v>
      </c>
      <c r="X242" s="60">
        <v>9</v>
      </c>
      <c r="Y242" s="63">
        <v>0.06</v>
      </c>
      <c r="Z242" s="60" t="b">
        <f>FALSE()</f>
        <v>0</v>
      </c>
      <c r="AA242" s="60" t="b">
        <f>TRUE()</f>
        <v>1</v>
      </c>
      <c r="AB242" s="60" t="b">
        <f>TRUE()</f>
        <v>1</v>
      </c>
      <c r="AC242" s="60" t="b">
        <f>FALSE()</f>
        <v>0</v>
      </c>
      <c r="AD242" s="60" t="b">
        <f>FALSE()</f>
        <v>0</v>
      </c>
      <c r="AE242" s="60">
        <v>2</v>
      </c>
      <c r="AF242" s="64">
        <v>28.6</v>
      </c>
      <c r="AG242" s="60" t="s">
        <v>73</v>
      </c>
      <c r="AH242" s="60" t="s">
        <v>1053</v>
      </c>
      <c r="AI242">
        <f>IF(AND(OR(Company_Explorer!$B$5="All Companies",$E242=Company_Explorer!$B$5),OR(Company_Explorer!$B$6="All Platforms",$B242=Company_Explorer!$B$6),OR(Company_Explorer!$B$7="All Roles",$D242=Company_Explorer!$B$7),OR(Company_Explorer!$B$8="All Ghost Labels",$AG242=Company_Explorer!$B$8)),1,0)</f>
        <v>0</v>
      </c>
    </row>
    <row r="243" spans="1:35" ht="15" customHeight="1" x14ac:dyDescent="0.3">
      <c r="A243" s="65" t="s">
        <v>1054</v>
      </c>
      <c r="B243" s="65" t="s">
        <v>80</v>
      </c>
      <c r="C243" s="65" t="s">
        <v>258</v>
      </c>
      <c r="D243" s="65" t="s">
        <v>125</v>
      </c>
      <c r="E243" s="65" t="s">
        <v>141</v>
      </c>
      <c r="F243" s="65" t="b">
        <f>TRUE()</f>
        <v>1</v>
      </c>
      <c r="G243" s="65" t="s">
        <v>172</v>
      </c>
      <c r="H243" s="65" t="s">
        <v>276</v>
      </c>
      <c r="I243" s="66">
        <v>46198</v>
      </c>
      <c r="J243" s="66">
        <v>46210</v>
      </c>
      <c r="K243" s="65">
        <v>12</v>
      </c>
      <c r="L243" s="65" t="s">
        <v>192</v>
      </c>
      <c r="M243" s="65" t="s">
        <v>184</v>
      </c>
      <c r="N243" s="65" t="b">
        <f>FALSE()</f>
        <v>0</v>
      </c>
      <c r="O243" s="65"/>
      <c r="P243" s="65"/>
      <c r="Q243" s="65" t="s">
        <v>236</v>
      </c>
      <c r="R243" s="65" t="s">
        <v>237</v>
      </c>
      <c r="S243" s="65"/>
      <c r="T243" s="65" t="b">
        <f>FALSE()</f>
        <v>0</v>
      </c>
      <c r="U243" s="65" t="b">
        <f>FALSE()</f>
        <v>0</v>
      </c>
      <c r="V243" s="65">
        <v>321</v>
      </c>
      <c r="W243" s="67" t="s">
        <v>1055</v>
      </c>
      <c r="X243" s="65">
        <v>429</v>
      </c>
      <c r="Y243" s="68">
        <v>2.66</v>
      </c>
      <c r="Z243" s="65" t="b">
        <f>FALSE()</f>
        <v>0</v>
      </c>
      <c r="AA243" s="65" t="b">
        <f>TRUE()</f>
        <v>1</v>
      </c>
      <c r="AB243" s="65" t="b">
        <f>FALSE()</f>
        <v>0</v>
      </c>
      <c r="AC243" s="65" t="b">
        <f>FALSE()</f>
        <v>0</v>
      </c>
      <c r="AD243" s="65" t="b">
        <f>TRUE()</f>
        <v>1</v>
      </c>
      <c r="AE243" s="65">
        <v>3</v>
      </c>
      <c r="AF243" s="69">
        <v>42.9</v>
      </c>
      <c r="AG243" s="65" t="s">
        <v>73</v>
      </c>
      <c r="AH243" s="65" t="s">
        <v>1056</v>
      </c>
      <c r="AI243">
        <f>IF(AND(OR(Company_Explorer!$B$5="All Companies",$E243=Company_Explorer!$B$5),OR(Company_Explorer!$B$6="All Platforms",$B243=Company_Explorer!$B$6),OR(Company_Explorer!$B$7="All Roles",$D243=Company_Explorer!$B$7),OR(Company_Explorer!$B$8="All Ghost Labels",$AG243=Company_Explorer!$B$8)),1,0)</f>
        <v>0</v>
      </c>
    </row>
    <row r="244" spans="1:35" ht="15" customHeight="1" x14ac:dyDescent="0.3">
      <c r="A244" s="60" t="s">
        <v>1057</v>
      </c>
      <c r="B244" s="60" t="s">
        <v>80</v>
      </c>
      <c r="C244" s="60" t="s">
        <v>258</v>
      </c>
      <c r="D244" s="60" t="s">
        <v>125</v>
      </c>
      <c r="E244" s="60" t="s">
        <v>141</v>
      </c>
      <c r="F244" s="60" t="b">
        <f>TRUE()</f>
        <v>1</v>
      </c>
      <c r="G244" s="60" t="s">
        <v>167</v>
      </c>
      <c r="H244" s="60" t="s">
        <v>276</v>
      </c>
      <c r="I244" s="61">
        <v>46199</v>
      </c>
      <c r="J244" s="61">
        <v>46210</v>
      </c>
      <c r="K244" s="60">
        <v>11</v>
      </c>
      <c r="L244" s="60" t="s">
        <v>192</v>
      </c>
      <c r="M244" s="60" t="s">
        <v>184</v>
      </c>
      <c r="N244" s="60" t="b">
        <f>FALSE()</f>
        <v>0</v>
      </c>
      <c r="O244" s="60"/>
      <c r="P244" s="60"/>
      <c r="Q244" s="60" t="s">
        <v>236</v>
      </c>
      <c r="R244" s="60" t="s">
        <v>237</v>
      </c>
      <c r="S244" s="60"/>
      <c r="T244" s="60" t="b">
        <f>FALSE()</f>
        <v>0</v>
      </c>
      <c r="U244" s="60" t="b">
        <f>FALSE()</f>
        <v>0</v>
      </c>
      <c r="V244" s="60">
        <v>318</v>
      </c>
      <c r="W244" s="62" t="s">
        <v>259</v>
      </c>
      <c r="X244" s="60">
        <v>429</v>
      </c>
      <c r="Y244" s="63">
        <v>2.66</v>
      </c>
      <c r="Z244" s="60" t="b">
        <f>FALSE()</f>
        <v>0</v>
      </c>
      <c r="AA244" s="60" t="b">
        <f>TRUE()</f>
        <v>1</v>
      </c>
      <c r="AB244" s="60" t="b">
        <f>FALSE()</f>
        <v>0</v>
      </c>
      <c r="AC244" s="60" t="b">
        <f>FALSE()</f>
        <v>0</v>
      </c>
      <c r="AD244" s="60" t="b">
        <f>TRUE()</f>
        <v>1</v>
      </c>
      <c r="AE244" s="60">
        <v>3</v>
      </c>
      <c r="AF244" s="64">
        <v>42.9</v>
      </c>
      <c r="AG244" s="60" t="s">
        <v>73</v>
      </c>
      <c r="AH244" s="60" t="s">
        <v>1058</v>
      </c>
      <c r="AI244">
        <f>IF(AND(OR(Company_Explorer!$B$5="All Companies",$E244=Company_Explorer!$B$5),OR(Company_Explorer!$B$6="All Platforms",$B244=Company_Explorer!$B$6),OR(Company_Explorer!$B$7="All Roles",$D244=Company_Explorer!$B$7),OR(Company_Explorer!$B$8="All Ghost Labels",$AG244=Company_Explorer!$B$8)),1,0)</f>
        <v>0</v>
      </c>
    </row>
    <row r="245" spans="1:35" ht="15" customHeight="1" x14ac:dyDescent="0.3">
      <c r="A245" s="65" t="s">
        <v>1059</v>
      </c>
      <c r="B245" s="65" t="s">
        <v>80</v>
      </c>
      <c r="C245" s="65" t="s">
        <v>258</v>
      </c>
      <c r="D245" s="65" t="s">
        <v>125</v>
      </c>
      <c r="E245" s="65" t="s">
        <v>141</v>
      </c>
      <c r="F245" s="65" t="b">
        <f>TRUE()</f>
        <v>1</v>
      </c>
      <c r="G245" s="65" t="s">
        <v>173</v>
      </c>
      <c r="H245" s="65" t="s">
        <v>827</v>
      </c>
      <c r="I245" s="66">
        <v>46198</v>
      </c>
      <c r="J245" s="66">
        <v>46210</v>
      </c>
      <c r="K245" s="65">
        <v>12</v>
      </c>
      <c r="L245" s="65" t="s">
        <v>192</v>
      </c>
      <c r="M245" s="65" t="s">
        <v>184</v>
      </c>
      <c r="N245" s="65" t="b">
        <f>FALSE()</f>
        <v>0</v>
      </c>
      <c r="O245" s="65"/>
      <c r="P245" s="65"/>
      <c r="Q245" s="65" t="s">
        <v>236</v>
      </c>
      <c r="R245" s="65" t="s">
        <v>237</v>
      </c>
      <c r="S245" s="65"/>
      <c r="T245" s="65" t="b">
        <f>FALSE()</f>
        <v>0</v>
      </c>
      <c r="U245" s="65" t="b">
        <f>FALSE()</f>
        <v>0</v>
      </c>
      <c r="V245" s="65">
        <v>322</v>
      </c>
      <c r="W245" s="67" t="s">
        <v>259</v>
      </c>
      <c r="X245" s="65">
        <v>429</v>
      </c>
      <c r="Y245" s="68">
        <v>2.66</v>
      </c>
      <c r="Z245" s="65" t="b">
        <f>FALSE()</f>
        <v>0</v>
      </c>
      <c r="AA245" s="65" t="b">
        <f>TRUE()</f>
        <v>1</v>
      </c>
      <c r="AB245" s="65" t="b">
        <f>FALSE()</f>
        <v>0</v>
      </c>
      <c r="AC245" s="65" t="b">
        <f>FALSE()</f>
        <v>0</v>
      </c>
      <c r="AD245" s="65" t="b">
        <f>TRUE()</f>
        <v>1</v>
      </c>
      <c r="AE245" s="65">
        <v>3</v>
      </c>
      <c r="AF245" s="69">
        <v>42.9</v>
      </c>
      <c r="AG245" s="65" t="s">
        <v>73</v>
      </c>
      <c r="AH245" s="65" t="s">
        <v>1060</v>
      </c>
      <c r="AI245">
        <f>IF(AND(OR(Company_Explorer!$B$5="All Companies",$E245=Company_Explorer!$B$5),OR(Company_Explorer!$B$6="All Platforms",$B245=Company_Explorer!$B$6),OR(Company_Explorer!$B$7="All Roles",$D245=Company_Explorer!$B$7),OR(Company_Explorer!$B$8="All Ghost Labels",$AG245=Company_Explorer!$B$8)),1,0)</f>
        <v>0</v>
      </c>
    </row>
    <row r="246" spans="1:35" ht="15" customHeight="1" x14ac:dyDescent="0.3">
      <c r="A246" s="60" t="s">
        <v>1061</v>
      </c>
      <c r="B246" s="60" t="s">
        <v>80</v>
      </c>
      <c r="C246" s="60" t="s">
        <v>258</v>
      </c>
      <c r="D246" s="60" t="s">
        <v>125</v>
      </c>
      <c r="E246" s="60" t="s">
        <v>141</v>
      </c>
      <c r="F246" s="60" t="b">
        <f>TRUE()</f>
        <v>1</v>
      </c>
      <c r="G246" s="60" t="s">
        <v>262</v>
      </c>
      <c r="H246" s="60" t="s">
        <v>263</v>
      </c>
      <c r="I246" s="61">
        <v>46198</v>
      </c>
      <c r="J246" s="61">
        <v>46210</v>
      </c>
      <c r="K246" s="60">
        <v>12</v>
      </c>
      <c r="L246" s="60" t="s">
        <v>192</v>
      </c>
      <c r="M246" s="60" t="s">
        <v>187</v>
      </c>
      <c r="N246" s="60" t="b">
        <f>FALSE()</f>
        <v>0</v>
      </c>
      <c r="O246" s="60"/>
      <c r="P246" s="60"/>
      <c r="Q246" s="60" t="s">
        <v>236</v>
      </c>
      <c r="R246" s="60" t="s">
        <v>237</v>
      </c>
      <c r="S246" s="60"/>
      <c r="T246" s="60" t="b">
        <f>FALSE()</f>
        <v>0</v>
      </c>
      <c r="U246" s="60" t="b">
        <f>FALSE()</f>
        <v>0</v>
      </c>
      <c r="V246" s="60">
        <v>332</v>
      </c>
      <c r="W246" s="62" t="s">
        <v>259</v>
      </c>
      <c r="X246" s="60">
        <v>429</v>
      </c>
      <c r="Y246" s="63">
        <v>2.66</v>
      </c>
      <c r="Z246" s="60" t="b">
        <f>FALSE()</f>
        <v>0</v>
      </c>
      <c r="AA246" s="60" t="b">
        <f>TRUE()</f>
        <v>1</v>
      </c>
      <c r="AB246" s="60" t="b">
        <f>FALSE()</f>
        <v>0</v>
      </c>
      <c r="AC246" s="60" t="b">
        <f>FALSE()</f>
        <v>0</v>
      </c>
      <c r="AD246" s="60" t="b">
        <f>TRUE()</f>
        <v>1</v>
      </c>
      <c r="AE246" s="60">
        <v>3</v>
      </c>
      <c r="AF246" s="64">
        <v>42.9</v>
      </c>
      <c r="AG246" s="60" t="s">
        <v>73</v>
      </c>
      <c r="AH246" s="60" t="s">
        <v>1062</v>
      </c>
      <c r="AI246">
        <f>IF(AND(OR(Company_Explorer!$B$5="All Companies",$E246=Company_Explorer!$B$5),OR(Company_Explorer!$B$6="All Platforms",$B246=Company_Explorer!$B$6),OR(Company_Explorer!$B$7="All Roles",$D246=Company_Explorer!$B$7),OR(Company_Explorer!$B$8="All Ghost Labels",$AG246=Company_Explorer!$B$8)),1,0)</f>
        <v>0</v>
      </c>
    </row>
    <row r="247" spans="1:35" ht="15" customHeight="1" x14ac:dyDescent="0.3">
      <c r="A247" s="65" t="s">
        <v>1063</v>
      </c>
      <c r="B247" s="65" t="s">
        <v>80</v>
      </c>
      <c r="C247" s="65" t="s">
        <v>258</v>
      </c>
      <c r="D247" s="65" t="s">
        <v>125</v>
      </c>
      <c r="E247" s="65" t="s">
        <v>141</v>
      </c>
      <c r="F247" s="65" t="b">
        <f>TRUE()</f>
        <v>1</v>
      </c>
      <c r="G247" s="65" t="s">
        <v>167</v>
      </c>
      <c r="H247" s="65" t="s">
        <v>276</v>
      </c>
      <c r="I247" s="66">
        <v>46199</v>
      </c>
      <c r="J247" s="66">
        <v>46210</v>
      </c>
      <c r="K247" s="65">
        <v>11</v>
      </c>
      <c r="L247" s="65" t="s">
        <v>192</v>
      </c>
      <c r="M247" s="65" t="s">
        <v>184</v>
      </c>
      <c r="N247" s="65" t="b">
        <f>FALSE()</f>
        <v>0</v>
      </c>
      <c r="O247" s="65"/>
      <c r="P247" s="65"/>
      <c r="Q247" s="65" t="s">
        <v>236</v>
      </c>
      <c r="R247" s="65" t="s">
        <v>237</v>
      </c>
      <c r="S247" s="65"/>
      <c r="T247" s="65" t="b">
        <f>FALSE()</f>
        <v>0</v>
      </c>
      <c r="U247" s="65" t="b">
        <f>FALSE()</f>
        <v>0</v>
      </c>
      <c r="V247" s="65">
        <v>283</v>
      </c>
      <c r="W247" s="67" t="s">
        <v>259</v>
      </c>
      <c r="X247" s="65">
        <v>429</v>
      </c>
      <c r="Y247" s="68">
        <v>2.66</v>
      </c>
      <c r="Z247" s="65" t="b">
        <f>FALSE()</f>
        <v>0</v>
      </c>
      <c r="AA247" s="65" t="b">
        <f>TRUE()</f>
        <v>1</v>
      </c>
      <c r="AB247" s="65" t="b">
        <f>FALSE()</f>
        <v>0</v>
      </c>
      <c r="AC247" s="65" t="b">
        <f>FALSE()</f>
        <v>0</v>
      </c>
      <c r="AD247" s="65" t="b">
        <f>TRUE()</f>
        <v>1</v>
      </c>
      <c r="AE247" s="65">
        <v>3</v>
      </c>
      <c r="AF247" s="69">
        <v>42.9</v>
      </c>
      <c r="AG247" s="65" t="s">
        <v>73</v>
      </c>
      <c r="AH247" s="65" t="s">
        <v>1064</v>
      </c>
      <c r="AI247">
        <f>IF(AND(OR(Company_Explorer!$B$5="All Companies",$E247=Company_Explorer!$B$5),OR(Company_Explorer!$B$6="All Platforms",$B247=Company_Explorer!$B$6),OR(Company_Explorer!$B$7="All Roles",$D247=Company_Explorer!$B$7),OR(Company_Explorer!$B$8="All Ghost Labels",$AG247=Company_Explorer!$B$8)),1,0)</f>
        <v>0</v>
      </c>
    </row>
    <row r="248" spans="1:35" ht="15" customHeight="1" x14ac:dyDescent="0.3">
      <c r="A248" s="60" t="s">
        <v>1065</v>
      </c>
      <c r="B248" s="60" t="s">
        <v>80</v>
      </c>
      <c r="C248" s="60" t="s">
        <v>315</v>
      </c>
      <c r="D248" s="60" t="s">
        <v>126</v>
      </c>
      <c r="E248" s="60" t="s">
        <v>155</v>
      </c>
      <c r="F248" s="60" t="b">
        <f>TRUE()</f>
        <v>1</v>
      </c>
      <c r="G248" s="60" t="s">
        <v>166</v>
      </c>
      <c r="H248" s="60" t="s">
        <v>235</v>
      </c>
      <c r="I248" s="61">
        <v>46193</v>
      </c>
      <c r="J248" s="61">
        <v>46210</v>
      </c>
      <c r="K248" s="60">
        <v>17</v>
      </c>
      <c r="L248" s="60" t="s">
        <v>192</v>
      </c>
      <c r="M248" s="60" t="s">
        <v>184</v>
      </c>
      <c r="N248" s="60" t="b">
        <f>FALSE()</f>
        <v>0</v>
      </c>
      <c r="O248" s="60"/>
      <c r="P248" s="60"/>
      <c r="Q248" s="60" t="s">
        <v>236</v>
      </c>
      <c r="R248" s="60" t="s">
        <v>237</v>
      </c>
      <c r="S248" s="60"/>
      <c r="T248" s="60" t="b">
        <f>FALSE()</f>
        <v>0</v>
      </c>
      <c r="U248" s="60" t="b">
        <f>FALSE()</f>
        <v>0</v>
      </c>
      <c r="V248" s="60">
        <v>354</v>
      </c>
      <c r="W248" s="62" t="s">
        <v>1029</v>
      </c>
      <c r="X248" s="60">
        <v>16</v>
      </c>
      <c r="Y248" s="63">
        <v>0.1</v>
      </c>
      <c r="Z248" s="60" t="b">
        <f>FALSE()</f>
        <v>0</v>
      </c>
      <c r="AA248" s="60" t="b">
        <f>TRUE()</f>
        <v>1</v>
      </c>
      <c r="AB248" s="60" t="b">
        <f>FALSE()</f>
        <v>0</v>
      </c>
      <c r="AC248" s="60" t="b">
        <f>FALSE()</f>
        <v>0</v>
      </c>
      <c r="AD248" s="60" t="b">
        <f>FALSE()</f>
        <v>0</v>
      </c>
      <c r="AE248" s="60">
        <v>1</v>
      </c>
      <c r="AF248" s="64">
        <v>14.3</v>
      </c>
      <c r="AG248" s="60" t="s">
        <v>74</v>
      </c>
      <c r="AH248" s="60" t="s">
        <v>1066</v>
      </c>
      <c r="AI248">
        <f>IF(AND(OR(Company_Explorer!$B$5="All Companies",$E248=Company_Explorer!$B$5),OR(Company_Explorer!$B$6="All Platforms",$B248=Company_Explorer!$B$6),OR(Company_Explorer!$B$7="All Roles",$D248=Company_Explorer!$B$7),OR(Company_Explorer!$B$8="All Ghost Labels",$AG248=Company_Explorer!$B$8)),1,0)</f>
        <v>0</v>
      </c>
    </row>
    <row r="249" spans="1:35" ht="15" customHeight="1" x14ac:dyDescent="0.3">
      <c r="A249" s="65" t="s">
        <v>1067</v>
      </c>
      <c r="B249" s="65" t="s">
        <v>80</v>
      </c>
      <c r="C249" s="65" t="s">
        <v>258</v>
      </c>
      <c r="D249" s="65" t="s">
        <v>125</v>
      </c>
      <c r="E249" s="65" t="s">
        <v>141</v>
      </c>
      <c r="F249" s="65" t="b">
        <f>TRUE()</f>
        <v>1</v>
      </c>
      <c r="G249" s="65" t="s">
        <v>166</v>
      </c>
      <c r="H249" s="65" t="s">
        <v>235</v>
      </c>
      <c r="I249" s="66">
        <v>46209</v>
      </c>
      <c r="J249" s="66">
        <v>46210</v>
      </c>
      <c r="K249" s="65">
        <v>1</v>
      </c>
      <c r="L249" s="65" t="s">
        <v>192</v>
      </c>
      <c r="M249" s="65" t="s">
        <v>184</v>
      </c>
      <c r="N249" s="65" t="b">
        <f>FALSE()</f>
        <v>0</v>
      </c>
      <c r="O249" s="65"/>
      <c r="P249" s="65"/>
      <c r="Q249" s="65" t="s">
        <v>236</v>
      </c>
      <c r="R249" s="65" t="s">
        <v>237</v>
      </c>
      <c r="S249" s="65"/>
      <c r="T249" s="65" t="b">
        <f>FALSE()</f>
        <v>0</v>
      </c>
      <c r="U249" s="65" t="b">
        <f>FALSE()</f>
        <v>0</v>
      </c>
      <c r="V249" s="65">
        <v>291</v>
      </c>
      <c r="W249" s="67" t="s">
        <v>259</v>
      </c>
      <c r="X249" s="65">
        <v>429</v>
      </c>
      <c r="Y249" s="68">
        <v>2.66</v>
      </c>
      <c r="Z249" s="65" t="b">
        <f>FALSE()</f>
        <v>0</v>
      </c>
      <c r="AA249" s="65" t="b">
        <f>TRUE()</f>
        <v>1</v>
      </c>
      <c r="AB249" s="65" t="b">
        <f>FALSE()</f>
        <v>0</v>
      </c>
      <c r="AC249" s="65" t="b">
        <f>FALSE()</f>
        <v>0</v>
      </c>
      <c r="AD249" s="65" t="b">
        <f>TRUE()</f>
        <v>1</v>
      </c>
      <c r="AE249" s="65">
        <v>3</v>
      </c>
      <c r="AF249" s="69">
        <v>42.9</v>
      </c>
      <c r="AG249" s="65" t="s">
        <v>73</v>
      </c>
      <c r="AH249" s="65" t="s">
        <v>1068</v>
      </c>
      <c r="AI249">
        <f>IF(AND(OR(Company_Explorer!$B$5="All Companies",$E249=Company_Explorer!$B$5),OR(Company_Explorer!$B$6="All Platforms",$B249=Company_Explorer!$B$6),OR(Company_Explorer!$B$7="All Roles",$D249=Company_Explorer!$B$7),OR(Company_Explorer!$B$8="All Ghost Labels",$AG249=Company_Explorer!$B$8)),1,0)</f>
        <v>0</v>
      </c>
    </row>
    <row r="250" spans="1:35" ht="15" customHeight="1" x14ac:dyDescent="0.3">
      <c r="A250" s="60" t="s">
        <v>1069</v>
      </c>
      <c r="B250" s="60" t="s">
        <v>80</v>
      </c>
      <c r="C250" s="60" t="s">
        <v>315</v>
      </c>
      <c r="D250" s="60" t="s">
        <v>126</v>
      </c>
      <c r="E250" s="60" t="s">
        <v>155</v>
      </c>
      <c r="F250" s="60" t="b">
        <f>TRUE()</f>
        <v>1</v>
      </c>
      <c r="G250" s="60" t="s">
        <v>166</v>
      </c>
      <c r="H250" s="60" t="s">
        <v>235</v>
      </c>
      <c r="I250" s="61">
        <v>46193</v>
      </c>
      <c r="J250" s="61">
        <v>46210</v>
      </c>
      <c r="K250" s="60">
        <v>17</v>
      </c>
      <c r="L250" s="60" t="s">
        <v>192</v>
      </c>
      <c r="M250" s="60" t="s">
        <v>184</v>
      </c>
      <c r="N250" s="60" t="b">
        <f>FALSE()</f>
        <v>0</v>
      </c>
      <c r="O250" s="60"/>
      <c r="P250" s="60"/>
      <c r="Q250" s="60" t="s">
        <v>236</v>
      </c>
      <c r="R250" s="60" t="s">
        <v>237</v>
      </c>
      <c r="S250" s="60"/>
      <c r="T250" s="60" t="b">
        <f>FALSE()</f>
        <v>0</v>
      </c>
      <c r="U250" s="60" t="b">
        <f>FALSE()</f>
        <v>0</v>
      </c>
      <c r="V250" s="60">
        <v>354</v>
      </c>
      <c r="W250" s="62" t="s">
        <v>1029</v>
      </c>
      <c r="X250" s="60">
        <v>16</v>
      </c>
      <c r="Y250" s="63">
        <v>0.1</v>
      </c>
      <c r="Z250" s="60" t="b">
        <f>FALSE()</f>
        <v>0</v>
      </c>
      <c r="AA250" s="60" t="b">
        <f>TRUE()</f>
        <v>1</v>
      </c>
      <c r="AB250" s="60" t="b">
        <f>FALSE()</f>
        <v>0</v>
      </c>
      <c r="AC250" s="60" t="b">
        <f>FALSE()</f>
        <v>0</v>
      </c>
      <c r="AD250" s="60" t="b">
        <f>FALSE()</f>
        <v>0</v>
      </c>
      <c r="AE250" s="60">
        <v>1</v>
      </c>
      <c r="AF250" s="64">
        <v>14.3</v>
      </c>
      <c r="AG250" s="60" t="s">
        <v>74</v>
      </c>
      <c r="AH250" s="60" t="s">
        <v>1070</v>
      </c>
      <c r="AI250">
        <f>IF(AND(OR(Company_Explorer!$B$5="All Companies",$E250=Company_Explorer!$B$5),OR(Company_Explorer!$B$6="All Platforms",$B250=Company_Explorer!$B$6),OR(Company_Explorer!$B$7="All Roles",$D250=Company_Explorer!$B$7),OR(Company_Explorer!$B$8="All Ghost Labels",$AG250=Company_Explorer!$B$8)),1,0)</f>
        <v>0</v>
      </c>
    </row>
    <row r="251" spans="1:35" ht="15" customHeight="1" x14ac:dyDescent="0.3">
      <c r="A251" s="65" t="s">
        <v>1071</v>
      </c>
      <c r="B251" s="65" t="s">
        <v>80</v>
      </c>
      <c r="C251" s="65" t="s">
        <v>258</v>
      </c>
      <c r="D251" s="65" t="s">
        <v>125</v>
      </c>
      <c r="E251" s="65" t="s">
        <v>141</v>
      </c>
      <c r="F251" s="65" t="b">
        <f>TRUE()</f>
        <v>1</v>
      </c>
      <c r="G251" s="65" t="s">
        <v>167</v>
      </c>
      <c r="H251" s="65" t="s">
        <v>276</v>
      </c>
      <c r="I251" s="66">
        <v>46198</v>
      </c>
      <c r="J251" s="66">
        <v>46210</v>
      </c>
      <c r="K251" s="65">
        <v>12</v>
      </c>
      <c r="L251" s="65" t="s">
        <v>192</v>
      </c>
      <c r="M251" s="65" t="s">
        <v>184</v>
      </c>
      <c r="N251" s="65" t="b">
        <f>FALSE()</f>
        <v>0</v>
      </c>
      <c r="O251" s="65"/>
      <c r="P251" s="65"/>
      <c r="Q251" s="65" t="s">
        <v>236</v>
      </c>
      <c r="R251" s="65" t="s">
        <v>237</v>
      </c>
      <c r="S251" s="65"/>
      <c r="T251" s="65" t="b">
        <f>FALSE()</f>
        <v>0</v>
      </c>
      <c r="U251" s="65" t="b">
        <f>FALSE()</f>
        <v>0</v>
      </c>
      <c r="V251" s="65">
        <v>319</v>
      </c>
      <c r="W251" s="67" t="s">
        <v>259</v>
      </c>
      <c r="X251" s="65">
        <v>429</v>
      </c>
      <c r="Y251" s="68">
        <v>2.66</v>
      </c>
      <c r="Z251" s="65" t="b">
        <f>FALSE()</f>
        <v>0</v>
      </c>
      <c r="AA251" s="65" t="b">
        <f>TRUE()</f>
        <v>1</v>
      </c>
      <c r="AB251" s="65" t="b">
        <f>FALSE()</f>
        <v>0</v>
      </c>
      <c r="AC251" s="65" t="b">
        <f>FALSE()</f>
        <v>0</v>
      </c>
      <c r="AD251" s="65" t="b">
        <f>TRUE()</f>
        <v>1</v>
      </c>
      <c r="AE251" s="65">
        <v>3</v>
      </c>
      <c r="AF251" s="69">
        <v>42.9</v>
      </c>
      <c r="AG251" s="65" t="s">
        <v>73</v>
      </c>
      <c r="AH251" s="65" t="s">
        <v>1072</v>
      </c>
      <c r="AI251">
        <f>IF(AND(OR(Company_Explorer!$B$5="All Companies",$E251=Company_Explorer!$B$5),OR(Company_Explorer!$B$6="All Platforms",$B251=Company_Explorer!$B$6),OR(Company_Explorer!$B$7="All Roles",$D251=Company_Explorer!$B$7),OR(Company_Explorer!$B$8="All Ghost Labels",$AG251=Company_Explorer!$B$8)),1,0)</f>
        <v>0</v>
      </c>
    </row>
    <row r="252" spans="1:35" ht="15" customHeight="1" x14ac:dyDescent="0.3">
      <c r="A252" s="60" t="s">
        <v>1073</v>
      </c>
      <c r="B252" s="60" t="s">
        <v>80</v>
      </c>
      <c r="C252" s="60" t="s">
        <v>258</v>
      </c>
      <c r="D252" s="60" t="s">
        <v>125</v>
      </c>
      <c r="E252" s="60" t="s">
        <v>141</v>
      </c>
      <c r="F252" s="60" t="b">
        <f>TRUE()</f>
        <v>1</v>
      </c>
      <c r="G252" s="60" t="s">
        <v>172</v>
      </c>
      <c r="H252" s="60" t="s">
        <v>276</v>
      </c>
      <c r="I252" s="61">
        <v>46205</v>
      </c>
      <c r="J252" s="61">
        <v>46210</v>
      </c>
      <c r="K252" s="60">
        <v>5</v>
      </c>
      <c r="L252" s="60" t="s">
        <v>192</v>
      </c>
      <c r="M252" s="60" t="s">
        <v>184</v>
      </c>
      <c r="N252" s="60" t="b">
        <f>FALSE()</f>
        <v>0</v>
      </c>
      <c r="O252" s="60"/>
      <c r="P252" s="60"/>
      <c r="Q252" s="60" t="s">
        <v>236</v>
      </c>
      <c r="R252" s="60" t="s">
        <v>237</v>
      </c>
      <c r="S252" s="60"/>
      <c r="T252" s="60" t="b">
        <f>FALSE()</f>
        <v>0</v>
      </c>
      <c r="U252" s="60" t="b">
        <f>FALSE()</f>
        <v>0</v>
      </c>
      <c r="V252" s="60">
        <v>332</v>
      </c>
      <c r="W252" s="62" t="s">
        <v>259</v>
      </c>
      <c r="X252" s="60">
        <v>429</v>
      </c>
      <c r="Y252" s="63">
        <v>2.66</v>
      </c>
      <c r="Z252" s="60" t="b">
        <f>FALSE()</f>
        <v>0</v>
      </c>
      <c r="AA252" s="60" t="b">
        <f>TRUE()</f>
        <v>1</v>
      </c>
      <c r="AB252" s="60" t="b">
        <f>FALSE()</f>
        <v>0</v>
      </c>
      <c r="AC252" s="60" t="b">
        <f>FALSE()</f>
        <v>0</v>
      </c>
      <c r="AD252" s="60" t="b">
        <f>TRUE()</f>
        <v>1</v>
      </c>
      <c r="AE252" s="60">
        <v>3</v>
      </c>
      <c r="AF252" s="64">
        <v>42.9</v>
      </c>
      <c r="AG252" s="60" t="s">
        <v>73</v>
      </c>
      <c r="AH252" s="60" t="s">
        <v>1074</v>
      </c>
      <c r="AI252">
        <f>IF(AND(OR(Company_Explorer!$B$5="All Companies",$E252=Company_Explorer!$B$5),OR(Company_Explorer!$B$6="All Platforms",$B252=Company_Explorer!$B$6),OR(Company_Explorer!$B$7="All Roles",$D252=Company_Explorer!$B$7),OR(Company_Explorer!$B$8="All Ghost Labels",$AG252=Company_Explorer!$B$8)),1,0)</f>
        <v>0</v>
      </c>
    </row>
    <row r="253" spans="1:35" ht="15" customHeight="1" x14ac:dyDescent="0.3">
      <c r="A253" s="65" t="s">
        <v>1075</v>
      </c>
      <c r="B253" s="65" t="s">
        <v>80</v>
      </c>
      <c r="C253" s="65" t="s">
        <v>258</v>
      </c>
      <c r="D253" s="65" t="s">
        <v>125</v>
      </c>
      <c r="E253" s="65" t="s">
        <v>141</v>
      </c>
      <c r="F253" s="65" t="b">
        <f>TRUE()</f>
        <v>1</v>
      </c>
      <c r="G253" s="65" t="s">
        <v>179</v>
      </c>
      <c r="H253" s="65" t="s">
        <v>254</v>
      </c>
      <c r="I253" s="66">
        <v>46198</v>
      </c>
      <c r="J253" s="66">
        <v>46210</v>
      </c>
      <c r="K253" s="65">
        <v>12</v>
      </c>
      <c r="L253" s="65" t="s">
        <v>192</v>
      </c>
      <c r="M253" s="65" t="s">
        <v>184</v>
      </c>
      <c r="N253" s="65" t="b">
        <f>FALSE()</f>
        <v>0</v>
      </c>
      <c r="O253" s="65"/>
      <c r="P253" s="65"/>
      <c r="Q253" s="65" t="s">
        <v>236</v>
      </c>
      <c r="R253" s="65" t="s">
        <v>237</v>
      </c>
      <c r="S253" s="65"/>
      <c r="T253" s="65" t="b">
        <f>FALSE()</f>
        <v>0</v>
      </c>
      <c r="U253" s="65" t="b">
        <f>FALSE()</f>
        <v>0</v>
      </c>
      <c r="V253" s="65">
        <v>295</v>
      </c>
      <c r="W253" s="67" t="s">
        <v>259</v>
      </c>
      <c r="X253" s="65">
        <v>429</v>
      </c>
      <c r="Y253" s="68">
        <v>2.66</v>
      </c>
      <c r="Z253" s="65" t="b">
        <f>FALSE()</f>
        <v>0</v>
      </c>
      <c r="AA253" s="65" t="b">
        <f>TRUE()</f>
        <v>1</v>
      </c>
      <c r="AB253" s="65" t="b">
        <f>FALSE()</f>
        <v>0</v>
      </c>
      <c r="AC253" s="65" t="b">
        <f>FALSE()</f>
        <v>0</v>
      </c>
      <c r="AD253" s="65" t="b">
        <f>TRUE()</f>
        <v>1</v>
      </c>
      <c r="AE253" s="65">
        <v>3</v>
      </c>
      <c r="AF253" s="69">
        <v>42.9</v>
      </c>
      <c r="AG253" s="65" t="s">
        <v>73</v>
      </c>
      <c r="AH253" s="65" t="s">
        <v>1076</v>
      </c>
      <c r="AI253">
        <f>IF(AND(OR(Company_Explorer!$B$5="All Companies",$E253=Company_Explorer!$B$5),OR(Company_Explorer!$B$6="All Platforms",$B253=Company_Explorer!$B$6),OR(Company_Explorer!$B$7="All Roles",$D253=Company_Explorer!$B$7),OR(Company_Explorer!$B$8="All Ghost Labels",$AG253=Company_Explorer!$B$8)),1,0)</f>
        <v>0</v>
      </c>
    </row>
    <row r="254" spans="1:35" ht="15" customHeight="1" x14ac:dyDescent="0.3">
      <c r="A254" s="60" t="s">
        <v>1077</v>
      </c>
      <c r="B254" s="60" t="s">
        <v>80</v>
      </c>
      <c r="C254" s="60" t="s">
        <v>125</v>
      </c>
      <c r="D254" s="60" t="s">
        <v>125</v>
      </c>
      <c r="E254" s="60" t="s">
        <v>1078</v>
      </c>
      <c r="F254" s="60" t="b">
        <f>TRUE()</f>
        <v>1</v>
      </c>
      <c r="G254" s="60" t="s">
        <v>166</v>
      </c>
      <c r="H254" s="60" t="s">
        <v>235</v>
      </c>
      <c r="I254" s="61">
        <v>46192</v>
      </c>
      <c r="J254" s="61">
        <v>46210</v>
      </c>
      <c r="K254" s="60">
        <v>18</v>
      </c>
      <c r="L254" s="60" t="s">
        <v>192</v>
      </c>
      <c r="M254" s="60" t="s">
        <v>185</v>
      </c>
      <c r="N254" s="60" t="b">
        <f>FALSE()</f>
        <v>0</v>
      </c>
      <c r="O254" s="60"/>
      <c r="P254" s="60"/>
      <c r="Q254" s="60" t="s">
        <v>236</v>
      </c>
      <c r="R254" s="60" t="s">
        <v>237</v>
      </c>
      <c r="S254" s="60"/>
      <c r="T254" s="60" t="b">
        <f>FALSE()</f>
        <v>0</v>
      </c>
      <c r="U254" s="60" t="b">
        <f>FALSE()</f>
        <v>0</v>
      </c>
      <c r="V254" s="60">
        <v>610</v>
      </c>
      <c r="W254" s="60" t="s">
        <v>1079</v>
      </c>
      <c r="X254" s="60">
        <v>1</v>
      </c>
      <c r="Y254" s="63">
        <v>0.01</v>
      </c>
      <c r="Z254" s="60" t="b">
        <f>FALSE()</f>
        <v>0</v>
      </c>
      <c r="AA254" s="60" t="b">
        <f>TRUE()</f>
        <v>1</v>
      </c>
      <c r="AB254" s="60" t="b">
        <f>FALSE()</f>
        <v>0</v>
      </c>
      <c r="AC254" s="60" t="b">
        <f>FALSE()</f>
        <v>0</v>
      </c>
      <c r="AD254" s="60" t="b">
        <f>FALSE()</f>
        <v>0</v>
      </c>
      <c r="AE254" s="60">
        <v>1</v>
      </c>
      <c r="AF254" s="64">
        <v>14.3</v>
      </c>
      <c r="AG254" s="60" t="s">
        <v>74</v>
      </c>
      <c r="AH254" s="60" t="s">
        <v>1080</v>
      </c>
      <c r="AI254">
        <f>IF(AND(OR(Company_Explorer!$B$5="All Companies",$E254=Company_Explorer!$B$5),OR(Company_Explorer!$B$6="All Platforms",$B254=Company_Explorer!$B$6),OR(Company_Explorer!$B$7="All Roles",$D254=Company_Explorer!$B$7),OR(Company_Explorer!$B$8="All Ghost Labels",$AG254=Company_Explorer!$B$8)),1,0)</f>
        <v>0</v>
      </c>
    </row>
    <row r="255" spans="1:35" ht="15" customHeight="1" x14ac:dyDescent="0.3">
      <c r="A255" s="65" t="s">
        <v>1081</v>
      </c>
      <c r="B255" s="65" t="s">
        <v>80</v>
      </c>
      <c r="C255" s="65" t="s">
        <v>258</v>
      </c>
      <c r="D255" s="65" t="s">
        <v>125</v>
      </c>
      <c r="E255" s="65" t="s">
        <v>141</v>
      </c>
      <c r="F255" s="65" t="b">
        <f>TRUE()</f>
        <v>1</v>
      </c>
      <c r="G255" s="65" t="s">
        <v>179</v>
      </c>
      <c r="H255" s="65" t="s">
        <v>254</v>
      </c>
      <c r="I255" s="66">
        <v>46198</v>
      </c>
      <c r="J255" s="66">
        <v>46210</v>
      </c>
      <c r="K255" s="65">
        <v>12</v>
      </c>
      <c r="L255" s="65" t="s">
        <v>192</v>
      </c>
      <c r="M255" s="65" t="s">
        <v>184</v>
      </c>
      <c r="N255" s="65" t="b">
        <f>FALSE()</f>
        <v>0</v>
      </c>
      <c r="O255" s="65"/>
      <c r="P255" s="65"/>
      <c r="Q255" s="65" t="s">
        <v>236</v>
      </c>
      <c r="R255" s="65" t="s">
        <v>237</v>
      </c>
      <c r="S255" s="65"/>
      <c r="T255" s="65" t="b">
        <f>FALSE()</f>
        <v>0</v>
      </c>
      <c r="U255" s="65" t="b">
        <f>FALSE()</f>
        <v>0</v>
      </c>
      <c r="V255" s="65">
        <v>301</v>
      </c>
      <c r="W255" s="67" t="s">
        <v>259</v>
      </c>
      <c r="X255" s="65">
        <v>429</v>
      </c>
      <c r="Y255" s="68">
        <v>2.66</v>
      </c>
      <c r="Z255" s="65" t="b">
        <f>FALSE()</f>
        <v>0</v>
      </c>
      <c r="AA255" s="65" t="b">
        <f>TRUE()</f>
        <v>1</v>
      </c>
      <c r="AB255" s="65" t="b">
        <f>FALSE()</f>
        <v>0</v>
      </c>
      <c r="AC255" s="65" t="b">
        <f>FALSE()</f>
        <v>0</v>
      </c>
      <c r="AD255" s="65" t="b">
        <f>TRUE()</f>
        <v>1</v>
      </c>
      <c r="AE255" s="65">
        <v>3</v>
      </c>
      <c r="AF255" s="69">
        <v>42.9</v>
      </c>
      <c r="AG255" s="65" t="s">
        <v>73</v>
      </c>
      <c r="AH255" s="65" t="s">
        <v>1082</v>
      </c>
      <c r="AI255">
        <f>IF(AND(OR(Company_Explorer!$B$5="All Companies",$E255=Company_Explorer!$B$5),OR(Company_Explorer!$B$6="All Platforms",$B255=Company_Explorer!$B$6),OR(Company_Explorer!$B$7="All Roles",$D255=Company_Explorer!$B$7),OR(Company_Explorer!$B$8="All Ghost Labels",$AG255=Company_Explorer!$B$8)),1,0)</f>
        <v>0</v>
      </c>
    </row>
    <row r="256" spans="1:35" ht="15" customHeight="1" x14ac:dyDescent="0.3">
      <c r="A256" s="60" t="s">
        <v>1083</v>
      </c>
      <c r="B256" s="60" t="s">
        <v>80</v>
      </c>
      <c r="C256" s="60" t="s">
        <v>306</v>
      </c>
      <c r="D256" s="60" t="s">
        <v>125</v>
      </c>
      <c r="E256" s="60" t="s">
        <v>141</v>
      </c>
      <c r="F256" s="60" t="b">
        <f>TRUE()</f>
        <v>1</v>
      </c>
      <c r="G256" s="60" t="s">
        <v>172</v>
      </c>
      <c r="H256" s="60" t="s">
        <v>276</v>
      </c>
      <c r="I256" s="61">
        <v>46206</v>
      </c>
      <c r="J256" s="61">
        <v>46210</v>
      </c>
      <c r="K256" s="60">
        <v>4</v>
      </c>
      <c r="L256" s="60" t="s">
        <v>192</v>
      </c>
      <c r="M256" s="60" t="s">
        <v>184</v>
      </c>
      <c r="N256" s="60" t="b">
        <f>FALSE()</f>
        <v>0</v>
      </c>
      <c r="O256" s="60"/>
      <c r="P256" s="60"/>
      <c r="Q256" s="60" t="s">
        <v>236</v>
      </c>
      <c r="R256" s="60" t="s">
        <v>237</v>
      </c>
      <c r="S256" s="60"/>
      <c r="T256" s="60" t="b">
        <f>FALSE()</f>
        <v>0</v>
      </c>
      <c r="U256" s="60" t="b">
        <f>FALSE()</f>
        <v>0</v>
      </c>
      <c r="V256" s="60">
        <v>305</v>
      </c>
      <c r="W256" s="62" t="s">
        <v>815</v>
      </c>
      <c r="X256" s="60">
        <v>429</v>
      </c>
      <c r="Y256" s="63">
        <v>2.66</v>
      </c>
      <c r="Z256" s="60" t="b">
        <f>FALSE()</f>
        <v>0</v>
      </c>
      <c r="AA256" s="60" t="b">
        <f>TRUE()</f>
        <v>1</v>
      </c>
      <c r="AB256" s="60" t="b">
        <f>FALSE()</f>
        <v>0</v>
      </c>
      <c r="AC256" s="60" t="b">
        <f>FALSE()</f>
        <v>0</v>
      </c>
      <c r="AD256" s="60" t="b">
        <f>TRUE()</f>
        <v>1</v>
      </c>
      <c r="AE256" s="60">
        <v>3</v>
      </c>
      <c r="AF256" s="64">
        <v>42.9</v>
      </c>
      <c r="AG256" s="60" t="s">
        <v>73</v>
      </c>
      <c r="AH256" s="60" t="s">
        <v>1084</v>
      </c>
      <c r="AI256">
        <f>IF(AND(OR(Company_Explorer!$B$5="All Companies",$E256=Company_Explorer!$B$5),OR(Company_Explorer!$B$6="All Platforms",$B256=Company_Explorer!$B$6),OR(Company_Explorer!$B$7="All Roles",$D256=Company_Explorer!$B$7),OR(Company_Explorer!$B$8="All Ghost Labels",$AG256=Company_Explorer!$B$8)),1,0)</f>
        <v>0</v>
      </c>
    </row>
    <row r="257" spans="1:35" ht="15" customHeight="1" x14ac:dyDescent="0.3">
      <c r="A257" s="65" t="s">
        <v>1085</v>
      </c>
      <c r="B257" s="65" t="s">
        <v>80</v>
      </c>
      <c r="C257" s="65" t="s">
        <v>258</v>
      </c>
      <c r="D257" s="65" t="s">
        <v>125</v>
      </c>
      <c r="E257" s="65" t="s">
        <v>141</v>
      </c>
      <c r="F257" s="65" t="b">
        <f>TRUE()</f>
        <v>1</v>
      </c>
      <c r="G257" s="65" t="s">
        <v>172</v>
      </c>
      <c r="H257" s="65" t="s">
        <v>276</v>
      </c>
      <c r="I257" s="66">
        <v>46199</v>
      </c>
      <c r="J257" s="66">
        <v>46210</v>
      </c>
      <c r="K257" s="65">
        <v>11</v>
      </c>
      <c r="L257" s="65" t="s">
        <v>192</v>
      </c>
      <c r="M257" s="65" t="s">
        <v>184</v>
      </c>
      <c r="N257" s="65" t="b">
        <f>FALSE()</f>
        <v>0</v>
      </c>
      <c r="O257" s="65"/>
      <c r="P257" s="65"/>
      <c r="Q257" s="65" t="s">
        <v>236</v>
      </c>
      <c r="R257" s="65" t="s">
        <v>237</v>
      </c>
      <c r="S257" s="65"/>
      <c r="T257" s="65" t="b">
        <f>FALSE()</f>
        <v>0</v>
      </c>
      <c r="U257" s="65" t="b">
        <f>FALSE()</f>
        <v>0</v>
      </c>
      <c r="V257" s="65">
        <v>302</v>
      </c>
      <c r="W257" s="67" t="s">
        <v>259</v>
      </c>
      <c r="X257" s="65">
        <v>429</v>
      </c>
      <c r="Y257" s="68">
        <v>2.66</v>
      </c>
      <c r="Z257" s="65" t="b">
        <f>FALSE()</f>
        <v>0</v>
      </c>
      <c r="AA257" s="65" t="b">
        <f>TRUE()</f>
        <v>1</v>
      </c>
      <c r="AB257" s="65" t="b">
        <f>FALSE()</f>
        <v>0</v>
      </c>
      <c r="AC257" s="65" t="b">
        <f>FALSE()</f>
        <v>0</v>
      </c>
      <c r="AD257" s="65" t="b">
        <f>TRUE()</f>
        <v>1</v>
      </c>
      <c r="AE257" s="65">
        <v>3</v>
      </c>
      <c r="AF257" s="69">
        <v>42.9</v>
      </c>
      <c r="AG257" s="65" t="s">
        <v>73</v>
      </c>
      <c r="AH257" s="65" t="s">
        <v>1086</v>
      </c>
      <c r="AI257">
        <f>IF(AND(OR(Company_Explorer!$B$5="All Companies",$E257=Company_Explorer!$B$5),OR(Company_Explorer!$B$6="All Platforms",$B257=Company_Explorer!$B$6),OR(Company_Explorer!$B$7="All Roles",$D257=Company_Explorer!$B$7),OR(Company_Explorer!$B$8="All Ghost Labels",$AG257=Company_Explorer!$B$8)),1,0)</f>
        <v>0</v>
      </c>
    </row>
    <row r="258" spans="1:35" ht="15" customHeight="1" x14ac:dyDescent="0.3">
      <c r="A258" s="60" t="s">
        <v>1087</v>
      </c>
      <c r="B258" s="60" t="s">
        <v>80</v>
      </c>
      <c r="C258" s="60" t="s">
        <v>258</v>
      </c>
      <c r="D258" s="60" t="s">
        <v>125</v>
      </c>
      <c r="E258" s="60" t="s">
        <v>141</v>
      </c>
      <c r="F258" s="60" t="b">
        <f>TRUE()</f>
        <v>1</v>
      </c>
      <c r="G258" s="60" t="s">
        <v>167</v>
      </c>
      <c r="H258" s="60" t="s">
        <v>276</v>
      </c>
      <c r="I258" s="61">
        <v>46198</v>
      </c>
      <c r="J258" s="61">
        <v>46210</v>
      </c>
      <c r="K258" s="60">
        <v>12</v>
      </c>
      <c r="L258" s="60" t="s">
        <v>192</v>
      </c>
      <c r="M258" s="60" t="s">
        <v>184</v>
      </c>
      <c r="N258" s="60" t="b">
        <f>FALSE()</f>
        <v>0</v>
      </c>
      <c r="O258" s="60"/>
      <c r="P258" s="60"/>
      <c r="Q258" s="60" t="s">
        <v>236</v>
      </c>
      <c r="R258" s="60" t="s">
        <v>237</v>
      </c>
      <c r="S258" s="60"/>
      <c r="T258" s="60" t="b">
        <f>FALSE()</f>
        <v>0</v>
      </c>
      <c r="U258" s="60" t="b">
        <f>FALSE()</f>
        <v>0</v>
      </c>
      <c r="V258" s="60">
        <v>322</v>
      </c>
      <c r="W258" s="62" t="s">
        <v>259</v>
      </c>
      <c r="X258" s="60">
        <v>429</v>
      </c>
      <c r="Y258" s="63">
        <v>2.66</v>
      </c>
      <c r="Z258" s="60" t="b">
        <f>FALSE()</f>
        <v>0</v>
      </c>
      <c r="AA258" s="60" t="b">
        <f>TRUE()</f>
        <v>1</v>
      </c>
      <c r="AB258" s="60" t="b">
        <f>FALSE()</f>
        <v>0</v>
      </c>
      <c r="AC258" s="60" t="b">
        <f>FALSE()</f>
        <v>0</v>
      </c>
      <c r="AD258" s="60" t="b">
        <f>TRUE()</f>
        <v>1</v>
      </c>
      <c r="AE258" s="60">
        <v>3</v>
      </c>
      <c r="AF258" s="64">
        <v>42.9</v>
      </c>
      <c r="AG258" s="60" t="s">
        <v>73</v>
      </c>
      <c r="AH258" s="60" t="s">
        <v>1088</v>
      </c>
      <c r="AI258">
        <f>IF(AND(OR(Company_Explorer!$B$5="All Companies",$E258=Company_Explorer!$B$5),OR(Company_Explorer!$B$6="All Platforms",$B258=Company_Explorer!$B$6),OR(Company_Explorer!$B$7="All Roles",$D258=Company_Explorer!$B$7),OR(Company_Explorer!$B$8="All Ghost Labels",$AG258=Company_Explorer!$B$8)),1,0)</f>
        <v>0</v>
      </c>
    </row>
    <row r="259" spans="1:35" ht="15" customHeight="1" x14ac:dyDescent="0.3">
      <c r="A259" s="65" t="s">
        <v>1089</v>
      </c>
      <c r="B259" s="65" t="s">
        <v>80</v>
      </c>
      <c r="C259" s="65" t="s">
        <v>258</v>
      </c>
      <c r="D259" s="65" t="s">
        <v>125</v>
      </c>
      <c r="E259" s="65" t="s">
        <v>141</v>
      </c>
      <c r="F259" s="65" t="b">
        <f>TRUE()</f>
        <v>1</v>
      </c>
      <c r="G259" s="65" t="s">
        <v>179</v>
      </c>
      <c r="H259" s="65" t="s">
        <v>254</v>
      </c>
      <c r="I259" s="66">
        <v>46198</v>
      </c>
      <c r="J259" s="66">
        <v>46210</v>
      </c>
      <c r="K259" s="65">
        <v>12</v>
      </c>
      <c r="L259" s="65" t="s">
        <v>192</v>
      </c>
      <c r="M259" s="65" t="s">
        <v>184</v>
      </c>
      <c r="N259" s="65" t="b">
        <f>FALSE()</f>
        <v>0</v>
      </c>
      <c r="O259" s="65"/>
      <c r="P259" s="65"/>
      <c r="Q259" s="65" t="s">
        <v>236</v>
      </c>
      <c r="R259" s="65" t="s">
        <v>237</v>
      </c>
      <c r="S259" s="65"/>
      <c r="T259" s="65" t="b">
        <f>FALSE()</f>
        <v>0</v>
      </c>
      <c r="U259" s="65" t="b">
        <f>FALSE()</f>
        <v>0</v>
      </c>
      <c r="V259" s="65">
        <v>295</v>
      </c>
      <c r="W259" s="67" t="s">
        <v>259</v>
      </c>
      <c r="X259" s="65">
        <v>429</v>
      </c>
      <c r="Y259" s="68">
        <v>2.66</v>
      </c>
      <c r="Z259" s="65" t="b">
        <f>FALSE()</f>
        <v>0</v>
      </c>
      <c r="AA259" s="65" t="b">
        <f>TRUE()</f>
        <v>1</v>
      </c>
      <c r="AB259" s="65" t="b">
        <f>FALSE()</f>
        <v>0</v>
      </c>
      <c r="AC259" s="65" t="b">
        <f>FALSE()</f>
        <v>0</v>
      </c>
      <c r="AD259" s="65" t="b">
        <f>TRUE()</f>
        <v>1</v>
      </c>
      <c r="AE259" s="65">
        <v>3</v>
      </c>
      <c r="AF259" s="69">
        <v>42.9</v>
      </c>
      <c r="AG259" s="65" t="s">
        <v>73</v>
      </c>
      <c r="AH259" s="65" t="s">
        <v>1090</v>
      </c>
      <c r="AI259">
        <f>IF(AND(OR(Company_Explorer!$B$5="All Companies",$E259=Company_Explorer!$B$5),OR(Company_Explorer!$B$6="All Platforms",$B259=Company_Explorer!$B$6),OR(Company_Explorer!$B$7="All Roles",$D259=Company_Explorer!$B$7),OR(Company_Explorer!$B$8="All Ghost Labels",$AG259=Company_Explorer!$B$8)),1,0)</f>
        <v>0</v>
      </c>
    </row>
    <row r="260" spans="1:35" ht="15" customHeight="1" x14ac:dyDescent="0.3">
      <c r="A260" s="60" t="s">
        <v>1091</v>
      </c>
      <c r="B260" s="60" t="s">
        <v>80</v>
      </c>
      <c r="C260" s="60" t="s">
        <v>258</v>
      </c>
      <c r="D260" s="60" t="s">
        <v>125</v>
      </c>
      <c r="E260" s="60" t="s">
        <v>141</v>
      </c>
      <c r="F260" s="60" t="b">
        <f>TRUE()</f>
        <v>1</v>
      </c>
      <c r="G260" s="60" t="s">
        <v>179</v>
      </c>
      <c r="H260" s="60" t="s">
        <v>254</v>
      </c>
      <c r="I260" s="61">
        <v>46206</v>
      </c>
      <c r="J260" s="61">
        <v>46210</v>
      </c>
      <c r="K260" s="60">
        <v>4</v>
      </c>
      <c r="L260" s="60" t="s">
        <v>192</v>
      </c>
      <c r="M260" s="60" t="s">
        <v>184</v>
      </c>
      <c r="N260" s="60" t="b">
        <f>FALSE()</f>
        <v>0</v>
      </c>
      <c r="O260" s="60"/>
      <c r="P260" s="60"/>
      <c r="Q260" s="60" t="s">
        <v>236</v>
      </c>
      <c r="R260" s="60" t="s">
        <v>237</v>
      </c>
      <c r="S260" s="60"/>
      <c r="T260" s="60" t="b">
        <f>FALSE()</f>
        <v>0</v>
      </c>
      <c r="U260" s="60" t="b">
        <f>FALSE()</f>
        <v>0</v>
      </c>
      <c r="V260" s="60">
        <v>276</v>
      </c>
      <c r="W260" s="62" t="s">
        <v>259</v>
      </c>
      <c r="X260" s="60">
        <v>429</v>
      </c>
      <c r="Y260" s="63">
        <v>2.66</v>
      </c>
      <c r="Z260" s="60" t="b">
        <f>FALSE()</f>
        <v>0</v>
      </c>
      <c r="AA260" s="60" t="b">
        <f>TRUE()</f>
        <v>1</v>
      </c>
      <c r="AB260" s="60" t="b">
        <f>FALSE()</f>
        <v>0</v>
      </c>
      <c r="AC260" s="60" t="b">
        <f>FALSE()</f>
        <v>0</v>
      </c>
      <c r="AD260" s="60" t="b">
        <f>TRUE()</f>
        <v>1</v>
      </c>
      <c r="AE260" s="60">
        <v>3</v>
      </c>
      <c r="AF260" s="64">
        <v>42.9</v>
      </c>
      <c r="AG260" s="60" t="s">
        <v>73</v>
      </c>
      <c r="AH260" s="60" t="s">
        <v>1092</v>
      </c>
      <c r="AI260">
        <f>IF(AND(OR(Company_Explorer!$B$5="All Companies",$E260=Company_Explorer!$B$5),OR(Company_Explorer!$B$6="All Platforms",$B260=Company_Explorer!$B$6),OR(Company_Explorer!$B$7="All Roles",$D260=Company_Explorer!$B$7),OR(Company_Explorer!$B$8="All Ghost Labels",$AG260=Company_Explorer!$B$8)),1,0)</f>
        <v>0</v>
      </c>
    </row>
    <row r="261" spans="1:35" ht="15" customHeight="1" x14ac:dyDescent="0.3">
      <c r="A261" s="65" t="s">
        <v>1093</v>
      </c>
      <c r="B261" s="65" t="s">
        <v>80</v>
      </c>
      <c r="C261" s="65" t="s">
        <v>258</v>
      </c>
      <c r="D261" s="65" t="s">
        <v>125</v>
      </c>
      <c r="E261" s="65" t="s">
        <v>141</v>
      </c>
      <c r="F261" s="65" t="b">
        <f>TRUE()</f>
        <v>1</v>
      </c>
      <c r="G261" s="65" t="s">
        <v>170</v>
      </c>
      <c r="H261" s="65" t="s">
        <v>165</v>
      </c>
      <c r="I261" s="66">
        <v>46198</v>
      </c>
      <c r="J261" s="66">
        <v>46210</v>
      </c>
      <c r="K261" s="65">
        <v>12</v>
      </c>
      <c r="L261" s="65" t="s">
        <v>192</v>
      </c>
      <c r="M261" s="65" t="s">
        <v>184</v>
      </c>
      <c r="N261" s="65" t="b">
        <f>FALSE()</f>
        <v>0</v>
      </c>
      <c r="O261" s="65"/>
      <c r="P261" s="65"/>
      <c r="Q261" s="65" t="s">
        <v>236</v>
      </c>
      <c r="R261" s="65" t="s">
        <v>237</v>
      </c>
      <c r="S261" s="65"/>
      <c r="T261" s="65" t="b">
        <f>FALSE()</f>
        <v>0</v>
      </c>
      <c r="U261" s="65" t="b">
        <f>FALSE()</f>
        <v>0</v>
      </c>
      <c r="V261" s="65">
        <v>246</v>
      </c>
      <c r="W261" s="67" t="s">
        <v>866</v>
      </c>
      <c r="X261" s="65">
        <v>429</v>
      </c>
      <c r="Y261" s="68">
        <v>2.66</v>
      </c>
      <c r="Z261" s="65" t="b">
        <f>FALSE()</f>
        <v>0</v>
      </c>
      <c r="AA261" s="65" t="b">
        <f>TRUE()</f>
        <v>1</v>
      </c>
      <c r="AB261" s="65" t="b">
        <f>TRUE()</f>
        <v>1</v>
      </c>
      <c r="AC261" s="65" t="b">
        <f>FALSE()</f>
        <v>0</v>
      </c>
      <c r="AD261" s="65" t="b">
        <f>TRUE()</f>
        <v>1</v>
      </c>
      <c r="AE261" s="65">
        <v>4</v>
      </c>
      <c r="AF261" s="69">
        <v>57.1</v>
      </c>
      <c r="AG261" s="65" t="s">
        <v>72</v>
      </c>
      <c r="AH261" s="65" t="s">
        <v>1094</v>
      </c>
      <c r="AI261">
        <f>IF(AND(OR(Company_Explorer!$B$5="All Companies",$E261=Company_Explorer!$B$5),OR(Company_Explorer!$B$6="All Platforms",$B261=Company_Explorer!$B$6),OR(Company_Explorer!$B$7="All Roles",$D261=Company_Explorer!$B$7),OR(Company_Explorer!$B$8="All Ghost Labels",$AG261=Company_Explorer!$B$8)),1,0)</f>
        <v>0</v>
      </c>
    </row>
    <row r="262" spans="1:35" ht="15" customHeight="1" x14ac:dyDescent="0.3">
      <c r="A262" s="60" t="s">
        <v>1095</v>
      </c>
      <c r="B262" s="60" t="s">
        <v>80</v>
      </c>
      <c r="C262" s="60" t="s">
        <v>258</v>
      </c>
      <c r="D262" s="60" t="s">
        <v>125</v>
      </c>
      <c r="E262" s="60" t="s">
        <v>141</v>
      </c>
      <c r="F262" s="60" t="b">
        <f>TRUE()</f>
        <v>1</v>
      </c>
      <c r="G262" s="60" t="s">
        <v>179</v>
      </c>
      <c r="H262" s="60" t="s">
        <v>254</v>
      </c>
      <c r="I262" s="61">
        <v>46205</v>
      </c>
      <c r="J262" s="61">
        <v>46210</v>
      </c>
      <c r="K262" s="60">
        <v>5</v>
      </c>
      <c r="L262" s="60" t="s">
        <v>192</v>
      </c>
      <c r="M262" s="60" t="s">
        <v>184</v>
      </c>
      <c r="N262" s="60" t="b">
        <f>FALSE()</f>
        <v>0</v>
      </c>
      <c r="O262" s="60"/>
      <c r="P262" s="60"/>
      <c r="Q262" s="60" t="s">
        <v>236</v>
      </c>
      <c r="R262" s="60" t="s">
        <v>237</v>
      </c>
      <c r="S262" s="60"/>
      <c r="T262" s="60" t="b">
        <f>FALSE()</f>
        <v>0</v>
      </c>
      <c r="U262" s="60" t="b">
        <f>FALSE()</f>
        <v>0</v>
      </c>
      <c r="V262" s="60">
        <v>322</v>
      </c>
      <c r="W262" s="62" t="s">
        <v>259</v>
      </c>
      <c r="X262" s="60">
        <v>429</v>
      </c>
      <c r="Y262" s="63">
        <v>2.66</v>
      </c>
      <c r="Z262" s="60" t="b">
        <f>FALSE()</f>
        <v>0</v>
      </c>
      <c r="AA262" s="60" t="b">
        <f>TRUE()</f>
        <v>1</v>
      </c>
      <c r="AB262" s="60" t="b">
        <f>FALSE()</f>
        <v>0</v>
      </c>
      <c r="AC262" s="60" t="b">
        <f>FALSE()</f>
        <v>0</v>
      </c>
      <c r="AD262" s="60" t="b">
        <f>TRUE()</f>
        <v>1</v>
      </c>
      <c r="AE262" s="60">
        <v>3</v>
      </c>
      <c r="AF262" s="64">
        <v>42.9</v>
      </c>
      <c r="AG262" s="60" t="s">
        <v>73</v>
      </c>
      <c r="AH262" s="60" t="s">
        <v>1096</v>
      </c>
      <c r="AI262">
        <f>IF(AND(OR(Company_Explorer!$B$5="All Companies",$E262=Company_Explorer!$B$5),OR(Company_Explorer!$B$6="All Platforms",$B262=Company_Explorer!$B$6),OR(Company_Explorer!$B$7="All Roles",$D262=Company_Explorer!$B$7),OR(Company_Explorer!$B$8="All Ghost Labels",$AG262=Company_Explorer!$B$8)),1,0)</f>
        <v>0</v>
      </c>
    </row>
    <row r="263" spans="1:35" ht="15" customHeight="1" x14ac:dyDescent="0.3">
      <c r="A263" s="65" t="s">
        <v>1097</v>
      </c>
      <c r="B263" s="65" t="s">
        <v>80</v>
      </c>
      <c r="C263" s="65" t="s">
        <v>258</v>
      </c>
      <c r="D263" s="65" t="s">
        <v>125</v>
      </c>
      <c r="E263" s="65" t="s">
        <v>141</v>
      </c>
      <c r="F263" s="65" t="b">
        <f>TRUE()</f>
        <v>1</v>
      </c>
      <c r="G263" s="65" t="s">
        <v>166</v>
      </c>
      <c r="H263" s="65" t="s">
        <v>235</v>
      </c>
      <c r="I263" s="66">
        <v>46198</v>
      </c>
      <c r="J263" s="66">
        <v>46210</v>
      </c>
      <c r="K263" s="65">
        <v>12</v>
      </c>
      <c r="L263" s="65" t="s">
        <v>192</v>
      </c>
      <c r="M263" s="65" t="s">
        <v>184</v>
      </c>
      <c r="N263" s="65" t="b">
        <f>FALSE()</f>
        <v>0</v>
      </c>
      <c r="O263" s="65"/>
      <c r="P263" s="65"/>
      <c r="Q263" s="65" t="s">
        <v>236</v>
      </c>
      <c r="R263" s="65" t="s">
        <v>237</v>
      </c>
      <c r="S263" s="65"/>
      <c r="T263" s="65" t="b">
        <f>FALSE()</f>
        <v>0</v>
      </c>
      <c r="U263" s="65" t="b">
        <f>FALSE()</f>
        <v>0</v>
      </c>
      <c r="V263" s="65">
        <v>316</v>
      </c>
      <c r="W263" s="67" t="s">
        <v>259</v>
      </c>
      <c r="X263" s="65">
        <v>429</v>
      </c>
      <c r="Y263" s="68">
        <v>2.66</v>
      </c>
      <c r="Z263" s="65" t="b">
        <f>FALSE()</f>
        <v>0</v>
      </c>
      <c r="AA263" s="65" t="b">
        <f>TRUE()</f>
        <v>1</v>
      </c>
      <c r="AB263" s="65" t="b">
        <f>FALSE()</f>
        <v>0</v>
      </c>
      <c r="AC263" s="65" t="b">
        <f>FALSE()</f>
        <v>0</v>
      </c>
      <c r="AD263" s="65" t="b">
        <f>TRUE()</f>
        <v>1</v>
      </c>
      <c r="AE263" s="65">
        <v>3</v>
      </c>
      <c r="AF263" s="69">
        <v>42.9</v>
      </c>
      <c r="AG263" s="65" t="s">
        <v>73</v>
      </c>
      <c r="AH263" s="65" t="s">
        <v>1098</v>
      </c>
      <c r="AI263">
        <f>IF(AND(OR(Company_Explorer!$B$5="All Companies",$E263=Company_Explorer!$B$5),OR(Company_Explorer!$B$6="All Platforms",$B263=Company_Explorer!$B$6),OR(Company_Explorer!$B$7="All Roles",$D263=Company_Explorer!$B$7),OR(Company_Explorer!$B$8="All Ghost Labels",$AG263=Company_Explorer!$B$8)),1,0)</f>
        <v>0</v>
      </c>
    </row>
    <row r="264" spans="1:35" ht="15" customHeight="1" x14ac:dyDescent="0.3">
      <c r="A264" s="60" t="s">
        <v>1099</v>
      </c>
      <c r="B264" s="60" t="s">
        <v>80</v>
      </c>
      <c r="C264" s="60" t="s">
        <v>258</v>
      </c>
      <c r="D264" s="60" t="s">
        <v>125</v>
      </c>
      <c r="E264" s="60" t="s">
        <v>141</v>
      </c>
      <c r="F264" s="60" t="b">
        <f>TRUE()</f>
        <v>1</v>
      </c>
      <c r="G264" s="60" t="s">
        <v>179</v>
      </c>
      <c r="H264" s="60" t="s">
        <v>254</v>
      </c>
      <c r="I264" s="61">
        <v>46205</v>
      </c>
      <c r="J264" s="61">
        <v>46210</v>
      </c>
      <c r="K264" s="60">
        <v>5</v>
      </c>
      <c r="L264" s="60" t="s">
        <v>192</v>
      </c>
      <c r="M264" s="60" t="s">
        <v>184</v>
      </c>
      <c r="N264" s="60" t="b">
        <f>FALSE()</f>
        <v>0</v>
      </c>
      <c r="O264" s="60"/>
      <c r="P264" s="60"/>
      <c r="Q264" s="60" t="s">
        <v>236</v>
      </c>
      <c r="R264" s="60" t="s">
        <v>237</v>
      </c>
      <c r="S264" s="60"/>
      <c r="T264" s="60" t="b">
        <f>FALSE()</f>
        <v>0</v>
      </c>
      <c r="U264" s="60" t="b">
        <f>FALSE()</f>
        <v>0</v>
      </c>
      <c r="V264" s="60">
        <v>336</v>
      </c>
      <c r="W264" s="62" t="s">
        <v>259</v>
      </c>
      <c r="X264" s="60">
        <v>429</v>
      </c>
      <c r="Y264" s="63">
        <v>2.66</v>
      </c>
      <c r="Z264" s="60" t="b">
        <f>FALSE()</f>
        <v>0</v>
      </c>
      <c r="AA264" s="60" t="b">
        <f>TRUE()</f>
        <v>1</v>
      </c>
      <c r="AB264" s="60" t="b">
        <f>FALSE()</f>
        <v>0</v>
      </c>
      <c r="AC264" s="60" t="b">
        <f>FALSE()</f>
        <v>0</v>
      </c>
      <c r="AD264" s="60" t="b">
        <f>TRUE()</f>
        <v>1</v>
      </c>
      <c r="AE264" s="60">
        <v>3</v>
      </c>
      <c r="AF264" s="64">
        <v>42.9</v>
      </c>
      <c r="AG264" s="60" t="s">
        <v>73</v>
      </c>
      <c r="AH264" s="60" t="s">
        <v>1100</v>
      </c>
      <c r="AI264">
        <f>IF(AND(OR(Company_Explorer!$B$5="All Companies",$E264=Company_Explorer!$B$5),OR(Company_Explorer!$B$6="All Platforms",$B264=Company_Explorer!$B$6),OR(Company_Explorer!$B$7="All Roles",$D264=Company_Explorer!$B$7),OR(Company_Explorer!$B$8="All Ghost Labels",$AG264=Company_Explorer!$B$8)),1,0)</f>
        <v>0</v>
      </c>
    </row>
    <row r="265" spans="1:35" ht="15" customHeight="1" x14ac:dyDescent="0.3">
      <c r="A265" s="65" t="s">
        <v>1101</v>
      </c>
      <c r="B265" s="65" t="s">
        <v>80</v>
      </c>
      <c r="C265" s="65" t="s">
        <v>258</v>
      </c>
      <c r="D265" s="65" t="s">
        <v>125</v>
      </c>
      <c r="E265" s="65" t="s">
        <v>141</v>
      </c>
      <c r="F265" s="65" t="b">
        <f>TRUE()</f>
        <v>1</v>
      </c>
      <c r="G265" s="65" t="s">
        <v>167</v>
      </c>
      <c r="H265" s="65" t="s">
        <v>276</v>
      </c>
      <c r="I265" s="66">
        <v>46198</v>
      </c>
      <c r="J265" s="66">
        <v>46210</v>
      </c>
      <c r="K265" s="65">
        <v>12</v>
      </c>
      <c r="L265" s="65" t="s">
        <v>192</v>
      </c>
      <c r="M265" s="65" t="s">
        <v>184</v>
      </c>
      <c r="N265" s="65" t="b">
        <f>FALSE()</f>
        <v>0</v>
      </c>
      <c r="O265" s="65"/>
      <c r="P265" s="65"/>
      <c r="Q265" s="65" t="s">
        <v>236</v>
      </c>
      <c r="R265" s="65" t="s">
        <v>237</v>
      </c>
      <c r="S265" s="65"/>
      <c r="T265" s="65" t="b">
        <f>FALSE()</f>
        <v>0</v>
      </c>
      <c r="U265" s="65" t="b">
        <f>FALSE()</f>
        <v>0</v>
      </c>
      <c r="V265" s="65">
        <v>319</v>
      </c>
      <c r="W265" s="67" t="s">
        <v>259</v>
      </c>
      <c r="X265" s="65">
        <v>429</v>
      </c>
      <c r="Y265" s="68">
        <v>2.66</v>
      </c>
      <c r="Z265" s="65" t="b">
        <f>FALSE()</f>
        <v>0</v>
      </c>
      <c r="AA265" s="65" t="b">
        <f>TRUE()</f>
        <v>1</v>
      </c>
      <c r="AB265" s="65" t="b">
        <f>FALSE()</f>
        <v>0</v>
      </c>
      <c r="AC265" s="65" t="b">
        <f>FALSE()</f>
        <v>0</v>
      </c>
      <c r="AD265" s="65" t="b">
        <f>TRUE()</f>
        <v>1</v>
      </c>
      <c r="AE265" s="65">
        <v>3</v>
      </c>
      <c r="AF265" s="69">
        <v>42.9</v>
      </c>
      <c r="AG265" s="65" t="s">
        <v>73</v>
      </c>
      <c r="AH265" s="65" t="s">
        <v>1102</v>
      </c>
      <c r="AI265">
        <f>IF(AND(OR(Company_Explorer!$B$5="All Companies",$E265=Company_Explorer!$B$5),OR(Company_Explorer!$B$6="All Platforms",$B265=Company_Explorer!$B$6),OR(Company_Explorer!$B$7="All Roles",$D265=Company_Explorer!$B$7),OR(Company_Explorer!$B$8="All Ghost Labels",$AG265=Company_Explorer!$B$8)),1,0)</f>
        <v>0</v>
      </c>
    </row>
    <row r="266" spans="1:35" ht="15" customHeight="1" x14ac:dyDescent="0.3">
      <c r="A266" s="60" t="s">
        <v>1103</v>
      </c>
      <c r="B266" s="60" t="s">
        <v>80</v>
      </c>
      <c r="C266" s="60" t="s">
        <v>258</v>
      </c>
      <c r="D266" s="60" t="s">
        <v>125</v>
      </c>
      <c r="E266" s="60" t="s">
        <v>141</v>
      </c>
      <c r="F266" s="60" t="b">
        <f>TRUE()</f>
        <v>1</v>
      </c>
      <c r="G266" s="60" t="s">
        <v>174</v>
      </c>
      <c r="H266" s="60" t="s">
        <v>302</v>
      </c>
      <c r="I266" s="61">
        <v>46200</v>
      </c>
      <c r="J266" s="61">
        <v>46210</v>
      </c>
      <c r="K266" s="60">
        <v>10</v>
      </c>
      <c r="L266" s="60" t="s">
        <v>192</v>
      </c>
      <c r="M266" s="60" t="s">
        <v>184</v>
      </c>
      <c r="N266" s="60" t="b">
        <f>FALSE()</f>
        <v>0</v>
      </c>
      <c r="O266" s="60"/>
      <c r="P266" s="60"/>
      <c r="Q266" s="60" t="s">
        <v>236</v>
      </c>
      <c r="R266" s="60" t="s">
        <v>237</v>
      </c>
      <c r="S266" s="60"/>
      <c r="T266" s="60" t="b">
        <f>FALSE()</f>
        <v>0</v>
      </c>
      <c r="U266" s="60" t="b">
        <f>FALSE()</f>
        <v>0</v>
      </c>
      <c r="V266" s="60">
        <v>318</v>
      </c>
      <c r="W266" s="62" t="s">
        <v>259</v>
      </c>
      <c r="X266" s="60">
        <v>429</v>
      </c>
      <c r="Y266" s="63">
        <v>2.66</v>
      </c>
      <c r="Z266" s="60" t="b">
        <f>FALSE()</f>
        <v>0</v>
      </c>
      <c r="AA266" s="60" t="b">
        <f>TRUE()</f>
        <v>1</v>
      </c>
      <c r="AB266" s="60" t="b">
        <f>FALSE()</f>
        <v>0</v>
      </c>
      <c r="AC266" s="60" t="b">
        <f>FALSE()</f>
        <v>0</v>
      </c>
      <c r="AD266" s="60" t="b">
        <f>TRUE()</f>
        <v>1</v>
      </c>
      <c r="AE266" s="60">
        <v>3</v>
      </c>
      <c r="AF266" s="64">
        <v>42.9</v>
      </c>
      <c r="AG266" s="60" t="s">
        <v>73</v>
      </c>
      <c r="AH266" s="60" t="s">
        <v>1104</v>
      </c>
      <c r="AI266">
        <f>IF(AND(OR(Company_Explorer!$B$5="All Companies",$E266=Company_Explorer!$B$5),OR(Company_Explorer!$B$6="All Platforms",$B266=Company_Explorer!$B$6),OR(Company_Explorer!$B$7="All Roles",$D266=Company_Explorer!$B$7),OR(Company_Explorer!$B$8="All Ghost Labels",$AG266=Company_Explorer!$B$8)),1,0)</f>
        <v>0</v>
      </c>
    </row>
    <row r="267" spans="1:35" ht="15" customHeight="1" x14ac:dyDescent="0.3">
      <c r="A267" s="65" t="s">
        <v>1105</v>
      </c>
      <c r="B267" s="65" t="s">
        <v>80</v>
      </c>
      <c r="C267" s="65" t="s">
        <v>258</v>
      </c>
      <c r="D267" s="65" t="s">
        <v>125</v>
      </c>
      <c r="E267" s="65" t="s">
        <v>141</v>
      </c>
      <c r="F267" s="65" t="b">
        <f>TRUE()</f>
        <v>1</v>
      </c>
      <c r="G267" s="65" t="s">
        <v>166</v>
      </c>
      <c r="H267" s="65" t="s">
        <v>235</v>
      </c>
      <c r="I267" s="66">
        <v>46198</v>
      </c>
      <c r="J267" s="66">
        <v>46210</v>
      </c>
      <c r="K267" s="65">
        <v>12</v>
      </c>
      <c r="L267" s="65" t="s">
        <v>192</v>
      </c>
      <c r="M267" s="65" t="s">
        <v>184</v>
      </c>
      <c r="N267" s="65" t="b">
        <f>FALSE()</f>
        <v>0</v>
      </c>
      <c r="O267" s="65"/>
      <c r="P267" s="65"/>
      <c r="Q267" s="65" t="s">
        <v>236</v>
      </c>
      <c r="R267" s="65" t="s">
        <v>237</v>
      </c>
      <c r="S267" s="65"/>
      <c r="T267" s="65" t="b">
        <f>FALSE()</f>
        <v>0</v>
      </c>
      <c r="U267" s="65" t="b">
        <f>FALSE()</f>
        <v>0</v>
      </c>
      <c r="V267" s="65">
        <v>295</v>
      </c>
      <c r="W267" s="67" t="s">
        <v>259</v>
      </c>
      <c r="X267" s="65">
        <v>429</v>
      </c>
      <c r="Y267" s="68">
        <v>2.66</v>
      </c>
      <c r="Z267" s="65" t="b">
        <f>FALSE()</f>
        <v>0</v>
      </c>
      <c r="AA267" s="65" t="b">
        <f>TRUE()</f>
        <v>1</v>
      </c>
      <c r="AB267" s="65" t="b">
        <f>FALSE()</f>
        <v>0</v>
      </c>
      <c r="AC267" s="65" t="b">
        <f>FALSE()</f>
        <v>0</v>
      </c>
      <c r="AD267" s="65" t="b">
        <f>TRUE()</f>
        <v>1</v>
      </c>
      <c r="AE267" s="65">
        <v>3</v>
      </c>
      <c r="AF267" s="69">
        <v>42.9</v>
      </c>
      <c r="AG267" s="65" t="s">
        <v>73</v>
      </c>
      <c r="AH267" s="65" t="s">
        <v>1106</v>
      </c>
      <c r="AI267">
        <f>IF(AND(OR(Company_Explorer!$B$5="All Companies",$E267=Company_Explorer!$B$5),OR(Company_Explorer!$B$6="All Platforms",$B267=Company_Explorer!$B$6),OR(Company_Explorer!$B$7="All Roles",$D267=Company_Explorer!$B$7),OR(Company_Explorer!$B$8="All Ghost Labels",$AG267=Company_Explorer!$B$8)),1,0)</f>
        <v>0</v>
      </c>
    </row>
    <row r="268" spans="1:35" ht="15" customHeight="1" x14ac:dyDescent="0.3">
      <c r="A268" s="60" t="s">
        <v>1107</v>
      </c>
      <c r="B268" s="60" t="s">
        <v>80</v>
      </c>
      <c r="C268" s="60" t="s">
        <v>258</v>
      </c>
      <c r="D268" s="60" t="s">
        <v>125</v>
      </c>
      <c r="E268" s="60" t="s">
        <v>141</v>
      </c>
      <c r="F268" s="60" t="b">
        <f>TRUE()</f>
        <v>1</v>
      </c>
      <c r="G268" s="60" t="s">
        <v>173</v>
      </c>
      <c r="H268" s="60" t="s">
        <v>827</v>
      </c>
      <c r="I268" s="61">
        <v>46206</v>
      </c>
      <c r="J268" s="61">
        <v>46210</v>
      </c>
      <c r="K268" s="60">
        <v>4</v>
      </c>
      <c r="L268" s="60" t="s">
        <v>192</v>
      </c>
      <c r="M268" s="60" t="s">
        <v>184</v>
      </c>
      <c r="N268" s="60" t="b">
        <f>FALSE()</f>
        <v>0</v>
      </c>
      <c r="O268" s="60"/>
      <c r="P268" s="60"/>
      <c r="Q268" s="60" t="s">
        <v>236</v>
      </c>
      <c r="R268" s="60" t="s">
        <v>237</v>
      </c>
      <c r="S268" s="60"/>
      <c r="T268" s="60" t="b">
        <f>FALSE()</f>
        <v>0</v>
      </c>
      <c r="U268" s="60" t="b">
        <f>FALSE()</f>
        <v>0</v>
      </c>
      <c r="V268" s="60">
        <v>306</v>
      </c>
      <c r="W268" s="62" t="s">
        <v>259</v>
      </c>
      <c r="X268" s="60">
        <v>429</v>
      </c>
      <c r="Y268" s="63">
        <v>2.66</v>
      </c>
      <c r="Z268" s="60" t="b">
        <f>FALSE()</f>
        <v>0</v>
      </c>
      <c r="AA268" s="60" t="b">
        <f>TRUE()</f>
        <v>1</v>
      </c>
      <c r="AB268" s="60" t="b">
        <f>FALSE()</f>
        <v>0</v>
      </c>
      <c r="AC268" s="60" t="b">
        <f>FALSE()</f>
        <v>0</v>
      </c>
      <c r="AD268" s="60" t="b">
        <f>TRUE()</f>
        <v>1</v>
      </c>
      <c r="AE268" s="60">
        <v>3</v>
      </c>
      <c r="AF268" s="64">
        <v>42.9</v>
      </c>
      <c r="AG268" s="60" t="s">
        <v>73</v>
      </c>
      <c r="AH268" s="60" t="s">
        <v>1108</v>
      </c>
      <c r="AI268">
        <f>IF(AND(OR(Company_Explorer!$B$5="All Companies",$E268=Company_Explorer!$B$5),OR(Company_Explorer!$B$6="All Platforms",$B268=Company_Explorer!$B$6),OR(Company_Explorer!$B$7="All Roles",$D268=Company_Explorer!$B$7),OR(Company_Explorer!$B$8="All Ghost Labels",$AG268=Company_Explorer!$B$8)),1,0)</f>
        <v>0</v>
      </c>
    </row>
    <row r="269" spans="1:35" ht="15" customHeight="1" x14ac:dyDescent="0.3">
      <c r="A269" s="65" t="s">
        <v>1109</v>
      </c>
      <c r="B269" s="65" t="s">
        <v>80</v>
      </c>
      <c r="C269" s="65" t="s">
        <v>130</v>
      </c>
      <c r="D269" s="65" t="s">
        <v>130</v>
      </c>
      <c r="E269" s="65" t="s">
        <v>141</v>
      </c>
      <c r="F269" s="65" t="b">
        <f>TRUE()</f>
        <v>1</v>
      </c>
      <c r="G269" s="65" t="s">
        <v>169</v>
      </c>
      <c r="H269" s="65" t="s">
        <v>294</v>
      </c>
      <c r="I269" s="66">
        <v>46198</v>
      </c>
      <c r="J269" s="66">
        <v>46210</v>
      </c>
      <c r="K269" s="65">
        <v>12</v>
      </c>
      <c r="L269" s="65" t="s">
        <v>192</v>
      </c>
      <c r="M269" s="65" t="s">
        <v>184</v>
      </c>
      <c r="N269" s="65" t="b">
        <f>FALSE()</f>
        <v>0</v>
      </c>
      <c r="O269" s="65"/>
      <c r="P269" s="65"/>
      <c r="Q269" s="65" t="s">
        <v>236</v>
      </c>
      <c r="R269" s="65" t="s">
        <v>237</v>
      </c>
      <c r="S269" s="65"/>
      <c r="T269" s="65" t="b">
        <f>FALSE()</f>
        <v>0</v>
      </c>
      <c r="U269" s="65" t="b">
        <f>FALSE()</f>
        <v>0</v>
      </c>
      <c r="V269" s="65">
        <v>327</v>
      </c>
      <c r="W269" s="67" t="s">
        <v>861</v>
      </c>
      <c r="X269" s="65">
        <v>429</v>
      </c>
      <c r="Y269" s="68">
        <v>2.66</v>
      </c>
      <c r="Z269" s="65" t="b">
        <f>FALSE()</f>
        <v>0</v>
      </c>
      <c r="AA269" s="65" t="b">
        <f>TRUE()</f>
        <v>1</v>
      </c>
      <c r="AB269" s="65" t="b">
        <f>FALSE()</f>
        <v>0</v>
      </c>
      <c r="AC269" s="65" t="b">
        <f>FALSE()</f>
        <v>0</v>
      </c>
      <c r="AD269" s="65" t="b">
        <f>TRUE()</f>
        <v>1</v>
      </c>
      <c r="AE269" s="65">
        <v>3</v>
      </c>
      <c r="AF269" s="69">
        <v>42.9</v>
      </c>
      <c r="AG269" s="65" t="s">
        <v>73</v>
      </c>
      <c r="AH269" s="65" t="s">
        <v>1110</v>
      </c>
      <c r="AI269">
        <f>IF(AND(OR(Company_Explorer!$B$5="All Companies",$E269=Company_Explorer!$B$5),OR(Company_Explorer!$B$6="All Platforms",$B269=Company_Explorer!$B$6),OR(Company_Explorer!$B$7="All Roles",$D269=Company_Explorer!$B$7),OR(Company_Explorer!$B$8="All Ghost Labels",$AG269=Company_Explorer!$B$8)),1,0)</f>
        <v>0</v>
      </c>
    </row>
    <row r="270" spans="1:35" ht="15" customHeight="1" x14ac:dyDescent="0.3">
      <c r="A270" s="60" t="s">
        <v>1111</v>
      </c>
      <c r="B270" s="60" t="s">
        <v>80</v>
      </c>
      <c r="C270" s="60" t="s">
        <v>258</v>
      </c>
      <c r="D270" s="60" t="s">
        <v>125</v>
      </c>
      <c r="E270" s="60" t="s">
        <v>141</v>
      </c>
      <c r="F270" s="60" t="b">
        <f>TRUE()</f>
        <v>1</v>
      </c>
      <c r="G270" s="60" t="s">
        <v>170</v>
      </c>
      <c r="H270" s="60" t="s">
        <v>165</v>
      </c>
      <c r="I270" s="61">
        <v>46205</v>
      </c>
      <c r="J270" s="61">
        <v>46210</v>
      </c>
      <c r="K270" s="60">
        <v>5</v>
      </c>
      <c r="L270" s="60" t="s">
        <v>192</v>
      </c>
      <c r="M270" s="60" t="s">
        <v>184</v>
      </c>
      <c r="N270" s="60" t="b">
        <f>FALSE()</f>
        <v>0</v>
      </c>
      <c r="O270" s="60"/>
      <c r="P270" s="60"/>
      <c r="Q270" s="60" t="s">
        <v>236</v>
      </c>
      <c r="R270" s="60" t="s">
        <v>237</v>
      </c>
      <c r="S270" s="60"/>
      <c r="T270" s="60" t="b">
        <f>FALSE()</f>
        <v>0</v>
      </c>
      <c r="U270" s="60" t="b">
        <f>FALSE()</f>
        <v>0</v>
      </c>
      <c r="V270" s="60">
        <v>318</v>
      </c>
      <c r="W270" s="62" t="s">
        <v>259</v>
      </c>
      <c r="X270" s="60">
        <v>429</v>
      </c>
      <c r="Y270" s="63">
        <v>2.66</v>
      </c>
      <c r="Z270" s="60" t="b">
        <f>FALSE()</f>
        <v>0</v>
      </c>
      <c r="AA270" s="60" t="b">
        <f>TRUE()</f>
        <v>1</v>
      </c>
      <c r="AB270" s="60" t="b">
        <f>FALSE()</f>
        <v>0</v>
      </c>
      <c r="AC270" s="60" t="b">
        <f>FALSE()</f>
        <v>0</v>
      </c>
      <c r="AD270" s="60" t="b">
        <f>TRUE()</f>
        <v>1</v>
      </c>
      <c r="AE270" s="60">
        <v>3</v>
      </c>
      <c r="AF270" s="64">
        <v>42.9</v>
      </c>
      <c r="AG270" s="60" t="s">
        <v>73</v>
      </c>
      <c r="AH270" s="60" t="s">
        <v>1112</v>
      </c>
      <c r="AI270">
        <f>IF(AND(OR(Company_Explorer!$B$5="All Companies",$E270=Company_Explorer!$B$5),OR(Company_Explorer!$B$6="All Platforms",$B270=Company_Explorer!$B$6),OR(Company_Explorer!$B$7="All Roles",$D270=Company_Explorer!$B$7),OR(Company_Explorer!$B$8="All Ghost Labels",$AG270=Company_Explorer!$B$8)),1,0)</f>
        <v>0</v>
      </c>
    </row>
    <row r="271" spans="1:35" ht="15" customHeight="1" x14ac:dyDescent="0.3">
      <c r="A271" s="65" t="s">
        <v>1113</v>
      </c>
      <c r="B271" s="65" t="s">
        <v>80</v>
      </c>
      <c r="C271" s="65" t="s">
        <v>258</v>
      </c>
      <c r="D271" s="65" t="s">
        <v>125</v>
      </c>
      <c r="E271" s="65" t="s">
        <v>141</v>
      </c>
      <c r="F271" s="65" t="b">
        <f>TRUE()</f>
        <v>1</v>
      </c>
      <c r="G271" s="65" t="s">
        <v>170</v>
      </c>
      <c r="H271" s="65" t="s">
        <v>165</v>
      </c>
      <c r="I271" s="66">
        <v>46205</v>
      </c>
      <c r="J271" s="66">
        <v>46210</v>
      </c>
      <c r="K271" s="65">
        <v>5</v>
      </c>
      <c r="L271" s="65" t="s">
        <v>192</v>
      </c>
      <c r="M271" s="65" t="s">
        <v>184</v>
      </c>
      <c r="N271" s="65" t="b">
        <f>FALSE()</f>
        <v>0</v>
      </c>
      <c r="O271" s="65"/>
      <c r="P271" s="65"/>
      <c r="Q271" s="65" t="s">
        <v>236</v>
      </c>
      <c r="R271" s="65" t="s">
        <v>237</v>
      </c>
      <c r="S271" s="65"/>
      <c r="T271" s="65" t="b">
        <f>FALSE()</f>
        <v>0</v>
      </c>
      <c r="U271" s="65" t="b">
        <f>FALSE()</f>
        <v>0</v>
      </c>
      <c r="V271" s="65">
        <v>329</v>
      </c>
      <c r="W271" s="67" t="s">
        <v>259</v>
      </c>
      <c r="X271" s="65">
        <v>429</v>
      </c>
      <c r="Y271" s="68">
        <v>2.66</v>
      </c>
      <c r="Z271" s="65" t="b">
        <f>FALSE()</f>
        <v>0</v>
      </c>
      <c r="AA271" s="65" t="b">
        <f>TRUE()</f>
        <v>1</v>
      </c>
      <c r="AB271" s="65" t="b">
        <f>FALSE()</f>
        <v>0</v>
      </c>
      <c r="AC271" s="65" t="b">
        <f>FALSE()</f>
        <v>0</v>
      </c>
      <c r="AD271" s="65" t="b">
        <f>TRUE()</f>
        <v>1</v>
      </c>
      <c r="AE271" s="65">
        <v>3</v>
      </c>
      <c r="AF271" s="69">
        <v>42.9</v>
      </c>
      <c r="AG271" s="65" t="s">
        <v>73</v>
      </c>
      <c r="AH271" s="65" t="s">
        <v>1114</v>
      </c>
      <c r="AI271">
        <f>IF(AND(OR(Company_Explorer!$B$5="All Companies",$E271=Company_Explorer!$B$5),OR(Company_Explorer!$B$6="All Platforms",$B271=Company_Explorer!$B$6),OR(Company_Explorer!$B$7="All Roles",$D271=Company_Explorer!$B$7),OR(Company_Explorer!$B$8="All Ghost Labels",$AG271=Company_Explorer!$B$8)),1,0)</f>
        <v>0</v>
      </c>
    </row>
    <row r="272" spans="1:35" ht="15" customHeight="1" x14ac:dyDescent="0.3">
      <c r="A272" s="60" t="s">
        <v>1115</v>
      </c>
      <c r="B272" s="60" t="s">
        <v>80</v>
      </c>
      <c r="C272" s="60" t="s">
        <v>258</v>
      </c>
      <c r="D272" s="60" t="s">
        <v>125</v>
      </c>
      <c r="E272" s="60" t="s">
        <v>141</v>
      </c>
      <c r="F272" s="60" t="b">
        <f>TRUE()</f>
        <v>1</v>
      </c>
      <c r="G272" s="60" t="s">
        <v>167</v>
      </c>
      <c r="H272" s="60" t="s">
        <v>276</v>
      </c>
      <c r="I272" s="61">
        <v>46198</v>
      </c>
      <c r="J272" s="61">
        <v>46210</v>
      </c>
      <c r="K272" s="60">
        <v>12</v>
      </c>
      <c r="L272" s="60" t="s">
        <v>192</v>
      </c>
      <c r="M272" s="60" t="s">
        <v>184</v>
      </c>
      <c r="N272" s="60" t="b">
        <f>FALSE()</f>
        <v>0</v>
      </c>
      <c r="O272" s="60"/>
      <c r="P272" s="60"/>
      <c r="Q272" s="60" t="s">
        <v>236</v>
      </c>
      <c r="R272" s="60" t="s">
        <v>237</v>
      </c>
      <c r="S272" s="60"/>
      <c r="T272" s="60" t="b">
        <f>FALSE()</f>
        <v>0</v>
      </c>
      <c r="U272" s="60" t="b">
        <f>FALSE()</f>
        <v>0</v>
      </c>
      <c r="V272" s="60">
        <v>296</v>
      </c>
      <c r="W272" s="62" t="s">
        <v>259</v>
      </c>
      <c r="X272" s="60">
        <v>429</v>
      </c>
      <c r="Y272" s="63">
        <v>2.66</v>
      </c>
      <c r="Z272" s="60" t="b">
        <f>FALSE()</f>
        <v>0</v>
      </c>
      <c r="AA272" s="60" t="b">
        <f>TRUE()</f>
        <v>1</v>
      </c>
      <c r="AB272" s="60" t="b">
        <f>FALSE()</f>
        <v>0</v>
      </c>
      <c r="AC272" s="60" t="b">
        <f>FALSE()</f>
        <v>0</v>
      </c>
      <c r="AD272" s="60" t="b">
        <f>TRUE()</f>
        <v>1</v>
      </c>
      <c r="AE272" s="60">
        <v>3</v>
      </c>
      <c r="AF272" s="64">
        <v>42.9</v>
      </c>
      <c r="AG272" s="60" t="s">
        <v>73</v>
      </c>
      <c r="AH272" s="60" t="s">
        <v>1116</v>
      </c>
      <c r="AI272">
        <f>IF(AND(OR(Company_Explorer!$B$5="All Companies",$E272=Company_Explorer!$B$5),OR(Company_Explorer!$B$6="All Platforms",$B272=Company_Explorer!$B$6),OR(Company_Explorer!$B$7="All Roles",$D272=Company_Explorer!$B$7),OR(Company_Explorer!$B$8="All Ghost Labels",$AG272=Company_Explorer!$B$8)),1,0)</f>
        <v>0</v>
      </c>
    </row>
    <row r="273" spans="1:35" ht="15" customHeight="1" x14ac:dyDescent="0.3">
      <c r="A273" s="65" t="s">
        <v>1117</v>
      </c>
      <c r="B273" s="65" t="s">
        <v>80</v>
      </c>
      <c r="C273" s="65" t="s">
        <v>258</v>
      </c>
      <c r="D273" s="65" t="s">
        <v>125</v>
      </c>
      <c r="E273" s="65" t="s">
        <v>141</v>
      </c>
      <c r="F273" s="65" t="b">
        <f>TRUE()</f>
        <v>1</v>
      </c>
      <c r="G273" s="65" t="s">
        <v>179</v>
      </c>
      <c r="H273" s="65" t="s">
        <v>254</v>
      </c>
      <c r="I273" s="66">
        <v>46205</v>
      </c>
      <c r="J273" s="66">
        <v>46210</v>
      </c>
      <c r="K273" s="65">
        <v>5</v>
      </c>
      <c r="L273" s="65" t="s">
        <v>192</v>
      </c>
      <c r="M273" s="65" t="s">
        <v>184</v>
      </c>
      <c r="N273" s="65" t="b">
        <f>FALSE()</f>
        <v>0</v>
      </c>
      <c r="O273" s="65"/>
      <c r="P273" s="65"/>
      <c r="Q273" s="65" t="s">
        <v>236</v>
      </c>
      <c r="R273" s="65" t="s">
        <v>237</v>
      </c>
      <c r="S273" s="65"/>
      <c r="T273" s="65" t="b">
        <f>FALSE()</f>
        <v>0</v>
      </c>
      <c r="U273" s="65" t="b">
        <f>FALSE()</f>
        <v>0</v>
      </c>
      <c r="V273" s="65">
        <v>332</v>
      </c>
      <c r="W273" s="67" t="s">
        <v>259</v>
      </c>
      <c r="X273" s="65">
        <v>429</v>
      </c>
      <c r="Y273" s="68">
        <v>2.66</v>
      </c>
      <c r="Z273" s="65" t="b">
        <f>FALSE()</f>
        <v>0</v>
      </c>
      <c r="AA273" s="65" t="b">
        <f>TRUE()</f>
        <v>1</v>
      </c>
      <c r="AB273" s="65" t="b">
        <f>FALSE()</f>
        <v>0</v>
      </c>
      <c r="AC273" s="65" t="b">
        <f>FALSE()</f>
        <v>0</v>
      </c>
      <c r="AD273" s="65" t="b">
        <f>TRUE()</f>
        <v>1</v>
      </c>
      <c r="AE273" s="65">
        <v>3</v>
      </c>
      <c r="AF273" s="69">
        <v>42.9</v>
      </c>
      <c r="AG273" s="65" t="s">
        <v>73</v>
      </c>
      <c r="AH273" s="65" t="s">
        <v>1118</v>
      </c>
      <c r="AI273">
        <f>IF(AND(OR(Company_Explorer!$B$5="All Companies",$E273=Company_Explorer!$B$5),OR(Company_Explorer!$B$6="All Platforms",$B273=Company_Explorer!$B$6),OR(Company_Explorer!$B$7="All Roles",$D273=Company_Explorer!$B$7),OR(Company_Explorer!$B$8="All Ghost Labels",$AG273=Company_Explorer!$B$8)),1,0)</f>
        <v>0</v>
      </c>
    </row>
    <row r="274" spans="1:35" ht="15" customHeight="1" x14ac:dyDescent="0.3">
      <c r="A274" s="60" t="s">
        <v>1119</v>
      </c>
      <c r="B274" s="60" t="s">
        <v>80</v>
      </c>
      <c r="C274" s="60" t="s">
        <v>258</v>
      </c>
      <c r="D274" s="60" t="s">
        <v>125</v>
      </c>
      <c r="E274" s="60" t="s">
        <v>141</v>
      </c>
      <c r="F274" s="60" t="b">
        <f>TRUE()</f>
        <v>1</v>
      </c>
      <c r="G274" s="60" t="s">
        <v>168</v>
      </c>
      <c r="H274" s="60" t="s">
        <v>254</v>
      </c>
      <c r="I274" s="61">
        <v>46203</v>
      </c>
      <c r="J274" s="61">
        <v>46210</v>
      </c>
      <c r="K274" s="60">
        <v>7</v>
      </c>
      <c r="L274" s="60" t="s">
        <v>192</v>
      </c>
      <c r="M274" s="60" t="s">
        <v>184</v>
      </c>
      <c r="N274" s="60" t="b">
        <f>FALSE()</f>
        <v>0</v>
      </c>
      <c r="O274" s="60"/>
      <c r="P274" s="60"/>
      <c r="Q274" s="60" t="s">
        <v>236</v>
      </c>
      <c r="R274" s="60" t="s">
        <v>237</v>
      </c>
      <c r="S274" s="60"/>
      <c r="T274" s="60" t="b">
        <f>FALSE()</f>
        <v>0</v>
      </c>
      <c r="U274" s="60" t="b">
        <f>FALSE()</f>
        <v>0</v>
      </c>
      <c r="V274" s="60">
        <v>321</v>
      </c>
      <c r="W274" s="62" t="s">
        <v>259</v>
      </c>
      <c r="X274" s="60">
        <v>429</v>
      </c>
      <c r="Y274" s="63">
        <v>2.66</v>
      </c>
      <c r="Z274" s="60" t="b">
        <f>FALSE()</f>
        <v>0</v>
      </c>
      <c r="AA274" s="60" t="b">
        <f>TRUE()</f>
        <v>1</v>
      </c>
      <c r="AB274" s="60" t="b">
        <f>FALSE()</f>
        <v>0</v>
      </c>
      <c r="AC274" s="60" t="b">
        <f>FALSE()</f>
        <v>0</v>
      </c>
      <c r="AD274" s="60" t="b">
        <f>TRUE()</f>
        <v>1</v>
      </c>
      <c r="AE274" s="60">
        <v>3</v>
      </c>
      <c r="AF274" s="64">
        <v>42.9</v>
      </c>
      <c r="AG274" s="60" t="s">
        <v>73</v>
      </c>
      <c r="AH274" s="60" t="s">
        <v>1120</v>
      </c>
      <c r="AI274">
        <f>IF(AND(OR(Company_Explorer!$B$5="All Companies",$E274=Company_Explorer!$B$5),OR(Company_Explorer!$B$6="All Platforms",$B274=Company_Explorer!$B$6),OR(Company_Explorer!$B$7="All Roles",$D274=Company_Explorer!$B$7),OR(Company_Explorer!$B$8="All Ghost Labels",$AG274=Company_Explorer!$B$8)),1,0)</f>
        <v>0</v>
      </c>
    </row>
    <row r="275" spans="1:35" ht="15" customHeight="1" x14ac:dyDescent="0.3">
      <c r="A275" s="65" t="s">
        <v>1121</v>
      </c>
      <c r="B275" s="65" t="s">
        <v>80</v>
      </c>
      <c r="C275" s="65" t="s">
        <v>258</v>
      </c>
      <c r="D275" s="65" t="s">
        <v>125</v>
      </c>
      <c r="E275" s="65" t="s">
        <v>141</v>
      </c>
      <c r="F275" s="65" t="b">
        <f>TRUE()</f>
        <v>1</v>
      </c>
      <c r="G275" s="65" t="s">
        <v>172</v>
      </c>
      <c r="H275" s="65" t="s">
        <v>276</v>
      </c>
      <c r="I275" s="66">
        <v>46198</v>
      </c>
      <c r="J275" s="66">
        <v>46210</v>
      </c>
      <c r="K275" s="65">
        <v>12</v>
      </c>
      <c r="L275" s="65" t="s">
        <v>192</v>
      </c>
      <c r="M275" s="65" t="s">
        <v>184</v>
      </c>
      <c r="N275" s="65" t="b">
        <f>FALSE()</f>
        <v>0</v>
      </c>
      <c r="O275" s="65"/>
      <c r="P275" s="65"/>
      <c r="Q275" s="65" t="s">
        <v>236</v>
      </c>
      <c r="R275" s="65" t="s">
        <v>237</v>
      </c>
      <c r="S275" s="65"/>
      <c r="T275" s="65" t="b">
        <f>FALSE()</f>
        <v>0</v>
      </c>
      <c r="U275" s="65" t="b">
        <f>FALSE()</f>
        <v>0</v>
      </c>
      <c r="V275" s="65">
        <v>314</v>
      </c>
      <c r="W275" s="67" t="s">
        <v>1122</v>
      </c>
      <c r="X275" s="65">
        <v>429</v>
      </c>
      <c r="Y275" s="68">
        <v>2.66</v>
      </c>
      <c r="Z275" s="65" t="b">
        <f>FALSE()</f>
        <v>0</v>
      </c>
      <c r="AA275" s="65" t="b">
        <f>TRUE()</f>
        <v>1</v>
      </c>
      <c r="AB275" s="65" t="b">
        <f>FALSE()</f>
        <v>0</v>
      </c>
      <c r="AC275" s="65" t="b">
        <f>FALSE()</f>
        <v>0</v>
      </c>
      <c r="AD275" s="65" t="b">
        <f>TRUE()</f>
        <v>1</v>
      </c>
      <c r="AE275" s="65">
        <v>3</v>
      </c>
      <c r="AF275" s="69">
        <v>42.9</v>
      </c>
      <c r="AG275" s="65" t="s">
        <v>73</v>
      </c>
      <c r="AH275" s="65" t="s">
        <v>1123</v>
      </c>
      <c r="AI275">
        <f>IF(AND(OR(Company_Explorer!$B$5="All Companies",$E275=Company_Explorer!$B$5),OR(Company_Explorer!$B$6="All Platforms",$B275=Company_Explorer!$B$6),OR(Company_Explorer!$B$7="All Roles",$D275=Company_Explorer!$B$7),OR(Company_Explorer!$B$8="All Ghost Labels",$AG275=Company_Explorer!$B$8)),1,0)</f>
        <v>0</v>
      </c>
    </row>
    <row r="276" spans="1:35" ht="15" customHeight="1" x14ac:dyDescent="0.3">
      <c r="A276" s="60" t="s">
        <v>1124</v>
      </c>
      <c r="B276" s="60" t="s">
        <v>80</v>
      </c>
      <c r="C276" s="60" t="s">
        <v>130</v>
      </c>
      <c r="D276" s="60" t="s">
        <v>130</v>
      </c>
      <c r="E276" s="60" t="s">
        <v>141</v>
      </c>
      <c r="F276" s="60" t="b">
        <f>TRUE()</f>
        <v>1</v>
      </c>
      <c r="G276" s="60" t="s">
        <v>949</v>
      </c>
      <c r="H276" s="60" t="s">
        <v>254</v>
      </c>
      <c r="I276" s="61">
        <v>46198</v>
      </c>
      <c r="J276" s="61">
        <v>46210</v>
      </c>
      <c r="K276" s="60">
        <v>12</v>
      </c>
      <c r="L276" s="60" t="s">
        <v>192</v>
      </c>
      <c r="M276" s="60" t="s">
        <v>184</v>
      </c>
      <c r="N276" s="60" t="b">
        <f>FALSE()</f>
        <v>0</v>
      </c>
      <c r="O276" s="60"/>
      <c r="P276" s="60"/>
      <c r="Q276" s="60" t="s">
        <v>236</v>
      </c>
      <c r="R276" s="60" t="s">
        <v>237</v>
      </c>
      <c r="S276" s="60"/>
      <c r="T276" s="60" t="b">
        <f>FALSE()</f>
        <v>0</v>
      </c>
      <c r="U276" s="60" t="b">
        <f>FALSE()</f>
        <v>0</v>
      </c>
      <c r="V276" s="60">
        <v>326</v>
      </c>
      <c r="W276" s="62" t="s">
        <v>861</v>
      </c>
      <c r="X276" s="60">
        <v>429</v>
      </c>
      <c r="Y276" s="63">
        <v>2.66</v>
      </c>
      <c r="Z276" s="60" t="b">
        <f>FALSE()</f>
        <v>0</v>
      </c>
      <c r="AA276" s="60" t="b">
        <f>TRUE()</f>
        <v>1</v>
      </c>
      <c r="AB276" s="60" t="b">
        <f>FALSE()</f>
        <v>0</v>
      </c>
      <c r="AC276" s="60" t="b">
        <f>FALSE()</f>
        <v>0</v>
      </c>
      <c r="AD276" s="60" t="b">
        <f>TRUE()</f>
        <v>1</v>
      </c>
      <c r="AE276" s="60">
        <v>3</v>
      </c>
      <c r="AF276" s="64">
        <v>42.9</v>
      </c>
      <c r="AG276" s="60" t="s">
        <v>73</v>
      </c>
      <c r="AH276" s="60" t="s">
        <v>1125</v>
      </c>
      <c r="AI276">
        <f>IF(AND(OR(Company_Explorer!$B$5="All Companies",$E276=Company_Explorer!$B$5),OR(Company_Explorer!$B$6="All Platforms",$B276=Company_Explorer!$B$6),OR(Company_Explorer!$B$7="All Roles",$D276=Company_Explorer!$B$7),OR(Company_Explorer!$B$8="All Ghost Labels",$AG276=Company_Explorer!$B$8)),1,0)</f>
        <v>0</v>
      </c>
    </row>
    <row r="277" spans="1:35" ht="15" customHeight="1" x14ac:dyDescent="0.3">
      <c r="A277" s="65" t="s">
        <v>1126</v>
      </c>
      <c r="B277" s="65" t="s">
        <v>80</v>
      </c>
      <c r="C277" s="65" t="s">
        <v>258</v>
      </c>
      <c r="D277" s="65" t="s">
        <v>125</v>
      </c>
      <c r="E277" s="65" t="s">
        <v>141</v>
      </c>
      <c r="F277" s="65" t="b">
        <f>TRUE()</f>
        <v>1</v>
      </c>
      <c r="G277" s="65" t="s">
        <v>173</v>
      </c>
      <c r="H277" s="65" t="s">
        <v>827</v>
      </c>
      <c r="I277" s="66">
        <v>46198</v>
      </c>
      <c r="J277" s="66">
        <v>46210</v>
      </c>
      <c r="K277" s="65">
        <v>12</v>
      </c>
      <c r="L277" s="65" t="s">
        <v>192</v>
      </c>
      <c r="M277" s="65" t="s">
        <v>184</v>
      </c>
      <c r="N277" s="65" t="b">
        <f>FALSE()</f>
        <v>0</v>
      </c>
      <c r="O277" s="65"/>
      <c r="P277" s="65"/>
      <c r="Q277" s="65" t="s">
        <v>236</v>
      </c>
      <c r="R277" s="65" t="s">
        <v>237</v>
      </c>
      <c r="S277" s="65"/>
      <c r="T277" s="65" t="b">
        <f>FALSE()</f>
        <v>0</v>
      </c>
      <c r="U277" s="65" t="b">
        <f>FALSE()</f>
        <v>0</v>
      </c>
      <c r="V277" s="65">
        <v>751</v>
      </c>
      <c r="W277" s="67" t="s">
        <v>259</v>
      </c>
      <c r="X277" s="65">
        <v>429</v>
      </c>
      <c r="Y277" s="68">
        <v>2.66</v>
      </c>
      <c r="Z277" s="65" t="b">
        <f>FALSE()</f>
        <v>0</v>
      </c>
      <c r="AA277" s="65" t="b">
        <f>TRUE()</f>
        <v>1</v>
      </c>
      <c r="AB277" s="65" t="b">
        <f>FALSE()</f>
        <v>0</v>
      </c>
      <c r="AC277" s="65" t="b">
        <f>FALSE()</f>
        <v>0</v>
      </c>
      <c r="AD277" s="65" t="b">
        <f>TRUE()</f>
        <v>1</v>
      </c>
      <c r="AE277" s="65">
        <v>3</v>
      </c>
      <c r="AF277" s="69">
        <v>42.9</v>
      </c>
      <c r="AG277" s="65" t="s">
        <v>73</v>
      </c>
      <c r="AH277" s="65" t="s">
        <v>1127</v>
      </c>
      <c r="AI277">
        <f>IF(AND(OR(Company_Explorer!$B$5="All Companies",$E277=Company_Explorer!$B$5),OR(Company_Explorer!$B$6="All Platforms",$B277=Company_Explorer!$B$6),OR(Company_Explorer!$B$7="All Roles",$D277=Company_Explorer!$B$7),OR(Company_Explorer!$B$8="All Ghost Labels",$AG277=Company_Explorer!$B$8)),1,0)</f>
        <v>0</v>
      </c>
    </row>
    <row r="278" spans="1:35" ht="15" customHeight="1" x14ac:dyDescent="0.3">
      <c r="A278" s="60" t="s">
        <v>1128</v>
      </c>
      <c r="B278" s="60" t="s">
        <v>80</v>
      </c>
      <c r="C278" s="60" t="s">
        <v>258</v>
      </c>
      <c r="D278" s="60" t="s">
        <v>125</v>
      </c>
      <c r="E278" s="60" t="s">
        <v>141</v>
      </c>
      <c r="F278" s="60" t="b">
        <f>TRUE()</f>
        <v>1</v>
      </c>
      <c r="G278" s="60" t="s">
        <v>167</v>
      </c>
      <c r="H278" s="60" t="s">
        <v>276</v>
      </c>
      <c r="I278" s="61">
        <v>46198</v>
      </c>
      <c r="J278" s="61">
        <v>46210</v>
      </c>
      <c r="K278" s="60">
        <v>12</v>
      </c>
      <c r="L278" s="60" t="s">
        <v>192</v>
      </c>
      <c r="M278" s="60" t="s">
        <v>184</v>
      </c>
      <c r="N278" s="60" t="b">
        <f>FALSE()</f>
        <v>0</v>
      </c>
      <c r="O278" s="60"/>
      <c r="P278" s="60"/>
      <c r="Q278" s="60" t="s">
        <v>236</v>
      </c>
      <c r="R278" s="60" t="s">
        <v>237</v>
      </c>
      <c r="S278" s="60"/>
      <c r="T278" s="60" t="b">
        <f>FALSE()</f>
        <v>0</v>
      </c>
      <c r="U278" s="60" t="b">
        <f>FALSE()</f>
        <v>0</v>
      </c>
      <c r="V278" s="60">
        <v>315</v>
      </c>
      <c r="W278" s="62" t="s">
        <v>259</v>
      </c>
      <c r="X278" s="60">
        <v>429</v>
      </c>
      <c r="Y278" s="63">
        <v>2.66</v>
      </c>
      <c r="Z278" s="60" t="b">
        <f>FALSE()</f>
        <v>0</v>
      </c>
      <c r="AA278" s="60" t="b">
        <f>TRUE()</f>
        <v>1</v>
      </c>
      <c r="AB278" s="60" t="b">
        <f>FALSE()</f>
        <v>0</v>
      </c>
      <c r="AC278" s="60" t="b">
        <f>FALSE()</f>
        <v>0</v>
      </c>
      <c r="AD278" s="60" t="b">
        <f>TRUE()</f>
        <v>1</v>
      </c>
      <c r="AE278" s="60">
        <v>3</v>
      </c>
      <c r="AF278" s="64">
        <v>42.9</v>
      </c>
      <c r="AG278" s="60" t="s">
        <v>73</v>
      </c>
      <c r="AH278" s="60" t="s">
        <v>1129</v>
      </c>
      <c r="AI278">
        <f>IF(AND(OR(Company_Explorer!$B$5="All Companies",$E278=Company_Explorer!$B$5),OR(Company_Explorer!$B$6="All Platforms",$B278=Company_Explorer!$B$6),OR(Company_Explorer!$B$7="All Roles",$D278=Company_Explorer!$B$7),OR(Company_Explorer!$B$8="All Ghost Labels",$AG278=Company_Explorer!$B$8)),1,0)</f>
        <v>0</v>
      </c>
    </row>
    <row r="279" spans="1:35" ht="15" customHeight="1" x14ac:dyDescent="0.3">
      <c r="A279" s="65" t="s">
        <v>1130</v>
      </c>
      <c r="B279" s="65" t="s">
        <v>80</v>
      </c>
      <c r="C279" s="65" t="s">
        <v>258</v>
      </c>
      <c r="D279" s="65" t="s">
        <v>125</v>
      </c>
      <c r="E279" s="65" t="s">
        <v>141</v>
      </c>
      <c r="F279" s="65" t="b">
        <f>TRUE()</f>
        <v>1</v>
      </c>
      <c r="G279" s="65" t="s">
        <v>170</v>
      </c>
      <c r="H279" s="65" t="s">
        <v>165</v>
      </c>
      <c r="I279" s="66">
        <v>46198</v>
      </c>
      <c r="J279" s="66">
        <v>46210</v>
      </c>
      <c r="K279" s="65">
        <v>12</v>
      </c>
      <c r="L279" s="65" t="s">
        <v>192</v>
      </c>
      <c r="M279" s="65" t="s">
        <v>184</v>
      </c>
      <c r="N279" s="65" t="b">
        <f>FALSE()</f>
        <v>0</v>
      </c>
      <c r="O279" s="65"/>
      <c r="P279" s="65"/>
      <c r="Q279" s="65" t="s">
        <v>236</v>
      </c>
      <c r="R279" s="65" t="s">
        <v>237</v>
      </c>
      <c r="S279" s="65"/>
      <c r="T279" s="65" t="b">
        <f>FALSE()</f>
        <v>0</v>
      </c>
      <c r="U279" s="65" t="b">
        <f>FALSE()</f>
        <v>0</v>
      </c>
      <c r="V279" s="65">
        <v>336</v>
      </c>
      <c r="W279" s="67" t="s">
        <v>259</v>
      </c>
      <c r="X279" s="65">
        <v>429</v>
      </c>
      <c r="Y279" s="68">
        <v>2.66</v>
      </c>
      <c r="Z279" s="65" t="b">
        <f>FALSE()</f>
        <v>0</v>
      </c>
      <c r="AA279" s="65" t="b">
        <f>TRUE()</f>
        <v>1</v>
      </c>
      <c r="AB279" s="65" t="b">
        <f>FALSE()</f>
        <v>0</v>
      </c>
      <c r="AC279" s="65" t="b">
        <f>FALSE()</f>
        <v>0</v>
      </c>
      <c r="AD279" s="65" t="b">
        <f>TRUE()</f>
        <v>1</v>
      </c>
      <c r="AE279" s="65">
        <v>3</v>
      </c>
      <c r="AF279" s="69">
        <v>42.9</v>
      </c>
      <c r="AG279" s="65" t="s">
        <v>73</v>
      </c>
      <c r="AH279" s="65" t="s">
        <v>1131</v>
      </c>
      <c r="AI279">
        <f>IF(AND(OR(Company_Explorer!$B$5="All Companies",$E279=Company_Explorer!$B$5),OR(Company_Explorer!$B$6="All Platforms",$B279=Company_Explorer!$B$6),OR(Company_Explorer!$B$7="All Roles",$D279=Company_Explorer!$B$7),OR(Company_Explorer!$B$8="All Ghost Labels",$AG279=Company_Explorer!$B$8)),1,0)</f>
        <v>0</v>
      </c>
    </row>
    <row r="280" spans="1:35" ht="15" customHeight="1" x14ac:dyDescent="0.3">
      <c r="A280" s="60" t="s">
        <v>1132</v>
      </c>
      <c r="B280" s="60" t="s">
        <v>80</v>
      </c>
      <c r="C280" s="60" t="s">
        <v>258</v>
      </c>
      <c r="D280" s="60" t="s">
        <v>125</v>
      </c>
      <c r="E280" s="60" t="s">
        <v>141</v>
      </c>
      <c r="F280" s="60" t="b">
        <f>TRUE()</f>
        <v>1</v>
      </c>
      <c r="G280" s="60" t="s">
        <v>173</v>
      </c>
      <c r="H280" s="60" t="s">
        <v>827</v>
      </c>
      <c r="I280" s="61">
        <v>46198</v>
      </c>
      <c r="J280" s="61">
        <v>46210</v>
      </c>
      <c r="K280" s="60">
        <v>12</v>
      </c>
      <c r="L280" s="60" t="s">
        <v>192</v>
      </c>
      <c r="M280" s="60" t="s">
        <v>184</v>
      </c>
      <c r="N280" s="60" t="b">
        <f>FALSE()</f>
        <v>0</v>
      </c>
      <c r="O280" s="60"/>
      <c r="P280" s="60"/>
      <c r="Q280" s="60" t="s">
        <v>236</v>
      </c>
      <c r="R280" s="60" t="s">
        <v>237</v>
      </c>
      <c r="S280" s="60"/>
      <c r="T280" s="60" t="b">
        <f>FALSE()</f>
        <v>0</v>
      </c>
      <c r="U280" s="60" t="b">
        <f>FALSE()</f>
        <v>0</v>
      </c>
      <c r="V280" s="60">
        <v>751</v>
      </c>
      <c r="W280" s="62" t="s">
        <v>259</v>
      </c>
      <c r="X280" s="60">
        <v>429</v>
      </c>
      <c r="Y280" s="63">
        <v>2.66</v>
      </c>
      <c r="Z280" s="60" t="b">
        <f>FALSE()</f>
        <v>0</v>
      </c>
      <c r="AA280" s="60" t="b">
        <f>TRUE()</f>
        <v>1</v>
      </c>
      <c r="AB280" s="60" t="b">
        <f>FALSE()</f>
        <v>0</v>
      </c>
      <c r="AC280" s="60" t="b">
        <f>FALSE()</f>
        <v>0</v>
      </c>
      <c r="AD280" s="60" t="b">
        <f>TRUE()</f>
        <v>1</v>
      </c>
      <c r="AE280" s="60">
        <v>3</v>
      </c>
      <c r="AF280" s="64">
        <v>42.9</v>
      </c>
      <c r="AG280" s="60" t="s">
        <v>73</v>
      </c>
      <c r="AH280" s="60" t="s">
        <v>1133</v>
      </c>
      <c r="AI280">
        <f>IF(AND(OR(Company_Explorer!$B$5="All Companies",$E280=Company_Explorer!$B$5),OR(Company_Explorer!$B$6="All Platforms",$B280=Company_Explorer!$B$6),OR(Company_Explorer!$B$7="All Roles",$D280=Company_Explorer!$B$7),OR(Company_Explorer!$B$8="All Ghost Labels",$AG280=Company_Explorer!$B$8)),1,0)</f>
        <v>0</v>
      </c>
    </row>
    <row r="281" spans="1:35" ht="15" customHeight="1" x14ac:dyDescent="0.3">
      <c r="A281" s="65" t="s">
        <v>1134</v>
      </c>
      <c r="B281" s="65" t="s">
        <v>80</v>
      </c>
      <c r="C281" s="65" t="s">
        <v>258</v>
      </c>
      <c r="D281" s="65" t="s">
        <v>125</v>
      </c>
      <c r="E281" s="65" t="s">
        <v>141</v>
      </c>
      <c r="F281" s="65" t="b">
        <f>TRUE()</f>
        <v>1</v>
      </c>
      <c r="G281" s="65" t="s">
        <v>173</v>
      </c>
      <c r="H281" s="65" t="s">
        <v>827</v>
      </c>
      <c r="I281" s="66">
        <v>46198</v>
      </c>
      <c r="J281" s="66">
        <v>46210</v>
      </c>
      <c r="K281" s="65">
        <v>12</v>
      </c>
      <c r="L281" s="65" t="s">
        <v>192</v>
      </c>
      <c r="M281" s="65" t="s">
        <v>184</v>
      </c>
      <c r="N281" s="65" t="b">
        <f>FALSE()</f>
        <v>0</v>
      </c>
      <c r="O281" s="65"/>
      <c r="P281" s="65"/>
      <c r="Q281" s="65" t="s">
        <v>236</v>
      </c>
      <c r="R281" s="65" t="s">
        <v>237</v>
      </c>
      <c r="S281" s="65"/>
      <c r="T281" s="65" t="b">
        <f>FALSE()</f>
        <v>0</v>
      </c>
      <c r="U281" s="65" t="b">
        <f>FALSE()</f>
        <v>0</v>
      </c>
      <c r="V281" s="65">
        <v>751</v>
      </c>
      <c r="W281" s="67" t="s">
        <v>259</v>
      </c>
      <c r="X281" s="65">
        <v>429</v>
      </c>
      <c r="Y281" s="68">
        <v>2.66</v>
      </c>
      <c r="Z281" s="65" t="b">
        <f>FALSE()</f>
        <v>0</v>
      </c>
      <c r="AA281" s="65" t="b">
        <f>TRUE()</f>
        <v>1</v>
      </c>
      <c r="AB281" s="65" t="b">
        <f>FALSE()</f>
        <v>0</v>
      </c>
      <c r="AC281" s="65" t="b">
        <f>FALSE()</f>
        <v>0</v>
      </c>
      <c r="AD281" s="65" t="b">
        <f>TRUE()</f>
        <v>1</v>
      </c>
      <c r="AE281" s="65">
        <v>3</v>
      </c>
      <c r="AF281" s="69">
        <v>42.9</v>
      </c>
      <c r="AG281" s="65" t="s">
        <v>73</v>
      </c>
      <c r="AH281" s="65" t="s">
        <v>1135</v>
      </c>
      <c r="AI281">
        <f>IF(AND(OR(Company_Explorer!$B$5="All Companies",$E281=Company_Explorer!$B$5),OR(Company_Explorer!$B$6="All Platforms",$B281=Company_Explorer!$B$6),OR(Company_Explorer!$B$7="All Roles",$D281=Company_Explorer!$B$7),OR(Company_Explorer!$B$8="All Ghost Labels",$AG281=Company_Explorer!$B$8)),1,0)</f>
        <v>0</v>
      </c>
    </row>
    <row r="282" spans="1:35" ht="15" customHeight="1" x14ac:dyDescent="0.3">
      <c r="A282" s="60" t="s">
        <v>1136</v>
      </c>
      <c r="B282" s="60" t="s">
        <v>80</v>
      </c>
      <c r="C282" s="60" t="s">
        <v>258</v>
      </c>
      <c r="D282" s="60" t="s">
        <v>125</v>
      </c>
      <c r="E282" s="60" t="s">
        <v>141</v>
      </c>
      <c r="F282" s="60" t="b">
        <f>TRUE()</f>
        <v>1</v>
      </c>
      <c r="G282" s="60" t="s">
        <v>173</v>
      </c>
      <c r="H282" s="60" t="s">
        <v>827</v>
      </c>
      <c r="I282" s="61">
        <v>46198</v>
      </c>
      <c r="J282" s="61">
        <v>46210</v>
      </c>
      <c r="K282" s="60">
        <v>12</v>
      </c>
      <c r="L282" s="60" t="s">
        <v>192</v>
      </c>
      <c r="M282" s="60" t="s">
        <v>184</v>
      </c>
      <c r="N282" s="60" t="b">
        <f>FALSE()</f>
        <v>0</v>
      </c>
      <c r="O282" s="60"/>
      <c r="P282" s="60"/>
      <c r="Q282" s="60" t="s">
        <v>236</v>
      </c>
      <c r="R282" s="60" t="s">
        <v>237</v>
      </c>
      <c r="S282" s="60"/>
      <c r="T282" s="60" t="b">
        <f>FALSE()</f>
        <v>0</v>
      </c>
      <c r="U282" s="60" t="b">
        <f>FALSE()</f>
        <v>0</v>
      </c>
      <c r="V282" s="60">
        <v>751</v>
      </c>
      <c r="W282" s="62" t="s">
        <v>259</v>
      </c>
      <c r="X282" s="60">
        <v>429</v>
      </c>
      <c r="Y282" s="63">
        <v>2.66</v>
      </c>
      <c r="Z282" s="60" t="b">
        <f>FALSE()</f>
        <v>0</v>
      </c>
      <c r="AA282" s="60" t="b">
        <f>TRUE()</f>
        <v>1</v>
      </c>
      <c r="AB282" s="60" t="b">
        <f>FALSE()</f>
        <v>0</v>
      </c>
      <c r="AC282" s="60" t="b">
        <f>FALSE()</f>
        <v>0</v>
      </c>
      <c r="AD282" s="60" t="b">
        <f>TRUE()</f>
        <v>1</v>
      </c>
      <c r="AE282" s="60">
        <v>3</v>
      </c>
      <c r="AF282" s="64">
        <v>42.9</v>
      </c>
      <c r="AG282" s="60" t="s">
        <v>73</v>
      </c>
      <c r="AH282" s="60" t="s">
        <v>1137</v>
      </c>
      <c r="AI282">
        <f>IF(AND(OR(Company_Explorer!$B$5="All Companies",$E282=Company_Explorer!$B$5),OR(Company_Explorer!$B$6="All Platforms",$B282=Company_Explorer!$B$6),OR(Company_Explorer!$B$7="All Roles",$D282=Company_Explorer!$B$7),OR(Company_Explorer!$B$8="All Ghost Labels",$AG282=Company_Explorer!$B$8)),1,0)</f>
        <v>0</v>
      </c>
    </row>
    <row r="283" spans="1:35" ht="15" customHeight="1" x14ac:dyDescent="0.3">
      <c r="A283" s="65" t="s">
        <v>1138</v>
      </c>
      <c r="B283" s="65" t="s">
        <v>80</v>
      </c>
      <c r="C283" s="65" t="s">
        <v>258</v>
      </c>
      <c r="D283" s="65" t="s">
        <v>125</v>
      </c>
      <c r="E283" s="65" t="s">
        <v>141</v>
      </c>
      <c r="F283" s="65" t="b">
        <f>TRUE()</f>
        <v>1</v>
      </c>
      <c r="G283" s="65" t="s">
        <v>174</v>
      </c>
      <c r="H283" s="65" t="s">
        <v>302</v>
      </c>
      <c r="I283" s="66">
        <v>46198</v>
      </c>
      <c r="J283" s="66">
        <v>46210</v>
      </c>
      <c r="K283" s="65">
        <v>12</v>
      </c>
      <c r="L283" s="65" t="s">
        <v>192</v>
      </c>
      <c r="M283" s="65" t="s">
        <v>184</v>
      </c>
      <c r="N283" s="65" t="b">
        <f>FALSE()</f>
        <v>0</v>
      </c>
      <c r="O283" s="65"/>
      <c r="P283" s="65"/>
      <c r="Q283" s="65" t="s">
        <v>236</v>
      </c>
      <c r="R283" s="65" t="s">
        <v>237</v>
      </c>
      <c r="S283" s="65"/>
      <c r="T283" s="65" t="b">
        <f>FALSE()</f>
        <v>0</v>
      </c>
      <c r="U283" s="65" t="b">
        <f>FALSE()</f>
        <v>0</v>
      </c>
      <c r="V283" s="65">
        <v>319</v>
      </c>
      <c r="W283" s="67" t="s">
        <v>259</v>
      </c>
      <c r="X283" s="65">
        <v>429</v>
      </c>
      <c r="Y283" s="68">
        <v>2.66</v>
      </c>
      <c r="Z283" s="65" t="b">
        <f>FALSE()</f>
        <v>0</v>
      </c>
      <c r="AA283" s="65" t="b">
        <f>TRUE()</f>
        <v>1</v>
      </c>
      <c r="AB283" s="65" t="b">
        <f>FALSE()</f>
        <v>0</v>
      </c>
      <c r="AC283" s="65" t="b">
        <f>FALSE()</f>
        <v>0</v>
      </c>
      <c r="AD283" s="65" t="b">
        <f>TRUE()</f>
        <v>1</v>
      </c>
      <c r="AE283" s="65">
        <v>3</v>
      </c>
      <c r="AF283" s="69">
        <v>42.9</v>
      </c>
      <c r="AG283" s="65" t="s">
        <v>73</v>
      </c>
      <c r="AH283" s="65" t="s">
        <v>1139</v>
      </c>
      <c r="AI283">
        <f>IF(AND(OR(Company_Explorer!$B$5="All Companies",$E283=Company_Explorer!$B$5),OR(Company_Explorer!$B$6="All Platforms",$B283=Company_Explorer!$B$6),OR(Company_Explorer!$B$7="All Roles",$D283=Company_Explorer!$B$7),OR(Company_Explorer!$B$8="All Ghost Labels",$AG283=Company_Explorer!$B$8)),1,0)</f>
        <v>0</v>
      </c>
    </row>
    <row r="284" spans="1:35" ht="15" customHeight="1" x14ac:dyDescent="0.3">
      <c r="A284" s="60" t="s">
        <v>1140</v>
      </c>
      <c r="B284" s="60" t="s">
        <v>80</v>
      </c>
      <c r="C284" s="60" t="s">
        <v>258</v>
      </c>
      <c r="D284" s="60" t="s">
        <v>125</v>
      </c>
      <c r="E284" s="60" t="s">
        <v>141</v>
      </c>
      <c r="F284" s="60" t="b">
        <f>TRUE()</f>
        <v>1</v>
      </c>
      <c r="G284" s="60" t="s">
        <v>172</v>
      </c>
      <c r="H284" s="60" t="s">
        <v>276</v>
      </c>
      <c r="I284" s="61">
        <v>46198</v>
      </c>
      <c r="J284" s="61">
        <v>46210</v>
      </c>
      <c r="K284" s="60">
        <v>12</v>
      </c>
      <c r="L284" s="60" t="s">
        <v>192</v>
      </c>
      <c r="M284" s="60" t="s">
        <v>184</v>
      </c>
      <c r="N284" s="60" t="b">
        <f>FALSE()</f>
        <v>0</v>
      </c>
      <c r="O284" s="60"/>
      <c r="P284" s="60"/>
      <c r="Q284" s="60" t="s">
        <v>236</v>
      </c>
      <c r="R284" s="60" t="s">
        <v>237</v>
      </c>
      <c r="S284" s="60"/>
      <c r="T284" s="60" t="b">
        <f>FALSE()</f>
        <v>0</v>
      </c>
      <c r="U284" s="60" t="b">
        <f>FALSE()</f>
        <v>0</v>
      </c>
      <c r="V284" s="60">
        <v>349</v>
      </c>
      <c r="W284" s="62" t="s">
        <v>1141</v>
      </c>
      <c r="X284" s="60">
        <v>429</v>
      </c>
      <c r="Y284" s="63">
        <v>2.66</v>
      </c>
      <c r="Z284" s="60" t="b">
        <f>FALSE()</f>
        <v>0</v>
      </c>
      <c r="AA284" s="60" t="b">
        <f>TRUE()</f>
        <v>1</v>
      </c>
      <c r="AB284" s="60" t="b">
        <f>FALSE()</f>
        <v>0</v>
      </c>
      <c r="AC284" s="60" t="b">
        <f>FALSE()</f>
        <v>0</v>
      </c>
      <c r="AD284" s="60" t="b">
        <f>TRUE()</f>
        <v>1</v>
      </c>
      <c r="AE284" s="60">
        <v>3</v>
      </c>
      <c r="AF284" s="64">
        <v>42.9</v>
      </c>
      <c r="AG284" s="60" t="s">
        <v>73</v>
      </c>
      <c r="AH284" s="60" t="s">
        <v>1142</v>
      </c>
      <c r="AI284">
        <f>IF(AND(OR(Company_Explorer!$B$5="All Companies",$E284=Company_Explorer!$B$5),OR(Company_Explorer!$B$6="All Platforms",$B284=Company_Explorer!$B$6),OR(Company_Explorer!$B$7="All Roles",$D284=Company_Explorer!$B$7),OR(Company_Explorer!$B$8="All Ghost Labels",$AG284=Company_Explorer!$B$8)),1,0)</f>
        <v>0</v>
      </c>
    </row>
    <row r="285" spans="1:35" ht="15" customHeight="1" x14ac:dyDescent="0.3">
      <c r="A285" s="65" t="s">
        <v>1143</v>
      </c>
      <c r="B285" s="65" t="s">
        <v>80</v>
      </c>
      <c r="C285" s="65" t="s">
        <v>258</v>
      </c>
      <c r="D285" s="65" t="s">
        <v>125</v>
      </c>
      <c r="E285" s="65" t="s">
        <v>141</v>
      </c>
      <c r="F285" s="65" t="b">
        <f>TRUE()</f>
        <v>1</v>
      </c>
      <c r="G285" s="65" t="s">
        <v>173</v>
      </c>
      <c r="H285" s="65" t="s">
        <v>827</v>
      </c>
      <c r="I285" s="66">
        <v>46198</v>
      </c>
      <c r="J285" s="66">
        <v>46210</v>
      </c>
      <c r="K285" s="65">
        <v>12</v>
      </c>
      <c r="L285" s="65" t="s">
        <v>192</v>
      </c>
      <c r="M285" s="65" t="s">
        <v>184</v>
      </c>
      <c r="N285" s="65" t="b">
        <f>FALSE()</f>
        <v>0</v>
      </c>
      <c r="O285" s="65"/>
      <c r="P285" s="65"/>
      <c r="Q285" s="65" t="s">
        <v>236</v>
      </c>
      <c r="R285" s="65" t="s">
        <v>237</v>
      </c>
      <c r="S285" s="65"/>
      <c r="T285" s="65" t="b">
        <f>FALSE()</f>
        <v>0</v>
      </c>
      <c r="U285" s="65" t="b">
        <f>FALSE()</f>
        <v>0</v>
      </c>
      <c r="V285" s="65">
        <v>751</v>
      </c>
      <c r="W285" s="67" t="s">
        <v>259</v>
      </c>
      <c r="X285" s="65">
        <v>429</v>
      </c>
      <c r="Y285" s="68">
        <v>2.66</v>
      </c>
      <c r="Z285" s="65" t="b">
        <f>FALSE()</f>
        <v>0</v>
      </c>
      <c r="AA285" s="65" t="b">
        <f>TRUE()</f>
        <v>1</v>
      </c>
      <c r="AB285" s="65" t="b">
        <f>FALSE()</f>
        <v>0</v>
      </c>
      <c r="AC285" s="65" t="b">
        <f>FALSE()</f>
        <v>0</v>
      </c>
      <c r="AD285" s="65" t="b">
        <f>TRUE()</f>
        <v>1</v>
      </c>
      <c r="AE285" s="65">
        <v>3</v>
      </c>
      <c r="AF285" s="69">
        <v>42.9</v>
      </c>
      <c r="AG285" s="65" t="s">
        <v>73</v>
      </c>
      <c r="AH285" s="65" t="s">
        <v>1144</v>
      </c>
      <c r="AI285">
        <f>IF(AND(OR(Company_Explorer!$B$5="All Companies",$E285=Company_Explorer!$B$5),OR(Company_Explorer!$B$6="All Platforms",$B285=Company_Explorer!$B$6),OR(Company_Explorer!$B$7="All Roles",$D285=Company_Explorer!$B$7),OR(Company_Explorer!$B$8="All Ghost Labels",$AG285=Company_Explorer!$B$8)),1,0)</f>
        <v>0</v>
      </c>
    </row>
    <row r="286" spans="1:35" ht="15" customHeight="1" x14ac:dyDescent="0.3">
      <c r="A286" s="60" t="s">
        <v>1145</v>
      </c>
      <c r="B286" s="60" t="s">
        <v>80</v>
      </c>
      <c r="C286" s="60" t="s">
        <v>1146</v>
      </c>
      <c r="D286" s="60" t="s">
        <v>131</v>
      </c>
      <c r="E286" s="60" t="s">
        <v>1147</v>
      </c>
      <c r="F286" s="60" t="b">
        <f>TRUE()</f>
        <v>1</v>
      </c>
      <c r="G286" s="60" t="s">
        <v>166</v>
      </c>
      <c r="H286" s="60" t="s">
        <v>235</v>
      </c>
      <c r="I286" s="61">
        <v>46199</v>
      </c>
      <c r="J286" s="61">
        <v>46210</v>
      </c>
      <c r="K286" s="60">
        <v>11</v>
      </c>
      <c r="L286" s="60" t="s">
        <v>192</v>
      </c>
      <c r="M286" s="60" t="s">
        <v>185</v>
      </c>
      <c r="N286" s="60" t="b">
        <f>FALSE()</f>
        <v>0</v>
      </c>
      <c r="O286" s="60"/>
      <c r="P286" s="60"/>
      <c r="Q286" s="60" t="s">
        <v>236</v>
      </c>
      <c r="R286" s="60" t="s">
        <v>237</v>
      </c>
      <c r="S286" s="60"/>
      <c r="T286" s="60" t="b">
        <f>FALSE()</f>
        <v>0</v>
      </c>
      <c r="U286" s="60" t="b">
        <f>FALSE()</f>
        <v>0</v>
      </c>
      <c r="V286" s="60">
        <v>542</v>
      </c>
      <c r="W286" s="62" t="s">
        <v>1148</v>
      </c>
      <c r="X286" s="60">
        <v>1</v>
      </c>
      <c r="Y286" s="63">
        <v>0.01</v>
      </c>
      <c r="Z286" s="60" t="b">
        <f>FALSE()</f>
        <v>0</v>
      </c>
      <c r="AA286" s="60" t="b">
        <f>TRUE()</f>
        <v>1</v>
      </c>
      <c r="AB286" s="60" t="b">
        <f>FALSE()</f>
        <v>0</v>
      </c>
      <c r="AC286" s="60" t="b">
        <f>FALSE()</f>
        <v>0</v>
      </c>
      <c r="AD286" s="60" t="b">
        <f>FALSE()</f>
        <v>0</v>
      </c>
      <c r="AE286" s="60">
        <v>1</v>
      </c>
      <c r="AF286" s="64">
        <v>14.3</v>
      </c>
      <c r="AG286" s="60" t="s">
        <v>74</v>
      </c>
      <c r="AH286" s="60" t="s">
        <v>1149</v>
      </c>
      <c r="AI286">
        <f>IF(AND(OR(Company_Explorer!$B$5="All Companies",$E286=Company_Explorer!$B$5),OR(Company_Explorer!$B$6="All Platforms",$B286=Company_Explorer!$B$6),OR(Company_Explorer!$B$7="All Roles",$D286=Company_Explorer!$B$7),OR(Company_Explorer!$B$8="All Ghost Labels",$AG286=Company_Explorer!$B$8)),1,0)</f>
        <v>0</v>
      </c>
    </row>
    <row r="287" spans="1:35" ht="15" customHeight="1" x14ac:dyDescent="0.3">
      <c r="A287" s="65" t="s">
        <v>1150</v>
      </c>
      <c r="B287" s="65" t="s">
        <v>80</v>
      </c>
      <c r="C287" s="65" t="s">
        <v>258</v>
      </c>
      <c r="D287" s="65" t="s">
        <v>125</v>
      </c>
      <c r="E287" s="65" t="s">
        <v>141</v>
      </c>
      <c r="F287" s="65" t="b">
        <f>TRUE()</f>
        <v>1</v>
      </c>
      <c r="G287" s="65" t="s">
        <v>179</v>
      </c>
      <c r="H287" s="65" t="s">
        <v>254</v>
      </c>
      <c r="I287" s="66">
        <v>46198</v>
      </c>
      <c r="J287" s="66">
        <v>46210</v>
      </c>
      <c r="K287" s="65">
        <v>12</v>
      </c>
      <c r="L287" s="65" t="s">
        <v>192</v>
      </c>
      <c r="M287" s="65" t="s">
        <v>184</v>
      </c>
      <c r="N287" s="65" t="b">
        <f>FALSE()</f>
        <v>0</v>
      </c>
      <c r="O287" s="65"/>
      <c r="P287" s="65"/>
      <c r="Q287" s="65" t="s">
        <v>236</v>
      </c>
      <c r="R287" s="65" t="s">
        <v>237</v>
      </c>
      <c r="S287" s="65"/>
      <c r="T287" s="65" t="b">
        <f>FALSE()</f>
        <v>0</v>
      </c>
      <c r="U287" s="65" t="b">
        <f>FALSE()</f>
        <v>0</v>
      </c>
      <c r="V287" s="65">
        <v>322</v>
      </c>
      <c r="W287" s="67" t="s">
        <v>259</v>
      </c>
      <c r="X287" s="65">
        <v>429</v>
      </c>
      <c r="Y287" s="68">
        <v>2.66</v>
      </c>
      <c r="Z287" s="65" t="b">
        <f>FALSE()</f>
        <v>0</v>
      </c>
      <c r="AA287" s="65" t="b">
        <f>TRUE()</f>
        <v>1</v>
      </c>
      <c r="AB287" s="65" t="b">
        <f>FALSE()</f>
        <v>0</v>
      </c>
      <c r="AC287" s="65" t="b">
        <f>FALSE()</f>
        <v>0</v>
      </c>
      <c r="AD287" s="65" t="b">
        <f>TRUE()</f>
        <v>1</v>
      </c>
      <c r="AE287" s="65">
        <v>3</v>
      </c>
      <c r="AF287" s="69">
        <v>42.9</v>
      </c>
      <c r="AG287" s="65" t="s">
        <v>73</v>
      </c>
      <c r="AH287" s="65" t="s">
        <v>1151</v>
      </c>
      <c r="AI287">
        <f>IF(AND(OR(Company_Explorer!$B$5="All Companies",$E287=Company_Explorer!$B$5),OR(Company_Explorer!$B$6="All Platforms",$B287=Company_Explorer!$B$6),OR(Company_Explorer!$B$7="All Roles",$D287=Company_Explorer!$B$7),OR(Company_Explorer!$B$8="All Ghost Labels",$AG287=Company_Explorer!$B$8)),1,0)</f>
        <v>0</v>
      </c>
    </row>
    <row r="288" spans="1:35" ht="15" customHeight="1" x14ac:dyDescent="0.3">
      <c r="A288" s="60" t="s">
        <v>1152</v>
      </c>
      <c r="B288" s="60" t="s">
        <v>80</v>
      </c>
      <c r="C288" s="60" t="s">
        <v>258</v>
      </c>
      <c r="D288" s="60" t="s">
        <v>125</v>
      </c>
      <c r="E288" s="60" t="s">
        <v>141</v>
      </c>
      <c r="F288" s="60" t="b">
        <f>TRUE()</f>
        <v>1</v>
      </c>
      <c r="G288" s="60" t="s">
        <v>170</v>
      </c>
      <c r="H288" s="60" t="s">
        <v>165</v>
      </c>
      <c r="I288" s="61">
        <v>46198</v>
      </c>
      <c r="J288" s="61">
        <v>46210</v>
      </c>
      <c r="K288" s="60">
        <v>12</v>
      </c>
      <c r="L288" s="60" t="s">
        <v>192</v>
      </c>
      <c r="M288" s="60" t="s">
        <v>184</v>
      </c>
      <c r="N288" s="60" t="b">
        <f>FALSE()</f>
        <v>0</v>
      </c>
      <c r="O288" s="60"/>
      <c r="P288" s="60"/>
      <c r="Q288" s="60" t="s">
        <v>236</v>
      </c>
      <c r="R288" s="60" t="s">
        <v>237</v>
      </c>
      <c r="S288" s="60"/>
      <c r="T288" s="60" t="b">
        <f>FALSE()</f>
        <v>0</v>
      </c>
      <c r="U288" s="60" t="b">
        <f>FALSE()</f>
        <v>0</v>
      </c>
      <c r="V288" s="60">
        <v>283</v>
      </c>
      <c r="W288" s="62" t="s">
        <v>259</v>
      </c>
      <c r="X288" s="60">
        <v>429</v>
      </c>
      <c r="Y288" s="63">
        <v>2.66</v>
      </c>
      <c r="Z288" s="60" t="b">
        <f>FALSE()</f>
        <v>0</v>
      </c>
      <c r="AA288" s="60" t="b">
        <f>TRUE()</f>
        <v>1</v>
      </c>
      <c r="AB288" s="60" t="b">
        <f>FALSE()</f>
        <v>0</v>
      </c>
      <c r="AC288" s="60" t="b">
        <f>FALSE()</f>
        <v>0</v>
      </c>
      <c r="AD288" s="60" t="b">
        <f>TRUE()</f>
        <v>1</v>
      </c>
      <c r="AE288" s="60">
        <v>3</v>
      </c>
      <c r="AF288" s="64">
        <v>42.9</v>
      </c>
      <c r="AG288" s="60" t="s">
        <v>73</v>
      </c>
      <c r="AH288" s="60" t="s">
        <v>1153</v>
      </c>
      <c r="AI288">
        <f>IF(AND(OR(Company_Explorer!$B$5="All Companies",$E288=Company_Explorer!$B$5),OR(Company_Explorer!$B$6="All Platforms",$B288=Company_Explorer!$B$6),OR(Company_Explorer!$B$7="All Roles",$D288=Company_Explorer!$B$7),OR(Company_Explorer!$B$8="All Ghost Labels",$AG288=Company_Explorer!$B$8)),1,0)</f>
        <v>0</v>
      </c>
    </row>
    <row r="289" spans="1:35" ht="15" customHeight="1" x14ac:dyDescent="0.3">
      <c r="A289" s="65" t="s">
        <v>1154</v>
      </c>
      <c r="B289" s="65" t="s">
        <v>80</v>
      </c>
      <c r="C289" s="65" t="s">
        <v>241</v>
      </c>
      <c r="D289" s="65" t="s">
        <v>125</v>
      </c>
      <c r="E289" s="65" t="s">
        <v>719</v>
      </c>
      <c r="F289" s="65" t="b">
        <f>TRUE()</f>
        <v>1</v>
      </c>
      <c r="G289" s="65" t="s">
        <v>166</v>
      </c>
      <c r="H289" s="65" t="s">
        <v>235</v>
      </c>
      <c r="I289" s="66">
        <v>46210</v>
      </c>
      <c r="J289" s="66">
        <v>46210</v>
      </c>
      <c r="K289" s="65">
        <v>0</v>
      </c>
      <c r="L289" s="65" t="s">
        <v>192</v>
      </c>
      <c r="M289" s="65" t="s">
        <v>185</v>
      </c>
      <c r="N289" s="65" t="b">
        <f>FALSE()</f>
        <v>0</v>
      </c>
      <c r="O289" s="65"/>
      <c r="P289" s="65"/>
      <c r="Q289" s="65" t="s">
        <v>236</v>
      </c>
      <c r="R289" s="65" t="s">
        <v>237</v>
      </c>
      <c r="S289" s="65"/>
      <c r="T289" s="65" t="b">
        <f>FALSE()</f>
        <v>0</v>
      </c>
      <c r="U289" s="65" t="b">
        <f>FALSE()</f>
        <v>0</v>
      </c>
      <c r="V289" s="65">
        <v>845</v>
      </c>
      <c r="W289" s="67" t="s">
        <v>720</v>
      </c>
      <c r="X289" s="65">
        <v>3</v>
      </c>
      <c r="Y289" s="68">
        <v>0.02</v>
      </c>
      <c r="Z289" s="65" t="b">
        <f>FALSE()</f>
        <v>0</v>
      </c>
      <c r="AA289" s="65" t="b">
        <f>TRUE()</f>
        <v>1</v>
      </c>
      <c r="AB289" s="65" t="b">
        <f>FALSE()</f>
        <v>0</v>
      </c>
      <c r="AC289" s="65" t="b">
        <f>FALSE()</f>
        <v>0</v>
      </c>
      <c r="AD289" s="65" t="b">
        <f>FALSE()</f>
        <v>0</v>
      </c>
      <c r="AE289" s="65">
        <v>1</v>
      </c>
      <c r="AF289" s="69">
        <v>14.3</v>
      </c>
      <c r="AG289" s="65" t="s">
        <v>74</v>
      </c>
      <c r="AH289" s="65" t="s">
        <v>1155</v>
      </c>
      <c r="AI289">
        <f>IF(AND(OR(Company_Explorer!$B$5="All Companies",$E289=Company_Explorer!$B$5),OR(Company_Explorer!$B$6="All Platforms",$B289=Company_Explorer!$B$6),OR(Company_Explorer!$B$7="All Roles",$D289=Company_Explorer!$B$7),OR(Company_Explorer!$B$8="All Ghost Labels",$AG289=Company_Explorer!$B$8)),1,0)</f>
        <v>0</v>
      </c>
    </row>
    <row r="290" spans="1:35" ht="15" customHeight="1" x14ac:dyDescent="0.3">
      <c r="A290" s="60" t="s">
        <v>1156</v>
      </c>
      <c r="B290" s="60" t="s">
        <v>80</v>
      </c>
      <c r="C290" s="60" t="s">
        <v>1157</v>
      </c>
      <c r="D290" s="60" t="s">
        <v>125</v>
      </c>
      <c r="E290" s="60" t="s">
        <v>1158</v>
      </c>
      <c r="F290" s="60" t="b">
        <f>TRUE()</f>
        <v>1</v>
      </c>
      <c r="G290" s="60" t="s">
        <v>166</v>
      </c>
      <c r="H290" s="60" t="s">
        <v>235</v>
      </c>
      <c r="I290" s="61">
        <v>46038</v>
      </c>
      <c r="J290" s="61">
        <v>46210</v>
      </c>
      <c r="K290" s="60">
        <v>172</v>
      </c>
      <c r="L290" s="60" t="s">
        <v>192</v>
      </c>
      <c r="M290" s="60" t="s">
        <v>184</v>
      </c>
      <c r="N290" s="60" t="b">
        <f>FALSE()</f>
        <v>0</v>
      </c>
      <c r="O290" s="60"/>
      <c r="P290" s="60"/>
      <c r="Q290" s="60" t="s">
        <v>236</v>
      </c>
      <c r="R290" s="60" t="s">
        <v>237</v>
      </c>
      <c r="S290" s="60"/>
      <c r="T290" s="60" t="b">
        <f>FALSE()</f>
        <v>0</v>
      </c>
      <c r="U290" s="60" t="b">
        <f>FALSE()</f>
        <v>0</v>
      </c>
      <c r="V290" s="60">
        <v>930</v>
      </c>
      <c r="W290" s="62" t="s">
        <v>1159</v>
      </c>
      <c r="X290" s="60">
        <v>1</v>
      </c>
      <c r="Y290" s="63">
        <v>0.01</v>
      </c>
      <c r="Z290" s="60" t="b">
        <f>FALSE()</f>
        <v>0</v>
      </c>
      <c r="AA290" s="60" t="b">
        <f>TRUE()</f>
        <v>1</v>
      </c>
      <c r="AB290" s="60" t="b">
        <f>FALSE()</f>
        <v>0</v>
      </c>
      <c r="AC290" s="60" t="b">
        <f>TRUE()</f>
        <v>1</v>
      </c>
      <c r="AD290" s="60" t="b">
        <f>FALSE()</f>
        <v>0</v>
      </c>
      <c r="AE290" s="60">
        <v>2</v>
      </c>
      <c r="AF290" s="64">
        <v>28.6</v>
      </c>
      <c r="AG290" s="60" t="s">
        <v>73</v>
      </c>
      <c r="AH290" s="60" t="s">
        <v>1160</v>
      </c>
      <c r="AI290">
        <f>IF(AND(OR(Company_Explorer!$B$5="All Companies",$E290=Company_Explorer!$B$5),OR(Company_Explorer!$B$6="All Platforms",$B290=Company_Explorer!$B$6),OR(Company_Explorer!$B$7="All Roles",$D290=Company_Explorer!$B$7),OR(Company_Explorer!$B$8="All Ghost Labels",$AG290=Company_Explorer!$B$8)),1,0)</f>
        <v>0</v>
      </c>
    </row>
    <row r="291" spans="1:35" ht="15" customHeight="1" x14ac:dyDescent="0.3">
      <c r="A291" s="65" t="s">
        <v>1161</v>
      </c>
      <c r="B291" s="65" t="s">
        <v>80</v>
      </c>
      <c r="C291" s="65" t="s">
        <v>1162</v>
      </c>
      <c r="D291" s="65" t="s">
        <v>125</v>
      </c>
      <c r="E291" s="65" t="s">
        <v>1163</v>
      </c>
      <c r="F291" s="65" t="b">
        <f>TRUE()</f>
        <v>1</v>
      </c>
      <c r="G291" s="65" t="s">
        <v>176</v>
      </c>
      <c r="H291" s="65" t="s">
        <v>302</v>
      </c>
      <c r="I291" s="66">
        <v>46203</v>
      </c>
      <c r="J291" s="66">
        <v>46210</v>
      </c>
      <c r="K291" s="65">
        <v>7</v>
      </c>
      <c r="L291" s="65" t="s">
        <v>192</v>
      </c>
      <c r="M291" s="65" t="s">
        <v>185</v>
      </c>
      <c r="N291" s="65" t="b">
        <f>FALSE()</f>
        <v>0</v>
      </c>
      <c r="O291" s="65"/>
      <c r="P291" s="65"/>
      <c r="Q291" s="65" t="s">
        <v>236</v>
      </c>
      <c r="R291" s="65" t="s">
        <v>237</v>
      </c>
      <c r="S291" s="65"/>
      <c r="T291" s="65" t="b">
        <f>FALSE()</f>
        <v>0</v>
      </c>
      <c r="U291" s="65" t="b">
        <f>FALSE()</f>
        <v>0</v>
      </c>
      <c r="V291" s="65">
        <v>275</v>
      </c>
      <c r="W291" s="67" t="s">
        <v>1164</v>
      </c>
      <c r="X291" s="65">
        <v>1</v>
      </c>
      <c r="Y291" s="68">
        <v>0.01</v>
      </c>
      <c r="Z291" s="65" t="b">
        <f>FALSE()</f>
        <v>0</v>
      </c>
      <c r="AA291" s="65" t="b">
        <f>TRUE()</f>
        <v>1</v>
      </c>
      <c r="AB291" s="65" t="b">
        <f>FALSE()</f>
        <v>0</v>
      </c>
      <c r="AC291" s="65" t="b">
        <f>FALSE()</f>
        <v>0</v>
      </c>
      <c r="AD291" s="65" t="b">
        <f>FALSE()</f>
        <v>0</v>
      </c>
      <c r="AE291" s="65">
        <v>1</v>
      </c>
      <c r="AF291" s="69">
        <v>14.3</v>
      </c>
      <c r="AG291" s="65" t="s">
        <v>74</v>
      </c>
      <c r="AH291" s="65" t="s">
        <v>1165</v>
      </c>
      <c r="AI291">
        <f>IF(AND(OR(Company_Explorer!$B$5="All Companies",$E291=Company_Explorer!$B$5),OR(Company_Explorer!$B$6="All Platforms",$B291=Company_Explorer!$B$6),OR(Company_Explorer!$B$7="All Roles",$D291=Company_Explorer!$B$7),OR(Company_Explorer!$B$8="All Ghost Labels",$AG291=Company_Explorer!$B$8)),1,0)</f>
        <v>0</v>
      </c>
    </row>
    <row r="292" spans="1:35" ht="15" customHeight="1" x14ac:dyDescent="0.3">
      <c r="A292" s="60" t="s">
        <v>1166</v>
      </c>
      <c r="B292" s="60" t="s">
        <v>80</v>
      </c>
      <c r="C292" s="60" t="s">
        <v>125</v>
      </c>
      <c r="D292" s="60" t="s">
        <v>125</v>
      </c>
      <c r="E292" s="60" t="s">
        <v>1167</v>
      </c>
      <c r="F292" s="60" t="b">
        <f>TRUE()</f>
        <v>1</v>
      </c>
      <c r="G292" s="60" t="s">
        <v>166</v>
      </c>
      <c r="H292" s="60" t="s">
        <v>235</v>
      </c>
      <c r="I292" s="61">
        <v>45639</v>
      </c>
      <c r="J292" s="61">
        <v>46210</v>
      </c>
      <c r="K292" s="60">
        <v>571</v>
      </c>
      <c r="L292" s="60" t="s">
        <v>192</v>
      </c>
      <c r="M292" s="60" t="s">
        <v>185</v>
      </c>
      <c r="N292" s="60" t="b">
        <f>FALSE()</f>
        <v>0</v>
      </c>
      <c r="O292" s="60"/>
      <c r="P292" s="60"/>
      <c r="Q292" s="60" t="s">
        <v>236</v>
      </c>
      <c r="R292" s="60" t="s">
        <v>237</v>
      </c>
      <c r="S292" s="60"/>
      <c r="T292" s="60" t="b">
        <f>FALSE()</f>
        <v>0</v>
      </c>
      <c r="U292" s="60" t="b">
        <f>FALSE()</f>
        <v>0</v>
      </c>
      <c r="V292" s="60">
        <v>368</v>
      </c>
      <c r="W292" s="60" t="s">
        <v>642</v>
      </c>
      <c r="X292" s="60">
        <v>2</v>
      </c>
      <c r="Y292" s="63">
        <v>0.01</v>
      </c>
      <c r="Z292" s="60" t="b">
        <f>FALSE()</f>
        <v>0</v>
      </c>
      <c r="AA292" s="60" t="b">
        <f>TRUE()</f>
        <v>1</v>
      </c>
      <c r="AB292" s="60" t="b">
        <f>FALSE()</f>
        <v>0</v>
      </c>
      <c r="AC292" s="60" t="b">
        <f>TRUE()</f>
        <v>1</v>
      </c>
      <c r="AD292" s="60" t="b">
        <f>FALSE()</f>
        <v>0</v>
      </c>
      <c r="AE292" s="60">
        <v>2</v>
      </c>
      <c r="AF292" s="64">
        <v>28.6</v>
      </c>
      <c r="AG292" s="60" t="s">
        <v>73</v>
      </c>
      <c r="AH292" s="60" t="s">
        <v>1168</v>
      </c>
      <c r="AI292">
        <f>IF(AND(OR(Company_Explorer!$B$5="All Companies",$E292=Company_Explorer!$B$5),OR(Company_Explorer!$B$6="All Platforms",$B292=Company_Explorer!$B$6),OR(Company_Explorer!$B$7="All Roles",$D292=Company_Explorer!$B$7),OR(Company_Explorer!$B$8="All Ghost Labels",$AG292=Company_Explorer!$B$8)),1,0)</f>
        <v>0</v>
      </c>
    </row>
    <row r="293" spans="1:35" ht="15" customHeight="1" x14ac:dyDescent="0.3">
      <c r="A293" s="65" t="s">
        <v>1169</v>
      </c>
      <c r="B293" s="65" t="s">
        <v>80</v>
      </c>
      <c r="C293" s="65" t="s">
        <v>1170</v>
      </c>
      <c r="D293" s="65" t="s">
        <v>125</v>
      </c>
      <c r="E293" s="65" t="s">
        <v>781</v>
      </c>
      <c r="F293" s="65" t="b">
        <f>TRUE()</f>
        <v>1</v>
      </c>
      <c r="G293" s="65" t="s">
        <v>168</v>
      </c>
      <c r="H293" s="65" t="s">
        <v>254</v>
      </c>
      <c r="I293" s="66">
        <v>46177</v>
      </c>
      <c r="J293" s="66">
        <v>46210</v>
      </c>
      <c r="K293" s="65">
        <v>33</v>
      </c>
      <c r="L293" s="65" t="s">
        <v>192</v>
      </c>
      <c r="M293" s="65" t="s">
        <v>184</v>
      </c>
      <c r="N293" s="65" t="b">
        <f>FALSE()</f>
        <v>0</v>
      </c>
      <c r="O293" s="65"/>
      <c r="P293" s="65"/>
      <c r="Q293" s="65" t="s">
        <v>236</v>
      </c>
      <c r="R293" s="65" t="s">
        <v>237</v>
      </c>
      <c r="S293" s="65"/>
      <c r="T293" s="65" t="b">
        <f>FALSE()</f>
        <v>0</v>
      </c>
      <c r="U293" s="65" t="b">
        <f>FALSE()</f>
        <v>0</v>
      </c>
      <c r="V293" s="65">
        <v>555</v>
      </c>
      <c r="W293" s="67" t="s">
        <v>782</v>
      </c>
      <c r="X293" s="65">
        <v>3</v>
      </c>
      <c r="Y293" s="68">
        <v>0.02</v>
      </c>
      <c r="Z293" s="65" t="b">
        <f>FALSE()</f>
        <v>0</v>
      </c>
      <c r="AA293" s="65" t="b">
        <f>TRUE()</f>
        <v>1</v>
      </c>
      <c r="AB293" s="65" t="b">
        <f>FALSE()</f>
        <v>0</v>
      </c>
      <c r="AC293" s="65" t="b">
        <f>TRUE()</f>
        <v>1</v>
      </c>
      <c r="AD293" s="65" t="b">
        <f>FALSE()</f>
        <v>0</v>
      </c>
      <c r="AE293" s="65">
        <v>2</v>
      </c>
      <c r="AF293" s="69">
        <v>28.6</v>
      </c>
      <c r="AG293" s="65" t="s">
        <v>73</v>
      </c>
      <c r="AH293" s="65" t="s">
        <v>1171</v>
      </c>
      <c r="AI293">
        <f>IF(AND(OR(Company_Explorer!$B$5="All Companies",$E293=Company_Explorer!$B$5),OR(Company_Explorer!$B$6="All Platforms",$B293=Company_Explorer!$B$6),OR(Company_Explorer!$B$7="All Roles",$D293=Company_Explorer!$B$7),OR(Company_Explorer!$B$8="All Ghost Labels",$AG293=Company_Explorer!$B$8)),1,0)</f>
        <v>0</v>
      </c>
    </row>
    <row r="294" spans="1:35" ht="15" customHeight="1" x14ac:dyDescent="0.3">
      <c r="A294" s="60" t="s">
        <v>1172</v>
      </c>
      <c r="B294" s="60" t="s">
        <v>80</v>
      </c>
      <c r="C294" s="60" t="s">
        <v>258</v>
      </c>
      <c r="D294" s="60" t="s">
        <v>125</v>
      </c>
      <c r="E294" s="60" t="s">
        <v>141</v>
      </c>
      <c r="F294" s="60" t="b">
        <f>TRUE()</f>
        <v>1</v>
      </c>
      <c r="G294" s="60" t="s">
        <v>170</v>
      </c>
      <c r="H294" s="60" t="s">
        <v>165</v>
      </c>
      <c r="I294" s="61">
        <v>46209</v>
      </c>
      <c r="J294" s="61">
        <v>46210</v>
      </c>
      <c r="K294" s="60">
        <v>1</v>
      </c>
      <c r="L294" s="60" t="s">
        <v>192</v>
      </c>
      <c r="M294" s="60" t="s">
        <v>184</v>
      </c>
      <c r="N294" s="60" t="b">
        <f>FALSE()</f>
        <v>0</v>
      </c>
      <c r="O294" s="60"/>
      <c r="P294" s="60"/>
      <c r="Q294" s="60" t="s">
        <v>236</v>
      </c>
      <c r="R294" s="60" t="s">
        <v>237</v>
      </c>
      <c r="S294" s="60"/>
      <c r="T294" s="60" t="b">
        <f>FALSE()</f>
        <v>0</v>
      </c>
      <c r="U294" s="60" t="b">
        <f>FALSE()</f>
        <v>0</v>
      </c>
      <c r="V294" s="60">
        <v>319</v>
      </c>
      <c r="W294" s="62" t="s">
        <v>259</v>
      </c>
      <c r="X294" s="60">
        <v>429</v>
      </c>
      <c r="Y294" s="63">
        <v>2.66</v>
      </c>
      <c r="Z294" s="60" t="b">
        <f>FALSE()</f>
        <v>0</v>
      </c>
      <c r="AA294" s="60" t="b">
        <f>TRUE()</f>
        <v>1</v>
      </c>
      <c r="AB294" s="60" t="b">
        <f>FALSE()</f>
        <v>0</v>
      </c>
      <c r="AC294" s="60" t="b">
        <f>FALSE()</f>
        <v>0</v>
      </c>
      <c r="AD294" s="60" t="b">
        <f>TRUE()</f>
        <v>1</v>
      </c>
      <c r="AE294" s="60">
        <v>3</v>
      </c>
      <c r="AF294" s="64">
        <v>42.9</v>
      </c>
      <c r="AG294" s="60" t="s">
        <v>73</v>
      </c>
      <c r="AH294" s="60" t="s">
        <v>1173</v>
      </c>
      <c r="AI294">
        <f>IF(AND(OR(Company_Explorer!$B$5="All Companies",$E294=Company_Explorer!$B$5),OR(Company_Explorer!$B$6="All Platforms",$B294=Company_Explorer!$B$6),OR(Company_Explorer!$B$7="All Roles",$D294=Company_Explorer!$B$7),OR(Company_Explorer!$B$8="All Ghost Labels",$AG294=Company_Explorer!$B$8)),1,0)</f>
        <v>0</v>
      </c>
    </row>
    <row r="295" spans="1:35" ht="15" customHeight="1" x14ac:dyDescent="0.3">
      <c r="A295" s="65" t="s">
        <v>1174</v>
      </c>
      <c r="B295" s="65" t="s">
        <v>80</v>
      </c>
      <c r="C295" s="65" t="s">
        <v>125</v>
      </c>
      <c r="D295" s="65" t="s">
        <v>125</v>
      </c>
      <c r="E295" s="65" t="s">
        <v>1175</v>
      </c>
      <c r="F295" s="65" t="b">
        <f>TRUE()</f>
        <v>1</v>
      </c>
      <c r="G295" s="65" t="s">
        <v>168</v>
      </c>
      <c r="H295" s="65" t="s">
        <v>254</v>
      </c>
      <c r="I295" s="66">
        <v>46021</v>
      </c>
      <c r="J295" s="66">
        <v>46210</v>
      </c>
      <c r="K295" s="65">
        <v>189</v>
      </c>
      <c r="L295" s="65" t="s">
        <v>192</v>
      </c>
      <c r="M295" s="65" t="s">
        <v>185</v>
      </c>
      <c r="N295" s="65" t="b">
        <f>FALSE()</f>
        <v>0</v>
      </c>
      <c r="O295" s="65"/>
      <c r="P295" s="65"/>
      <c r="Q295" s="65" t="s">
        <v>236</v>
      </c>
      <c r="R295" s="65" t="s">
        <v>237</v>
      </c>
      <c r="S295" s="65"/>
      <c r="T295" s="65" t="b">
        <f>FALSE()</f>
        <v>0</v>
      </c>
      <c r="U295" s="65" t="b">
        <f>FALSE()</f>
        <v>0</v>
      </c>
      <c r="V295" s="65">
        <v>232</v>
      </c>
      <c r="W295" s="65" t="s">
        <v>1176</v>
      </c>
      <c r="X295" s="65">
        <v>1</v>
      </c>
      <c r="Y295" s="68">
        <v>0.01</v>
      </c>
      <c r="Z295" s="65" t="b">
        <f>FALSE()</f>
        <v>0</v>
      </c>
      <c r="AA295" s="65" t="b">
        <f>TRUE()</f>
        <v>1</v>
      </c>
      <c r="AB295" s="65" t="b">
        <f>TRUE()</f>
        <v>1</v>
      </c>
      <c r="AC295" s="65" t="b">
        <f>TRUE()</f>
        <v>1</v>
      </c>
      <c r="AD295" s="65" t="b">
        <f>FALSE()</f>
        <v>0</v>
      </c>
      <c r="AE295" s="65">
        <v>3</v>
      </c>
      <c r="AF295" s="69">
        <v>42.9</v>
      </c>
      <c r="AG295" s="65" t="s">
        <v>73</v>
      </c>
      <c r="AH295" s="65" t="s">
        <v>1177</v>
      </c>
      <c r="AI295">
        <f>IF(AND(OR(Company_Explorer!$B$5="All Companies",$E295=Company_Explorer!$B$5),OR(Company_Explorer!$B$6="All Platforms",$B295=Company_Explorer!$B$6),OR(Company_Explorer!$B$7="All Roles",$D295=Company_Explorer!$B$7),OR(Company_Explorer!$B$8="All Ghost Labels",$AG295=Company_Explorer!$B$8)),1,0)</f>
        <v>0</v>
      </c>
    </row>
    <row r="296" spans="1:35" ht="15" customHeight="1" x14ac:dyDescent="0.3">
      <c r="A296" s="60" t="s">
        <v>1178</v>
      </c>
      <c r="B296" s="60" t="s">
        <v>80</v>
      </c>
      <c r="C296" s="60" t="s">
        <v>241</v>
      </c>
      <c r="D296" s="60" t="s">
        <v>125</v>
      </c>
      <c r="E296" s="60" t="s">
        <v>719</v>
      </c>
      <c r="F296" s="60" t="b">
        <f>TRUE()</f>
        <v>1</v>
      </c>
      <c r="G296" s="60" t="s">
        <v>174</v>
      </c>
      <c r="H296" s="60" t="s">
        <v>302</v>
      </c>
      <c r="I296" s="61">
        <v>46205</v>
      </c>
      <c r="J296" s="61">
        <v>46210</v>
      </c>
      <c r="K296" s="60">
        <v>5</v>
      </c>
      <c r="L296" s="60" t="s">
        <v>192</v>
      </c>
      <c r="M296" s="60" t="s">
        <v>185</v>
      </c>
      <c r="N296" s="60" t="b">
        <f>FALSE()</f>
        <v>0</v>
      </c>
      <c r="O296" s="60"/>
      <c r="P296" s="60"/>
      <c r="Q296" s="60" t="s">
        <v>236</v>
      </c>
      <c r="R296" s="60" t="s">
        <v>237</v>
      </c>
      <c r="S296" s="60"/>
      <c r="T296" s="60" t="b">
        <f>FALSE()</f>
        <v>0</v>
      </c>
      <c r="U296" s="60" t="b">
        <f>FALSE()</f>
        <v>0</v>
      </c>
      <c r="V296" s="60">
        <v>619</v>
      </c>
      <c r="W296" s="62" t="s">
        <v>1179</v>
      </c>
      <c r="X296" s="60">
        <v>3</v>
      </c>
      <c r="Y296" s="63">
        <v>0.02</v>
      </c>
      <c r="Z296" s="60" t="b">
        <f>FALSE()</f>
        <v>0</v>
      </c>
      <c r="AA296" s="60" t="b">
        <f>TRUE()</f>
        <v>1</v>
      </c>
      <c r="AB296" s="60" t="b">
        <f>FALSE()</f>
        <v>0</v>
      </c>
      <c r="AC296" s="60" t="b">
        <f>FALSE()</f>
        <v>0</v>
      </c>
      <c r="AD296" s="60" t="b">
        <f>FALSE()</f>
        <v>0</v>
      </c>
      <c r="AE296" s="60">
        <v>1</v>
      </c>
      <c r="AF296" s="64">
        <v>14.3</v>
      </c>
      <c r="AG296" s="60" t="s">
        <v>74</v>
      </c>
      <c r="AH296" s="60" t="s">
        <v>1180</v>
      </c>
      <c r="AI296">
        <f>IF(AND(OR(Company_Explorer!$B$5="All Companies",$E296=Company_Explorer!$B$5),OR(Company_Explorer!$B$6="All Platforms",$B296=Company_Explorer!$B$6),OR(Company_Explorer!$B$7="All Roles",$D296=Company_Explorer!$B$7),OR(Company_Explorer!$B$8="All Ghost Labels",$AG296=Company_Explorer!$B$8)),1,0)</f>
        <v>0</v>
      </c>
    </row>
    <row r="297" spans="1:35" ht="15" customHeight="1" x14ac:dyDescent="0.3">
      <c r="A297" s="65" t="s">
        <v>1181</v>
      </c>
      <c r="B297" s="65" t="s">
        <v>80</v>
      </c>
      <c r="C297" s="65" t="s">
        <v>315</v>
      </c>
      <c r="D297" s="65" t="s">
        <v>126</v>
      </c>
      <c r="E297" s="65" t="s">
        <v>1182</v>
      </c>
      <c r="F297" s="65" t="b">
        <f>TRUE()</f>
        <v>1</v>
      </c>
      <c r="G297" s="65" t="s">
        <v>753</v>
      </c>
      <c r="H297" s="65" t="s">
        <v>754</v>
      </c>
      <c r="I297" s="66">
        <v>46203</v>
      </c>
      <c r="J297" s="66">
        <v>46210</v>
      </c>
      <c r="K297" s="65">
        <v>7</v>
      </c>
      <c r="L297" s="65" t="s">
        <v>192</v>
      </c>
      <c r="M297" s="65" t="s">
        <v>185</v>
      </c>
      <c r="N297" s="65" t="b">
        <f>FALSE()</f>
        <v>0</v>
      </c>
      <c r="O297" s="65"/>
      <c r="P297" s="65"/>
      <c r="Q297" s="65" t="s">
        <v>236</v>
      </c>
      <c r="R297" s="65" t="s">
        <v>237</v>
      </c>
      <c r="S297" s="65"/>
      <c r="T297" s="65" t="b">
        <f>FALSE()</f>
        <v>0</v>
      </c>
      <c r="U297" s="65" t="b">
        <f>FALSE()</f>
        <v>0</v>
      </c>
      <c r="V297" s="65">
        <v>1019</v>
      </c>
      <c r="W297" s="67" t="s">
        <v>1183</v>
      </c>
      <c r="X297" s="65">
        <v>4</v>
      </c>
      <c r="Y297" s="68">
        <v>0.02</v>
      </c>
      <c r="Z297" s="65" t="b">
        <f>FALSE()</f>
        <v>0</v>
      </c>
      <c r="AA297" s="65" t="b">
        <f>TRUE()</f>
        <v>1</v>
      </c>
      <c r="AB297" s="65" t="b">
        <f>FALSE()</f>
        <v>0</v>
      </c>
      <c r="AC297" s="65" t="b">
        <f>FALSE()</f>
        <v>0</v>
      </c>
      <c r="AD297" s="65" t="b">
        <f>FALSE()</f>
        <v>0</v>
      </c>
      <c r="AE297" s="65">
        <v>1</v>
      </c>
      <c r="AF297" s="69">
        <v>14.3</v>
      </c>
      <c r="AG297" s="65" t="s">
        <v>74</v>
      </c>
      <c r="AH297" s="65" t="s">
        <v>1184</v>
      </c>
      <c r="AI297">
        <f>IF(AND(OR(Company_Explorer!$B$5="All Companies",$E297=Company_Explorer!$B$5),OR(Company_Explorer!$B$6="All Platforms",$B297=Company_Explorer!$B$6),OR(Company_Explorer!$B$7="All Roles",$D297=Company_Explorer!$B$7),OR(Company_Explorer!$B$8="All Ghost Labels",$AG297=Company_Explorer!$B$8)),1,0)</f>
        <v>0</v>
      </c>
    </row>
    <row r="298" spans="1:35" ht="15" customHeight="1" x14ac:dyDescent="0.3">
      <c r="A298" s="60" t="s">
        <v>1185</v>
      </c>
      <c r="B298" s="60" t="s">
        <v>80</v>
      </c>
      <c r="C298" s="60" t="s">
        <v>125</v>
      </c>
      <c r="D298" s="60" t="s">
        <v>125</v>
      </c>
      <c r="E298" s="60" t="s">
        <v>1008</v>
      </c>
      <c r="F298" s="60" t="b">
        <f>TRUE()</f>
        <v>1</v>
      </c>
      <c r="G298" s="60" t="s">
        <v>166</v>
      </c>
      <c r="H298" s="60" t="s">
        <v>235</v>
      </c>
      <c r="I298" s="61">
        <v>46113</v>
      </c>
      <c r="J298" s="61">
        <v>46210</v>
      </c>
      <c r="K298" s="60">
        <v>97</v>
      </c>
      <c r="L298" s="60" t="s">
        <v>192</v>
      </c>
      <c r="M298" s="60" t="s">
        <v>185</v>
      </c>
      <c r="N298" s="60" t="b">
        <f>FALSE()</f>
        <v>0</v>
      </c>
      <c r="O298" s="60"/>
      <c r="P298" s="60"/>
      <c r="Q298" s="60" t="s">
        <v>236</v>
      </c>
      <c r="R298" s="60" t="s">
        <v>237</v>
      </c>
      <c r="S298" s="60"/>
      <c r="T298" s="60" t="b">
        <f>FALSE()</f>
        <v>0</v>
      </c>
      <c r="U298" s="60" t="b">
        <f>FALSE()</f>
        <v>0</v>
      </c>
      <c r="V298" s="60">
        <v>63</v>
      </c>
      <c r="W298" s="62" t="s">
        <v>1186</v>
      </c>
      <c r="X298" s="60">
        <v>2</v>
      </c>
      <c r="Y298" s="63">
        <v>0.01</v>
      </c>
      <c r="Z298" s="60" t="b">
        <f>FALSE()</f>
        <v>0</v>
      </c>
      <c r="AA298" s="60" t="b">
        <f>TRUE()</f>
        <v>1</v>
      </c>
      <c r="AB298" s="60" t="b">
        <f>TRUE()</f>
        <v>1</v>
      </c>
      <c r="AC298" s="60" t="b">
        <f>TRUE()</f>
        <v>1</v>
      </c>
      <c r="AD298" s="60" t="b">
        <f>FALSE()</f>
        <v>0</v>
      </c>
      <c r="AE298" s="60">
        <v>3</v>
      </c>
      <c r="AF298" s="64">
        <v>42.9</v>
      </c>
      <c r="AG298" s="60" t="s">
        <v>73</v>
      </c>
      <c r="AH298" s="60" t="s">
        <v>1187</v>
      </c>
      <c r="AI298">
        <f>IF(AND(OR(Company_Explorer!$B$5="All Companies",$E298=Company_Explorer!$B$5),OR(Company_Explorer!$B$6="All Platforms",$B298=Company_Explorer!$B$6),OR(Company_Explorer!$B$7="All Roles",$D298=Company_Explorer!$B$7),OR(Company_Explorer!$B$8="All Ghost Labels",$AG298=Company_Explorer!$B$8)),1,0)</f>
        <v>0</v>
      </c>
    </row>
    <row r="299" spans="1:35" ht="15" customHeight="1" x14ac:dyDescent="0.3">
      <c r="A299" s="65" t="s">
        <v>1188</v>
      </c>
      <c r="B299" s="65" t="s">
        <v>80</v>
      </c>
      <c r="C299" s="65" t="s">
        <v>1189</v>
      </c>
      <c r="D299" s="65" t="s">
        <v>130</v>
      </c>
      <c r="E299" s="65" t="s">
        <v>619</v>
      </c>
      <c r="F299" s="65" t="b">
        <f>TRUE()</f>
        <v>1</v>
      </c>
      <c r="G299" s="65" t="s">
        <v>166</v>
      </c>
      <c r="H299" s="65" t="s">
        <v>235</v>
      </c>
      <c r="I299" s="66">
        <v>46195</v>
      </c>
      <c r="J299" s="66">
        <v>46210</v>
      </c>
      <c r="K299" s="65">
        <v>15</v>
      </c>
      <c r="L299" s="65" t="s">
        <v>192</v>
      </c>
      <c r="M299" s="65" t="s">
        <v>185</v>
      </c>
      <c r="N299" s="65" t="b">
        <f>FALSE()</f>
        <v>0</v>
      </c>
      <c r="O299" s="65"/>
      <c r="P299" s="65"/>
      <c r="Q299" s="65" t="s">
        <v>236</v>
      </c>
      <c r="R299" s="65" t="s">
        <v>237</v>
      </c>
      <c r="S299" s="65"/>
      <c r="T299" s="65" t="b">
        <f>FALSE()</f>
        <v>0</v>
      </c>
      <c r="U299" s="65" t="b">
        <f>FALSE()</f>
        <v>0</v>
      </c>
      <c r="V299" s="65">
        <v>805</v>
      </c>
      <c r="W299" s="67" t="s">
        <v>620</v>
      </c>
      <c r="X299" s="65">
        <v>4</v>
      </c>
      <c r="Y299" s="68">
        <v>0.02</v>
      </c>
      <c r="Z299" s="65" t="b">
        <f>FALSE()</f>
        <v>0</v>
      </c>
      <c r="AA299" s="65" t="b">
        <f>TRUE()</f>
        <v>1</v>
      </c>
      <c r="AB299" s="65" t="b">
        <f>FALSE()</f>
        <v>0</v>
      </c>
      <c r="AC299" s="65" t="b">
        <f>FALSE()</f>
        <v>0</v>
      </c>
      <c r="AD299" s="65" t="b">
        <f>FALSE()</f>
        <v>0</v>
      </c>
      <c r="AE299" s="65">
        <v>1</v>
      </c>
      <c r="AF299" s="69">
        <v>14.3</v>
      </c>
      <c r="AG299" s="65" t="s">
        <v>74</v>
      </c>
      <c r="AH299" s="65" t="s">
        <v>1190</v>
      </c>
      <c r="AI299">
        <f>IF(AND(OR(Company_Explorer!$B$5="All Companies",$E299=Company_Explorer!$B$5),OR(Company_Explorer!$B$6="All Platforms",$B299=Company_Explorer!$B$6),OR(Company_Explorer!$B$7="All Roles",$D299=Company_Explorer!$B$7),OR(Company_Explorer!$B$8="All Ghost Labels",$AG299=Company_Explorer!$B$8)),1,0)</f>
        <v>0</v>
      </c>
    </row>
    <row r="300" spans="1:35" ht="15" customHeight="1" x14ac:dyDescent="0.3">
      <c r="A300" s="60" t="s">
        <v>1191</v>
      </c>
      <c r="B300" s="60" t="s">
        <v>80</v>
      </c>
      <c r="C300" s="60" t="s">
        <v>1192</v>
      </c>
      <c r="D300" s="60" t="s">
        <v>131</v>
      </c>
      <c r="E300" s="60" t="s">
        <v>1193</v>
      </c>
      <c r="F300" s="60" t="b">
        <f>TRUE()</f>
        <v>1</v>
      </c>
      <c r="G300" s="60" t="s">
        <v>170</v>
      </c>
      <c r="H300" s="60" t="s">
        <v>165</v>
      </c>
      <c r="I300" s="61">
        <v>46205</v>
      </c>
      <c r="J300" s="61">
        <v>46210</v>
      </c>
      <c r="K300" s="60">
        <v>5</v>
      </c>
      <c r="L300" s="60" t="s">
        <v>192</v>
      </c>
      <c r="M300" s="60" t="s">
        <v>186</v>
      </c>
      <c r="N300" s="60" t="b">
        <f>TRUE()</f>
        <v>1</v>
      </c>
      <c r="O300" s="70">
        <v>2500000</v>
      </c>
      <c r="P300" s="70">
        <v>4500000</v>
      </c>
      <c r="Q300" s="60" t="s">
        <v>332</v>
      </c>
      <c r="R300" s="60" t="s">
        <v>237</v>
      </c>
      <c r="S300" s="60"/>
      <c r="T300" s="60" t="b">
        <f>FALSE()</f>
        <v>0</v>
      </c>
      <c r="U300" s="60" t="b">
        <f>FALSE()</f>
        <v>0</v>
      </c>
      <c r="V300" s="60">
        <v>408</v>
      </c>
      <c r="W300" s="62" t="s">
        <v>1194</v>
      </c>
      <c r="X300" s="60">
        <v>3</v>
      </c>
      <c r="Y300" s="63">
        <v>0.02</v>
      </c>
      <c r="Z300" s="60" t="b">
        <f>FALSE()</f>
        <v>0</v>
      </c>
      <c r="AA300" s="60" t="b">
        <f>FALSE()</f>
        <v>0</v>
      </c>
      <c r="AB300" s="60" t="b">
        <f>FALSE()</f>
        <v>0</v>
      </c>
      <c r="AC300" s="60" t="b">
        <f>FALSE()</f>
        <v>0</v>
      </c>
      <c r="AD300" s="60" t="b">
        <f>FALSE()</f>
        <v>0</v>
      </c>
      <c r="AE300" s="60">
        <v>0</v>
      </c>
      <c r="AF300" s="64">
        <v>0</v>
      </c>
      <c r="AG300" s="60" t="s">
        <v>74</v>
      </c>
      <c r="AH300" s="60" t="s">
        <v>1195</v>
      </c>
      <c r="AI300">
        <f>IF(AND(OR(Company_Explorer!$B$5="All Companies",$E300=Company_Explorer!$B$5),OR(Company_Explorer!$B$6="All Platforms",$B300=Company_Explorer!$B$6),OR(Company_Explorer!$B$7="All Roles",$D300=Company_Explorer!$B$7),OR(Company_Explorer!$B$8="All Ghost Labels",$AG300=Company_Explorer!$B$8)),1,0)</f>
        <v>0</v>
      </c>
    </row>
    <row r="301" spans="1:35" ht="15" customHeight="1" x14ac:dyDescent="0.3">
      <c r="A301" s="65" t="s">
        <v>1196</v>
      </c>
      <c r="B301" s="65" t="s">
        <v>80</v>
      </c>
      <c r="C301" s="65" t="s">
        <v>718</v>
      </c>
      <c r="D301" s="65" t="s">
        <v>125</v>
      </c>
      <c r="E301" s="65" t="s">
        <v>1197</v>
      </c>
      <c r="F301" s="65" t="b">
        <f>TRUE()</f>
        <v>1</v>
      </c>
      <c r="G301" s="65" t="s">
        <v>1198</v>
      </c>
      <c r="H301" s="65" t="s">
        <v>165</v>
      </c>
      <c r="I301" s="66">
        <v>46208</v>
      </c>
      <c r="J301" s="66">
        <v>46210</v>
      </c>
      <c r="K301" s="65">
        <v>2</v>
      </c>
      <c r="L301" s="65" t="s">
        <v>192</v>
      </c>
      <c r="M301" s="65" t="s">
        <v>185</v>
      </c>
      <c r="N301" s="65" t="b">
        <f>FALSE()</f>
        <v>0</v>
      </c>
      <c r="O301" s="65"/>
      <c r="P301" s="65"/>
      <c r="Q301" s="65" t="s">
        <v>236</v>
      </c>
      <c r="R301" s="65" t="s">
        <v>237</v>
      </c>
      <c r="S301" s="65"/>
      <c r="T301" s="65" t="b">
        <f>FALSE()</f>
        <v>0</v>
      </c>
      <c r="U301" s="65" t="b">
        <f>FALSE()</f>
        <v>0</v>
      </c>
      <c r="V301" s="65">
        <v>487</v>
      </c>
      <c r="W301" s="67" t="s">
        <v>1199</v>
      </c>
      <c r="X301" s="65">
        <v>2</v>
      </c>
      <c r="Y301" s="68">
        <v>0.01</v>
      </c>
      <c r="Z301" s="65" t="b">
        <f>FALSE()</f>
        <v>0</v>
      </c>
      <c r="AA301" s="65" t="b">
        <f>TRUE()</f>
        <v>1</v>
      </c>
      <c r="AB301" s="65" t="b">
        <f>FALSE()</f>
        <v>0</v>
      </c>
      <c r="AC301" s="65" t="b">
        <f>FALSE()</f>
        <v>0</v>
      </c>
      <c r="AD301" s="65" t="b">
        <f>FALSE()</f>
        <v>0</v>
      </c>
      <c r="AE301" s="65">
        <v>1</v>
      </c>
      <c r="AF301" s="69">
        <v>14.3</v>
      </c>
      <c r="AG301" s="65" t="s">
        <v>74</v>
      </c>
      <c r="AH301" s="65" t="s">
        <v>1200</v>
      </c>
      <c r="AI301">
        <f>IF(AND(OR(Company_Explorer!$B$5="All Companies",$E301=Company_Explorer!$B$5),OR(Company_Explorer!$B$6="All Platforms",$B301=Company_Explorer!$B$6),OR(Company_Explorer!$B$7="All Roles",$D301=Company_Explorer!$B$7),OR(Company_Explorer!$B$8="All Ghost Labels",$AG301=Company_Explorer!$B$8)),1,0)</f>
        <v>0</v>
      </c>
    </row>
    <row r="302" spans="1:35" ht="15" customHeight="1" x14ac:dyDescent="0.3">
      <c r="A302" s="60" t="s">
        <v>1201</v>
      </c>
      <c r="B302" s="60" t="s">
        <v>80</v>
      </c>
      <c r="C302" s="60" t="s">
        <v>306</v>
      </c>
      <c r="D302" s="60" t="s">
        <v>125</v>
      </c>
      <c r="E302" s="60" t="s">
        <v>141</v>
      </c>
      <c r="F302" s="60" t="b">
        <f>TRUE()</f>
        <v>1</v>
      </c>
      <c r="G302" s="60" t="s">
        <v>167</v>
      </c>
      <c r="H302" s="60" t="s">
        <v>276</v>
      </c>
      <c r="I302" s="61">
        <v>46198</v>
      </c>
      <c r="J302" s="61">
        <v>46210</v>
      </c>
      <c r="K302" s="60">
        <v>12</v>
      </c>
      <c r="L302" s="60" t="s">
        <v>192</v>
      </c>
      <c r="M302" s="60" t="s">
        <v>184</v>
      </c>
      <c r="N302" s="60" t="b">
        <f>FALSE()</f>
        <v>0</v>
      </c>
      <c r="O302" s="60"/>
      <c r="P302" s="60"/>
      <c r="Q302" s="60" t="s">
        <v>236</v>
      </c>
      <c r="R302" s="60" t="s">
        <v>237</v>
      </c>
      <c r="S302" s="60"/>
      <c r="T302" s="60" t="b">
        <f>FALSE()</f>
        <v>0</v>
      </c>
      <c r="U302" s="60" t="b">
        <f>FALSE()</f>
        <v>0</v>
      </c>
      <c r="V302" s="60">
        <v>295</v>
      </c>
      <c r="W302" s="62" t="s">
        <v>1202</v>
      </c>
      <c r="X302" s="60">
        <v>429</v>
      </c>
      <c r="Y302" s="63">
        <v>2.66</v>
      </c>
      <c r="Z302" s="60" t="b">
        <f>FALSE()</f>
        <v>0</v>
      </c>
      <c r="AA302" s="60" t="b">
        <f>TRUE()</f>
        <v>1</v>
      </c>
      <c r="AB302" s="60" t="b">
        <f>FALSE()</f>
        <v>0</v>
      </c>
      <c r="AC302" s="60" t="b">
        <f>FALSE()</f>
        <v>0</v>
      </c>
      <c r="AD302" s="60" t="b">
        <f>TRUE()</f>
        <v>1</v>
      </c>
      <c r="AE302" s="60">
        <v>3</v>
      </c>
      <c r="AF302" s="64">
        <v>42.9</v>
      </c>
      <c r="AG302" s="60" t="s">
        <v>73</v>
      </c>
      <c r="AH302" s="60" t="s">
        <v>1203</v>
      </c>
      <c r="AI302">
        <f>IF(AND(OR(Company_Explorer!$B$5="All Companies",$E302=Company_Explorer!$B$5),OR(Company_Explorer!$B$6="All Platforms",$B302=Company_Explorer!$B$6),OR(Company_Explorer!$B$7="All Roles",$D302=Company_Explorer!$B$7),OR(Company_Explorer!$B$8="All Ghost Labels",$AG302=Company_Explorer!$B$8)),1,0)</f>
        <v>0</v>
      </c>
    </row>
    <row r="303" spans="1:35" ht="15" customHeight="1" x14ac:dyDescent="0.3">
      <c r="A303" s="65" t="s">
        <v>1204</v>
      </c>
      <c r="B303" s="65" t="s">
        <v>80</v>
      </c>
      <c r="C303" s="65" t="s">
        <v>258</v>
      </c>
      <c r="D303" s="65" t="s">
        <v>125</v>
      </c>
      <c r="E303" s="65" t="s">
        <v>141</v>
      </c>
      <c r="F303" s="65" t="b">
        <f>TRUE()</f>
        <v>1</v>
      </c>
      <c r="G303" s="65" t="s">
        <v>170</v>
      </c>
      <c r="H303" s="65" t="s">
        <v>165</v>
      </c>
      <c r="I303" s="66">
        <v>46198</v>
      </c>
      <c r="J303" s="66">
        <v>46210</v>
      </c>
      <c r="K303" s="65">
        <v>12</v>
      </c>
      <c r="L303" s="65" t="s">
        <v>192</v>
      </c>
      <c r="M303" s="65" t="s">
        <v>184</v>
      </c>
      <c r="N303" s="65" t="b">
        <f>FALSE()</f>
        <v>0</v>
      </c>
      <c r="O303" s="65"/>
      <c r="P303" s="65"/>
      <c r="Q303" s="65" t="s">
        <v>236</v>
      </c>
      <c r="R303" s="65" t="s">
        <v>237</v>
      </c>
      <c r="S303" s="65"/>
      <c r="T303" s="65" t="b">
        <f>FALSE()</f>
        <v>0</v>
      </c>
      <c r="U303" s="65" t="b">
        <f>FALSE()</f>
        <v>0</v>
      </c>
      <c r="V303" s="65">
        <v>288</v>
      </c>
      <c r="W303" s="67" t="s">
        <v>259</v>
      </c>
      <c r="X303" s="65">
        <v>429</v>
      </c>
      <c r="Y303" s="68">
        <v>2.66</v>
      </c>
      <c r="Z303" s="65" t="b">
        <f>FALSE()</f>
        <v>0</v>
      </c>
      <c r="AA303" s="65" t="b">
        <f>TRUE()</f>
        <v>1</v>
      </c>
      <c r="AB303" s="65" t="b">
        <f>FALSE()</f>
        <v>0</v>
      </c>
      <c r="AC303" s="65" t="b">
        <f>FALSE()</f>
        <v>0</v>
      </c>
      <c r="AD303" s="65" t="b">
        <f>TRUE()</f>
        <v>1</v>
      </c>
      <c r="AE303" s="65">
        <v>3</v>
      </c>
      <c r="AF303" s="69">
        <v>42.9</v>
      </c>
      <c r="AG303" s="65" t="s">
        <v>73</v>
      </c>
      <c r="AH303" s="65" t="s">
        <v>1205</v>
      </c>
      <c r="AI303">
        <f>IF(AND(OR(Company_Explorer!$B$5="All Companies",$E303=Company_Explorer!$B$5),OR(Company_Explorer!$B$6="All Platforms",$B303=Company_Explorer!$B$6),OR(Company_Explorer!$B$7="All Roles",$D303=Company_Explorer!$B$7),OR(Company_Explorer!$B$8="All Ghost Labels",$AG303=Company_Explorer!$B$8)),1,0)</f>
        <v>0</v>
      </c>
    </row>
    <row r="304" spans="1:35" ht="15" customHeight="1" x14ac:dyDescent="0.3">
      <c r="A304" s="60" t="s">
        <v>1206</v>
      </c>
      <c r="B304" s="60" t="s">
        <v>80</v>
      </c>
      <c r="C304" s="60" t="s">
        <v>1207</v>
      </c>
      <c r="D304" s="60" t="s">
        <v>125</v>
      </c>
      <c r="E304" s="60" t="s">
        <v>252</v>
      </c>
      <c r="F304" s="60" t="b">
        <f>TRUE()</f>
        <v>1</v>
      </c>
      <c r="G304" s="60" t="s">
        <v>166</v>
      </c>
      <c r="H304" s="60" t="s">
        <v>235</v>
      </c>
      <c r="I304" s="61">
        <v>46196</v>
      </c>
      <c r="J304" s="61">
        <v>46210</v>
      </c>
      <c r="K304" s="60">
        <v>14</v>
      </c>
      <c r="L304" s="60" t="s">
        <v>192</v>
      </c>
      <c r="M304" s="60" t="s">
        <v>184</v>
      </c>
      <c r="N304" s="60" t="b">
        <f>FALSE()</f>
        <v>0</v>
      </c>
      <c r="O304" s="60"/>
      <c r="P304" s="60"/>
      <c r="Q304" s="60" t="s">
        <v>236</v>
      </c>
      <c r="R304" s="60" t="s">
        <v>237</v>
      </c>
      <c r="S304" s="60"/>
      <c r="T304" s="60" t="b">
        <f>FALSE()</f>
        <v>0</v>
      </c>
      <c r="U304" s="60" t="b">
        <f>FALSE()</f>
        <v>0</v>
      </c>
      <c r="V304" s="60">
        <v>350</v>
      </c>
      <c r="W304" s="60" t="s">
        <v>1208</v>
      </c>
      <c r="X304" s="60">
        <v>2</v>
      </c>
      <c r="Y304" s="63">
        <v>0.01</v>
      </c>
      <c r="Z304" s="60" t="b">
        <f>FALSE()</f>
        <v>0</v>
      </c>
      <c r="AA304" s="60" t="b">
        <f>TRUE()</f>
        <v>1</v>
      </c>
      <c r="AB304" s="60" t="b">
        <f>FALSE()</f>
        <v>0</v>
      </c>
      <c r="AC304" s="60" t="b">
        <f>FALSE()</f>
        <v>0</v>
      </c>
      <c r="AD304" s="60" t="b">
        <f>FALSE()</f>
        <v>0</v>
      </c>
      <c r="AE304" s="60">
        <v>1</v>
      </c>
      <c r="AF304" s="64">
        <v>14.3</v>
      </c>
      <c r="AG304" s="60" t="s">
        <v>74</v>
      </c>
      <c r="AH304" s="60" t="s">
        <v>1209</v>
      </c>
      <c r="AI304">
        <f>IF(AND(OR(Company_Explorer!$B$5="All Companies",$E304=Company_Explorer!$B$5),OR(Company_Explorer!$B$6="All Platforms",$B304=Company_Explorer!$B$6),OR(Company_Explorer!$B$7="All Roles",$D304=Company_Explorer!$B$7),OR(Company_Explorer!$B$8="All Ghost Labels",$AG304=Company_Explorer!$B$8)),1,0)</f>
        <v>0</v>
      </c>
    </row>
    <row r="305" spans="1:35" ht="15" customHeight="1" x14ac:dyDescent="0.3">
      <c r="A305" s="65" t="s">
        <v>1210</v>
      </c>
      <c r="B305" s="65" t="s">
        <v>80</v>
      </c>
      <c r="C305" s="65" t="s">
        <v>1211</v>
      </c>
      <c r="D305" s="65" t="s">
        <v>126</v>
      </c>
      <c r="E305" s="65" t="s">
        <v>159</v>
      </c>
      <c r="F305" s="65" t="b">
        <f>TRUE()</f>
        <v>1</v>
      </c>
      <c r="G305" s="65" t="s">
        <v>166</v>
      </c>
      <c r="H305" s="65" t="s">
        <v>235</v>
      </c>
      <c r="I305" s="66">
        <v>46191</v>
      </c>
      <c r="J305" s="66">
        <v>46210</v>
      </c>
      <c r="K305" s="65">
        <v>19</v>
      </c>
      <c r="L305" s="65" t="s">
        <v>192</v>
      </c>
      <c r="M305" s="65" t="s">
        <v>185</v>
      </c>
      <c r="N305" s="65" t="b">
        <f>FALSE()</f>
        <v>0</v>
      </c>
      <c r="O305" s="65"/>
      <c r="P305" s="65"/>
      <c r="Q305" s="65" t="s">
        <v>236</v>
      </c>
      <c r="R305" s="65" t="s">
        <v>237</v>
      </c>
      <c r="S305" s="65"/>
      <c r="T305" s="65" t="b">
        <f>FALSE()</f>
        <v>0</v>
      </c>
      <c r="U305" s="65" t="b">
        <f>FALSE()</f>
        <v>0</v>
      </c>
      <c r="V305" s="65">
        <v>685</v>
      </c>
      <c r="W305" s="67" t="s">
        <v>1212</v>
      </c>
      <c r="X305" s="65">
        <v>11</v>
      </c>
      <c r="Y305" s="68">
        <v>7.0000000000000007E-2</v>
      </c>
      <c r="Z305" s="65" t="b">
        <f>FALSE()</f>
        <v>0</v>
      </c>
      <c r="AA305" s="65" t="b">
        <f>TRUE()</f>
        <v>1</v>
      </c>
      <c r="AB305" s="65" t="b">
        <f>FALSE()</f>
        <v>0</v>
      </c>
      <c r="AC305" s="65" t="b">
        <f>TRUE()</f>
        <v>1</v>
      </c>
      <c r="AD305" s="65" t="b">
        <f>FALSE()</f>
        <v>0</v>
      </c>
      <c r="AE305" s="65">
        <v>2</v>
      </c>
      <c r="AF305" s="69">
        <v>28.6</v>
      </c>
      <c r="AG305" s="65" t="s">
        <v>73</v>
      </c>
      <c r="AH305" s="65" t="s">
        <v>1213</v>
      </c>
      <c r="AI305">
        <f>IF(AND(OR(Company_Explorer!$B$5="All Companies",$E305=Company_Explorer!$B$5),OR(Company_Explorer!$B$6="All Platforms",$B305=Company_Explorer!$B$6),OR(Company_Explorer!$B$7="All Roles",$D305=Company_Explorer!$B$7),OR(Company_Explorer!$B$8="All Ghost Labels",$AG305=Company_Explorer!$B$8)),1,0)</f>
        <v>0</v>
      </c>
    </row>
    <row r="306" spans="1:35" ht="15" customHeight="1" x14ac:dyDescent="0.3">
      <c r="A306" s="60" t="s">
        <v>1214</v>
      </c>
      <c r="B306" s="60" t="s">
        <v>80</v>
      </c>
      <c r="C306" s="60" t="s">
        <v>258</v>
      </c>
      <c r="D306" s="60" t="s">
        <v>125</v>
      </c>
      <c r="E306" s="60" t="s">
        <v>141</v>
      </c>
      <c r="F306" s="60" t="b">
        <f>TRUE()</f>
        <v>1</v>
      </c>
      <c r="G306" s="60" t="s">
        <v>167</v>
      </c>
      <c r="H306" s="60" t="s">
        <v>276</v>
      </c>
      <c r="I306" s="61">
        <v>46198</v>
      </c>
      <c r="J306" s="61">
        <v>46210</v>
      </c>
      <c r="K306" s="60">
        <v>12</v>
      </c>
      <c r="L306" s="60" t="s">
        <v>192</v>
      </c>
      <c r="M306" s="60" t="s">
        <v>184</v>
      </c>
      <c r="N306" s="60" t="b">
        <f>FALSE()</f>
        <v>0</v>
      </c>
      <c r="O306" s="60"/>
      <c r="P306" s="60"/>
      <c r="Q306" s="60" t="s">
        <v>236</v>
      </c>
      <c r="R306" s="60" t="s">
        <v>237</v>
      </c>
      <c r="S306" s="60"/>
      <c r="T306" s="60" t="b">
        <f>FALSE()</f>
        <v>0</v>
      </c>
      <c r="U306" s="60" t="b">
        <f>FALSE()</f>
        <v>0</v>
      </c>
      <c r="V306" s="60">
        <v>298</v>
      </c>
      <c r="W306" s="62" t="s">
        <v>259</v>
      </c>
      <c r="X306" s="60">
        <v>429</v>
      </c>
      <c r="Y306" s="63">
        <v>2.66</v>
      </c>
      <c r="Z306" s="60" t="b">
        <f>FALSE()</f>
        <v>0</v>
      </c>
      <c r="AA306" s="60" t="b">
        <f>TRUE()</f>
        <v>1</v>
      </c>
      <c r="AB306" s="60" t="b">
        <f>FALSE()</f>
        <v>0</v>
      </c>
      <c r="AC306" s="60" t="b">
        <f>FALSE()</f>
        <v>0</v>
      </c>
      <c r="AD306" s="60" t="b">
        <f>TRUE()</f>
        <v>1</v>
      </c>
      <c r="AE306" s="60">
        <v>3</v>
      </c>
      <c r="AF306" s="64">
        <v>42.9</v>
      </c>
      <c r="AG306" s="60" t="s">
        <v>73</v>
      </c>
      <c r="AH306" s="60" t="s">
        <v>1215</v>
      </c>
      <c r="AI306">
        <f>IF(AND(OR(Company_Explorer!$B$5="All Companies",$E306=Company_Explorer!$B$5),OR(Company_Explorer!$B$6="All Platforms",$B306=Company_Explorer!$B$6),OR(Company_Explorer!$B$7="All Roles",$D306=Company_Explorer!$B$7),OR(Company_Explorer!$B$8="All Ghost Labels",$AG306=Company_Explorer!$B$8)),1,0)</f>
        <v>0</v>
      </c>
    </row>
    <row r="307" spans="1:35" ht="15" customHeight="1" x14ac:dyDescent="0.3">
      <c r="A307" s="65" t="s">
        <v>1216</v>
      </c>
      <c r="B307" s="65" t="s">
        <v>80</v>
      </c>
      <c r="C307" s="65" t="s">
        <v>258</v>
      </c>
      <c r="D307" s="65" t="s">
        <v>125</v>
      </c>
      <c r="E307" s="65" t="s">
        <v>141</v>
      </c>
      <c r="F307" s="65" t="b">
        <f>TRUE()</f>
        <v>1</v>
      </c>
      <c r="G307" s="65" t="s">
        <v>269</v>
      </c>
      <c r="H307" s="65" t="s">
        <v>270</v>
      </c>
      <c r="I307" s="66">
        <v>46198</v>
      </c>
      <c r="J307" s="66">
        <v>46210</v>
      </c>
      <c r="K307" s="65">
        <v>12</v>
      </c>
      <c r="L307" s="65" t="s">
        <v>192</v>
      </c>
      <c r="M307" s="65" t="s">
        <v>184</v>
      </c>
      <c r="N307" s="65" t="b">
        <f>FALSE()</f>
        <v>0</v>
      </c>
      <c r="O307" s="65"/>
      <c r="P307" s="65"/>
      <c r="Q307" s="65" t="s">
        <v>236</v>
      </c>
      <c r="R307" s="65" t="s">
        <v>237</v>
      </c>
      <c r="S307" s="65"/>
      <c r="T307" s="65" t="b">
        <f>FALSE()</f>
        <v>0</v>
      </c>
      <c r="U307" s="65" t="b">
        <f>FALSE()</f>
        <v>0</v>
      </c>
      <c r="V307" s="65">
        <v>263</v>
      </c>
      <c r="W307" s="67" t="s">
        <v>1217</v>
      </c>
      <c r="X307" s="65">
        <v>429</v>
      </c>
      <c r="Y307" s="68">
        <v>2.66</v>
      </c>
      <c r="Z307" s="65" t="b">
        <f>FALSE()</f>
        <v>0</v>
      </c>
      <c r="AA307" s="65" t="b">
        <f>TRUE()</f>
        <v>1</v>
      </c>
      <c r="AB307" s="65" t="b">
        <f>TRUE()</f>
        <v>1</v>
      </c>
      <c r="AC307" s="65" t="b">
        <f>FALSE()</f>
        <v>0</v>
      </c>
      <c r="AD307" s="65" t="b">
        <f>TRUE()</f>
        <v>1</v>
      </c>
      <c r="AE307" s="65">
        <v>4</v>
      </c>
      <c r="AF307" s="69">
        <v>57.1</v>
      </c>
      <c r="AG307" s="65" t="s">
        <v>72</v>
      </c>
      <c r="AH307" s="65" t="s">
        <v>1218</v>
      </c>
      <c r="AI307">
        <f>IF(AND(OR(Company_Explorer!$B$5="All Companies",$E307=Company_Explorer!$B$5),OR(Company_Explorer!$B$6="All Platforms",$B307=Company_Explorer!$B$6),OR(Company_Explorer!$B$7="All Roles",$D307=Company_Explorer!$B$7),OR(Company_Explorer!$B$8="All Ghost Labels",$AG307=Company_Explorer!$B$8)),1,0)</f>
        <v>0</v>
      </c>
    </row>
    <row r="308" spans="1:35" ht="15" customHeight="1" x14ac:dyDescent="0.3">
      <c r="A308" s="60" t="s">
        <v>1219</v>
      </c>
      <c r="B308" s="60" t="s">
        <v>80</v>
      </c>
      <c r="C308" s="60" t="s">
        <v>125</v>
      </c>
      <c r="D308" s="60" t="s">
        <v>125</v>
      </c>
      <c r="E308" s="60" t="s">
        <v>1220</v>
      </c>
      <c r="F308" s="60" t="b">
        <f>TRUE()</f>
        <v>1</v>
      </c>
      <c r="G308" s="60" t="s">
        <v>462</v>
      </c>
      <c r="H308" s="60" t="s">
        <v>254</v>
      </c>
      <c r="I308" s="61">
        <v>46191</v>
      </c>
      <c r="J308" s="61">
        <v>46210</v>
      </c>
      <c r="K308" s="60">
        <v>19</v>
      </c>
      <c r="L308" s="60" t="s">
        <v>192</v>
      </c>
      <c r="M308" s="60" t="s">
        <v>186</v>
      </c>
      <c r="N308" s="60" t="b">
        <f>FALSE()</f>
        <v>0</v>
      </c>
      <c r="O308" s="60"/>
      <c r="P308" s="60"/>
      <c r="Q308" s="60" t="s">
        <v>236</v>
      </c>
      <c r="R308" s="60" t="s">
        <v>237</v>
      </c>
      <c r="S308" s="60"/>
      <c r="T308" s="60" t="b">
        <f>FALSE()</f>
        <v>0</v>
      </c>
      <c r="U308" s="60" t="b">
        <f>FALSE()</f>
        <v>0</v>
      </c>
      <c r="V308" s="60">
        <v>183</v>
      </c>
      <c r="W308" s="62" t="s">
        <v>1221</v>
      </c>
      <c r="X308" s="60">
        <v>1</v>
      </c>
      <c r="Y308" s="63">
        <v>0.01</v>
      </c>
      <c r="Z308" s="60" t="b">
        <f>FALSE()</f>
        <v>0</v>
      </c>
      <c r="AA308" s="60" t="b">
        <f>TRUE()</f>
        <v>1</v>
      </c>
      <c r="AB308" s="60" t="b">
        <f>TRUE()</f>
        <v>1</v>
      </c>
      <c r="AC308" s="60" t="b">
        <f>TRUE()</f>
        <v>1</v>
      </c>
      <c r="AD308" s="60" t="b">
        <f>FALSE()</f>
        <v>0</v>
      </c>
      <c r="AE308" s="60">
        <v>3</v>
      </c>
      <c r="AF308" s="64">
        <v>42.9</v>
      </c>
      <c r="AG308" s="60" t="s">
        <v>73</v>
      </c>
      <c r="AH308" s="60" t="s">
        <v>1222</v>
      </c>
      <c r="AI308">
        <f>IF(AND(OR(Company_Explorer!$B$5="All Companies",$E308=Company_Explorer!$B$5),OR(Company_Explorer!$B$6="All Platforms",$B308=Company_Explorer!$B$6),OR(Company_Explorer!$B$7="All Roles",$D308=Company_Explorer!$B$7),OR(Company_Explorer!$B$8="All Ghost Labels",$AG308=Company_Explorer!$B$8)),1,0)</f>
        <v>0</v>
      </c>
    </row>
    <row r="309" spans="1:35" ht="15" customHeight="1" x14ac:dyDescent="0.3">
      <c r="A309" s="65" t="s">
        <v>1223</v>
      </c>
      <c r="B309" s="65" t="s">
        <v>80</v>
      </c>
      <c r="C309" s="65" t="s">
        <v>258</v>
      </c>
      <c r="D309" s="65" t="s">
        <v>125</v>
      </c>
      <c r="E309" s="65" t="s">
        <v>141</v>
      </c>
      <c r="F309" s="65" t="b">
        <f>TRUE()</f>
        <v>1</v>
      </c>
      <c r="G309" s="65" t="s">
        <v>179</v>
      </c>
      <c r="H309" s="65" t="s">
        <v>254</v>
      </c>
      <c r="I309" s="66">
        <v>46198</v>
      </c>
      <c r="J309" s="66">
        <v>46210</v>
      </c>
      <c r="K309" s="65">
        <v>12</v>
      </c>
      <c r="L309" s="65" t="s">
        <v>192</v>
      </c>
      <c r="M309" s="65" t="s">
        <v>184</v>
      </c>
      <c r="N309" s="65" t="b">
        <f>FALSE()</f>
        <v>0</v>
      </c>
      <c r="O309" s="65"/>
      <c r="P309" s="65"/>
      <c r="Q309" s="65" t="s">
        <v>236</v>
      </c>
      <c r="R309" s="65" t="s">
        <v>237</v>
      </c>
      <c r="S309" s="65"/>
      <c r="T309" s="65" t="b">
        <f>FALSE()</f>
        <v>0</v>
      </c>
      <c r="U309" s="65" t="b">
        <f>FALSE()</f>
        <v>0</v>
      </c>
      <c r="V309" s="65">
        <v>242</v>
      </c>
      <c r="W309" s="67" t="s">
        <v>1224</v>
      </c>
      <c r="X309" s="65">
        <v>429</v>
      </c>
      <c r="Y309" s="68">
        <v>2.66</v>
      </c>
      <c r="Z309" s="65" t="b">
        <f>FALSE()</f>
        <v>0</v>
      </c>
      <c r="AA309" s="65" t="b">
        <f>TRUE()</f>
        <v>1</v>
      </c>
      <c r="AB309" s="65" t="b">
        <f>TRUE()</f>
        <v>1</v>
      </c>
      <c r="AC309" s="65" t="b">
        <f>FALSE()</f>
        <v>0</v>
      </c>
      <c r="AD309" s="65" t="b">
        <f>TRUE()</f>
        <v>1</v>
      </c>
      <c r="AE309" s="65">
        <v>4</v>
      </c>
      <c r="AF309" s="69">
        <v>57.1</v>
      </c>
      <c r="AG309" s="65" t="s">
        <v>72</v>
      </c>
      <c r="AH309" s="65" t="s">
        <v>1225</v>
      </c>
      <c r="AI309">
        <f>IF(AND(OR(Company_Explorer!$B$5="All Companies",$E309=Company_Explorer!$B$5),OR(Company_Explorer!$B$6="All Platforms",$B309=Company_Explorer!$B$6),OR(Company_Explorer!$B$7="All Roles",$D309=Company_Explorer!$B$7),OR(Company_Explorer!$B$8="All Ghost Labels",$AG309=Company_Explorer!$B$8)),1,0)</f>
        <v>0</v>
      </c>
    </row>
    <row r="310" spans="1:35" ht="15" customHeight="1" x14ac:dyDescent="0.3">
      <c r="A310" s="60" t="s">
        <v>1226</v>
      </c>
      <c r="B310" s="60" t="s">
        <v>80</v>
      </c>
      <c r="C310" s="60" t="s">
        <v>258</v>
      </c>
      <c r="D310" s="60" t="s">
        <v>125</v>
      </c>
      <c r="E310" s="60" t="s">
        <v>141</v>
      </c>
      <c r="F310" s="60" t="b">
        <f>TRUE()</f>
        <v>1</v>
      </c>
      <c r="G310" s="60" t="s">
        <v>169</v>
      </c>
      <c r="H310" s="60" t="s">
        <v>294</v>
      </c>
      <c r="I310" s="61">
        <v>46199</v>
      </c>
      <c r="J310" s="61">
        <v>46210</v>
      </c>
      <c r="K310" s="60">
        <v>11</v>
      </c>
      <c r="L310" s="60" t="s">
        <v>192</v>
      </c>
      <c r="M310" s="60" t="s">
        <v>184</v>
      </c>
      <c r="N310" s="60" t="b">
        <f>FALSE()</f>
        <v>0</v>
      </c>
      <c r="O310" s="60"/>
      <c r="P310" s="60"/>
      <c r="Q310" s="60" t="s">
        <v>236</v>
      </c>
      <c r="R310" s="60" t="s">
        <v>237</v>
      </c>
      <c r="S310" s="60"/>
      <c r="T310" s="60" t="b">
        <f>FALSE()</f>
        <v>0</v>
      </c>
      <c r="U310" s="60" t="b">
        <f>FALSE()</f>
        <v>0</v>
      </c>
      <c r="V310" s="60">
        <v>329</v>
      </c>
      <c r="W310" s="62" t="s">
        <v>259</v>
      </c>
      <c r="X310" s="60">
        <v>429</v>
      </c>
      <c r="Y310" s="63">
        <v>2.66</v>
      </c>
      <c r="Z310" s="60" t="b">
        <f>FALSE()</f>
        <v>0</v>
      </c>
      <c r="AA310" s="60" t="b">
        <f>TRUE()</f>
        <v>1</v>
      </c>
      <c r="AB310" s="60" t="b">
        <f>FALSE()</f>
        <v>0</v>
      </c>
      <c r="AC310" s="60" t="b">
        <f>FALSE()</f>
        <v>0</v>
      </c>
      <c r="AD310" s="60" t="b">
        <f>TRUE()</f>
        <v>1</v>
      </c>
      <c r="AE310" s="60">
        <v>3</v>
      </c>
      <c r="AF310" s="64">
        <v>42.9</v>
      </c>
      <c r="AG310" s="60" t="s">
        <v>73</v>
      </c>
      <c r="AH310" s="60" t="s">
        <v>1227</v>
      </c>
      <c r="AI310">
        <f>IF(AND(OR(Company_Explorer!$B$5="All Companies",$E310=Company_Explorer!$B$5),OR(Company_Explorer!$B$6="All Platforms",$B310=Company_Explorer!$B$6),OR(Company_Explorer!$B$7="All Roles",$D310=Company_Explorer!$B$7),OR(Company_Explorer!$B$8="All Ghost Labels",$AG310=Company_Explorer!$B$8)),1,0)</f>
        <v>0</v>
      </c>
    </row>
    <row r="311" spans="1:35" ht="15" customHeight="1" x14ac:dyDescent="0.3">
      <c r="A311" s="65" t="s">
        <v>1228</v>
      </c>
      <c r="B311" s="65" t="s">
        <v>80</v>
      </c>
      <c r="C311" s="65" t="s">
        <v>315</v>
      </c>
      <c r="D311" s="65" t="s">
        <v>126</v>
      </c>
      <c r="E311" s="65" t="s">
        <v>141</v>
      </c>
      <c r="F311" s="65" t="b">
        <f>TRUE()</f>
        <v>1</v>
      </c>
      <c r="G311" s="65" t="s">
        <v>166</v>
      </c>
      <c r="H311" s="65" t="s">
        <v>235</v>
      </c>
      <c r="I311" s="66">
        <v>46198</v>
      </c>
      <c r="J311" s="66">
        <v>46210</v>
      </c>
      <c r="K311" s="65">
        <v>12</v>
      </c>
      <c r="L311" s="65" t="s">
        <v>192</v>
      </c>
      <c r="M311" s="65" t="s">
        <v>184</v>
      </c>
      <c r="N311" s="65" t="b">
        <f>FALSE()</f>
        <v>0</v>
      </c>
      <c r="O311" s="65"/>
      <c r="P311" s="65"/>
      <c r="Q311" s="65" t="s">
        <v>236</v>
      </c>
      <c r="R311" s="65" t="s">
        <v>237</v>
      </c>
      <c r="S311" s="65"/>
      <c r="T311" s="65" t="b">
        <f>FALSE()</f>
        <v>0</v>
      </c>
      <c r="U311" s="65" t="b">
        <f>FALSE()</f>
        <v>0</v>
      </c>
      <c r="V311" s="65">
        <v>296</v>
      </c>
      <c r="W311" s="67" t="s">
        <v>1229</v>
      </c>
      <c r="X311" s="65">
        <v>429</v>
      </c>
      <c r="Y311" s="68">
        <v>2.66</v>
      </c>
      <c r="Z311" s="65" t="b">
        <f>FALSE()</f>
        <v>0</v>
      </c>
      <c r="AA311" s="65" t="b">
        <f>TRUE()</f>
        <v>1</v>
      </c>
      <c r="AB311" s="65" t="b">
        <f>FALSE()</f>
        <v>0</v>
      </c>
      <c r="AC311" s="65" t="b">
        <f>FALSE()</f>
        <v>0</v>
      </c>
      <c r="AD311" s="65" t="b">
        <f>TRUE()</f>
        <v>1</v>
      </c>
      <c r="AE311" s="65">
        <v>3</v>
      </c>
      <c r="AF311" s="69">
        <v>42.9</v>
      </c>
      <c r="AG311" s="65" t="s">
        <v>73</v>
      </c>
      <c r="AH311" s="65" t="s">
        <v>1230</v>
      </c>
      <c r="AI311">
        <f>IF(AND(OR(Company_Explorer!$B$5="All Companies",$E311=Company_Explorer!$B$5),OR(Company_Explorer!$B$6="All Platforms",$B311=Company_Explorer!$B$6),OR(Company_Explorer!$B$7="All Roles",$D311=Company_Explorer!$B$7),OR(Company_Explorer!$B$8="All Ghost Labels",$AG311=Company_Explorer!$B$8)),1,0)</f>
        <v>0</v>
      </c>
    </row>
    <row r="312" spans="1:35" ht="15" customHeight="1" x14ac:dyDescent="0.3">
      <c r="A312" s="60" t="s">
        <v>1231</v>
      </c>
      <c r="B312" s="60" t="s">
        <v>80</v>
      </c>
      <c r="C312" s="60" t="s">
        <v>258</v>
      </c>
      <c r="D312" s="60" t="s">
        <v>125</v>
      </c>
      <c r="E312" s="60" t="s">
        <v>141</v>
      </c>
      <c r="F312" s="60" t="b">
        <f>TRUE()</f>
        <v>1</v>
      </c>
      <c r="G312" s="60" t="s">
        <v>170</v>
      </c>
      <c r="H312" s="60" t="s">
        <v>165</v>
      </c>
      <c r="I312" s="61">
        <v>46200</v>
      </c>
      <c r="J312" s="61">
        <v>46210</v>
      </c>
      <c r="K312" s="60">
        <v>10</v>
      </c>
      <c r="L312" s="60" t="s">
        <v>192</v>
      </c>
      <c r="M312" s="60" t="s">
        <v>184</v>
      </c>
      <c r="N312" s="60" t="b">
        <f>FALSE()</f>
        <v>0</v>
      </c>
      <c r="O312" s="60"/>
      <c r="P312" s="60"/>
      <c r="Q312" s="60" t="s">
        <v>236</v>
      </c>
      <c r="R312" s="60" t="s">
        <v>237</v>
      </c>
      <c r="S312" s="60"/>
      <c r="T312" s="60" t="b">
        <f>FALSE()</f>
        <v>0</v>
      </c>
      <c r="U312" s="60" t="b">
        <f>FALSE()</f>
        <v>0</v>
      </c>
      <c r="V312" s="60">
        <v>323</v>
      </c>
      <c r="W312" s="62" t="s">
        <v>259</v>
      </c>
      <c r="X312" s="60">
        <v>429</v>
      </c>
      <c r="Y312" s="63">
        <v>2.66</v>
      </c>
      <c r="Z312" s="60" t="b">
        <f>FALSE()</f>
        <v>0</v>
      </c>
      <c r="AA312" s="60" t="b">
        <f>TRUE()</f>
        <v>1</v>
      </c>
      <c r="AB312" s="60" t="b">
        <f>FALSE()</f>
        <v>0</v>
      </c>
      <c r="AC312" s="60" t="b">
        <f>FALSE()</f>
        <v>0</v>
      </c>
      <c r="AD312" s="60" t="b">
        <f>TRUE()</f>
        <v>1</v>
      </c>
      <c r="AE312" s="60">
        <v>3</v>
      </c>
      <c r="AF312" s="64">
        <v>42.9</v>
      </c>
      <c r="AG312" s="60" t="s">
        <v>73</v>
      </c>
      <c r="AH312" s="60" t="s">
        <v>1232</v>
      </c>
      <c r="AI312">
        <f>IF(AND(OR(Company_Explorer!$B$5="All Companies",$E312=Company_Explorer!$B$5),OR(Company_Explorer!$B$6="All Platforms",$B312=Company_Explorer!$B$6),OR(Company_Explorer!$B$7="All Roles",$D312=Company_Explorer!$B$7),OR(Company_Explorer!$B$8="All Ghost Labels",$AG312=Company_Explorer!$B$8)),1,0)</f>
        <v>0</v>
      </c>
    </row>
    <row r="313" spans="1:35" ht="15" customHeight="1" x14ac:dyDescent="0.3">
      <c r="A313" s="65" t="s">
        <v>1233</v>
      </c>
      <c r="B313" s="65" t="s">
        <v>80</v>
      </c>
      <c r="C313" s="65" t="s">
        <v>258</v>
      </c>
      <c r="D313" s="65" t="s">
        <v>125</v>
      </c>
      <c r="E313" s="65" t="s">
        <v>141</v>
      </c>
      <c r="F313" s="65" t="b">
        <f>TRUE()</f>
        <v>1</v>
      </c>
      <c r="G313" s="65" t="s">
        <v>170</v>
      </c>
      <c r="H313" s="65" t="s">
        <v>165</v>
      </c>
      <c r="I313" s="66">
        <v>46198</v>
      </c>
      <c r="J313" s="66">
        <v>46210</v>
      </c>
      <c r="K313" s="65">
        <v>12</v>
      </c>
      <c r="L313" s="65" t="s">
        <v>192</v>
      </c>
      <c r="M313" s="65" t="s">
        <v>184</v>
      </c>
      <c r="N313" s="65" t="b">
        <f>FALSE()</f>
        <v>0</v>
      </c>
      <c r="O313" s="65"/>
      <c r="P313" s="65"/>
      <c r="Q313" s="65" t="s">
        <v>236</v>
      </c>
      <c r="R313" s="65" t="s">
        <v>237</v>
      </c>
      <c r="S313" s="65"/>
      <c r="T313" s="65" t="b">
        <f>FALSE()</f>
        <v>0</v>
      </c>
      <c r="U313" s="65" t="b">
        <f>FALSE()</f>
        <v>0</v>
      </c>
      <c r="V313" s="65">
        <v>258</v>
      </c>
      <c r="W313" s="67" t="s">
        <v>1234</v>
      </c>
      <c r="X313" s="65">
        <v>429</v>
      </c>
      <c r="Y313" s="68">
        <v>2.66</v>
      </c>
      <c r="Z313" s="65" t="b">
        <f>FALSE()</f>
        <v>0</v>
      </c>
      <c r="AA313" s="65" t="b">
        <f>TRUE()</f>
        <v>1</v>
      </c>
      <c r="AB313" s="65" t="b">
        <f>TRUE()</f>
        <v>1</v>
      </c>
      <c r="AC313" s="65" t="b">
        <f>FALSE()</f>
        <v>0</v>
      </c>
      <c r="AD313" s="65" t="b">
        <f>TRUE()</f>
        <v>1</v>
      </c>
      <c r="AE313" s="65">
        <v>4</v>
      </c>
      <c r="AF313" s="69">
        <v>57.1</v>
      </c>
      <c r="AG313" s="65" t="s">
        <v>72</v>
      </c>
      <c r="AH313" s="65" t="s">
        <v>1235</v>
      </c>
      <c r="AI313">
        <f>IF(AND(OR(Company_Explorer!$B$5="All Companies",$E313=Company_Explorer!$B$5),OR(Company_Explorer!$B$6="All Platforms",$B313=Company_Explorer!$B$6),OR(Company_Explorer!$B$7="All Roles",$D313=Company_Explorer!$B$7),OR(Company_Explorer!$B$8="All Ghost Labels",$AG313=Company_Explorer!$B$8)),1,0)</f>
        <v>0</v>
      </c>
    </row>
    <row r="314" spans="1:35" ht="15" customHeight="1" x14ac:dyDescent="0.3">
      <c r="A314" s="60" t="s">
        <v>1236</v>
      </c>
      <c r="B314" s="60" t="s">
        <v>80</v>
      </c>
      <c r="C314" s="60" t="s">
        <v>1237</v>
      </c>
      <c r="D314" s="60" t="s">
        <v>125</v>
      </c>
      <c r="E314" s="60" t="s">
        <v>1238</v>
      </c>
      <c r="F314" s="60" t="b">
        <f>TRUE()</f>
        <v>1</v>
      </c>
      <c r="G314" s="60" t="s">
        <v>168</v>
      </c>
      <c r="H314" s="60" t="s">
        <v>254</v>
      </c>
      <c r="I314" s="61">
        <v>46195</v>
      </c>
      <c r="J314" s="61">
        <v>46210</v>
      </c>
      <c r="K314" s="60">
        <v>15</v>
      </c>
      <c r="L314" s="60" t="s">
        <v>192</v>
      </c>
      <c r="M314" s="60" t="s">
        <v>186</v>
      </c>
      <c r="N314" s="60" t="b">
        <f>FALSE()</f>
        <v>0</v>
      </c>
      <c r="O314" s="60"/>
      <c r="P314" s="60"/>
      <c r="Q314" s="60" t="s">
        <v>236</v>
      </c>
      <c r="R314" s="60" t="s">
        <v>237</v>
      </c>
      <c r="S314" s="60"/>
      <c r="T314" s="60" t="b">
        <f>FALSE()</f>
        <v>0</v>
      </c>
      <c r="U314" s="60" t="b">
        <f>FALSE()</f>
        <v>0</v>
      </c>
      <c r="V314" s="60">
        <v>636</v>
      </c>
      <c r="W314" s="62" t="s">
        <v>1239</v>
      </c>
      <c r="X314" s="60">
        <v>1</v>
      </c>
      <c r="Y314" s="63">
        <v>0.01</v>
      </c>
      <c r="Z314" s="60" t="b">
        <f>FALSE()</f>
        <v>0</v>
      </c>
      <c r="AA314" s="60" t="b">
        <f>TRUE()</f>
        <v>1</v>
      </c>
      <c r="AB314" s="60" t="b">
        <f>FALSE()</f>
        <v>0</v>
      </c>
      <c r="AC314" s="60" t="b">
        <f>FALSE()</f>
        <v>0</v>
      </c>
      <c r="AD314" s="60" t="b">
        <f>FALSE()</f>
        <v>0</v>
      </c>
      <c r="AE314" s="60">
        <v>1</v>
      </c>
      <c r="AF314" s="64">
        <v>14.3</v>
      </c>
      <c r="AG314" s="60" t="s">
        <v>74</v>
      </c>
      <c r="AH314" s="60" t="s">
        <v>1240</v>
      </c>
      <c r="AI314">
        <f>IF(AND(OR(Company_Explorer!$B$5="All Companies",$E314=Company_Explorer!$B$5),OR(Company_Explorer!$B$6="All Platforms",$B314=Company_Explorer!$B$6),OR(Company_Explorer!$B$7="All Roles",$D314=Company_Explorer!$B$7),OR(Company_Explorer!$B$8="All Ghost Labels",$AG314=Company_Explorer!$B$8)),1,0)</f>
        <v>0</v>
      </c>
    </row>
    <row r="315" spans="1:35" ht="15" customHeight="1" x14ac:dyDescent="0.3">
      <c r="A315" s="65" t="s">
        <v>1241</v>
      </c>
      <c r="B315" s="65" t="s">
        <v>80</v>
      </c>
      <c r="C315" s="65" t="s">
        <v>258</v>
      </c>
      <c r="D315" s="65" t="s">
        <v>125</v>
      </c>
      <c r="E315" s="65" t="s">
        <v>141</v>
      </c>
      <c r="F315" s="65" t="b">
        <f>TRUE()</f>
        <v>1</v>
      </c>
      <c r="G315" s="65" t="s">
        <v>170</v>
      </c>
      <c r="H315" s="65" t="s">
        <v>165</v>
      </c>
      <c r="I315" s="66">
        <v>46200</v>
      </c>
      <c r="J315" s="66">
        <v>46210</v>
      </c>
      <c r="K315" s="65">
        <v>10</v>
      </c>
      <c r="L315" s="65" t="s">
        <v>192</v>
      </c>
      <c r="M315" s="65" t="s">
        <v>184</v>
      </c>
      <c r="N315" s="65" t="b">
        <f>FALSE()</f>
        <v>0</v>
      </c>
      <c r="O315" s="65"/>
      <c r="P315" s="65"/>
      <c r="Q315" s="65" t="s">
        <v>236</v>
      </c>
      <c r="R315" s="65" t="s">
        <v>237</v>
      </c>
      <c r="S315" s="65"/>
      <c r="T315" s="65" t="b">
        <f>FALSE()</f>
        <v>0</v>
      </c>
      <c r="U315" s="65" t="b">
        <f>FALSE()</f>
        <v>0</v>
      </c>
      <c r="V315" s="65">
        <v>299</v>
      </c>
      <c r="W315" s="67" t="s">
        <v>259</v>
      </c>
      <c r="X315" s="65">
        <v>429</v>
      </c>
      <c r="Y315" s="68">
        <v>2.66</v>
      </c>
      <c r="Z315" s="65" t="b">
        <f>FALSE()</f>
        <v>0</v>
      </c>
      <c r="AA315" s="65" t="b">
        <f>TRUE()</f>
        <v>1</v>
      </c>
      <c r="AB315" s="65" t="b">
        <f>FALSE()</f>
        <v>0</v>
      </c>
      <c r="AC315" s="65" t="b">
        <f>FALSE()</f>
        <v>0</v>
      </c>
      <c r="AD315" s="65" t="b">
        <f>TRUE()</f>
        <v>1</v>
      </c>
      <c r="AE315" s="65">
        <v>3</v>
      </c>
      <c r="AF315" s="69">
        <v>42.9</v>
      </c>
      <c r="AG315" s="65" t="s">
        <v>73</v>
      </c>
      <c r="AH315" s="65" t="s">
        <v>1242</v>
      </c>
      <c r="AI315">
        <f>IF(AND(OR(Company_Explorer!$B$5="All Companies",$E315=Company_Explorer!$B$5),OR(Company_Explorer!$B$6="All Platforms",$B315=Company_Explorer!$B$6),OR(Company_Explorer!$B$7="All Roles",$D315=Company_Explorer!$B$7),OR(Company_Explorer!$B$8="All Ghost Labels",$AG315=Company_Explorer!$B$8)),1,0)</f>
        <v>0</v>
      </c>
    </row>
    <row r="316" spans="1:35" ht="15" customHeight="1" x14ac:dyDescent="0.3">
      <c r="A316" s="60" t="s">
        <v>1243</v>
      </c>
      <c r="B316" s="60" t="s">
        <v>80</v>
      </c>
      <c r="C316" s="60" t="s">
        <v>258</v>
      </c>
      <c r="D316" s="60" t="s">
        <v>125</v>
      </c>
      <c r="E316" s="60" t="s">
        <v>141</v>
      </c>
      <c r="F316" s="60" t="b">
        <f>TRUE()</f>
        <v>1</v>
      </c>
      <c r="G316" s="60" t="s">
        <v>170</v>
      </c>
      <c r="H316" s="60" t="s">
        <v>165</v>
      </c>
      <c r="I316" s="61">
        <v>46200</v>
      </c>
      <c r="J316" s="61">
        <v>46210</v>
      </c>
      <c r="K316" s="60">
        <v>10</v>
      </c>
      <c r="L316" s="60" t="s">
        <v>192</v>
      </c>
      <c r="M316" s="60" t="s">
        <v>184</v>
      </c>
      <c r="N316" s="60" t="b">
        <f>FALSE()</f>
        <v>0</v>
      </c>
      <c r="O316" s="60"/>
      <c r="P316" s="60"/>
      <c r="Q316" s="60" t="s">
        <v>236</v>
      </c>
      <c r="R316" s="60" t="s">
        <v>237</v>
      </c>
      <c r="S316" s="60"/>
      <c r="T316" s="60" t="b">
        <f>FALSE()</f>
        <v>0</v>
      </c>
      <c r="U316" s="60" t="b">
        <f>FALSE()</f>
        <v>0</v>
      </c>
      <c r="V316" s="60">
        <v>300</v>
      </c>
      <c r="W316" s="62" t="s">
        <v>259</v>
      </c>
      <c r="X316" s="60">
        <v>429</v>
      </c>
      <c r="Y316" s="63">
        <v>2.66</v>
      </c>
      <c r="Z316" s="60" t="b">
        <f>FALSE()</f>
        <v>0</v>
      </c>
      <c r="AA316" s="60" t="b">
        <f>TRUE()</f>
        <v>1</v>
      </c>
      <c r="AB316" s="60" t="b">
        <f>FALSE()</f>
        <v>0</v>
      </c>
      <c r="AC316" s="60" t="b">
        <f>FALSE()</f>
        <v>0</v>
      </c>
      <c r="AD316" s="60" t="b">
        <f>TRUE()</f>
        <v>1</v>
      </c>
      <c r="AE316" s="60">
        <v>3</v>
      </c>
      <c r="AF316" s="64">
        <v>42.9</v>
      </c>
      <c r="AG316" s="60" t="s">
        <v>73</v>
      </c>
      <c r="AH316" s="60" t="s">
        <v>1244</v>
      </c>
      <c r="AI316">
        <f>IF(AND(OR(Company_Explorer!$B$5="All Companies",$E316=Company_Explorer!$B$5),OR(Company_Explorer!$B$6="All Platforms",$B316=Company_Explorer!$B$6),OR(Company_Explorer!$B$7="All Roles",$D316=Company_Explorer!$B$7),OR(Company_Explorer!$B$8="All Ghost Labels",$AG316=Company_Explorer!$B$8)),1,0)</f>
        <v>0</v>
      </c>
    </row>
    <row r="317" spans="1:35" ht="15" customHeight="1" x14ac:dyDescent="0.3">
      <c r="A317" s="65" t="s">
        <v>1245</v>
      </c>
      <c r="B317" s="65" t="s">
        <v>80</v>
      </c>
      <c r="C317" s="65" t="s">
        <v>258</v>
      </c>
      <c r="D317" s="65" t="s">
        <v>125</v>
      </c>
      <c r="E317" s="65" t="s">
        <v>141</v>
      </c>
      <c r="F317" s="65" t="b">
        <f>TRUE()</f>
        <v>1</v>
      </c>
      <c r="G317" s="65" t="s">
        <v>1246</v>
      </c>
      <c r="H317" s="65" t="s">
        <v>165</v>
      </c>
      <c r="I317" s="66">
        <v>46198</v>
      </c>
      <c r="J317" s="66">
        <v>46210</v>
      </c>
      <c r="K317" s="65">
        <v>12</v>
      </c>
      <c r="L317" s="65" t="s">
        <v>192</v>
      </c>
      <c r="M317" s="65" t="s">
        <v>184</v>
      </c>
      <c r="N317" s="65" t="b">
        <f>FALSE()</f>
        <v>0</v>
      </c>
      <c r="O317" s="65"/>
      <c r="P317" s="65"/>
      <c r="Q317" s="65" t="s">
        <v>236</v>
      </c>
      <c r="R317" s="65" t="s">
        <v>237</v>
      </c>
      <c r="S317" s="65"/>
      <c r="T317" s="65" t="b">
        <f>FALSE()</f>
        <v>0</v>
      </c>
      <c r="U317" s="65" t="b">
        <f>FALSE()</f>
        <v>0</v>
      </c>
      <c r="V317" s="65">
        <v>301</v>
      </c>
      <c r="W317" s="67" t="s">
        <v>259</v>
      </c>
      <c r="X317" s="65">
        <v>429</v>
      </c>
      <c r="Y317" s="68">
        <v>2.66</v>
      </c>
      <c r="Z317" s="65" t="b">
        <f>FALSE()</f>
        <v>0</v>
      </c>
      <c r="AA317" s="65" t="b">
        <f>TRUE()</f>
        <v>1</v>
      </c>
      <c r="AB317" s="65" t="b">
        <f>FALSE()</f>
        <v>0</v>
      </c>
      <c r="AC317" s="65" t="b">
        <f>FALSE()</f>
        <v>0</v>
      </c>
      <c r="AD317" s="65" t="b">
        <f>TRUE()</f>
        <v>1</v>
      </c>
      <c r="AE317" s="65">
        <v>3</v>
      </c>
      <c r="AF317" s="69">
        <v>42.9</v>
      </c>
      <c r="AG317" s="65" t="s">
        <v>73</v>
      </c>
      <c r="AH317" s="65" t="s">
        <v>1247</v>
      </c>
      <c r="AI317">
        <f>IF(AND(OR(Company_Explorer!$B$5="All Companies",$E317=Company_Explorer!$B$5),OR(Company_Explorer!$B$6="All Platforms",$B317=Company_Explorer!$B$6),OR(Company_Explorer!$B$7="All Roles",$D317=Company_Explorer!$B$7),OR(Company_Explorer!$B$8="All Ghost Labels",$AG317=Company_Explorer!$B$8)),1,0)</f>
        <v>0</v>
      </c>
    </row>
    <row r="318" spans="1:35" ht="15" customHeight="1" x14ac:dyDescent="0.3">
      <c r="A318" s="60" t="s">
        <v>1248</v>
      </c>
      <c r="B318" s="60" t="s">
        <v>80</v>
      </c>
      <c r="C318" s="60" t="s">
        <v>258</v>
      </c>
      <c r="D318" s="60" t="s">
        <v>125</v>
      </c>
      <c r="E318" s="60" t="s">
        <v>141</v>
      </c>
      <c r="F318" s="60" t="b">
        <f>TRUE()</f>
        <v>1</v>
      </c>
      <c r="G318" s="60" t="s">
        <v>179</v>
      </c>
      <c r="H318" s="60" t="s">
        <v>254</v>
      </c>
      <c r="I318" s="61">
        <v>46198</v>
      </c>
      <c r="J318" s="61">
        <v>46210</v>
      </c>
      <c r="K318" s="60">
        <v>12</v>
      </c>
      <c r="L318" s="60" t="s">
        <v>192</v>
      </c>
      <c r="M318" s="60" t="s">
        <v>184</v>
      </c>
      <c r="N318" s="60" t="b">
        <f>FALSE()</f>
        <v>0</v>
      </c>
      <c r="O318" s="60"/>
      <c r="P318" s="60"/>
      <c r="Q318" s="60" t="s">
        <v>236</v>
      </c>
      <c r="R318" s="60" t="s">
        <v>237</v>
      </c>
      <c r="S318" s="60"/>
      <c r="T318" s="60" t="b">
        <f>FALSE()</f>
        <v>0</v>
      </c>
      <c r="U318" s="60" t="b">
        <f>FALSE()</f>
        <v>0</v>
      </c>
      <c r="V318" s="60">
        <v>320</v>
      </c>
      <c r="W318" s="62" t="s">
        <v>259</v>
      </c>
      <c r="X318" s="60">
        <v>429</v>
      </c>
      <c r="Y318" s="63">
        <v>2.66</v>
      </c>
      <c r="Z318" s="60" t="b">
        <f>FALSE()</f>
        <v>0</v>
      </c>
      <c r="AA318" s="60" t="b">
        <f>TRUE()</f>
        <v>1</v>
      </c>
      <c r="AB318" s="60" t="b">
        <f>FALSE()</f>
        <v>0</v>
      </c>
      <c r="AC318" s="60" t="b">
        <f>FALSE()</f>
        <v>0</v>
      </c>
      <c r="AD318" s="60" t="b">
        <f>TRUE()</f>
        <v>1</v>
      </c>
      <c r="AE318" s="60">
        <v>3</v>
      </c>
      <c r="AF318" s="64">
        <v>42.9</v>
      </c>
      <c r="AG318" s="60" t="s">
        <v>73</v>
      </c>
      <c r="AH318" s="60" t="s">
        <v>1249</v>
      </c>
      <c r="AI318">
        <f>IF(AND(OR(Company_Explorer!$B$5="All Companies",$E318=Company_Explorer!$B$5),OR(Company_Explorer!$B$6="All Platforms",$B318=Company_Explorer!$B$6),OR(Company_Explorer!$B$7="All Roles",$D318=Company_Explorer!$B$7),OR(Company_Explorer!$B$8="All Ghost Labels",$AG318=Company_Explorer!$B$8)),1,0)</f>
        <v>0</v>
      </c>
    </row>
    <row r="319" spans="1:35" ht="15" customHeight="1" x14ac:dyDescent="0.3">
      <c r="A319" s="65" t="s">
        <v>1250</v>
      </c>
      <c r="B319" s="65" t="s">
        <v>80</v>
      </c>
      <c r="C319" s="65" t="s">
        <v>258</v>
      </c>
      <c r="D319" s="65" t="s">
        <v>125</v>
      </c>
      <c r="E319" s="65" t="s">
        <v>141</v>
      </c>
      <c r="F319" s="65" t="b">
        <f>TRUE()</f>
        <v>1</v>
      </c>
      <c r="G319" s="65" t="s">
        <v>179</v>
      </c>
      <c r="H319" s="65" t="s">
        <v>254</v>
      </c>
      <c r="I319" s="66">
        <v>46198</v>
      </c>
      <c r="J319" s="66">
        <v>46210</v>
      </c>
      <c r="K319" s="65">
        <v>12</v>
      </c>
      <c r="L319" s="65" t="s">
        <v>192</v>
      </c>
      <c r="M319" s="65" t="s">
        <v>184</v>
      </c>
      <c r="N319" s="65" t="b">
        <f>FALSE()</f>
        <v>0</v>
      </c>
      <c r="O319" s="65"/>
      <c r="P319" s="65"/>
      <c r="Q319" s="65" t="s">
        <v>236</v>
      </c>
      <c r="R319" s="65" t="s">
        <v>237</v>
      </c>
      <c r="S319" s="65"/>
      <c r="T319" s="65" t="b">
        <f>FALSE()</f>
        <v>0</v>
      </c>
      <c r="U319" s="65" t="b">
        <f>FALSE()</f>
        <v>0</v>
      </c>
      <c r="V319" s="65">
        <v>328</v>
      </c>
      <c r="W319" s="67" t="s">
        <v>259</v>
      </c>
      <c r="X319" s="65">
        <v>429</v>
      </c>
      <c r="Y319" s="68">
        <v>2.66</v>
      </c>
      <c r="Z319" s="65" t="b">
        <f>FALSE()</f>
        <v>0</v>
      </c>
      <c r="AA319" s="65" t="b">
        <f>TRUE()</f>
        <v>1</v>
      </c>
      <c r="AB319" s="65" t="b">
        <f>FALSE()</f>
        <v>0</v>
      </c>
      <c r="AC319" s="65" t="b">
        <f>FALSE()</f>
        <v>0</v>
      </c>
      <c r="AD319" s="65" t="b">
        <f>TRUE()</f>
        <v>1</v>
      </c>
      <c r="AE319" s="65">
        <v>3</v>
      </c>
      <c r="AF319" s="69">
        <v>42.9</v>
      </c>
      <c r="AG319" s="65" t="s">
        <v>73</v>
      </c>
      <c r="AH319" s="65" t="s">
        <v>1251</v>
      </c>
      <c r="AI319">
        <f>IF(AND(OR(Company_Explorer!$B$5="All Companies",$E319=Company_Explorer!$B$5),OR(Company_Explorer!$B$6="All Platforms",$B319=Company_Explorer!$B$6),OR(Company_Explorer!$B$7="All Roles",$D319=Company_Explorer!$B$7),OR(Company_Explorer!$B$8="All Ghost Labels",$AG319=Company_Explorer!$B$8)),1,0)</f>
        <v>0</v>
      </c>
    </row>
    <row r="320" spans="1:35" ht="15" customHeight="1" x14ac:dyDescent="0.3">
      <c r="A320" s="60" t="s">
        <v>1252</v>
      </c>
      <c r="B320" s="60" t="s">
        <v>80</v>
      </c>
      <c r="C320" s="60" t="s">
        <v>258</v>
      </c>
      <c r="D320" s="60" t="s">
        <v>125</v>
      </c>
      <c r="E320" s="60" t="s">
        <v>141</v>
      </c>
      <c r="F320" s="60" t="b">
        <f>TRUE()</f>
        <v>1</v>
      </c>
      <c r="G320" s="60" t="s">
        <v>179</v>
      </c>
      <c r="H320" s="60" t="s">
        <v>254</v>
      </c>
      <c r="I320" s="61">
        <v>46198</v>
      </c>
      <c r="J320" s="61">
        <v>46210</v>
      </c>
      <c r="K320" s="60">
        <v>12</v>
      </c>
      <c r="L320" s="60" t="s">
        <v>192</v>
      </c>
      <c r="M320" s="60" t="s">
        <v>184</v>
      </c>
      <c r="N320" s="60" t="b">
        <f>FALSE()</f>
        <v>0</v>
      </c>
      <c r="O320" s="60"/>
      <c r="P320" s="60"/>
      <c r="Q320" s="60" t="s">
        <v>236</v>
      </c>
      <c r="R320" s="60" t="s">
        <v>237</v>
      </c>
      <c r="S320" s="60"/>
      <c r="T320" s="60" t="b">
        <f>FALSE()</f>
        <v>0</v>
      </c>
      <c r="U320" s="60" t="b">
        <f>FALSE()</f>
        <v>0</v>
      </c>
      <c r="V320" s="60">
        <v>343</v>
      </c>
      <c r="W320" s="62" t="s">
        <v>259</v>
      </c>
      <c r="X320" s="60">
        <v>429</v>
      </c>
      <c r="Y320" s="63">
        <v>2.66</v>
      </c>
      <c r="Z320" s="60" t="b">
        <f>FALSE()</f>
        <v>0</v>
      </c>
      <c r="AA320" s="60" t="b">
        <f>TRUE()</f>
        <v>1</v>
      </c>
      <c r="AB320" s="60" t="b">
        <f>FALSE()</f>
        <v>0</v>
      </c>
      <c r="AC320" s="60" t="b">
        <f>FALSE()</f>
        <v>0</v>
      </c>
      <c r="AD320" s="60" t="b">
        <f>TRUE()</f>
        <v>1</v>
      </c>
      <c r="AE320" s="60">
        <v>3</v>
      </c>
      <c r="AF320" s="64">
        <v>42.9</v>
      </c>
      <c r="AG320" s="60" t="s">
        <v>73</v>
      </c>
      <c r="AH320" s="60" t="s">
        <v>1253</v>
      </c>
      <c r="AI320">
        <f>IF(AND(OR(Company_Explorer!$B$5="All Companies",$E320=Company_Explorer!$B$5),OR(Company_Explorer!$B$6="All Platforms",$B320=Company_Explorer!$B$6),OR(Company_Explorer!$B$7="All Roles",$D320=Company_Explorer!$B$7),OR(Company_Explorer!$B$8="All Ghost Labels",$AG320=Company_Explorer!$B$8)),1,0)</f>
        <v>0</v>
      </c>
    </row>
    <row r="321" spans="1:35" ht="15" customHeight="1" x14ac:dyDescent="0.3">
      <c r="A321" s="65" t="s">
        <v>1254</v>
      </c>
      <c r="B321" s="65" t="s">
        <v>80</v>
      </c>
      <c r="C321" s="65" t="s">
        <v>1255</v>
      </c>
      <c r="D321" s="65" t="s">
        <v>125</v>
      </c>
      <c r="E321" s="65" t="s">
        <v>1256</v>
      </c>
      <c r="F321" s="65" t="b">
        <f>TRUE()</f>
        <v>1</v>
      </c>
      <c r="G321" s="65" t="s">
        <v>1049</v>
      </c>
      <c r="H321" s="65" t="s">
        <v>270</v>
      </c>
      <c r="I321" s="66">
        <v>46199</v>
      </c>
      <c r="J321" s="66">
        <v>46210</v>
      </c>
      <c r="K321" s="65">
        <v>11</v>
      </c>
      <c r="L321" s="65" t="s">
        <v>192</v>
      </c>
      <c r="M321" s="65" t="s">
        <v>185</v>
      </c>
      <c r="N321" s="65" t="b">
        <f>FALSE()</f>
        <v>0</v>
      </c>
      <c r="O321" s="65"/>
      <c r="P321" s="65"/>
      <c r="Q321" s="65" t="s">
        <v>236</v>
      </c>
      <c r="R321" s="65" t="s">
        <v>237</v>
      </c>
      <c r="S321" s="65"/>
      <c r="T321" s="65" t="b">
        <f>FALSE()</f>
        <v>0</v>
      </c>
      <c r="U321" s="65" t="b">
        <f>FALSE()</f>
        <v>0</v>
      </c>
      <c r="V321" s="65">
        <v>144</v>
      </c>
      <c r="W321" s="67" t="s">
        <v>1257</v>
      </c>
      <c r="X321" s="65">
        <v>1</v>
      </c>
      <c r="Y321" s="68">
        <v>0.01</v>
      </c>
      <c r="Z321" s="65" t="b">
        <f>FALSE()</f>
        <v>0</v>
      </c>
      <c r="AA321" s="65" t="b">
        <f>TRUE()</f>
        <v>1</v>
      </c>
      <c r="AB321" s="65" t="b">
        <f>TRUE()</f>
        <v>1</v>
      </c>
      <c r="AC321" s="65" t="b">
        <f>FALSE()</f>
        <v>0</v>
      </c>
      <c r="AD321" s="65" t="b">
        <f>FALSE()</f>
        <v>0</v>
      </c>
      <c r="AE321" s="65">
        <v>2</v>
      </c>
      <c r="AF321" s="69">
        <v>28.6</v>
      </c>
      <c r="AG321" s="65" t="s">
        <v>73</v>
      </c>
      <c r="AH321" s="65" t="s">
        <v>1258</v>
      </c>
      <c r="AI321">
        <f>IF(AND(OR(Company_Explorer!$B$5="All Companies",$E321=Company_Explorer!$B$5),OR(Company_Explorer!$B$6="All Platforms",$B321=Company_Explorer!$B$6),OR(Company_Explorer!$B$7="All Roles",$D321=Company_Explorer!$B$7),OR(Company_Explorer!$B$8="All Ghost Labels",$AG321=Company_Explorer!$B$8)),1,0)</f>
        <v>0</v>
      </c>
    </row>
    <row r="322" spans="1:35" ht="15" customHeight="1" x14ac:dyDescent="0.3">
      <c r="A322" s="60" t="s">
        <v>1259</v>
      </c>
      <c r="B322" s="60" t="s">
        <v>80</v>
      </c>
      <c r="C322" s="60" t="s">
        <v>258</v>
      </c>
      <c r="D322" s="60" t="s">
        <v>125</v>
      </c>
      <c r="E322" s="60" t="s">
        <v>141</v>
      </c>
      <c r="F322" s="60" t="b">
        <f>TRUE()</f>
        <v>1</v>
      </c>
      <c r="G322" s="60" t="s">
        <v>262</v>
      </c>
      <c r="H322" s="60" t="s">
        <v>263</v>
      </c>
      <c r="I322" s="61">
        <v>46205</v>
      </c>
      <c r="J322" s="61">
        <v>46210</v>
      </c>
      <c r="K322" s="60">
        <v>5</v>
      </c>
      <c r="L322" s="60" t="s">
        <v>192</v>
      </c>
      <c r="M322" s="60" t="s">
        <v>187</v>
      </c>
      <c r="N322" s="60" t="b">
        <f>FALSE()</f>
        <v>0</v>
      </c>
      <c r="O322" s="60"/>
      <c r="P322" s="60"/>
      <c r="Q322" s="60" t="s">
        <v>236</v>
      </c>
      <c r="R322" s="60" t="s">
        <v>237</v>
      </c>
      <c r="S322" s="60"/>
      <c r="T322" s="60" t="b">
        <f>FALSE()</f>
        <v>0</v>
      </c>
      <c r="U322" s="60" t="b">
        <f>FALSE()</f>
        <v>0</v>
      </c>
      <c r="V322" s="60">
        <v>328</v>
      </c>
      <c r="W322" s="62" t="s">
        <v>259</v>
      </c>
      <c r="X322" s="60">
        <v>429</v>
      </c>
      <c r="Y322" s="63">
        <v>2.66</v>
      </c>
      <c r="Z322" s="60" t="b">
        <f>FALSE()</f>
        <v>0</v>
      </c>
      <c r="AA322" s="60" t="b">
        <f>TRUE()</f>
        <v>1</v>
      </c>
      <c r="AB322" s="60" t="b">
        <f>FALSE()</f>
        <v>0</v>
      </c>
      <c r="AC322" s="60" t="b">
        <f>FALSE()</f>
        <v>0</v>
      </c>
      <c r="AD322" s="60" t="b">
        <f>TRUE()</f>
        <v>1</v>
      </c>
      <c r="AE322" s="60">
        <v>3</v>
      </c>
      <c r="AF322" s="64">
        <v>42.9</v>
      </c>
      <c r="AG322" s="60" t="s">
        <v>73</v>
      </c>
      <c r="AH322" s="60" t="s">
        <v>1260</v>
      </c>
      <c r="AI322">
        <f>IF(AND(OR(Company_Explorer!$B$5="All Companies",$E322=Company_Explorer!$B$5),OR(Company_Explorer!$B$6="All Platforms",$B322=Company_Explorer!$B$6),OR(Company_Explorer!$B$7="All Roles",$D322=Company_Explorer!$B$7),OR(Company_Explorer!$B$8="All Ghost Labels",$AG322=Company_Explorer!$B$8)),1,0)</f>
        <v>0</v>
      </c>
    </row>
    <row r="323" spans="1:35" ht="15" customHeight="1" x14ac:dyDescent="0.3">
      <c r="A323" s="65" t="s">
        <v>1261</v>
      </c>
      <c r="B323" s="65" t="s">
        <v>80</v>
      </c>
      <c r="C323" s="65" t="s">
        <v>258</v>
      </c>
      <c r="D323" s="65" t="s">
        <v>125</v>
      </c>
      <c r="E323" s="65" t="s">
        <v>141</v>
      </c>
      <c r="F323" s="65" t="b">
        <f>TRUE()</f>
        <v>1</v>
      </c>
      <c r="G323" s="65" t="s">
        <v>179</v>
      </c>
      <c r="H323" s="65" t="s">
        <v>254</v>
      </c>
      <c r="I323" s="66">
        <v>46198</v>
      </c>
      <c r="J323" s="66">
        <v>46210</v>
      </c>
      <c r="K323" s="65">
        <v>12</v>
      </c>
      <c r="L323" s="65" t="s">
        <v>192</v>
      </c>
      <c r="M323" s="65" t="s">
        <v>184</v>
      </c>
      <c r="N323" s="65" t="b">
        <f>FALSE()</f>
        <v>0</v>
      </c>
      <c r="O323" s="65"/>
      <c r="P323" s="65"/>
      <c r="Q323" s="65" t="s">
        <v>236</v>
      </c>
      <c r="R323" s="65" t="s">
        <v>237</v>
      </c>
      <c r="S323" s="65"/>
      <c r="T323" s="65" t="b">
        <f>FALSE()</f>
        <v>0</v>
      </c>
      <c r="U323" s="65" t="b">
        <f>FALSE()</f>
        <v>0</v>
      </c>
      <c r="V323" s="65">
        <v>320</v>
      </c>
      <c r="W323" s="67" t="s">
        <v>259</v>
      </c>
      <c r="X323" s="65">
        <v>429</v>
      </c>
      <c r="Y323" s="68">
        <v>2.66</v>
      </c>
      <c r="Z323" s="65" t="b">
        <f>FALSE()</f>
        <v>0</v>
      </c>
      <c r="AA323" s="65" t="b">
        <f>TRUE()</f>
        <v>1</v>
      </c>
      <c r="AB323" s="65" t="b">
        <f>FALSE()</f>
        <v>0</v>
      </c>
      <c r="AC323" s="65" t="b">
        <f>FALSE()</f>
        <v>0</v>
      </c>
      <c r="AD323" s="65" t="b">
        <f>TRUE()</f>
        <v>1</v>
      </c>
      <c r="AE323" s="65">
        <v>3</v>
      </c>
      <c r="AF323" s="69">
        <v>42.9</v>
      </c>
      <c r="AG323" s="65" t="s">
        <v>73</v>
      </c>
      <c r="AH323" s="65" t="s">
        <v>1262</v>
      </c>
      <c r="AI323">
        <f>IF(AND(OR(Company_Explorer!$B$5="All Companies",$E323=Company_Explorer!$B$5),OR(Company_Explorer!$B$6="All Platforms",$B323=Company_Explorer!$B$6),OR(Company_Explorer!$B$7="All Roles",$D323=Company_Explorer!$B$7),OR(Company_Explorer!$B$8="All Ghost Labels",$AG323=Company_Explorer!$B$8)),1,0)</f>
        <v>0</v>
      </c>
    </row>
    <row r="324" spans="1:35" ht="15" customHeight="1" x14ac:dyDescent="0.3">
      <c r="A324" s="60" t="s">
        <v>1263</v>
      </c>
      <c r="B324" s="60" t="s">
        <v>80</v>
      </c>
      <c r="C324" s="60" t="s">
        <v>258</v>
      </c>
      <c r="D324" s="60" t="s">
        <v>125</v>
      </c>
      <c r="E324" s="60" t="s">
        <v>141</v>
      </c>
      <c r="F324" s="60" t="b">
        <f>TRUE()</f>
        <v>1</v>
      </c>
      <c r="G324" s="60" t="s">
        <v>170</v>
      </c>
      <c r="H324" s="60" t="s">
        <v>165</v>
      </c>
      <c r="I324" s="61">
        <v>46198</v>
      </c>
      <c r="J324" s="61">
        <v>46210</v>
      </c>
      <c r="K324" s="60">
        <v>12</v>
      </c>
      <c r="L324" s="60" t="s">
        <v>192</v>
      </c>
      <c r="M324" s="60" t="s">
        <v>184</v>
      </c>
      <c r="N324" s="60" t="b">
        <f>FALSE()</f>
        <v>0</v>
      </c>
      <c r="O324" s="60"/>
      <c r="P324" s="60"/>
      <c r="Q324" s="60" t="s">
        <v>236</v>
      </c>
      <c r="R324" s="60" t="s">
        <v>237</v>
      </c>
      <c r="S324" s="60"/>
      <c r="T324" s="60" t="b">
        <f>FALSE()</f>
        <v>0</v>
      </c>
      <c r="U324" s="60" t="b">
        <f>FALSE()</f>
        <v>0</v>
      </c>
      <c r="V324" s="60">
        <v>289</v>
      </c>
      <c r="W324" s="62" t="s">
        <v>259</v>
      </c>
      <c r="X324" s="60">
        <v>429</v>
      </c>
      <c r="Y324" s="63">
        <v>2.66</v>
      </c>
      <c r="Z324" s="60" t="b">
        <f>FALSE()</f>
        <v>0</v>
      </c>
      <c r="AA324" s="60" t="b">
        <f>TRUE()</f>
        <v>1</v>
      </c>
      <c r="AB324" s="60" t="b">
        <f>FALSE()</f>
        <v>0</v>
      </c>
      <c r="AC324" s="60" t="b">
        <f>FALSE()</f>
        <v>0</v>
      </c>
      <c r="AD324" s="60" t="b">
        <f>TRUE()</f>
        <v>1</v>
      </c>
      <c r="AE324" s="60">
        <v>3</v>
      </c>
      <c r="AF324" s="64">
        <v>42.9</v>
      </c>
      <c r="AG324" s="60" t="s">
        <v>73</v>
      </c>
      <c r="AH324" s="60" t="s">
        <v>1264</v>
      </c>
      <c r="AI324">
        <f>IF(AND(OR(Company_Explorer!$B$5="All Companies",$E324=Company_Explorer!$B$5),OR(Company_Explorer!$B$6="All Platforms",$B324=Company_Explorer!$B$6),OR(Company_Explorer!$B$7="All Roles",$D324=Company_Explorer!$B$7),OR(Company_Explorer!$B$8="All Ghost Labels",$AG324=Company_Explorer!$B$8)),1,0)</f>
        <v>0</v>
      </c>
    </row>
    <row r="325" spans="1:35" ht="15" customHeight="1" x14ac:dyDescent="0.3">
      <c r="A325" s="65" t="s">
        <v>1265</v>
      </c>
      <c r="B325" s="65" t="s">
        <v>80</v>
      </c>
      <c r="C325" s="65" t="s">
        <v>319</v>
      </c>
      <c r="D325" s="65" t="s">
        <v>125</v>
      </c>
      <c r="E325" s="65" t="s">
        <v>141</v>
      </c>
      <c r="F325" s="65" t="b">
        <f>TRUE()</f>
        <v>1</v>
      </c>
      <c r="G325" s="65" t="s">
        <v>171</v>
      </c>
      <c r="H325" s="65" t="s">
        <v>254</v>
      </c>
      <c r="I325" s="66">
        <v>46198</v>
      </c>
      <c r="J325" s="66">
        <v>46210</v>
      </c>
      <c r="K325" s="65">
        <v>12</v>
      </c>
      <c r="L325" s="65" t="s">
        <v>192</v>
      </c>
      <c r="M325" s="65" t="s">
        <v>187</v>
      </c>
      <c r="N325" s="65" t="b">
        <f>FALSE()</f>
        <v>0</v>
      </c>
      <c r="O325" s="65"/>
      <c r="P325" s="65"/>
      <c r="Q325" s="65" t="s">
        <v>236</v>
      </c>
      <c r="R325" s="65" t="s">
        <v>237</v>
      </c>
      <c r="S325" s="65"/>
      <c r="T325" s="65" t="b">
        <f>FALSE()</f>
        <v>0</v>
      </c>
      <c r="U325" s="65" t="b">
        <f>FALSE()</f>
        <v>0</v>
      </c>
      <c r="V325" s="65">
        <v>511</v>
      </c>
      <c r="W325" s="67" t="s">
        <v>320</v>
      </c>
      <c r="X325" s="65">
        <v>429</v>
      </c>
      <c r="Y325" s="68">
        <v>2.66</v>
      </c>
      <c r="Z325" s="65" t="b">
        <f>FALSE()</f>
        <v>0</v>
      </c>
      <c r="AA325" s="65" t="b">
        <f>TRUE()</f>
        <v>1</v>
      </c>
      <c r="AB325" s="65" t="b">
        <f>FALSE()</f>
        <v>0</v>
      </c>
      <c r="AC325" s="65" t="b">
        <f>FALSE()</f>
        <v>0</v>
      </c>
      <c r="AD325" s="65" t="b">
        <f>TRUE()</f>
        <v>1</v>
      </c>
      <c r="AE325" s="65">
        <v>3</v>
      </c>
      <c r="AF325" s="69">
        <v>42.9</v>
      </c>
      <c r="AG325" s="65" t="s">
        <v>73</v>
      </c>
      <c r="AH325" s="65" t="s">
        <v>1266</v>
      </c>
      <c r="AI325">
        <f>IF(AND(OR(Company_Explorer!$B$5="All Companies",$E325=Company_Explorer!$B$5),OR(Company_Explorer!$B$6="All Platforms",$B325=Company_Explorer!$B$6),OR(Company_Explorer!$B$7="All Roles",$D325=Company_Explorer!$B$7),OR(Company_Explorer!$B$8="All Ghost Labels",$AG325=Company_Explorer!$B$8)),1,0)</f>
        <v>0</v>
      </c>
    </row>
    <row r="326" spans="1:35" ht="15" customHeight="1" x14ac:dyDescent="0.3">
      <c r="A326" s="60" t="s">
        <v>1267</v>
      </c>
      <c r="B326" s="60" t="s">
        <v>80</v>
      </c>
      <c r="C326" s="60" t="s">
        <v>390</v>
      </c>
      <c r="D326" s="60" t="s">
        <v>125</v>
      </c>
      <c r="E326" s="60" t="s">
        <v>1268</v>
      </c>
      <c r="F326" s="60" t="b">
        <f>TRUE()</f>
        <v>1</v>
      </c>
      <c r="G326" s="60" t="s">
        <v>167</v>
      </c>
      <c r="H326" s="60" t="s">
        <v>276</v>
      </c>
      <c r="I326" s="61">
        <v>46134</v>
      </c>
      <c r="J326" s="61">
        <v>46210</v>
      </c>
      <c r="K326" s="60">
        <v>76</v>
      </c>
      <c r="L326" s="60" t="s">
        <v>192</v>
      </c>
      <c r="M326" s="60" t="s">
        <v>187</v>
      </c>
      <c r="N326" s="60" t="b">
        <f>FALSE()</f>
        <v>0</v>
      </c>
      <c r="O326" s="60"/>
      <c r="P326" s="60"/>
      <c r="Q326" s="60" t="s">
        <v>236</v>
      </c>
      <c r="R326" s="60" t="s">
        <v>237</v>
      </c>
      <c r="S326" s="60"/>
      <c r="T326" s="60" t="b">
        <f>FALSE()</f>
        <v>0</v>
      </c>
      <c r="U326" s="60" t="b">
        <f>FALSE()</f>
        <v>0</v>
      </c>
      <c r="V326" s="60">
        <v>320</v>
      </c>
      <c r="W326" s="62" t="s">
        <v>1269</v>
      </c>
      <c r="X326" s="60">
        <v>1</v>
      </c>
      <c r="Y326" s="63">
        <v>0.01</v>
      </c>
      <c r="Z326" s="60" t="b">
        <f>FALSE()</f>
        <v>0</v>
      </c>
      <c r="AA326" s="60" t="b">
        <f>TRUE()</f>
        <v>1</v>
      </c>
      <c r="AB326" s="60" t="b">
        <f>FALSE()</f>
        <v>0</v>
      </c>
      <c r="AC326" s="60" t="b">
        <f>TRUE()</f>
        <v>1</v>
      </c>
      <c r="AD326" s="60" t="b">
        <f>FALSE()</f>
        <v>0</v>
      </c>
      <c r="AE326" s="60">
        <v>2</v>
      </c>
      <c r="AF326" s="64">
        <v>28.6</v>
      </c>
      <c r="AG326" s="60" t="s">
        <v>73</v>
      </c>
      <c r="AH326" s="60" t="s">
        <v>1270</v>
      </c>
      <c r="AI326">
        <f>IF(AND(OR(Company_Explorer!$B$5="All Companies",$E326=Company_Explorer!$B$5),OR(Company_Explorer!$B$6="All Platforms",$B326=Company_Explorer!$B$6),OR(Company_Explorer!$B$7="All Roles",$D326=Company_Explorer!$B$7),OR(Company_Explorer!$B$8="All Ghost Labels",$AG326=Company_Explorer!$B$8)),1,0)</f>
        <v>0</v>
      </c>
    </row>
    <row r="327" spans="1:35" ht="15" customHeight="1" x14ac:dyDescent="0.3">
      <c r="A327" s="65" t="s">
        <v>1271</v>
      </c>
      <c r="B327" s="65" t="s">
        <v>80</v>
      </c>
      <c r="C327" s="65" t="s">
        <v>258</v>
      </c>
      <c r="D327" s="65" t="s">
        <v>125</v>
      </c>
      <c r="E327" s="65" t="s">
        <v>141</v>
      </c>
      <c r="F327" s="65" t="b">
        <f>TRUE()</f>
        <v>1</v>
      </c>
      <c r="G327" s="65" t="s">
        <v>170</v>
      </c>
      <c r="H327" s="65" t="s">
        <v>165</v>
      </c>
      <c r="I327" s="66">
        <v>46202</v>
      </c>
      <c r="J327" s="66">
        <v>46210</v>
      </c>
      <c r="K327" s="65">
        <v>8</v>
      </c>
      <c r="L327" s="65" t="s">
        <v>192</v>
      </c>
      <c r="M327" s="65" t="s">
        <v>184</v>
      </c>
      <c r="N327" s="65" t="b">
        <f>FALSE()</f>
        <v>0</v>
      </c>
      <c r="O327" s="65"/>
      <c r="P327" s="65"/>
      <c r="Q327" s="65" t="s">
        <v>236</v>
      </c>
      <c r="R327" s="65" t="s">
        <v>237</v>
      </c>
      <c r="S327" s="65"/>
      <c r="T327" s="65" t="b">
        <f>FALSE()</f>
        <v>0</v>
      </c>
      <c r="U327" s="65" t="b">
        <f>FALSE()</f>
        <v>0</v>
      </c>
      <c r="V327" s="65">
        <v>312</v>
      </c>
      <c r="W327" s="67" t="s">
        <v>259</v>
      </c>
      <c r="X327" s="65">
        <v>429</v>
      </c>
      <c r="Y327" s="68">
        <v>2.66</v>
      </c>
      <c r="Z327" s="65" t="b">
        <f>FALSE()</f>
        <v>0</v>
      </c>
      <c r="AA327" s="65" t="b">
        <f>TRUE()</f>
        <v>1</v>
      </c>
      <c r="AB327" s="65" t="b">
        <f>FALSE()</f>
        <v>0</v>
      </c>
      <c r="AC327" s="65" t="b">
        <f>FALSE()</f>
        <v>0</v>
      </c>
      <c r="AD327" s="65" t="b">
        <f>TRUE()</f>
        <v>1</v>
      </c>
      <c r="AE327" s="65">
        <v>3</v>
      </c>
      <c r="AF327" s="69">
        <v>42.9</v>
      </c>
      <c r="AG327" s="65" t="s">
        <v>73</v>
      </c>
      <c r="AH327" s="65" t="s">
        <v>1272</v>
      </c>
      <c r="AI327">
        <f>IF(AND(OR(Company_Explorer!$B$5="All Companies",$E327=Company_Explorer!$B$5),OR(Company_Explorer!$B$6="All Platforms",$B327=Company_Explorer!$B$6),OR(Company_Explorer!$B$7="All Roles",$D327=Company_Explorer!$B$7),OR(Company_Explorer!$B$8="All Ghost Labels",$AG327=Company_Explorer!$B$8)),1,0)</f>
        <v>0</v>
      </c>
    </row>
    <row r="328" spans="1:35" ht="15" customHeight="1" x14ac:dyDescent="0.3">
      <c r="A328" s="60" t="s">
        <v>1273</v>
      </c>
      <c r="B328" s="60" t="s">
        <v>80</v>
      </c>
      <c r="C328" s="60" t="s">
        <v>1274</v>
      </c>
      <c r="D328" s="60" t="s">
        <v>126</v>
      </c>
      <c r="E328" s="60" t="s">
        <v>1275</v>
      </c>
      <c r="F328" s="60" t="b">
        <f>TRUE()</f>
        <v>1</v>
      </c>
      <c r="G328" s="60" t="s">
        <v>311</v>
      </c>
      <c r="H328" s="60" t="s">
        <v>235</v>
      </c>
      <c r="I328" s="61">
        <v>46207</v>
      </c>
      <c r="J328" s="61">
        <v>46210</v>
      </c>
      <c r="K328" s="60">
        <v>3</v>
      </c>
      <c r="L328" s="60" t="s">
        <v>192</v>
      </c>
      <c r="M328" s="60" t="s">
        <v>185</v>
      </c>
      <c r="N328" s="60" t="b">
        <f>FALSE()</f>
        <v>0</v>
      </c>
      <c r="O328" s="60"/>
      <c r="P328" s="60"/>
      <c r="Q328" s="60" t="s">
        <v>236</v>
      </c>
      <c r="R328" s="60" t="s">
        <v>237</v>
      </c>
      <c r="S328" s="60"/>
      <c r="T328" s="60" t="b">
        <f>FALSE()</f>
        <v>0</v>
      </c>
      <c r="U328" s="60" t="b">
        <f>FALSE()</f>
        <v>0</v>
      </c>
      <c r="V328" s="60">
        <v>663</v>
      </c>
      <c r="W328" s="62" t="s">
        <v>1276</v>
      </c>
      <c r="X328" s="60">
        <v>2</v>
      </c>
      <c r="Y328" s="63">
        <v>0.01</v>
      </c>
      <c r="Z328" s="60" t="b">
        <f>FALSE()</f>
        <v>0</v>
      </c>
      <c r="AA328" s="60" t="b">
        <f>TRUE()</f>
        <v>1</v>
      </c>
      <c r="AB328" s="60" t="b">
        <f>FALSE()</f>
        <v>0</v>
      </c>
      <c r="AC328" s="60" t="b">
        <f>FALSE()</f>
        <v>0</v>
      </c>
      <c r="AD328" s="60" t="b">
        <f>FALSE()</f>
        <v>0</v>
      </c>
      <c r="AE328" s="60">
        <v>1</v>
      </c>
      <c r="AF328" s="64">
        <v>14.3</v>
      </c>
      <c r="AG328" s="60" t="s">
        <v>74</v>
      </c>
      <c r="AH328" s="60" t="s">
        <v>1277</v>
      </c>
      <c r="AI328">
        <f>IF(AND(OR(Company_Explorer!$B$5="All Companies",$E328=Company_Explorer!$B$5),OR(Company_Explorer!$B$6="All Platforms",$B328=Company_Explorer!$B$6),OR(Company_Explorer!$B$7="All Roles",$D328=Company_Explorer!$B$7),OR(Company_Explorer!$B$8="All Ghost Labels",$AG328=Company_Explorer!$B$8)),1,0)</f>
        <v>0</v>
      </c>
    </row>
    <row r="329" spans="1:35" ht="15" customHeight="1" x14ac:dyDescent="0.3">
      <c r="A329" s="65" t="s">
        <v>1278</v>
      </c>
      <c r="B329" s="65" t="s">
        <v>80</v>
      </c>
      <c r="C329" s="65" t="s">
        <v>258</v>
      </c>
      <c r="D329" s="65" t="s">
        <v>125</v>
      </c>
      <c r="E329" s="65" t="s">
        <v>141</v>
      </c>
      <c r="F329" s="65" t="b">
        <f>TRUE()</f>
        <v>1</v>
      </c>
      <c r="G329" s="65" t="s">
        <v>179</v>
      </c>
      <c r="H329" s="65" t="s">
        <v>254</v>
      </c>
      <c r="I329" s="66">
        <v>46198</v>
      </c>
      <c r="J329" s="66">
        <v>46210</v>
      </c>
      <c r="K329" s="65">
        <v>12</v>
      </c>
      <c r="L329" s="65" t="s">
        <v>192</v>
      </c>
      <c r="M329" s="65" t="s">
        <v>184</v>
      </c>
      <c r="N329" s="65" t="b">
        <f>FALSE()</f>
        <v>0</v>
      </c>
      <c r="O329" s="65"/>
      <c r="P329" s="65"/>
      <c r="Q329" s="65" t="s">
        <v>236</v>
      </c>
      <c r="R329" s="65" t="s">
        <v>237</v>
      </c>
      <c r="S329" s="65"/>
      <c r="T329" s="65" t="b">
        <f>FALSE()</f>
        <v>0</v>
      </c>
      <c r="U329" s="65" t="b">
        <f>FALSE()</f>
        <v>0</v>
      </c>
      <c r="V329" s="65">
        <v>320</v>
      </c>
      <c r="W329" s="67" t="s">
        <v>259</v>
      </c>
      <c r="X329" s="65">
        <v>429</v>
      </c>
      <c r="Y329" s="68">
        <v>2.66</v>
      </c>
      <c r="Z329" s="65" t="b">
        <f>FALSE()</f>
        <v>0</v>
      </c>
      <c r="AA329" s="65" t="b">
        <f>TRUE()</f>
        <v>1</v>
      </c>
      <c r="AB329" s="65" t="b">
        <f>FALSE()</f>
        <v>0</v>
      </c>
      <c r="AC329" s="65" t="b">
        <f>FALSE()</f>
        <v>0</v>
      </c>
      <c r="AD329" s="65" t="b">
        <f>TRUE()</f>
        <v>1</v>
      </c>
      <c r="AE329" s="65">
        <v>3</v>
      </c>
      <c r="AF329" s="69">
        <v>42.9</v>
      </c>
      <c r="AG329" s="65" t="s">
        <v>73</v>
      </c>
      <c r="AH329" s="65" t="s">
        <v>1279</v>
      </c>
      <c r="AI329">
        <f>IF(AND(OR(Company_Explorer!$B$5="All Companies",$E329=Company_Explorer!$B$5),OR(Company_Explorer!$B$6="All Platforms",$B329=Company_Explorer!$B$6),OR(Company_Explorer!$B$7="All Roles",$D329=Company_Explorer!$B$7),OR(Company_Explorer!$B$8="All Ghost Labels",$AG329=Company_Explorer!$B$8)),1,0)</f>
        <v>0</v>
      </c>
    </row>
    <row r="330" spans="1:35" ht="15" customHeight="1" x14ac:dyDescent="0.3">
      <c r="A330" s="60" t="s">
        <v>1280</v>
      </c>
      <c r="B330" s="60" t="s">
        <v>80</v>
      </c>
      <c r="C330" s="60" t="s">
        <v>125</v>
      </c>
      <c r="D330" s="60" t="s">
        <v>125</v>
      </c>
      <c r="E330" s="60" t="s">
        <v>1281</v>
      </c>
      <c r="F330" s="60" t="b">
        <f>TRUE()</f>
        <v>1</v>
      </c>
      <c r="G330" s="60" t="s">
        <v>176</v>
      </c>
      <c r="H330" s="60" t="s">
        <v>302</v>
      </c>
      <c r="I330" s="61">
        <v>46206</v>
      </c>
      <c r="J330" s="61">
        <v>46210</v>
      </c>
      <c r="K330" s="60">
        <v>4</v>
      </c>
      <c r="L330" s="60" t="s">
        <v>192</v>
      </c>
      <c r="M330" s="60" t="s">
        <v>187</v>
      </c>
      <c r="N330" s="60" t="b">
        <f>FALSE()</f>
        <v>0</v>
      </c>
      <c r="O330" s="60"/>
      <c r="P330" s="60"/>
      <c r="Q330" s="60" t="s">
        <v>236</v>
      </c>
      <c r="R330" s="60" t="s">
        <v>237</v>
      </c>
      <c r="S330" s="60"/>
      <c r="T330" s="60" t="b">
        <f>FALSE()</f>
        <v>0</v>
      </c>
      <c r="U330" s="60" t="b">
        <f>FALSE()</f>
        <v>0</v>
      </c>
      <c r="V330" s="60">
        <v>315</v>
      </c>
      <c r="W330" s="62" t="s">
        <v>1282</v>
      </c>
      <c r="X330" s="60">
        <v>1</v>
      </c>
      <c r="Y330" s="63">
        <v>0.01</v>
      </c>
      <c r="Z330" s="60" t="b">
        <f>FALSE()</f>
        <v>0</v>
      </c>
      <c r="AA330" s="60" t="b">
        <f>TRUE()</f>
        <v>1</v>
      </c>
      <c r="AB330" s="60" t="b">
        <f>FALSE()</f>
        <v>0</v>
      </c>
      <c r="AC330" s="60" t="b">
        <f>FALSE()</f>
        <v>0</v>
      </c>
      <c r="AD330" s="60" t="b">
        <f>FALSE()</f>
        <v>0</v>
      </c>
      <c r="AE330" s="60">
        <v>1</v>
      </c>
      <c r="AF330" s="64">
        <v>14.3</v>
      </c>
      <c r="AG330" s="60" t="s">
        <v>74</v>
      </c>
      <c r="AH330" s="60" t="s">
        <v>1283</v>
      </c>
      <c r="AI330">
        <f>IF(AND(OR(Company_Explorer!$B$5="All Companies",$E330=Company_Explorer!$B$5),OR(Company_Explorer!$B$6="All Platforms",$B330=Company_Explorer!$B$6),OR(Company_Explorer!$B$7="All Roles",$D330=Company_Explorer!$B$7),OR(Company_Explorer!$B$8="All Ghost Labels",$AG330=Company_Explorer!$B$8)),1,0)</f>
        <v>0</v>
      </c>
    </row>
    <row r="331" spans="1:35" ht="15" customHeight="1" x14ac:dyDescent="0.3">
      <c r="A331" s="65" t="s">
        <v>1284</v>
      </c>
      <c r="B331" s="65" t="s">
        <v>80</v>
      </c>
      <c r="C331" s="65" t="s">
        <v>125</v>
      </c>
      <c r="D331" s="65" t="s">
        <v>125</v>
      </c>
      <c r="E331" s="65" t="s">
        <v>324</v>
      </c>
      <c r="F331" s="65" t="b">
        <f>TRUE()</f>
        <v>1</v>
      </c>
      <c r="G331" s="65" t="s">
        <v>325</v>
      </c>
      <c r="H331" s="65" t="s">
        <v>326</v>
      </c>
      <c r="I331" s="66">
        <v>46112</v>
      </c>
      <c r="J331" s="66">
        <v>46210</v>
      </c>
      <c r="K331" s="65">
        <v>98</v>
      </c>
      <c r="L331" s="65" t="s">
        <v>192</v>
      </c>
      <c r="M331" s="65" t="s">
        <v>184</v>
      </c>
      <c r="N331" s="65" t="b">
        <f>FALSE()</f>
        <v>0</v>
      </c>
      <c r="O331" s="65"/>
      <c r="P331" s="65"/>
      <c r="Q331" s="65" t="s">
        <v>236</v>
      </c>
      <c r="R331" s="65" t="s">
        <v>237</v>
      </c>
      <c r="S331" s="65"/>
      <c r="T331" s="65" t="b">
        <f>FALSE()</f>
        <v>0</v>
      </c>
      <c r="U331" s="65" t="b">
        <f>FALSE()</f>
        <v>0</v>
      </c>
      <c r="V331" s="65">
        <v>467</v>
      </c>
      <c r="W331" s="67" t="s">
        <v>1285</v>
      </c>
      <c r="X331" s="65">
        <v>3</v>
      </c>
      <c r="Y331" s="68">
        <v>0.02</v>
      </c>
      <c r="Z331" s="65" t="b">
        <f>FALSE()</f>
        <v>0</v>
      </c>
      <c r="AA331" s="65" t="b">
        <f>TRUE()</f>
        <v>1</v>
      </c>
      <c r="AB331" s="65" t="b">
        <f>FALSE()</f>
        <v>0</v>
      </c>
      <c r="AC331" s="65" t="b">
        <f>TRUE()</f>
        <v>1</v>
      </c>
      <c r="AD331" s="65" t="b">
        <f>FALSE()</f>
        <v>0</v>
      </c>
      <c r="AE331" s="65">
        <v>2</v>
      </c>
      <c r="AF331" s="69">
        <v>28.6</v>
      </c>
      <c r="AG331" s="65" t="s">
        <v>73</v>
      </c>
      <c r="AH331" s="65" t="s">
        <v>1286</v>
      </c>
      <c r="AI331">
        <f>IF(AND(OR(Company_Explorer!$B$5="All Companies",$E331=Company_Explorer!$B$5),OR(Company_Explorer!$B$6="All Platforms",$B331=Company_Explorer!$B$6),OR(Company_Explorer!$B$7="All Roles",$D331=Company_Explorer!$B$7),OR(Company_Explorer!$B$8="All Ghost Labels",$AG331=Company_Explorer!$B$8)),1,0)</f>
        <v>0</v>
      </c>
    </row>
    <row r="332" spans="1:35" ht="15" customHeight="1" x14ac:dyDescent="0.3">
      <c r="A332" s="60" t="s">
        <v>1287</v>
      </c>
      <c r="B332" s="60" t="s">
        <v>80</v>
      </c>
      <c r="C332" s="60" t="s">
        <v>258</v>
      </c>
      <c r="D332" s="60" t="s">
        <v>125</v>
      </c>
      <c r="E332" s="60" t="s">
        <v>141</v>
      </c>
      <c r="F332" s="60" t="b">
        <f>TRUE()</f>
        <v>1</v>
      </c>
      <c r="G332" s="60" t="s">
        <v>172</v>
      </c>
      <c r="H332" s="60" t="s">
        <v>276</v>
      </c>
      <c r="I332" s="61">
        <v>46198</v>
      </c>
      <c r="J332" s="61">
        <v>46210</v>
      </c>
      <c r="K332" s="60">
        <v>12</v>
      </c>
      <c r="L332" s="60" t="s">
        <v>192</v>
      </c>
      <c r="M332" s="60" t="s">
        <v>184</v>
      </c>
      <c r="N332" s="60" t="b">
        <f>FALSE()</f>
        <v>0</v>
      </c>
      <c r="O332" s="60"/>
      <c r="P332" s="60"/>
      <c r="Q332" s="60" t="s">
        <v>236</v>
      </c>
      <c r="R332" s="60" t="s">
        <v>237</v>
      </c>
      <c r="S332" s="60"/>
      <c r="T332" s="60" t="b">
        <f>FALSE()</f>
        <v>0</v>
      </c>
      <c r="U332" s="60" t="b">
        <f>FALSE()</f>
        <v>0</v>
      </c>
      <c r="V332" s="60">
        <v>272</v>
      </c>
      <c r="W332" s="62" t="s">
        <v>1288</v>
      </c>
      <c r="X332" s="60">
        <v>429</v>
      </c>
      <c r="Y332" s="63">
        <v>2.66</v>
      </c>
      <c r="Z332" s="60" t="b">
        <f>FALSE()</f>
        <v>0</v>
      </c>
      <c r="AA332" s="60" t="b">
        <f>TRUE()</f>
        <v>1</v>
      </c>
      <c r="AB332" s="60" t="b">
        <f>TRUE()</f>
        <v>1</v>
      </c>
      <c r="AC332" s="60" t="b">
        <f>FALSE()</f>
        <v>0</v>
      </c>
      <c r="AD332" s="60" t="b">
        <f>TRUE()</f>
        <v>1</v>
      </c>
      <c r="AE332" s="60">
        <v>4</v>
      </c>
      <c r="AF332" s="64">
        <v>57.1</v>
      </c>
      <c r="AG332" s="60" t="s">
        <v>72</v>
      </c>
      <c r="AH332" s="60" t="s">
        <v>1289</v>
      </c>
      <c r="AI332">
        <f>IF(AND(OR(Company_Explorer!$B$5="All Companies",$E332=Company_Explorer!$B$5),OR(Company_Explorer!$B$6="All Platforms",$B332=Company_Explorer!$B$6),OR(Company_Explorer!$B$7="All Roles",$D332=Company_Explorer!$B$7),OR(Company_Explorer!$B$8="All Ghost Labels",$AG332=Company_Explorer!$B$8)),1,0)</f>
        <v>0</v>
      </c>
    </row>
    <row r="333" spans="1:35" ht="15" customHeight="1" x14ac:dyDescent="0.3">
      <c r="A333" s="65" t="s">
        <v>1290</v>
      </c>
      <c r="B333" s="65" t="s">
        <v>80</v>
      </c>
      <c r="C333" s="65" t="s">
        <v>258</v>
      </c>
      <c r="D333" s="65" t="s">
        <v>125</v>
      </c>
      <c r="E333" s="65" t="s">
        <v>141</v>
      </c>
      <c r="F333" s="65" t="b">
        <f>TRUE()</f>
        <v>1</v>
      </c>
      <c r="G333" s="65" t="s">
        <v>167</v>
      </c>
      <c r="H333" s="65" t="s">
        <v>276</v>
      </c>
      <c r="I333" s="66">
        <v>46198</v>
      </c>
      <c r="J333" s="66">
        <v>46210</v>
      </c>
      <c r="K333" s="65">
        <v>12</v>
      </c>
      <c r="L333" s="65" t="s">
        <v>192</v>
      </c>
      <c r="M333" s="65" t="s">
        <v>184</v>
      </c>
      <c r="N333" s="65" t="b">
        <f>FALSE()</f>
        <v>0</v>
      </c>
      <c r="O333" s="65"/>
      <c r="P333" s="65"/>
      <c r="Q333" s="65" t="s">
        <v>236</v>
      </c>
      <c r="R333" s="65" t="s">
        <v>237</v>
      </c>
      <c r="S333" s="65"/>
      <c r="T333" s="65" t="b">
        <f>FALSE()</f>
        <v>0</v>
      </c>
      <c r="U333" s="65" t="b">
        <f>FALSE()</f>
        <v>0</v>
      </c>
      <c r="V333" s="65">
        <v>297</v>
      </c>
      <c r="W333" s="67" t="s">
        <v>259</v>
      </c>
      <c r="X333" s="65">
        <v>429</v>
      </c>
      <c r="Y333" s="68">
        <v>2.66</v>
      </c>
      <c r="Z333" s="65" t="b">
        <f>FALSE()</f>
        <v>0</v>
      </c>
      <c r="AA333" s="65" t="b">
        <f>TRUE()</f>
        <v>1</v>
      </c>
      <c r="AB333" s="65" t="b">
        <f>FALSE()</f>
        <v>0</v>
      </c>
      <c r="AC333" s="65" t="b">
        <f>FALSE()</f>
        <v>0</v>
      </c>
      <c r="AD333" s="65" t="b">
        <f>TRUE()</f>
        <v>1</v>
      </c>
      <c r="AE333" s="65">
        <v>3</v>
      </c>
      <c r="AF333" s="69">
        <v>42.9</v>
      </c>
      <c r="AG333" s="65" t="s">
        <v>73</v>
      </c>
      <c r="AH333" s="65" t="s">
        <v>1291</v>
      </c>
      <c r="AI333">
        <f>IF(AND(OR(Company_Explorer!$B$5="All Companies",$E333=Company_Explorer!$B$5),OR(Company_Explorer!$B$6="All Platforms",$B333=Company_Explorer!$B$6),OR(Company_Explorer!$B$7="All Roles",$D333=Company_Explorer!$B$7),OR(Company_Explorer!$B$8="All Ghost Labels",$AG333=Company_Explorer!$B$8)),1,0)</f>
        <v>0</v>
      </c>
    </row>
    <row r="334" spans="1:35" ht="15" customHeight="1" x14ac:dyDescent="0.3">
      <c r="A334" s="60" t="s">
        <v>1292</v>
      </c>
      <c r="B334" s="60" t="s">
        <v>80</v>
      </c>
      <c r="C334" s="60" t="s">
        <v>258</v>
      </c>
      <c r="D334" s="60" t="s">
        <v>125</v>
      </c>
      <c r="E334" s="60" t="s">
        <v>141</v>
      </c>
      <c r="F334" s="60" t="b">
        <f>TRUE()</f>
        <v>1</v>
      </c>
      <c r="G334" s="60" t="s">
        <v>170</v>
      </c>
      <c r="H334" s="60" t="s">
        <v>165</v>
      </c>
      <c r="I334" s="61">
        <v>46198</v>
      </c>
      <c r="J334" s="61">
        <v>46210</v>
      </c>
      <c r="K334" s="60">
        <v>12</v>
      </c>
      <c r="L334" s="60" t="s">
        <v>192</v>
      </c>
      <c r="M334" s="60" t="s">
        <v>184</v>
      </c>
      <c r="N334" s="60" t="b">
        <f>FALSE()</f>
        <v>0</v>
      </c>
      <c r="O334" s="60"/>
      <c r="P334" s="60"/>
      <c r="Q334" s="60" t="s">
        <v>236</v>
      </c>
      <c r="R334" s="60" t="s">
        <v>237</v>
      </c>
      <c r="S334" s="60"/>
      <c r="T334" s="60" t="b">
        <f>FALSE()</f>
        <v>0</v>
      </c>
      <c r="U334" s="60" t="b">
        <f>FALSE()</f>
        <v>0</v>
      </c>
      <c r="V334" s="60">
        <v>287</v>
      </c>
      <c r="W334" s="62" t="s">
        <v>259</v>
      </c>
      <c r="X334" s="60">
        <v>429</v>
      </c>
      <c r="Y334" s="63">
        <v>2.66</v>
      </c>
      <c r="Z334" s="60" t="b">
        <f>FALSE()</f>
        <v>0</v>
      </c>
      <c r="AA334" s="60" t="b">
        <f>TRUE()</f>
        <v>1</v>
      </c>
      <c r="AB334" s="60" t="b">
        <f>FALSE()</f>
        <v>0</v>
      </c>
      <c r="AC334" s="60" t="b">
        <f>FALSE()</f>
        <v>0</v>
      </c>
      <c r="AD334" s="60" t="b">
        <f>TRUE()</f>
        <v>1</v>
      </c>
      <c r="AE334" s="60">
        <v>3</v>
      </c>
      <c r="AF334" s="64">
        <v>42.9</v>
      </c>
      <c r="AG334" s="60" t="s">
        <v>73</v>
      </c>
      <c r="AH334" s="60" t="s">
        <v>1293</v>
      </c>
      <c r="AI334">
        <f>IF(AND(OR(Company_Explorer!$B$5="All Companies",$E334=Company_Explorer!$B$5),OR(Company_Explorer!$B$6="All Platforms",$B334=Company_Explorer!$B$6),OR(Company_Explorer!$B$7="All Roles",$D334=Company_Explorer!$B$7),OR(Company_Explorer!$B$8="All Ghost Labels",$AG334=Company_Explorer!$B$8)),1,0)</f>
        <v>0</v>
      </c>
    </row>
    <row r="335" spans="1:35" ht="15" customHeight="1" x14ac:dyDescent="0.3">
      <c r="A335" s="65" t="s">
        <v>1294</v>
      </c>
      <c r="B335" s="65" t="s">
        <v>80</v>
      </c>
      <c r="C335" s="65" t="s">
        <v>258</v>
      </c>
      <c r="D335" s="65" t="s">
        <v>125</v>
      </c>
      <c r="E335" s="65" t="s">
        <v>141</v>
      </c>
      <c r="F335" s="65" t="b">
        <f>TRUE()</f>
        <v>1</v>
      </c>
      <c r="G335" s="65" t="s">
        <v>768</v>
      </c>
      <c r="H335" s="65" t="s">
        <v>769</v>
      </c>
      <c r="I335" s="66">
        <v>46198</v>
      </c>
      <c r="J335" s="66">
        <v>46210</v>
      </c>
      <c r="K335" s="65">
        <v>12</v>
      </c>
      <c r="L335" s="65" t="s">
        <v>192</v>
      </c>
      <c r="M335" s="65" t="s">
        <v>184</v>
      </c>
      <c r="N335" s="65" t="b">
        <f>FALSE()</f>
        <v>0</v>
      </c>
      <c r="O335" s="65"/>
      <c r="P335" s="65"/>
      <c r="Q335" s="65" t="s">
        <v>236</v>
      </c>
      <c r="R335" s="65" t="s">
        <v>237</v>
      </c>
      <c r="S335" s="65"/>
      <c r="T335" s="65" t="b">
        <f>FALSE()</f>
        <v>0</v>
      </c>
      <c r="U335" s="65" t="b">
        <f>FALSE()</f>
        <v>0</v>
      </c>
      <c r="V335" s="65">
        <v>275</v>
      </c>
      <c r="W335" s="67" t="s">
        <v>259</v>
      </c>
      <c r="X335" s="65">
        <v>429</v>
      </c>
      <c r="Y335" s="68">
        <v>2.66</v>
      </c>
      <c r="Z335" s="65" t="b">
        <f>FALSE()</f>
        <v>0</v>
      </c>
      <c r="AA335" s="65" t="b">
        <f>TRUE()</f>
        <v>1</v>
      </c>
      <c r="AB335" s="65" t="b">
        <f>FALSE()</f>
        <v>0</v>
      </c>
      <c r="AC335" s="65" t="b">
        <f>FALSE()</f>
        <v>0</v>
      </c>
      <c r="AD335" s="65" t="b">
        <f>TRUE()</f>
        <v>1</v>
      </c>
      <c r="AE335" s="65">
        <v>3</v>
      </c>
      <c r="AF335" s="69">
        <v>42.9</v>
      </c>
      <c r="AG335" s="65" t="s">
        <v>73</v>
      </c>
      <c r="AH335" s="65" t="s">
        <v>1295</v>
      </c>
      <c r="AI335">
        <f>IF(AND(OR(Company_Explorer!$B$5="All Companies",$E335=Company_Explorer!$B$5),OR(Company_Explorer!$B$6="All Platforms",$B335=Company_Explorer!$B$6),OR(Company_Explorer!$B$7="All Roles",$D335=Company_Explorer!$B$7),OR(Company_Explorer!$B$8="All Ghost Labels",$AG335=Company_Explorer!$B$8)),1,0)</f>
        <v>0</v>
      </c>
    </row>
    <row r="336" spans="1:35" ht="15" customHeight="1" x14ac:dyDescent="0.3">
      <c r="A336" s="60" t="s">
        <v>1296</v>
      </c>
      <c r="B336" s="60" t="s">
        <v>80</v>
      </c>
      <c r="C336" s="60" t="s">
        <v>319</v>
      </c>
      <c r="D336" s="60" t="s">
        <v>125</v>
      </c>
      <c r="E336" s="60" t="s">
        <v>141</v>
      </c>
      <c r="F336" s="60" t="b">
        <f>TRUE()</f>
        <v>1</v>
      </c>
      <c r="G336" s="60" t="s">
        <v>171</v>
      </c>
      <c r="H336" s="60" t="s">
        <v>254</v>
      </c>
      <c r="I336" s="61">
        <v>46198</v>
      </c>
      <c r="J336" s="61">
        <v>46210</v>
      </c>
      <c r="K336" s="60">
        <v>12</v>
      </c>
      <c r="L336" s="60" t="s">
        <v>192</v>
      </c>
      <c r="M336" s="60" t="s">
        <v>187</v>
      </c>
      <c r="N336" s="60" t="b">
        <f>FALSE()</f>
        <v>0</v>
      </c>
      <c r="O336" s="60"/>
      <c r="P336" s="60"/>
      <c r="Q336" s="60" t="s">
        <v>236</v>
      </c>
      <c r="R336" s="60" t="s">
        <v>237</v>
      </c>
      <c r="S336" s="60"/>
      <c r="T336" s="60" t="b">
        <f>FALSE()</f>
        <v>0</v>
      </c>
      <c r="U336" s="60" t="b">
        <f>FALSE()</f>
        <v>0</v>
      </c>
      <c r="V336" s="60">
        <v>511</v>
      </c>
      <c r="W336" s="62" t="s">
        <v>320</v>
      </c>
      <c r="X336" s="60">
        <v>429</v>
      </c>
      <c r="Y336" s="63">
        <v>2.66</v>
      </c>
      <c r="Z336" s="60" t="b">
        <f>FALSE()</f>
        <v>0</v>
      </c>
      <c r="AA336" s="60" t="b">
        <f>TRUE()</f>
        <v>1</v>
      </c>
      <c r="AB336" s="60" t="b">
        <f>FALSE()</f>
        <v>0</v>
      </c>
      <c r="AC336" s="60" t="b">
        <f>FALSE()</f>
        <v>0</v>
      </c>
      <c r="AD336" s="60" t="b">
        <f>TRUE()</f>
        <v>1</v>
      </c>
      <c r="AE336" s="60">
        <v>3</v>
      </c>
      <c r="AF336" s="64">
        <v>42.9</v>
      </c>
      <c r="AG336" s="60" t="s">
        <v>73</v>
      </c>
      <c r="AH336" s="60" t="s">
        <v>1297</v>
      </c>
      <c r="AI336">
        <f>IF(AND(OR(Company_Explorer!$B$5="All Companies",$E336=Company_Explorer!$B$5),OR(Company_Explorer!$B$6="All Platforms",$B336=Company_Explorer!$B$6),OR(Company_Explorer!$B$7="All Roles",$D336=Company_Explorer!$B$7),OR(Company_Explorer!$B$8="All Ghost Labels",$AG336=Company_Explorer!$B$8)),1,0)</f>
        <v>0</v>
      </c>
    </row>
    <row r="337" spans="1:35" ht="15" customHeight="1" x14ac:dyDescent="0.3">
      <c r="A337" s="65" t="s">
        <v>1298</v>
      </c>
      <c r="B337" s="65" t="s">
        <v>80</v>
      </c>
      <c r="C337" s="65" t="s">
        <v>258</v>
      </c>
      <c r="D337" s="65" t="s">
        <v>125</v>
      </c>
      <c r="E337" s="65" t="s">
        <v>141</v>
      </c>
      <c r="F337" s="65" t="b">
        <f>TRUE()</f>
        <v>1</v>
      </c>
      <c r="G337" s="65" t="s">
        <v>768</v>
      </c>
      <c r="H337" s="65" t="s">
        <v>769</v>
      </c>
      <c r="I337" s="66">
        <v>46198</v>
      </c>
      <c r="J337" s="66">
        <v>46210</v>
      </c>
      <c r="K337" s="65">
        <v>12</v>
      </c>
      <c r="L337" s="65" t="s">
        <v>192</v>
      </c>
      <c r="M337" s="65" t="s">
        <v>184</v>
      </c>
      <c r="N337" s="65" t="b">
        <f>FALSE()</f>
        <v>0</v>
      </c>
      <c r="O337" s="65"/>
      <c r="P337" s="65"/>
      <c r="Q337" s="65" t="s">
        <v>236</v>
      </c>
      <c r="R337" s="65" t="s">
        <v>237</v>
      </c>
      <c r="S337" s="65"/>
      <c r="T337" s="65" t="b">
        <f>FALSE()</f>
        <v>0</v>
      </c>
      <c r="U337" s="65" t="b">
        <f>FALSE()</f>
        <v>0</v>
      </c>
      <c r="V337" s="65">
        <v>275</v>
      </c>
      <c r="W337" s="67" t="s">
        <v>259</v>
      </c>
      <c r="X337" s="65">
        <v>429</v>
      </c>
      <c r="Y337" s="68">
        <v>2.66</v>
      </c>
      <c r="Z337" s="65" t="b">
        <f>FALSE()</f>
        <v>0</v>
      </c>
      <c r="AA337" s="65" t="b">
        <f>TRUE()</f>
        <v>1</v>
      </c>
      <c r="AB337" s="65" t="b">
        <f>FALSE()</f>
        <v>0</v>
      </c>
      <c r="AC337" s="65" t="b">
        <f>FALSE()</f>
        <v>0</v>
      </c>
      <c r="AD337" s="65" t="b">
        <f>TRUE()</f>
        <v>1</v>
      </c>
      <c r="AE337" s="65">
        <v>3</v>
      </c>
      <c r="AF337" s="69">
        <v>42.9</v>
      </c>
      <c r="AG337" s="65" t="s">
        <v>73</v>
      </c>
      <c r="AH337" s="65" t="s">
        <v>1299</v>
      </c>
      <c r="AI337">
        <f>IF(AND(OR(Company_Explorer!$B$5="All Companies",$E337=Company_Explorer!$B$5),OR(Company_Explorer!$B$6="All Platforms",$B337=Company_Explorer!$B$6),OR(Company_Explorer!$B$7="All Roles",$D337=Company_Explorer!$B$7),OR(Company_Explorer!$B$8="All Ghost Labels",$AG337=Company_Explorer!$B$8)),1,0)</f>
        <v>0</v>
      </c>
    </row>
    <row r="338" spans="1:35" ht="15" customHeight="1" x14ac:dyDescent="0.3">
      <c r="A338" s="60" t="s">
        <v>1300</v>
      </c>
      <c r="B338" s="60" t="s">
        <v>80</v>
      </c>
      <c r="C338" s="60" t="s">
        <v>258</v>
      </c>
      <c r="D338" s="60" t="s">
        <v>125</v>
      </c>
      <c r="E338" s="60" t="s">
        <v>141</v>
      </c>
      <c r="F338" s="60" t="b">
        <f>TRUE()</f>
        <v>1</v>
      </c>
      <c r="G338" s="60" t="s">
        <v>768</v>
      </c>
      <c r="H338" s="60" t="s">
        <v>769</v>
      </c>
      <c r="I338" s="61">
        <v>46198</v>
      </c>
      <c r="J338" s="61">
        <v>46210</v>
      </c>
      <c r="K338" s="60">
        <v>12</v>
      </c>
      <c r="L338" s="60" t="s">
        <v>192</v>
      </c>
      <c r="M338" s="60" t="s">
        <v>184</v>
      </c>
      <c r="N338" s="60" t="b">
        <f>FALSE()</f>
        <v>0</v>
      </c>
      <c r="O338" s="60"/>
      <c r="P338" s="60"/>
      <c r="Q338" s="60" t="s">
        <v>236</v>
      </c>
      <c r="R338" s="60" t="s">
        <v>237</v>
      </c>
      <c r="S338" s="60"/>
      <c r="T338" s="60" t="b">
        <f>FALSE()</f>
        <v>0</v>
      </c>
      <c r="U338" s="60" t="b">
        <f>FALSE()</f>
        <v>0</v>
      </c>
      <c r="V338" s="60">
        <v>275</v>
      </c>
      <c r="W338" s="62" t="s">
        <v>259</v>
      </c>
      <c r="X338" s="60">
        <v>429</v>
      </c>
      <c r="Y338" s="63">
        <v>2.66</v>
      </c>
      <c r="Z338" s="60" t="b">
        <f>FALSE()</f>
        <v>0</v>
      </c>
      <c r="AA338" s="60" t="b">
        <f>TRUE()</f>
        <v>1</v>
      </c>
      <c r="AB338" s="60" t="b">
        <f>FALSE()</f>
        <v>0</v>
      </c>
      <c r="AC338" s="60" t="b">
        <f>FALSE()</f>
        <v>0</v>
      </c>
      <c r="AD338" s="60" t="b">
        <f>TRUE()</f>
        <v>1</v>
      </c>
      <c r="AE338" s="60">
        <v>3</v>
      </c>
      <c r="AF338" s="64">
        <v>42.9</v>
      </c>
      <c r="AG338" s="60" t="s">
        <v>73</v>
      </c>
      <c r="AH338" s="60" t="s">
        <v>1301</v>
      </c>
      <c r="AI338">
        <f>IF(AND(OR(Company_Explorer!$B$5="All Companies",$E338=Company_Explorer!$B$5),OR(Company_Explorer!$B$6="All Platforms",$B338=Company_Explorer!$B$6),OR(Company_Explorer!$B$7="All Roles",$D338=Company_Explorer!$B$7),OR(Company_Explorer!$B$8="All Ghost Labels",$AG338=Company_Explorer!$B$8)),1,0)</f>
        <v>0</v>
      </c>
    </row>
    <row r="339" spans="1:35" ht="15" customHeight="1" x14ac:dyDescent="0.3">
      <c r="A339" s="65" t="s">
        <v>1302</v>
      </c>
      <c r="B339" s="65" t="s">
        <v>80</v>
      </c>
      <c r="C339" s="65" t="s">
        <v>258</v>
      </c>
      <c r="D339" s="65" t="s">
        <v>125</v>
      </c>
      <c r="E339" s="65" t="s">
        <v>141</v>
      </c>
      <c r="F339" s="65" t="b">
        <f>TRUE()</f>
        <v>1</v>
      </c>
      <c r="G339" s="65" t="s">
        <v>172</v>
      </c>
      <c r="H339" s="65" t="s">
        <v>276</v>
      </c>
      <c r="I339" s="66">
        <v>46198</v>
      </c>
      <c r="J339" s="66">
        <v>46210</v>
      </c>
      <c r="K339" s="65">
        <v>12</v>
      </c>
      <c r="L339" s="65" t="s">
        <v>192</v>
      </c>
      <c r="M339" s="65" t="s">
        <v>184</v>
      </c>
      <c r="N339" s="65" t="b">
        <f>FALSE()</f>
        <v>0</v>
      </c>
      <c r="O339" s="65"/>
      <c r="P339" s="65"/>
      <c r="Q339" s="65" t="s">
        <v>236</v>
      </c>
      <c r="R339" s="65" t="s">
        <v>237</v>
      </c>
      <c r="S339" s="65"/>
      <c r="T339" s="65" t="b">
        <f>FALSE()</f>
        <v>0</v>
      </c>
      <c r="U339" s="65" t="b">
        <f>FALSE()</f>
        <v>0</v>
      </c>
      <c r="V339" s="65">
        <v>261</v>
      </c>
      <c r="W339" s="67" t="s">
        <v>1288</v>
      </c>
      <c r="X339" s="65">
        <v>429</v>
      </c>
      <c r="Y339" s="68">
        <v>2.66</v>
      </c>
      <c r="Z339" s="65" t="b">
        <f>FALSE()</f>
        <v>0</v>
      </c>
      <c r="AA339" s="65" t="b">
        <f>TRUE()</f>
        <v>1</v>
      </c>
      <c r="AB339" s="65" t="b">
        <f>TRUE()</f>
        <v>1</v>
      </c>
      <c r="AC339" s="65" t="b">
        <f>FALSE()</f>
        <v>0</v>
      </c>
      <c r="AD339" s="65" t="b">
        <f>TRUE()</f>
        <v>1</v>
      </c>
      <c r="AE339" s="65">
        <v>4</v>
      </c>
      <c r="AF339" s="69">
        <v>57.1</v>
      </c>
      <c r="AG339" s="65" t="s">
        <v>72</v>
      </c>
      <c r="AH339" s="65" t="s">
        <v>1303</v>
      </c>
      <c r="AI339">
        <f>IF(AND(OR(Company_Explorer!$B$5="All Companies",$E339=Company_Explorer!$B$5),OR(Company_Explorer!$B$6="All Platforms",$B339=Company_Explorer!$B$6),OR(Company_Explorer!$B$7="All Roles",$D339=Company_Explorer!$B$7),OR(Company_Explorer!$B$8="All Ghost Labels",$AG339=Company_Explorer!$B$8)),1,0)</f>
        <v>0</v>
      </c>
    </row>
    <row r="340" spans="1:35" ht="15" customHeight="1" x14ac:dyDescent="0.3">
      <c r="A340" s="60" t="s">
        <v>1304</v>
      </c>
      <c r="B340" s="60" t="s">
        <v>80</v>
      </c>
      <c r="C340" s="60" t="s">
        <v>258</v>
      </c>
      <c r="D340" s="60" t="s">
        <v>125</v>
      </c>
      <c r="E340" s="60" t="s">
        <v>141</v>
      </c>
      <c r="F340" s="60" t="b">
        <f>TRUE()</f>
        <v>1</v>
      </c>
      <c r="G340" s="60" t="s">
        <v>768</v>
      </c>
      <c r="H340" s="60" t="s">
        <v>769</v>
      </c>
      <c r="I340" s="61">
        <v>46198</v>
      </c>
      <c r="J340" s="61">
        <v>46210</v>
      </c>
      <c r="K340" s="60">
        <v>12</v>
      </c>
      <c r="L340" s="60" t="s">
        <v>192</v>
      </c>
      <c r="M340" s="60" t="s">
        <v>184</v>
      </c>
      <c r="N340" s="60" t="b">
        <f>FALSE()</f>
        <v>0</v>
      </c>
      <c r="O340" s="60"/>
      <c r="P340" s="60"/>
      <c r="Q340" s="60" t="s">
        <v>236</v>
      </c>
      <c r="R340" s="60" t="s">
        <v>237</v>
      </c>
      <c r="S340" s="60"/>
      <c r="T340" s="60" t="b">
        <f>FALSE()</f>
        <v>0</v>
      </c>
      <c r="U340" s="60" t="b">
        <f>FALSE()</f>
        <v>0</v>
      </c>
      <c r="V340" s="60">
        <v>275</v>
      </c>
      <c r="W340" s="62" t="s">
        <v>259</v>
      </c>
      <c r="X340" s="60">
        <v>429</v>
      </c>
      <c r="Y340" s="63">
        <v>2.66</v>
      </c>
      <c r="Z340" s="60" t="b">
        <f>FALSE()</f>
        <v>0</v>
      </c>
      <c r="AA340" s="60" t="b">
        <f>TRUE()</f>
        <v>1</v>
      </c>
      <c r="AB340" s="60" t="b">
        <f>FALSE()</f>
        <v>0</v>
      </c>
      <c r="AC340" s="60" t="b">
        <f>FALSE()</f>
        <v>0</v>
      </c>
      <c r="AD340" s="60" t="b">
        <f>TRUE()</f>
        <v>1</v>
      </c>
      <c r="AE340" s="60">
        <v>3</v>
      </c>
      <c r="AF340" s="64">
        <v>42.9</v>
      </c>
      <c r="AG340" s="60" t="s">
        <v>73</v>
      </c>
      <c r="AH340" s="60" t="s">
        <v>1305</v>
      </c>
      <c r="AI340">
        <f>IF(AND(OR(Company_Explorer!$B$5="All Companies",$E340=Company_Explorer!$B$5),OR(Company_Explorer!$B$6="All Platforms",$B340=Company_Explorer!$B$6),OR(Company_Explorer!$B$7="All Roles",$D340=Company_Explorer!$B$7),OR(Company_Explorer!$B$8="All Ghost Labels",$AG340=Company_Explorer!$B$8)),1,0)</f>
        <v>0</v>
      </c>
    </row>
    <row r="341" spans="1:35" ht="15" customHeight="1" x14ac:dyDescent="0.3">
      <c r="A341" s="65" t="s">
        <v>1306</v>
      </c>
      <c r="B341" s="65" t="s">
        <v>80</v>
      </c>
      <c r="C341" s="65" t="s">
        <v>130</v>
      </c>
      <c r="D341" s="65" t="s">
        <v>130</v>
      </c>
      <c r="E341" s="65" t="s">
        <v>141</v>
      </c>
      <c r="F341" s="65" t="b">
        <f>TRUE()</f>
        <v>1</v>
      </c>
      <c r="G341" s="65" t="s">
        <v>172</v>
      </c>
      <c r="H341" s="65" t="s">
        <v>276</v>
      </c>
      <c r="I341" s="66">
        <v>46198</v>
      </c>
      <c r="J341" s="66">
        <v>46210</v>
      </c>
      <c r="K341" s="65">
        <v>12</v>
      </c>
      <c r="L341" s="65" t="s">
        <v>192</v>
      </c>
      <c r="M341" s="65" t="s">
        <v>184</v>
      </c>
      <c r="N341" s="65" t="b">
        <f>FALSE()</f>
        <v>0</v>
      </c>
      <c r="O341" s="65"/>
      <c r="P341" s="65"/>
      <c r="Q341" s="65" t="s">
        <v>236</v>
      </c>
      <c r="R341" s="65" t="s">
        <v>237</v>
      </c>
      <c r="S341" s="65"/>
      <c r="T341" s="65" t="b">
        <f>FALSE()</f>
        <v>0</v>
      </c>
      <c r="U341" s="65" t="b">
        <f>FALSE()</f>
        <v>0</v>
      </c>
      <c r="V341" s="65">
        <v>319</v>
      </c>
      <c r="W341" s="67" t="s">
        <v>861</v>
      </c>
      <c r="X341" s="65">
        <v>429</v>
      </c>
      <c r="Y341" s="68">
        <v>2.66</v>
      </c>
      <c r="Z341" s="65" t="b">
        <f>FALSE()</f>
        <v>0</v>
      </c>
      <c r="AA341" s="65" t="b">
        <f>TRUE()</f>
        <v>1</v>
      </c>
      <c r="AB341" s="65" t="b">
        <f>FALSE()</f>
        <v>0</v>
      </c>
      <c r="AC341" s="65" t="b">
        <f>FALSE()</f>
        <v>0</v>
      </c>
      <c r="AD341" s="65" t="b">
        <f>TRUE()</f>
        <v>1</v>
      </c>
      <c r="AE341" s="65">
        <v>3</v>
      </c>
      <c r="AF341" s="69">
        <v>42.9</v>
      </c>
      <c r="AG341" s="65" t="s">
        <v>73</v>
      </c>
      <c r="AH341" s="65" t="s">
        <v>1307</v>
      </c>
      <c r="AI341">
        <f>IF(AND(OR(Company_Explorer!$B$5="All Companies",$E341=Company_Explorer!$B$5),OR(Company_Explorer!$B$6="All Platforms",$B341=Company_Explorer!$B$6),OR(Company_Explorer!$B$7="All Roles",$D341=Company_Explorer!$B$7),OR(Company_Explorer!$B$8="All Ghost Labels",$AG341=Company_Explorer!$B$8)),1,0)</f>
        <v>0</v>
      </c>
    </row>
    <row r="342" spans="1:35" ht="15" customHeight="1" x14ac:dyDescent="0.3">
      <c r="A342" s="60" t="s">
        <v>1308</v>
      </c>
      <c r="B342" s="60" t="s">
        <v>80</v>
      </c>
      <c r="C342" s="60" t="s">
        <v>258</v>
      </c>
      <c r="D342" s="60" t="s">
        <v>125</v>
      </c>
      <c r="E342" s="60" t="s">
        <v>141</v>
      </c>
      <c r="F342" s="60" t="b">
        <f>TRUE()</f>
        <v>1</v>
      </c>
      <c r="G342" s="60" t="s">
        <v>167</v>
      </c>
      <c r="H342" s="60" t="s">
        <v>276</v>
      </c>
      <c r="I342" s="61">
        <v>46199</v>
      </c>
      <c r="J342" s="61">
        <v>46210</v>
      </c>
      <c r="K342" s="60">
        <v>11</v>
      </c>
      <c r="L342" s="60" t="s">
        <v>192</v>
      </c>
      <c r="M342" s="60" t="s">
        <v>184</v>
      </c>
      <c r="N342" s="60" t="b">
        <f>FALSE()</f>
        <v>0</v>
      </c>
      <c r="O342" s="60"/>
      <c r="P342" s="60"/>
      <c r="Q342" s="60" t="s">
        <v>236</v>
      </c>
      <c r="R342" s="60" t="s">
        <v>237</v>
      </c>
      <c r="S342" s="60"/>
      <c r="T342" s="60" t="b">
        <f>FALSE()</f>
        <v>0</v>
      </c>
      <c r="U342" s="60" t="b">
        <f>FALSE()</f>
        <v>0</v>
      </c>
      <c r="V342" s="60">
        <v>343</v>
      </c>
      <c r="W342" s="62" t="s">
        <v>259</v>
      </c>
      <c r="X342" s="60">
        <v>429</v>
      </c>
      <c r="Y342" s="63">
        <v>2.66</v>
      </c>
      <c r="Z342" s="60" t="b">
        <f>FALSE()</f>
        <v>0</v>
      </c>
      <c r="AA342" s="60" t="b">
        <f>TRUE()</f>
        <v>1</v>
      </c>
      <c r="AB342" s="60" t="b">
        <f>FALSE()</f>
        <v>0</v>
      </c>
      <c r="AC342" s="60" t="b">
        <f>FALSE()</f>
        <v>0</v>
      </c>
      <c r="AD342" s="60" t="b">
        <f>TRUE()</f>
        <v>1</v>
      </c>
      <c r="AE342" s="60">
        <v>3</v>
      </c>
      <c r="AF342" s="64">
        <v>42.9</v>
      </c>
      <c r="AG342" s="60" t="s">
        <v>73</v>
      </c>
      <c r="AH342" s="60" t="s">
        <v>1309</v>
      </c>
      <c r="AI342">
        <f>IF(AND(OR(Company_Explorer!$B$5="All Companies",$E342=Company_Explorer!$B$5),OR(Company_Explorer!$B$6="All Platforms",$B342=Company_Explorer!$B$6),OR(Company_Explorer!$B$7="All Roles",$D342=Company_Explorer!$B$7),OR(Company_Explorer!$B$8="All Ghost Labels",$AG342=Company_Explorer!$B$8)),1,0)</f>
        <v>0</v>
      </c>
    </row>
    <row r="343" spans="1:35" ht="15" customHeight="1" x14ac:dyDescent="0.3">
      <c r="A343" s="65" t="s">
        <v>1310</v>
      </c>
      <c r="B343" s="65" t="s">
        <v>80</v>
      </c>
      <c r="C343" s="65" t="s">
        <v>258</v>
      </c>
      <c r="D343" s="65" t="s">
        <v>125</v>
      </c>
      <c r="E343" s="65" t="s">
        <v>141</v>
      </c>
      <c r="F343" s="65" t="b">
        <f>TRUE()</f>
        <v>1</v>
      </c>
      <c r="G343" s="65" t="s">
        <v>325</v>
      </c>
      <c r="H343" s="65" t="s">
        <v>326</v>
      </c>
      <c r="I343" s="66">
        <v>46198</v>
      </c>
      <c r="J343" s="66">
        <v>46210</v>
      </c>
      <c r="K343" s="65">
        <v>12</v>
      </c>
      <c r="L343" s="65" t="s">
        <v>192</v>
      </c>
      <c r="M343" s="65" t="s">
        <v>184</v>
      </c>
      <c r="N343" s="65" t="b">
        <f>FALSE()</f>
        <v>0</v>
      </c>
      <c r="O343" s="65"/>
      <c r="P343" s="65"/>
      <c r="Q343" s="65" t="s">
        <v>236</v>
      </c>
      <c r="R343" s="65" t="s">
        <v>237</v>
      </c>
      <c r="S343" s="65"/>
      <c r="T343" s="65" t="b">
        <f>FALSE()</f>
        <v>0</v>
      </c>
      <c r="U343" s="65" t="b">
        <f>FALSE()</f>
        <v>0</v>
      </c>
      <c r="V343" s="65">
        <v>303</v>
      </c>
      <c r="W343" s="67" t="s">
        <v>1311</v>
      </c>
      <c r="X343" s="65">
        <v>429</v>
      </c>
      <c r="Y343" s="68">
        <v>2.66</v>
      </c>
      <c r="Z343" s="65" t="b">
        <f>FALSE()</f>
        <v>0</v>
      </c>
      <c r="AA343" s="65" t="b">
        <f>TRUE()</f>
        <v>1</v>
      </c>
      <c r="AB343" s="65" t="b">
        <f>FALSE()</f>
        <v>0</v>
      </c>
      <c r="AC343" s="65" t="b">
        <f>FALSE()</f>
        <v>0</v>
      </c>
      <c r="AD343" s="65" t="b">
        <f>TRUE()</f>
        <v>1</v>
      </c>
      <c r="AE343" s="65">
        <v>3</v>
      </c>
      <c r="AF343" s="69">
        <v>42.9</v>
      </c>
      <c r="AG343" s="65" t="s">
        <v>73</v>
      </c>
      <c r="AH343" s="65" t="s">
        <v>1312</v>
      </c>
      <c r="AI343">
        <f>IF(AND(OR(Company_Explorer!$B$5="All Companies",$E343=Company_Explorer!$B$5),OR(Company_Explorer!$B$6="All Platforms",$B343=Company_Explorer!$B$6),OR(Company_Explorer!$B$7="All Roles",$D343=Company_Explorer!$B$7),OR(Company_Explorer!$B$8="All Ghost Labels",$AG343=Company_Explorer!$B$8)),1,0)</f>
        <v>0</v>
      </c>
    </row>
    <row r="344" spans="1:35" ht="15" customHeight="1" x14ac:dyDescent="0.3">
      <c r="A344" s="60" t="s">
        <v>1313</v>
      </c>
      <c r="B344" s="60" t="s">
        <v>80</v>
      </c>
      <c r="C344" s="60" t="s">
        <v>258</v>
      </c>
      <c r="D344" s="60" t="s">
        <v>125</v>
      </c>
      <c r="E344" s="60" t="s">
        <v>141</v>
      </c>
      <c r="F344" s="60" t="b">
        <f>TRUE()</f>
        <v>1</v>
      </c>
      <c r="G344" s="60" t="s">
        <v>169</v>
      </c>
      <c r="H344" s="60" t="s">
        <v>294</v>
      </c>
      <c r="I344" s="61">
        <v>46200</v>
      </c>
      <c r="J344" s="61">
        <v>46210</v>
      </c>
      <c r="K344" s="60">
        <v>10</v>
      </c>
      <c r="L344" s="60" t="s">
        <v>192</v>
      </c>
      <c r="M344" s="60" t="s">
        <v>184</v>
      </c>
      <c r="N344" s="60" t="b">
        <f>FALSE()</f>
        <v>0</v>
      </c>
      <c r="O344" s="60"/>
      <c r="P344" s="60"/>
      <c r="Q344" s="60" t="s">
        <v>236</v>
      </c>
      <c r="R344" s="60" t="s">
        <v>237</v>
      </c>
      <c r="S344" s="60"/>
      <c r="T344" s="60" t="b">
        <f>FALSE()</f>
        <v>0</v>
      </c>
      <c r="U344" s="60" t="b">
        <f>FALSE()</f>
        <v>0</v>
      </c>
      <c r="V344" s="60">
        <v>311</v>
      </c>
      <c r="W344" s="62" t="s">
        <v>259</v>
      </c>
      <c r="X344" s="60">
        <v>429</v>
      </c>
      <c r="Y344" s="63">
        <v>2.66</v>
      </c>
      <c r="Z344" s="60" t="b">
        <f>FALSE()</f>
        <v>0</v>
      </c>
      <c r="AA344" s="60" t="b">
        <f>TRUE()</f>
        <v>1</v>
      </c>
      <c r="AB344" s="60" t="b">
        <f>FALSE()</f>
        <v>0</v>
      </c>
      <c r="AC344" s="60" t="b">
        <f>FALSE()</f>
        <v>0</v>
      </c>
      <c r="AD344" s="60" t="b">
        <f>TRUE()</f>
        <v>1</v>
      </c>
      <c r="AE344" s="60">
        <v>3</v>
      </c>
      <c r="AF344" s="64">
        <v>42.9</v>
      </c>
      <c r="AG344" s="60" t="s">
        <v>73</v>
      </c>
      <c r="AH344" s="60" t="s">
        <v>1314</v>
      </c>
      <c r="AI344">
        <f>IF(AND(OR(Company_Explorer!$B$5="All Companies",$E344=Company_Explorer!$B$5),OR(Company_Explorer!$B$6="All Platforms",$B344=Company_Explorer!$B$6),OR(Company_Explorer!$B$7="All Roles",$D344=Company_Explorer!$B$7),OR(Company_Explorer!$B$8="All Ghost Labels",$AG344=Company_Explorer!$B$8)),1,0)</f>
        <v>0</v>
      </c>
    </row>
    <row r="345" spans="1:35" ht="15" customHeight="1" x14ac:dyDescent="0.3">
      <c r="A345" s="65" t="s">
        <v>1315</v>
      </c>
      <c r="B345" s="65" t="s">
        <v>80</v>
      </c>
      <c r="C345" s="65" t="s">
        <v>125</v>
      </c>
      <c r="D345" s="65" t="s">
        <v>125</v>
      </c>
      <c r="E345" s="65" t="s">
        <v>1316</v>
      </c>
      <c r="F345" s="65" t="b">
        <f>TRUE()</f>
        <v>1</v>
      </c>
      <c r="G345" s="65" t="s">
        <v>174</v>
      </c>
      <c r="H345" s="65" t="s">
        <v>302</v>
      </c>
      <c r="I345" s="66">
        <v>46190</v>
      </c>
      <c r="J345" s="66">
        <v>46210</v>
      </c>
      <c r="K345" s="65">
        <v>20</v>
      </c>
      <c r="L345" s="65" t="s">
        <v>192</v>
      </c>
      <c r="M345" s="65" t="s">
        <v>185</v>
      </c>
      <c r="N345" s="65" t="b">
        <f>FALSE()</f>
        <v>0</v>
      </c>
      <c r="O345" s="65"/>
      <c r="P345" s="65"/>
      <c r="Q345" s="65" t="s">
        <v>236</v>
      </c>
      <c r="R345" s="65" t="s">
        <v>237</v>
      </c>
      <c r="S345" s="65"/>
      <c r="T345" s="65" t="b">
        <f>FALSE()</f>
        <v>0</v>
      </c>
      <c r="U345" s="65" t="b">
        <f>FALSE()</f>
        <v>0</v>
      </c>
      <c r="V345" s="65">
        <v>622</v>
      </c>
      <c r="W345" s="65" t="s">
        <v>1317</v>
      </c>
      <c r="X345" s="65">
        <v>1</v>
      </c>
      <c r="Y345" s="68">
        <v>0.01</v>
      </c>
      <c r="Z345" s="65" t="b">
        <f>FALSE()</f>
        <v>0</v>
      </c>
      <c r="AA345" s="65" t="b">
        <f>TRUE()</f>
        <v>1</v>
      </c>
      <c r="AB345" s="65" t="b">
        <f>FALSE()</f>
        <v>0</v>
      </c>
      <c r="AC345" s="65" t="b">
        <f>TRUE()</f>
        <v>1</v>
      </c>
      <c r="AD345" s="65" t="b">
        <f>FALSE()</f>
        <v>0</v>
      </c>
      <c r="AE345" s="65">
        <v>2</v>
      </c>
      <c r="AF345" s="69">
        <v>28.6</v>
      </c>
      <c r="AG345" s="65" t="s">
        <v>73</v>
      </c>
      <c r="AH345" s="65" t="s">
        <v>1318</v>
      </c>
      <c r="AI345">
        <f>IF(AND(OR(Company_Explorer!$B$5="All Companies",$E345=Company_Explorer!$B$5),OR(Company_Explorer!$B$6="All Platforms",$B345=Company_Explorer!$B$6),OR(Company_Explorer!$B$7="All Roles",$D345=Company_Explorer!$B$7),OR(Company_Explorer!$B$8="All Ghost Labels",$AG345=Company_Explorer!$B$8)),1,0)</f>
        <v>0</v>
      </c>
    </row>
    <row r="346" spans="1:35" ht="15" customHeight="1" x14ac:dyDescent="0.3">
      <c r="A346" s="60" t="s">
        <v>1319</v>
      </c>
      <c r="B346" s="60" t="s">
        <v>80</v>
      </c>
      <c r="C346" s="60" t="s">
        <v>258</v>
      </c>
      <c r="D346" s="60" t="s">
        <v>125</v>
      </c>
      <c r="E346" s="60" t="s">
        <v>141</v>
      </c>
      <c r="F346" s="60" t="b">
        <f>TRUE()</f>
        <v>1</v>
      </c>
      <c r="G346" s="60" t="s">
        <v>173</v>
      </c>
      <c r="H346" s="60" t="s">
        <v>827</v>
      </c>
      <c r="I346" s="61">
        <v>46206</v>
      </c>
      <c r="J346" s="61">
        <v>46210</v>
      </c>
      <c r="K346" s="60">
        <v>4</v>
      </c>
      <c r="L346" s="60" t="s">
        <v>192</v>
      </c>
      <c r="M346" s="60" t="s">
        <v>184</v>
      </c>
      <c r="N346" s="60" t="b">
        <f>FALSE()</f>
        <v>0</v>
      </c>
      <c r="O346" s="60"/>
      <c r="P346" s="60"/>
      <c r="Q346" s="60" t="s">
        <v>236</v>
      </c>
      <c r="R346" s="60" t="s">
        <v>237</v>
      </c>
      <c r="S346" s="60"/>
      <c r="T346" s="60" t="b">
        <f>FALSE()</f>
        <v>0</v>
      </c>
      <c r="U346" s="60" t="b">
        <f>FALSE()</f>
        <v>0</v>
      </c>
      <c r="V346" s="60">
        <v>272</v>
      </c>
      <c r="W346" s="62" t="s">
        <v>259</v>
      </c>
      <c r="X346" s="60">
        <v>429</v>
      </c>
      <c r="Y346" s="63">
        <v>2.66</v>
      </c>
      <c r="Z346" s="60" t="b">
        <f>FALSE()</f>
        <v>0</v>
      </c>
      <c r="AA346" s="60" t="b">
        <f>TRUE()</f>
        <v>1</v>
      </c>
      <c r="AB346" s="60" t="b">
        <f>TRUE()</f>
        <v>1</v>
      </c>
      <c r="AC346" s="60" t="b">
        <f>FALSE()</f>
        <v>0</v>
      </c>
      <c r="AD346" s="60" t="b">
        <f>TRUE()</f>
        <v>1</v>
      </c>
      <c r="AE346" s="60">
        <v>4</v>
      </c>
      <c r="AF346" s="64">
        <v>57.1</v>
      </c>
      <c r="AG346" s="60" t="s">
        <v>72</v>
      </c>
      <c r="AH346" s="60" t="s">
        <v>1320</v>
      </c>
      <c r="AI346">
        <f>IF(AND(OR(Company_Explorer!$B$5="All Companies",$E346=Company_Explorer!$B$5),OR(Company_Explorer!$B$6="All Platforms",$B346=Company_Explorer!$B$6),OR(Company_Explorer!$B$7="All Roles",$D346=Company_Explorer!$B$7),OR(Company_Explorer!$B$8="All Ghost Labels",$AG346=Company_Explorer!$B$8)),1,0)</f>
        <v>0</v>
      </c>
    </row>
    <row r="347" spans="1:35" ht="15" customHeight="1" x14ac:dyDescent="0.3">
      <c r="A347" s="65" t="s">
        <v>1321</v>
      </c>
      <c r="B347" s="65" t="s">
        <v>80</v>
      </c>
      <c r="C347" s="65" t="s">
        <v>258</v>
      </c>
      <c r="D347" s="65" t="s">
        <v>125</v>
      </c>
      <c r="E347" s="65" t="s">
        <v>141</v>
      </c>
      <c r="F347" s="65" t="b">
        <f>TRUE()</f>
        <v>1</v>
      </c>
      <c r="G347" s="65" t="s">
        <v>173</v>
      </c>
      <c r="H347" s="65" t="s">
        <v>827</v>
      </c>
      <c r="I347" s="66">
        <v>46206</v>
      </c>
      <c r="J347" s="66">
        <v>46210</v>
      </c>
      <c r="K347" s="65">
        <v>4</v>
      </c>
      <c r="L347" s="65" t="s">
        <v>192</v>
      </c>
      <c r="M347" s="65" t="s">
        <v>184</v>
      </c>
      <c r="N347" s="65" t="b">
        <f>FALSE()</f>
        <v>0</v>
      </c>
      <c r="O347" s="65"/>
      <c r="P347" s="65"/>
      <c r="Q347" s="65" t="s">
        <v>236</v>
      </c>
      <c r="R347" s="65" t="s">
        <v>237</v>
      </c>
      <c r="S347" s="65"/>
      <c r="T347" s="65" t="b">
        <f>FALSE()</f>
        <v>0</v>
      </c>
      <c r="U347" s="65" t="b">
        <f>FALSE()</f>
        <v>0</v>
      </c>
      <c r="V347" s="65">
        <v>272</v>
      </c>
      <c r="W347" s="67" t="s">
        <v>259</v>
      </c>
      <c r="X347" s="65">
        <v>429</v>
      </c>
      <c r="Y347" s="68">
        <v>2.66</v>
      </c>
      <c r="Z347" s="65" t="b">
        <f>FALSE()</f>
        <v>0</v>
      </c>
      <c r="AA347" s="65" t="b">
        <f>TRUE()</f>
        <v>1</v>
      </c>
      <c r="AB347" s="65" t="b">
        <f>TRUE()</f>
        <v>1</v>
      </c>
      <c r="AC347" s="65" t="b">
        <f>FALSE()</f>
        <v>0</v>
      </c>
      <c r="AD347" s="65" t="b">
        <f>TRUE()</f>
        <v>1</v>
      </c>
      <c r="AE347" s="65">
        <v>4</v>
      </c>
      <c r="AF347" s="69">
        <v>57.1</v>
      </c>
      <c r="AG347" s="65" t="s">
        <v>72</v>
      </c>
      <c r="AH347" s="65" t="s">
        <v>1322</v>
      </c>
      <c r="AI347">
        <f>IF(AND(OR(Company_Explorer!$B$5="All Companies",$E347=Company_Explorer!$B$5),OR(Company_Explorer!$B$6="All Platforms",$B347=Company_Explorer!$B$6),OR(Company_Explorer!$B$7="All Roles",$D347=Company_Explorer!$B$7),OR(Company_Explorer!$B$8="All Ghost Labels",$AG347=Company_Explorer!$B$8)),1,0)</f>
        <v>0</v>
      </c>
    </row>
    <row r="348" spans="1:35" ht="15" customHeight="1" x14ac:dyDescent="0.3">
      <c r="A348" s="60" t="s">
        <v>1323</v>
      </c>
      <c r="B348" s="60" t="s">
        <v>80</v>
      </c>
      <c r="C348" s="60" t="s">
        <v>258</v>
      </c>
      <c r="D348" s="60" t="s">
        <v>125</v>
      </c>
      <c r="E348" s="60" t="s">
        <v>141</v>
      </c>
      <c r="F348" s="60" t="b">
        <f>TRUE()</f>
        <v>1</v>
      </c>
      <c r="G348" s="60" t="s">
        <v>174</v>
      </c>
      <c r="H348" s="60" t="s">
        <v>302</v>
      </c>
      <c r="I348" s="61">
        <v>46198</v>
      </c>
      <c r="J348" s="61">
        <v>46210</v>
      </c>
      <c r="K348" s="60">
        <v>12</v>
      </c>
      <c r="L348" s="60" t="s">
        <v>192</v>
      </c>
      <c r="M348" s="60" t="s">
        <v>184</v>
      </c>
      <c r="N348" s="60" t="b">
        <f>FALSE()</f>
        <v>0</v>
      </c>
      <c r="O348" s="60"/>
      <c r="P348" s="60"/>
      <c r="Q348" s="60" t="s">
        <v>236</v>
      </c>
      <c r="R348" s="60" t="s">
        <v>237</v>
      </c>
      <c r="S348" s="60"/>
      <c r="T348" s="60" t="b">
        <f>FALSE()</f>
        <v>0</v>
      </c>
      <c r="U348" s="60" t="b">
        <f>FALSE()</f>
        <v>0</v>
      </c>
      <c r="V348" s="60">
        <v>287</v>
      </c>
      <c r="W348" s="62" t="s">
        <v>259</v>
      </c>
      <c r="X348" s="60">
        <v>429</v>
      </c>
      <c r="Y348" s="63">
        <v>2.66</v>
      </c>
      <c r="Z348" s="60" t="b">
        <f>FALSE()</f>
        <v>0</v>
      </c>
      <c r="AA348" s="60" t="b">
        <f>TRUE()</f>
        <v>1</v>
      </c>
      <c r="AB348" s="60" t="b">
        <f>FALSE()</f>
        <v>0</v>
      </c>
      <c r="AC348" s="60" t="b">
        <f>FALSE()</f>
        <v>0</v>
      </c>
      <c r="AD348" s="60" t="b">
        <f>TRUE()</f>
        <v>1</v>
      </c>
      <c r="AE348" s="60">
        <v>3</v>
      </c>
      <c r="AF348" s="64">
        <v>42.9</v>
      </c>
      <c r="AG348" s="60" t="s">
        <v>73</v>
      </c>
      <c r="AH348" s="60" t="s">
        <v>1324</v>
      </c>
      <c r="AI348">
        <f>IF(AND(OR(Company_Explorer!$B$5="All Companies",$E348=Company_Explorer!$B$5),OR(Company_Explorer!$B$6="All Platforms",$B348=Company_Explorer!$B$6),OR(Company_Explorer!$B$7="All Roles",$D348=Company_Explorer!$B$7),OR(Company_Explorer!$B$8="All Ghost Labels",$AG348=Company_Explorer!$B$8)),1,0)</f>
        <v>0</v>
      </c>
    </row>
    <row r="349" spans="1:35" ht="15" customHeight="1" x14ac:dyDescent="0.3">
      <c r="A349" s="65" t="s">
        <v>1325</v>
      </c>
      <c r="B349" s="65" t="s">
        <v>80</v>
      </c>
      <c r="C349" s="65" t="s">
        <v>258</v>
      </c>
      <c r="D349" s="65" t="s">
        <v>125</v>
      </c>
      <c r="E349" s="65" t="s">
        <v>141</v>
      </c>
      <c r="F349" s="65" t="b">
        <f>TRUE()</f>
        <v>1</v>
      </c>
      <c r="G349" s="65" t="s">
        <v>170</v>
      </c>
      <c r="H349" s="65" t="s">
        <v>165</v>
      </c>
      <c r="I349" s="66">
        <v>46199</v>
      </c>
      <c r="J349" s="66">
        <v>46210</v>
      </c>
      <c r="K349" s="65">
        <v>11</v>
      </c>
      <c r="L349" s="65" t="s">
        <v>192</v>
      </c>
      <c r="M349" s="65" t="s">
        <v>184</v>
      </c>
      <c r="N349" s="65" t="b">
        <f>FALSE()</f>
        <v>0</v>
      </c>
      <c r="O349" s="65"/>
      <c r="P349" s="65"/>
      <c r="Q349" s="65" t="s">
        <v>236</v>
      </c>
      <c r="R349" s="65" t="s">
        <v>237</v>
      </c>
      <c r="S349" s="65"/>
      <c r="T349" s="65" t="b">
        <f>FALSE()</f>
        <v>0</v>
      </c>
      <c r="U349" s="65" t="b">
        <f>FALSE()</f>
        <v>0</v>
      </c>
      <c r="V349" s="65">
        <v>324</v>
      </c>
      <c r="W349" s="67" t="s">
        <v>259</v>
      </c>
      <c r="X349" s="65">
        <v>429</v>
      </c>
      <c r="Y349" s="68">
        <v>2.66</v>
      </c>
      <c r="Z349" s="65" t="b">
        <f>FALSE()</f>
        <v>0</v>
      </c>
      <c r="AA349" s="65" t="b">
        <f>TRUE()</f>
        <v>1</v>
      </c>
      <c r="AB349" s="65" t="b">
        <f>FALSE()</f>
        <v>0</v>
      </c>
      <c r="AC349" s="65" t="b">
        <f>FALSE()</f>
        <v>0</v>
      </c>
      <c r="AD349" s="65" t="b">
        <f>TRUE()</f>
        <v>1</v>
      </c>
      <c r="AE349" s="65">
        <v>3</v>
      </c>
      <c r="AF349" s="69">
        <v>42.9</v>
      </c>
      <c r="AG349" s="65" t="s">
        <v>73</v>
      </c>
      <c r="AH349" s="65" t="s">
        <v>1326</v>
      </c>
      <c r="AI349">
        <f>IF(AND(OR(Company_Explorer!$B$5="All Companies",$E349=Company_Explorer!$B$5),OR(Company_Explorer!$B$6="All Platforms",$B349=Company_Explorer!$B$6),OR(Company_Explorer!$B$7="All Roles",$D349=Company_Explorer!$B$7),OR(Company_Explorer!$B$8="All Ghost Labels",$AG349=Company_Explorer!$B$8)),1,0)</f>
        <v>0</v>
      </c>
    </row>
    <row r="350" spans="1:35" ht="15" customHeight="1" x14ac:dyDescent="0.3">
      <c r="A350" s="60" t="s">
        <v>1327</v>
      </c>
      <c r="B350" s="60" t="s">
        <v>80</v>
      </c>
      <c r="C350" s="60" t="s">
        <v>258</v>
      </c>
      <c r="D350" s="60" t="s">
        <v>125</v>
      </c>
      <c r="E350" s="60" t="s">
        <v>141</v>
      </c>
      <c r="F350" s="60" t="b">
        <f>TRUE()</f>
        <v>1</v>
      </c>
      <c r="G350" s="60" t="s">
        <v>170</v>
      </c>
      <c r="H350" s="60" t="s">
        <v>165</v>
      </c>
      <c r="I350" s="61">
        <v>46199</v>
      </c>
      <c r="J350" s="61">
        <v>46210</v>
      </c>
      <c r="K350" s="60">
        <v>11</v>
      </c>
      <c r="L350" s="60" t="s">
        <v>192</v>
      </c>
      <c r="M350" s="60" t="s">
        <v>184</v>
      </c>
      <c r="N350" s="60" t="b">
        <f>FALSE()</f>
        <v>0</v>
      </c>
      <c r="O350" s="60"/>
      <c r="P350" s="60"/>
      <c r="Q350" s="60" t="s">
        <v>236</v>
      </c>
      <c r="R350" s="60" t="s">
        <v>237</v>
      </c>
      <c r="S350" s="60"/>
      <c r="T350" s="60" t="b">
        <f>FALSE()</f>
        <v>0</v>
      </c>
      <c r="U350" s="60" t="b">
        <f>FALSE()</f>
        <v>0</v>
      </c>
      <c r="V350" s="60">
        <v>324</v>
      </c>
      <c r="W350" s="62" t="s">
        <v>259</v>
      </c>
      <c r="X350" s="60">
        <v>429</v>
      </c>
      <c r="Y350" s="63">
        <v>2.66</v>
      </c>
      <c r="Z350" s="60" t="b">
        <f>FALSE()</f>
        <v>0</v>
      </c>
      <c r="AA350" s="60" t="b">
        <f>TRUE()</f>
        <v>1</v>
      </c>
      <c r="AB350" s="60" t="b">
        <f>FALSE()</f>
        <v>0</v>
      </c>
      <c r="AC350" s="60" t="b">
        <f>FALSE()</f>
        <v>0</v>
      </c>
      <c r="AD350" s="60" t="b">
        <f>TRUE()</f>
        <v>1</v>
      </c>
      <c r="AE350" s="60">
        <v>3</v>
      </c>
      <c r="AF350" s="64">
        <v>42.9</v>
      </c>
      <c r="AG350" s="60" t="s">
        <v>73</v>
      </c>
      <c r="AH350" s="60" t="s">
        <v>1328</v>
      </c>
      <c r="AI350">
        <f>IF(AND(OR(Company_Explorer!$B$5="All Companies",$E350=Company_Explorer!$B$5),OR(Company_Explorer!$B$6="All Platforms",$B350=Company_Explorer!$B$6),OR(Company_Explorer!$B$7="All Roles",$D350=Company_Explorer!$B$7),OR(Company_Explorer!$B$8="All Ghost Labels",$AG350=Company_Explorer!$B$8)),1,0)</f>
        <v>0</v>
      </c>
    </row>
    <row r="351" spans="1:35" ht="15" customHeight="1" x14ac:dyDescent="0.3">
      <c r="A351" s="65" t="s">
        <v>1329</v>
      </c>
      <c r="B351" s="65" t="s">
        <v>80</v>
      </c>
      <c r="C351" s="65" t="s">
        <v>258</v>
      </c>
      <c r="D351" s="65" t="s">
        <v>125</v>
      </c>
      <c r="E351" s="65" t="s">
        <v>141</v>
      </c>
      <c r="F351" s="65" t="b">
        <f>TRUE()</f>
        <v>1</v>
      </c>
      <c r="G351" s="65" t="s">
        <v>174</v>
      </c>
      <c r="H351" s="65" t="s">
        <v>302</v>
      </c>
      <c r="I351" s="66">
        <v>46198</v>
      </c>
      <c r="J351" s="66">
        <v>46210</v>
      </c>
      <c r="K351" s="65">
        <v>12</v>
      </c>
      <c r="L351" s="65" t="s">
        <v>192</v>
      </c>
      <c r="M351" s="65" t="s">
        <v>184</v>
      </c>
      <c r="N351" s="65" t="b">
        <f>FALSE()</f>
        <v>0</v>
      </c>
      <c r="O351" s="65"/>
      <c r="P351" s="65"/>
      <c r="Q351" s="65" t="s">
        <v>236</v>
      </c>
      <c r="R351" s="65" t="s">
        <v>237</v>
      </c>
      <c r="S351" s="65"/>
      <c r="T351" s="65" t="b">
        <f>FALSE()</f>
        <v>0</v>
      </c>
      <c r="U351" s="65" t="b">
        <f>FALSE()</f>
        <v>0</v>
      </c>
      <c r="V351" s="65">
        <v>315</v>
      </c>
      <c r="W351" s="67" t="s">
        <v>259</v>
      </c>
      <c r="X351" s="65">
        <v>429</v>
      </c>
      <c r="Y351" s="68">
        <v>2.66</v>
      </c>
      <c r="Z351" s="65" t="b">
        <f>FALSE()</f>
        <v>0</v>
      </c>
      <c r="AA351" s="65" t="b">
        <f>TRUE()</f>
        <v>1</v>
      </c>
      <c r="AB351" s="65" t="b">
        <f>FALSE()</f>
        <v>0</v>
      </c>
      <c r="AC351" s="65" t="b">
        <f>FALSE()</f>
        <v>0</v>
      </c>
      <c r="AD351" s="65" t="b">
        <f>TRUE()</f>
        <v>1</v>
      </c>
      <c r="AE351" s="65">
        <v>3</v>
      </c>
      <c r="AF351" s="69">
        <v>42.9</v>
      </c>
      <c r="AG351" s="65" t="s">
        <v>73</v>
      </c>
      <c r="AH351" s="65" t="s">
        <v>1330</v>
      </c>
      <c r="AI351">
        <f>IF(AND(OR(Company_Explorer!$B$5="All Companies",$E351=Company_Explorer!$B$5),OR(Company_Explorer!$B$6="All Platforms",$B351=Company_Explorer!$B$6),OR(Company_Explorer!$B$7="All Roles",$D351=Company_Explorer!$B$7),OR(Company_Explorer!$B$8="All Ghost Labels",$AG351=Company_Explorer!$B$8)),1,0)</f>
        <v>0</v>
      </c>
    </row>
    <row r="352" spans="1:35" ht="15" customHeight="1" x14ac:dyDescent="0.3">
      <c r="A352" s="60" t="s">
        <v>1331</v>
      </c>
      <c r="B352" s="60" t="s">
        <v>80</v>
      </c>
      <c r="C352" s="60" t="s">
        <v>258</v>
      </c>
      <c r="D352" s="60" t="s">
        <v>125</v>
      </c>
      <c r="E352" s="60" t="s">
        <v>141</v>
      </c>
      <c r="F352" s="60" t="b">
        <f>TRUE()</f>
        <v>1</v>
      </c>
      <c r="G352" s="60" t="s">
        <v>169</v>
      </c>
      <c r="H352" s="60" t="s">
        <v>294</v>
      </c>
      <c r="I352" s="61">
        <v>46200</v>
      </c>
      <c r="J352" s="61">
        <v>46210</v>
      </c>
      <c r="K352" s="60">
        <v>10</v>
      </c>
      <c r="L352" s="60" t="s">
        <v>192</v>
      </c>
      <c r="M352" s="60" t="s">
        <v>184</v>
      </c>
      <c r="N352" s="60" t="b">
        <f>FALSE()</f>
        <v>0</v>
      </c>
      <c r="O352" s="60"/>
      <c r="P352" s="60"/>
      <c r="Q352" s="60" t="s">
        <v>236</v>
      </c>
      <c r="R352" s="60" t="s">
        <v>237</v>
      </c>
      <c r="S352" s="60"/>
      <c r="T352" s="60" t="b">
        <f>FALSE()</f>
        <v>0</v>
      </c>
      <c r="U352" s="60" t="b">
        <f>FALSE()</f>
        <v>0</v>
      </c>
      <c r="V352" s="60">
        <v>311</v>
      </c>
      <c r="W352" s="62" t="s">
        <v>259</v>
      </c>
      <c r="X352" s="60">
        <v>429</v>
      </c>
      <c r="Y352" s="63">
        <v>2.66</v>
      </c>
      <c r="Z352" s="60" t="b">
        <f>FALSE()</f>
        <v>0</v>
      </c>
      <c r="AA352" s="60" t="b">
        <f>TRUE()</f>
        <v>1</v>
      </c>
      <c r="AB352" s="60" t="b">
        <f>FALSE()</f>
        <v>0</v>
      </c>
      <c r="AC352" s="60" t="b">
        <f>FALSE()</f>
        <v>0</v>
      </c>
      <c r="AD352" s="60" t="b">
        <f>TRUE()</f>
        <v>1</v>
      </c>
      <c r="AE352" s="60">
        <v>3</v>
      </c>
      <c r="AF352" s="64">
        <v>42.9</v>
      </c>
      <c r="AG352" s="60" t="s">
        <v>73</v>
      </c>
      <c r="AH352" s="60" t="s">
        <v>1332</v>
      </c>
      <c r="AI352">
        <f>IF(AND(OR(Company_Explorer!$B$5="All Companies",$E352=Company_Explorer!$B$5),OR(Company_Explorer!$B$6="All Platforms",$B352=Company_Explorer!$B$6),OR(Company_Explorer!$B$7="All Roles",$D352=Company_Explorer!$B$7),OR(Company_Explorer!$B$8="All Ghost Labels",$AG352=Company_Explorer!$B$8)),1,0)</f>
        <v>0</v>
      </c>
    </row>
    <row r="353" spans="1:35" ht="15" customHeight="1" x14ac:dyDescent="0.3">
      <c r="A353" s="65" t="s">
        <v>1333</v>
      </c>
      <c r="B353" s="65" t="s">
        <v>80</v>
      </c>
      <c r="C353" s="65" t="s">
        <v>258</v>
      </c>
      <c r="D353" s="65" t="s">
        <v>125</v>
      </c>
      <c r="E353" s="65" t="s">
        <v>141</v>
      </c>
      <c r="F353" s="65" t="b">
        <f>TRUE()</f>
        <v>1</v>
      </c>
      <c r="G353" s="65" t="s">
        <v>168</v>
      </c>
      <c r="H353" s="65" t="s">
        <v>254</v>
      </c>
      <c r="I353" s="66">
        <v>46198</v>
      </c>
      <c r="J353" s="66">
        <v>46210</v>
      </c>
      <c r="K353" s="65">
        <v>12</v>
      </c>
      <c r="L353" s="65" t="s">
        <v>192</v>
      </c>
      <c r="M353" s="65" t="s">
        <v>184</v>
      </c>
      <c r="N353" s="65" t="b">
        <f>FALSE()</f>
        <v>0</v>
      </c>
      <c r="O353" s="65"/>
      <c r="P353" s="65"/>
      <c r="Q353" s="65" t="s">
        <v>236</v>
      </c>
      <c r="R353" s="65" t="s">
        <v>237</v>
      </c>
      <c r="S353" s="65"/>
      <c r="T353" s="65" t="b">
        <f>FALSE()</f>
        <v>0</v>
      </c>
      <c r="U353" s="65" t="b">
        <f>FALSE()</f>
        <v>0</v>
      </c>
      <c r="V353" s="65">
        <v>316</v>
      </c>
      <c r="W353" s="67" t="s">
        <v>259</v>
      </c>
      <c r="X353" s="65">
        <v>429</v>
      </c>
      <c r="Y353" s="68">
        <v>2.66</v>
      </c>
      <c r="Z353" s="65" t="b">
        <f>FALSE()</f>
        <v>0</v>
      </c>
      <c r="AA353" s="65" t="b">
        <f>TRUE()</f>
        <v>1</v>
      </c>
      <c r="AB353" s="65" t="b">
        <f>FALSE()</f>
        <v>0</v>
      </c>
      <c r="AC353" s="65" t="b">
        <f>FALSE()</f>
        <v>0</v>
      </c>
      <c r="AD353" s="65" t="b">
        <f>TRUE()</f>
        <v>1</v>
      </c>
      <c r="AE353" s="65">
        <v>3</v>
      </c>
      <c r="AF353" s="69">
        <v>42.9</v>
      </c>
      <c r="AG353" s="65" t="s">
        <v>73</v>
      </c>
      <c r="AH353" s="65" t="s">
        <v>1334</v>
      </c>
      <c r="AI353">
        <f>IF(AND(OR(Company_Explorer!$B$5="All Companies",$E353=Company_Explorer!$B$5),OR(Company_Explorer!$B$6="All Platforms",$B353=Company_Explorer!$B$6),OR(Company_Explorer!$B$7="All Roles",$D353=Company_Explorer!$B$7),OR(Company_Explorer!$B$8="All Ghost Labels",$AG353=Company_Explorer!$B$8)),1,0)</f>
        <v>0</v>
      </c>
    </row>
    <row r="354" spans="1:35" ht="15" customHeight="1" x14ac:dyDescent="0.3">
      <c r="A354" s="60" t="s">
        <v>1335</v>
      </c>
      <c r="B354" s="60" t="s">
        <v>80</v>
      </c>
      <c r="C354" s="60" t="s">
        <v>125</v>
      </c>
      <c r="D354" s="60" t="s">
        <v>125</v>
      </c>
      <c r="E354" s="60" t="s">
        <v>1336</v>
      </c>
      <c r="F354" s="60" t="b">
        <f>TRUE()</f>
        <v>1</v>
      </c>
      <c r="G354" s="60" t="s">
        <v>166</v>
      </c>
      <c r="H354" s="60" t="s">
        <v>235</v>
      </c>
      <c r="I354" s="61">
        <v>46190</v>
      </c>
      <c r="J354" s="61">
        <v>46210</v>
      </c>
      <c r="K354" s="60">
        <v>20</v>
      </c>
      <c r="L354" s="60" t="s">
        <v>192</v>
      </c>
      <c r="M354" s="60" t="s">
        <v>186</v>
      </c>
      <c r="N354" s="60" t="b">
        <f>FALSE()</f>
        <v>0</v>
      </c>
      <c r="O354" s="60"/>
      <c r="P354" s="60"/>
      <c r="Q354" s="60" t="s">
        <v>236</v>
      </c>
      <c r="R354" s="60" t="s">
        <v>237</v>
      </c>
      <c r="S354" s="60"/>
      <c r="T354" s="60" t="b">
        <f>FALSE()</f>
        <v>0</v>
      </c>
      <c r="U354" s="60" t="b">
        <f>FALSE()</f>
        <v>0</v>
      </c>
      <c r="V354" s="60">
        <v>101</v>
      </c>
      <c r="W354" s="62" t="s">
        <v>1337</v>
      </c>
      <c r="X354" s="60">
        <v>1</v>
      </c>
      <c r="Y354" s="63">
        <v>0.01</v>
      </c>
      <c r="Z354" s="60" t="b">
        <f>FALSE()</f>
        <v>0</v>
      </c>
      <c r="AA354" s="60" t="b">
        <f>TRUE()</f>
        <v>1</v>
      </c>
      <c r="AB354" s="60" t="b">
        <f>TRUE()</f>
        <v>1</v>
      </c>
      <c r="AC354" s="60" t="b">
        <f>TRUE()</f>
        <v>1</v>
      </c>
      <c r="AD354" s="60" t="b">
        <f>FALSE()</f>
        <v>0</v>
      </c>
      <c r="AE354" s="60">
        <v>3</v>
      </c>
      <c r="AF354" s="64">
        <v>42.9</v>
      </c>
      <c r="AG354" s="60" t="s">
        <v>73</v>
      </c>
      <c r="AH354" s="60" t="s">
        <v>1338</v>
      </c>
      <c r="AI354">
        <f>IF(AND(OR(Company_Explorer!$B$5="All Companies",$E354=Company_Explorer!$B$5),OR(Company_Explorer!$B$6="All Platforms",$B354=Company_Explorer!$B$6),OR(Company_Explorer!$B$7="All Roles",$D354=Company_Explorer!$B$7),OR(Company_Explorer!$B$8="All Ghost Labels",$AG354=Company_Explorer!$B$8)),1,0)</f>
        <v>0</v>
      </c>
    </row>
    <row r="355" spans="1:35" ht="15" customHeight="1" x14ac:dyDescent="0.3">
      <c r="A355" s="65" t="s">
        <v>1339</v>
      </c>
      <c r="B355" s="65" t="s">
        <v>80</v>
      </c>
      <c r="C355" s="65" t="s">
        <v>258</v>
      </c>
      <c r="D355" s="65" t="s">
        <v>125</v>
      </c>
      <c r="E355" s="65" t="s">
        <v>141</v>
      </c>
      <c r="F355" s="65" t="b">
        <f>TRUE()</f>
        <v>1</v>
      </c>
      <c r="G355" s="65" t="s">
        <v>172</v>
      </c>
      <c r="H355" s="65" t="s">
        <v>276</v>
      </c>
      <c r="I355" s="66">
        <v>46198</v>
      </c>
      <c r="J355" s="66">
        <v>46210</v>
      </c>
      <c r="K355" s="65">
        <v>12</v>
      </c>
      <c r="L355" s="65" t="s">
        <v>192</v>
      </c>
      <c r="M355" s="65" t="s">
        <v>184</v>
      </c>
      <c r="N355" s="65" t="b">
        <f>FALSE()</f>
        <v>0</v>
      </c>
      <c r="O355" s="65"/>
      <c r="P355" s="65"/>
      <c r="Q355" s="65" t="s">
        <v>236</v>
      </c>
      <c r="R355" s="65" t="s">
        <v>237</v>
      </c>
      <c r="S355" s="65"/>
      <c r="T355" s="65" t="b">
        <f>FALSE()</f>
        <v>0</v>
      </c>
      <c r="U355" s="65" t="b">
        <f>FALSE()</f>
        <v>0</v>
      </c>
      <c r="V355" s="65">
        <v>266</v>
      </c>
      <c r="W355" s="67" t="s">
        <v>1340</v>
      </c>
      <c r="X355" s="65">
        <v>429</v>
      </c>
      <c r="Y355" s="68">
        <v>2.66</v>
      </c>
      <c r="Z355" s="65" t="b">
        <f>FALSE()</f>
        <v>0</v>
      </c>
      <c r="AA355" s="65" t="b">
        <f>TRUE()</f>
        <v>1</v>
      </c>
      <c r="AB355" s="65" t="b">
        <f>TRUE()</f>
        <v>1</v>
      </c>
      <c r="AC355" s="65" t="b">
        <f>FALSE()</f>
        <v>0</v>
      </c>
      <c r="AD355" s="65" t="b">
        <f>TRUE()</f>
        <v>1</v>
      </c>
      <c r="AE355" s="65">
        <v>4</v>
      </c>
      <c r="AF355" s="69">
        <v>57.1</v>
      </c>
      <c r="AG355" s="65" t="s">
        <v>72</v>
      </c>
      <c r="AH355" s="65" t="s">
        <v>1341</v>
      </c>
      <c r="AI355">
        <f>IF(AND(OR(Company_Explorer!$B$5="All Companies",$E355=Company_Explorer!$B$5),OR(Company_Explorer!$B$6="All Platforms",$B355=Company_Explorer!$B$6),OR(Company_Explorer!$B$7="All Roles",$D355=Company_Explorer!$B$7),OR(Company_Explorer!$B$8="All Ghost Labels",$AG355=Company_Explorer!$B$8)),1,0)</f>
        <v>0</v>
      </c>
    </row>
    <row r="356" spans="1:35" ht="15" customHeight="1" x14ac:dyDescent="0.3">
      <c r="A356" s="60" t="s">
        <v>1342</v>
      </c>
      <c r="B356" s="60" t="s">
        <v>80</v>
      </c>
      <c r="C356" s="60" t="s">
        <v>258</v>
      </c>
      <c r="D356" s="60" t="s">
        <v>125</v>
      </c>
      <c r="E356" s="60" t="s">
        <v>141</v>
      </c>
      <c r="F356" s="60" t="b">
        <f>TRUE()</f>
        <v>1</v>
      </c>
      <c r="G356" s="60" t="s">
        <v>179</v>
      </c>
      <c r="H356" s="60" t="s">
        <v>254</v>
      </c>
      <c r="I356" s="61">
        <v>46198</v>
      </c>
      <c r="J356" s="61">
        <v>46210</v>
      </c>
      <c r="K356" s="60">
        <v>12</v>
      </c>
      <c r="L356" s="60" t="s">
        <v>192</v>
      </c>
      <c r="M356" s="60" t="s">
        <v>184</v>
      </c>
      <c r="N356" s="60" t="b">
        <f>FALSE()</f>
        <v>0</v>
      </c>
      <c r="O356" s="60"/>
      <c r="P356" s="60"/>
      <c r="Q356" s="60" t="s">
        <v>236</v>
      </c>
      <c r="R356" s="60" t="s">
        <v>237</v>
      </c>
      <c r="S356" s="60"/>
      <c r="T356" s="60" t="b">
        <f>FALSE()</f>
        <v>0</v>
      </c>
      <c r="U356" s="60" t="b">
        <f>FALSE()</f>
        <v>0</v>
      </c>
      <c r="V356" s="60">
        <v>252</v>
      </c>
      <c r="W356" s="62" t="s">
        <v>1343</v>
      </c>
      <c r="X356" s="60">
        <v>429</v>
      </c>
      <c r="Y356" s="63">
        <v>2.66</v>
      </c>
      <c r="Z356" s="60" t="b">
        <f>FALSE()</f>
        <v>0</v>
      </c>
      <c r="AA356" s="60" t="b">
        <f>TRUE()</f>
        <v>1</v>
      </c>
      <c r="AB356" s="60" t="b">
        <f>TRUE()</f>
        <v>1</v>
      </c>
      <c r="AC356" s="60" t="b">
        <f>FALSE()</f>
        <v>0</v>
      </c>
      <c r="AD356" s="60" t="b">
        <f>TRUE()</f>
        <v>1</v>
      </c>
      <c r="AE356" s="60">
        <v>4</v>
      </c>
      <c r="AF356" s="64">
        <v>57.1</v>
      </c>
      <c r="AG356" s="60" t="s">
        <v>72</v>
      </c>
      <c r="AH356" s="60" t="s">
        <v>1344</v>
      </c>
      <c r="AI356">
        <f>IF(AND(OR(Company_Explorer!$B$5="All Companies",$E356=Company_Explorer!$B$5),OR(Company_Explorer!$B$6="All Platforms",$B356=Company_Explorer!$B$6),OR(Company_Explorer!$B$7="All Roles",$D356=Company_Explorer!$B$7),OR(Company_Explorer!$B$8="All Ghost Labels",$AG356=Company_Explorer!$B$8)),1,0)</f>
        <v>0</v>
      </c>
    </row>
    <row r="357" spans="1:35" ht="15" customHeight="1" x14ac:dyDescent="0.3">
      <c r="A357" s="65" t="s">
        <v>1345</v>
      </c>
      <c r="B357" s="65" t="s">
        <v>80</v>
      </c>
      <c r="C357" s="65" t="s">
        <v>125</v>
      </c>
      <c r="D357" s="65" t="s">
        <v>125</v>
      </c>
      <c r="E357" s="65" t="s">
        <v>1346</v>
      </c>
      <c r="F357" s="65" t="b">
        <f>TRUE()</f>
        <v>1</v>
      </c>
      <c r="G357" s="65" t="s">
        <v>171</v>
      </c>
      <c r="H357" s="65" t="s">
        <v>254</v>
      </c>
      <c r="I357" s="66">
        <v>46199</v>
      </c>
      <c r="J357" s="66">
        <v>46210</v>
      </c>
      <c r="K357" s="65">
        <v>11</v>
      </c>
      <c r="L357" s="65" t="s">
        <v>192</v>
      </c>
      <c r="M357" s="65" t="s">
        <v>185</v>
      </c>
      <c r="N357" s="65" t="b">
        <f>FALSE()</f>
        <v>0</v>
      </c>
      <c r="O357" s="65"/>
      <c r="P357" s="65"/>
      <c r="Q357" s="65" t="s">
        <v>236</v>
      </c>
      <c r="R357" s="65" t="s">
        <v>237</v>
      </c>
      <c r="S357" s="65"/>
      <c r="T357" s="65" t="b">
        <f>FALSE()</f>
        <v>0</v>
      </c>
      <c r="U357" s="65" t="b">
        <f>FALSE()</f>
        <v>0</v>
      </c>
      <c r="V357" s="65">
        <v>142</v>
      </c>
      <c r="W357" s="67" t="s">
        <v>1347</v>
      </c>
      <c r="X357" s="65">
        <v>1</v>
      </c>
      <c r="Y357" s="68">
        <v>0.01</v>
      </c>
      <c r="Z357" s="65" t="b">
        <f>FALSE()</f>
        <v>0</v>
      </c>
      <c r="AA357" s="65" t="b">
        <f>TRUE()</f>
        <v>1</v>
      </c>
      <c r="AB357" s="65" t="b">
        <f>TRUE()</f>
        <v>1</v>
      </c>
      <c r="AC357" s="65" t="b">
        <f>FALSE()</f>
        <v>0</v>
      </c>
      <c r="AD357" s="65" t="b">
        <f>FALSE()</f>
        <v>0</v>
      </c>
      <c r="AE357" s="65">
        <v>2</v>
      </c>
      <c r="AF357" s="69">
        <v>28.6</v>
      </c>
      <c r="AG357" s="65" t="s">
        <v>73</v>
      </c>
      <c r="AH357" s="65" t="s">
        <v>1348</v>
      </c>
      <c r="AI357">
        <f>IF(AND(OR(Company_Explorer!$B$5="All Companies",$E357=Company_Explorer!$B$5),OR(Company_Explorer!$B$6="All Platforms",$B357=Company_Explorer!$B$6),OR(Company_Explorer!$B$7="All Roles",$D357=Company_Explorer!$B$7),OR(Company_Explorer!$B$8="All Ghost Labels",$AG357=Company_Explorer!$B$8)),1,0)</f>
        <v>0</v>
      </c>
    </row>
    <row r="358" spans="1:35" ht="15" customHeight="1" x14ac:dyDescent="0.3">
      <c r="A358" s="60" t="s">
        <v>1349</v>
      </c>
      <c r="B358" s="60" t="s">
        <v>80</v>
      </c>
      <c r="C358" s="60" t="s">
        <v>258</v>
      </c>
      <c r="D358" s="60" t="s">
        <v>125</v>
      </c>
      <c r="E358" s="60" t="s">
        <v>141</v>
      </c>
      <c r="F358" s="60" t="b">
        <f>TRUE()</f>
        <v>1</v>
      </c>
      <c r="G358" s="60" t="s">
        <v>173</v>
      </c>
      <c r="H358" s="60" t="s">
        <v>827</v>
      </c>
      <c r="I358" s="61">
        <v>46206</v>
      </c>
      <c r="J358" s="61">
        <v>46210</v>
      </c>
      <c r="K358" s="60">
        <v>4</v>
      </c>
      <c r="L358" s="60" t="s">
        <v>192</v>
      </c>
      <c r="M358" s="60" t="s">
        <v>184</v>
      </c>
      <c r="N358" s="60" t="b">
        <f>FALSE()</f>
        <v>0</v>
      </c>
      <c r="O358" s="60"/>
      <c r="P358" s="60"/>
      <c r="Q358" s="60" t="s">
        <v>236</v>
      </c>
      <c r="R358" s="60" t="s">
        <v>237</v>
      </c>
      <c r="S358" s="60"/>
      <c r="T358" s="60" t="b">
        <f>FALSE()</f>
        <v>0</v>
      </c>
      <c r="U358" s="60" t="b">
        <f>FALSE()</f>
        <v>0</v>
      </c>
      <c r="V358" s="60">
        <v>272</v>
      </c>
      <c r="W358" s="62" t="s">
        <v>259</v>
      </c>
      <c r="X358" s="60">
        <v>429</v>
      </c>
      <c r="Y358" s="63">
        <v>2.66</v>
      </c>
      <c r="Z358" s="60" t="b">
        <f>FALSE()</f>
        <v>0</v>
      </c>
      <c r="AA358" s="60" t="b">
        <f>TRUE()</f>
        <v>1</v>
      </c>
      <c r="AB358" s="60" t="b">
        <f>TRUE()</f>
        <v>1</v>
      </c>
      <c r="AC358" s="60" t="b">
        <f>FALSE()</f>
        <v>0</v>
      </c>
      <c r="AD358" s="60" t="b">
        <f>TRUE()</f>
        <v>1</v>
      </c>
      <c r="AE358" s="60">
        <v>4</v>
      </c>
      <c r="AF358" s="64">
        <v>57.1</v>
      </c>
      <c r="AG358" s="60" t="s">
        <v>72</v>
      </c>
      <c r="AH358" s="60" t="s">
        <v>1350</v>
      </c>
      <c r="AI358">
        <f>IF(AND(OR(Company_Explorer!$B$5="All Companies",$E358=Company_Explorer!$B$5),OR(Company_Explorer!$B$6="All Platforms",$B358=Company_Explorer!$B$6),OR(Company_Explorer!$B$7="All Roles",$D358=Company_Explorer!$B$7),OR(Company_Explorer!$B$8="All Ghost Labels",$AG358=Company_Explorer!$B$8)),1,0)</f>
        <v>0</v>
      </c>
    </row>
    <row r="359" spans="1:35" ht="15" customHeight="1" x14ac:dyDescent="0.3">
      <c r="A359" s="65" t="s">
        <v>1351</v>
      </c>
      <c r="B359" s="65" t="s">
        <v>80</v>
      </c>
      <c r="C359" s="65" t="s">
        <v>125</v>
      </c>
      <c r="D359" s="65" t="s">
        <v>125</v>
      </c>
      <c r="E359" s="65" t="s">
        <v>1352</v>
      </c>
      <c r="F359" s="65" t="b">
        <f>TRUE()</f>
        <v>1</v>
      </c>
      <c r="G359" s="65" t="s">
        <v>166</v>
      </c>
      <c r="H359" s="65" t="s">
        <v>235</v>
      </c>
      <c r="I359" s="66">
        <v>46199</v>
      </c>
      <c r="J359" s="66">
        <v>46210</v>
      </c>
      <c r="K359" s="65">
        <v>11</v>
      </c>
      <c r="L359" s="65" t="s">
        <v>192</v>
      </c>
      <c r="M359" s="65" t="s">
        <v>186</v>
      </c>
      <c r="N359" s="65" t="b">
        <f>TRUE()</f>
        <v>1</v>
      </c>
      <c r="O359" s="71">
        <v>600000</v>
      </c>
      <c r="P359" s="71">
        <v>4200000</v>
      </c>
      <c r="Q359" s="65" t="s">
        <v>332</v>
      </c>
      <c r="R359" s="65" t="s">
        <v>237</v>
      </c>
      <c r="S359" s="65"/>
      <c r="T359" s="65" t="b">
        <f>FALSE()</f>
        <v>0</v>
      </c>
      <c r="U359" s="65" t="b">
        <f>FALSE()</f>
        <v>0</v>
      </c>
      <c r="V359" s="65">
        <v>138</v>
      </c>
      <c r="W359" s="67" t="s">
        <v>1353</v>
      </c>
      <c r="X359" s="65">
        <v>2</v>
      </c>
      <c r="Y359" s="68">
        <v>0.01</v>
      </c>
      <c r="Z359" s="65" t="b">
        <f>FALSE()</f>
        <v>0</v>
      </c>
      <c r="AA359" s="65" t="b">
        <f>FALSE()</f>
        <v>0</v>
      </c>
      <c r="AB359" s="65" t="b">
        <f>TRUE()</f>
        <v>1</v>
      </c>
      <c r="AC359" s="65" t="b">
        <f>FALSE()</f>
        <v>0</v>
      </c>
      <c r="AD359" s="65" t="b">
        <f>FALSE()</f>
        <v>0</v>
      </c>
      <c r="AE359" s="65">
        <v>1</v>
      </c>
      <c r="AF359" s="69">
        <v>14.3</v>
      </c>
      <c r="AG359" s="65" t="s">
        <v>74</v>
      </c>
      <c r="AH359" s="65" t="s">
        <v>1354</v>
      </c>
      <c r="AI359">
        <f>IF(AND(OR(Company_Explorer!$B$5="All Companies",$E359=Company_Explorer!$B$5),OR(Company_Explorer!$B$6="All Platforms",$B359=Company_Explorer!$B$6),OR(Company_Explorer!$B$7="All Roles",$D359=Company_Explorer!$B$7),OR(Company_Explorer!$B$8="All Ghost Labels",$AG359=Company_Explorer!$B$8)),1,0)</f>
        <v>0</v>
      </c>
    </row>
    <row r="360" spans="1:35" ht="15" customHeight="1" x14ac:dyDescent="0.3">
      <c r="A360" s="60" t="s">
        <v>1355</v>
      </c>
      <c r="B360" s="60" t="s">
        <v>80</v>
      </c>
      <c r="C360" s="60" t="s">
        <v>258</v>
      </c>
      <c r="D360" s="60" t="s">
        <v>125</v>
      </c>
      <c r="E360" s="60" t="s">
        <v>141</v>
      </c>
      <c r="F360" s="60" t="b">
        <f>TRUE()</f>
        <v>1</v>
      </c>
      <c r="G360" s="60" t="s">
        <v>173</v>
      </c>
      <c r="H360" s="60" t="s">
        <v>827</v>
      </c>
      <c r="I360" s="61">
        <v>46206</v>
      </c>
      <c r="J360" s="61">
        <v>46210</v>
      </c>
      <c r="K360" s="60">
        <v>4</v>
      </c>
      <c r="L360" s="60" t="s">
        <v>192</v>
      </c>
      <c r="M360" s="60" t="s">
        <v>184</v>
      </c>
      <c r="N360" s="60" t="b">
        <f>FALSE()</f>
        <v>0</v>
      </c>
      <c r="O360" s="60"/>
      <c r="P360" s="60"/>
      <c r="Q360" s="60" t="s">
        <v>236</v>
      </c>
      <c r="R360" s="60" t="s">
        <v>237</v>
      </c>
      <c r="S360" s="60"/>
      <c r="T360" s="60" t="b">
        <f>FALSE()</f>
        <v>0</v>
      </c>
      <c r="U360" s="60" t="b">
        <f>FALSE()</f>
        <v>0</v>
      </c>
      <c r="V360" s="60">
        <v>272</v>
      </c>
      <c r="W360" s="62" t="s">
        <v>259</v>
      </c>
      <c r="X360" s="60">
        <v>429</v>
      </c>
      <c r="Y360" s="63">
        <v>2.66</v>
      </c>
      <c r="Z360" s="60" t="b">
        <f>FALSE()</f>
        <v>0</v>
      </c>
      <c r="AA360" s="60" t="b">
        <f>TRUE()</f>
        <v>1</v>
      </c>
      <c r="AB360" s="60" t="b">
        <f>TRUE()</f>
        <v>1</v>
      </c>
      <c r="AC360" s="60" t="b">
        <f>FALSE()</f>
        <v>0</v>
      </c>
      <c r="AD360" s="60" t="b">
        <f>TRUE()</f>
        <v>1</v>
      </c>
      <c r="AE360" s="60">
        <v>4</v>
      </c>
      <c r="AF360" s="64">
        <v>57.1</v>
      </c>
      <c r="AG360" s="60" t="s">
        <v>72</v>
      </c>
      <c r="AH360" s="60" t="s">
        <v>1356</v>
      </c>
      <c r="AI360">
        <f>IF(AND(OR(Company_Explorer!$B$5="All Companies",$E360=Company_Explorer!$B$5),OR(Company_Explorer!$B$6="All Platforms",$B360=Company_Explorer!$B$6),OR(Company_Explorer!$B$7="All Roles",$D360=Company_Explorer!$B$7),OR(Company_Explorer!$B$8="All Ghost Labels",$AG360=Company_Explorer!$B$8)),1,0)</f>
        <v>0</v>
      </c>
    </row>
    <row r="361" spans="1:35" ht="15" customHeight="1" x14ac:dyDescent="0.3">
      <c r="A361" s="65" t="s">
        <v>1357</v>
      </c>
      <c r="B361" s="65" t="s">
        <v>80</v>
      </c>
      <c r="C361" s="65" t="s">
        <v>258</v>
      </c>
      <c r="D361" s="65" t="s">
        <v>125</v>
      </c>
      <c r="E361" s="65" t="s">
        <v>141</v>
      </c>
      <c r="F361" s="65" t="b">
        <f>TRUE()</f>
        <v>1</v>
      </c>
      <c r="G361" s="65" t="s">
        <v>325</v>
      </c>
      <c r="H361" s="65" t="s">
        <v>326</v>
      </c>
      <c r="I361" s="66">
        <v>46200</v>
      </c>
      <c r="J361" s="66">
        <v>46210</v>
      </c>
      <c r="K361" s="65">
        <v>10</v>
      </c>
      <c r="L361" s="65" t="s">
        <v>192</v>
      </c>
      <c r="M361" s="65" t="s">
        <v>184</v>
      </c>
      <c r="N361" s="65" t="b">
        <f>FALSE()</f>
        <v>0</v>
      </c>
      <c r="O361" s="65"/>
      <c r="P361" s="65"/>
      <c r="Q361" s="65" t="s">
        <v>236</v>
      </c>
      <c r="R361" s="65" t="s">
        <v>237</v>
      </c>
      <c r="S361" s="65"/>
      <c r="T361" s="65" t="b">
        <f>FALSE()</f>
        <v>0</v>
      </c>
      <c r="U361" s="65" t="b">
        <f>FALSE()</f>
        <v>0</v>
      </c>
      <c r="V361" s="65">
        <v>283</v>
      </c>
      <c r="W361" s="67" t="s">
        <v>259</v>
      </c>
      <c r="X361" s="65">
        <v>429</v>
      </c>
      <c r="Y361" s="68">
        <v>2.66</v>
      </c>
      <c r="Z361" s="65" t="b">
        <f>FALSE()</f>
        <v>0</v>
      </c>
      <c r="AA361" s="65" t="b">
        <f>TRUE()</f>
        <v>1</v>
      </c>
      <c r="AB361" s="65" t="b">
        <f>FALSE()</f>
        <v>0</v>
      </c>
      <c r="AC361" s="65" t="b">
        <f>FALSE()</f>
        <v>0</v>
      </c>
      <c r="AD361" s="65" t="b">
        <f>TRUE()</f>
        <v>1</v>
      </c>
      <c r="AE361" s="65">
        <v>3</v>
      </c>
      <c r="AF361" s="69">
        <v>42.9</v>
      </c>
      <c r="AG361" s="65" t="s">
        <v>73</v>
      </c>
      <c r="AH361" s="65" t="s">
        <v>1358</v>
      </c>
      <c r="AI361">
        <f>IF(AND(OR(Company_Explorer!$B$5="All Companies",$E361=Company_Explorer!$B$5),OR(Company_Explorer!$B$6="All Platforms",$B361=Company_Explorer!$B$6),OR(Company_Explorer!$B$7="All Roles",$D361=Company_Explorer!$B$7),OR(Company_Explorer!$B$8="All Ghost Labels",$AG361=Company_Explorer!$B$8)),1,0)</f>
        <v>0</v>
      </c>
    </row>
    <row r="362" spans="1:35" ht="15" customHeight="1" x14ac:dyDescent="0.3">
      <c r="A362" s="60" t="s">
        <v>1359</v>
      </c>
      <c r="B362" s="60" t="s">
        <v>80</v>
      </c>
      <c r="C362" s="60" t="s">
        <v>258</v>
      </c>
      <c r="D362" s="60" t="s">
        <v>125</v>
      </c>
      <c r="E362" s="60" t="s">
        <v>141</v>
      </c>
      <c r="F362" s="60" t="b">
        <f>TRUE()</f>
        <v>1</v>
      </c>
      <c r="G362" s="60" t="s">
        <v>169</v>
      </c>
      <c r="H362" s="60" t="s">
        <v>294</v>
      </c>
      <c r="I362" s="61">
        <v>46200</v>
      </c>
      <c r="J362" s="61">
        <v>46210</v>
      </c>
      <c r="K362" s="60">
        <v>10</v>
      </c>
      <c r="L362" s="60" t="s">
        <v>192</v>
      </c>
      <c r="M362" s="60" t="s">
        <v>184</v>
      </c>
      <c r="N362" s="60" t="b">
        <f>FALSE()</f>
        <v>0</v>
      </c>
      <c r="O362" s="60"/>
      <c r="P362" s="60"/>
      <c r="Q362" s="60" t="s">
        <v>236</v>
      </c>
      <c r="R362" s="60" t="s">
        <v>237</v>
      </c>
      <c r="S362" s="60"/>
      <c r="T362" s="60" t="b">
        <f>FALSE()</f>
        <v>0</v>
      </c>
      <c r="U362" s="60" t="b">
        <f>FALSE()</f>
        <v>0</v>
      </c>
      <c r="V362" s="60">
        <v>311</v>
      </c>
      <c r="W362" s="62" t="s">
        <v>259</v>
      </c>
      <c r="X362" s="60">
        <v>429</v>
      </c>
      <c r="Y362" s="63">
        <v>2.66</v>
      </c>
      <c r="Z362" s="60" t="b">
        <f>FALSE()</f>
        <v>0</v>
      </c>
      <c r="AA362" s="60" t="b">
        <f>TRUE()</f>
        <v>1</v>
      </c>
      <c r="AB362" s="60" t="b">
        <f>FALSE()</f>
        <v>0</v>
      </c>
      <c r="AC362" s="60" t="b">
        <f>FALSE()</f>
        <v>0</v>
      </c>
      <c r="AD362" s="60" t="b">
        <f>TRUE()</f>
        <v>1</v>
      </c>
      <c r="AE362" s="60">
        <v>3</v>
      </c>
      <c r="AF362" s="64">
        <v>42.9</v>
      </c>
      <c r="AG362" s="60" t="s">
        <v>73</v>
      </c>
      <c r="AH362" s="60" t="s">
        <v>1360</v>
      </c>
      <c r="AI362">
        <f>IF(AND(OR(Company_Explorer!$B$5="All Companies",$E362=Company_Explorer!$B$5),OR(Company_Explorer!$B$6="All Platforms",$B362=Company_Explorer!$B$6),OR(Company_Explorer!$B$7="All Roles",$D362=Company_Explorer!$B$7),OR(Company_Explorer!$B$8="All Ghost Labels",$AG362=Company_Explorer!$B$8)),1,0)</f>
        <v>0</v>
      </c>
    </row>
    <row r="363" spans="1:35" ht="15" customHeight="1" x14ac:dyDescent="0.3">
      <c r="A363" s="65" t="s">
        <v>1361</v>
      </c>
      <c r="B363" s="65" t="s">
        <v>80</v>
      </c>
      <c r="C363" s="65" t="s">
        <v>258</v>
      </c>
      <c r="D363" s="65" t="s">
        <v>125</v>
      </c>
      <c r="E363" s="65" t="s">
        <v>141</v>
      </c>
      <c r="F363" s="65" t="b">
        <f>TRUE()</f>
        <v>1</v>
      </c>
      <c r="G363" s="65" t="s">
        <v>167</v>
      </c>
      <c r="H363" s="65" t="s">
        <v>276</v>
      </c>
      <c r="I363" s="66">
        <v>46206</v>
      </c>
      <c r="J363" s="66">
        <v>46210</v>
      </c>
      <c r="K363" s="65">
        <v>4</v>
      </c>
      <c r="L363" s="65" t="s">
        <v>192</v>
      </c>
      <c r="M363" s="65" t="s">
        <v>184</v>
      </c>
      <c r="N363" s="65" t="b">
        <f>FALSE()</f>
        <v>0</v>
      </c>
      <c r="O363" s="65"/>
      <c r="P363" s="65"/>
      <c r="Q363" s="65" t="s">
        <v>236</v>
      </c>
      <c r="R363" s="65" t="s">
        <v>237</v>
      </c>
      <c r="S363" s="65"/>
      <c r="T363" s="65" t="b">
        <f>FALSE()</f>
        <v>0</v>
      </c>
      <c r="U363" s="65" t="b">
        <f>FALSE()</f>
        <v>0</v>
      </c>
      <c r="V363" s="65">
        <v>318</v>
      </c>
      <c r="W363" s="67" t="s">
        <v>259</v>
      </c>
      <c r="X363" s="65">
        <v>429</v>
      </c>
      <c r="Y363" s="68">
        <v>2.66</v>
      </c>
      <c r="Z363" s="65" t="b">
        <f>FALSE()</f>
        <v>0</v>
      </c>
      <c r="AA363" s="65" t="b">
        <f>TRUE()</f>
        <v>1</v>
      </c>
      <c r="AB363" s="65" t="b">
        <f>FALSE()</f>
        <v>0</v>
      </c>
      <c r="AC363" s="65" t="b">
        <f>FALSE()</f>
        <v>0</v>
      </c>
      <c r="AD363" s="65" t="b">
        <f>TRUE()</f>
        <v>1</v>
      </c>
      <c r="AE363" s="65">
        <v>3</v>
      </c>
      <c r="AF363" s="69">
        <v>42.9</v>
      </c>
      <c r="AG363" s="65" t="s">
        <v>73</v>
      </c>
      <c r="AH363" s="65" t="s">
        <v>1362</v>
      </c>
      <c r="AI363">
        <f>IF(AND(OR(Company_Explorer!$B$5="All Companies",$E363=Company_Explorer!$B$5),OR(Company_Explorer!$B$6="All Platforms",$B363=Company_Explorer!$B$6),OR(Company_Explorer!$B$7="All Roles",$D363=Company_Explorer!$B$7),OR(Company_Explorer!$B$8="All Ghost Labels",$AG363=Company_Explorer!$B$8)),1,0)</f>
        <v>0</v>
      </c>
    </row>
    <row r="364" spans="1:35" ht="15" customHeight="1" x14ac:dyDescent="0.3">
      <c r="A364" s="60" t="s">
        <v>1363</v>
      </c>
      <c r="B364" s="60" t="s">
        <v>80</v>
      </c>
      <c r="C364" s="60" t="s">
        <v>258</v>
      </c>
      <c r="D364" s="60" t="s">
        <v>125</v>
      </c>
      <c r="E364" s="60" t="s">
        <v>141</v>
      </c>
      <c r="F364" s="60" t="b">
        <f>TRUE()</f>
        <v>1</v>
      </c>
      <c r="G364" s="60" t="s">
        <v>168</v>
      </c>
      <c r="H364" s="60" t="s">
        <v>254</v>
      </c>
      <c r="I364" s="61">
        <v>46200</v>
      </c>
      <c r="J364" s="61">
        <v>46210</v>
      </c>
      <c r="K364" s="60">
        <v>10</v>
      </c>
      <c r="L364" s="60" t="s">
        <v>192</v>
      </c>
      <c r="M364" s="60" t="s">
        <v>184</v>
      </c>
      <c r="N364" s="60" t="b">
        <f>FALSE()</f>
        <v>0</v>
      </c>
      <c r="O364" s="60"/>
      <c r="P364" s="60"/>
      <c r="Q364" s="60" t="s">
        <v>236</v>
      </c>
      <c r="R364" s="60" t="s">
        <v>237</v>
      </c>
      <c r="S364" s="60"/>
      <c r="T364" s="60" t="b">
        <f>FALSE()</f>
        <v>0</v>
      </c>
      <c r="U364" s="60" t="b">
        <f>FALSE()</f>
        <v>0</v>
      </c>
      <c r="V364" s="60">
        <v>321</v>
      </c>
      <c r="W364" s="62" t="s">
        <v>259</v>
      </c>
      <c r="X364" s="60">
        <v>429</v>
      </c>
      <c r="Y364" s="63">
        <v>2.66</v>
      </c>
      <c r="Z364" s="60" t="b">
        <f>FALSE()</f>
        <v>0</v>
      </c>
      <c r="AA364" s="60" t="b">
        <f>TRUE()</f>
        <v>1</v>
      </c>
      <c r="AB364" s="60" t="b">
        <f>FALSE()</f>
        <v>0</v>
      </c>
      <c r="AC364" s="60" t="b">
        <f>FALSE()</f>
        <v>0</v>
      </c>
      <c r="AD364" s="60" t="b">
        <f>TRUE()</f>
        <v>1</v>
      </c>
      <c r="AE364" s="60">
        <v>3</v>
      </c>
      <c r="AF364" s="64">
        <v>42.9</v>
      </c>
      <c r="AG364" s="60" t="s">
        <v>73</v>
      </c>
      <c r="AH364" s="60" t="s">
        <v>1364</v>
      </c>
      <c r="AI364">
        <f>IF(AND(OR(Company_Explorer!$B$5="All Companies",$E364=Company_Explorer!$B$5),OR(Company_Explorer!$B$6="All Platforms",$B364=Company_Explorer!$B$6),OR(Company_Explorer!$B$7="All Roles",$D364=Company_Explorer!$B$7),OR(Company_Explorer!$B$8="All Ghost Labels",$AG364=Company_Explorer!$B$8)),1,0)</f>
        <v>0</v>
      </c>
    </row>
    <row r="365" spans="1:35" ht="15" customHeight="1" x14ac:dyDescent="0.3">
      <c r="A365" s="65" t="s">
        <v>1365</v>
      </c>
      <c r="B365" s="65" t="s">
        <v>80</v>
      </c>
      <c r="C365" s="65" t="s">
        <v>258</v>
      </c>
      <c r="D365" s="65" t="s">
        <v>125</v>
      </c>
      <c r="E365" s="65" t="s">
        <v>141</v>
      </c>
      <c r="F365" s="65" t="b">
        <f>TRUE()</f>
        <v>1</v>
      </c>
      <c r="G365" s="65" t="s">
        <v>325</v>
      </c>
      <c r="H365" s="65" t="s">
        <v>326</v>
      </c>
      <c r="I365" s="66">
        <v>46200</v>
      </c>
      <c r="J365" s="66">
        <v>46210</v>
      </c>
      <c r="K365" s="65">
        <v>10</v>
      </c>
      <c r="L365" s="65" t="s">
        <v>192</v>
      </c>
      <c r="M365" s="65" t="s">
        <v>184</v>
      </c>
      <c r="N365" s="65" t="b">
        <f>FALSE()</f>
        <v>0</v>
      </c>
      <c r="O365" s="65"/>
      <c r="P365" s="65"/>
      <c r="Q365" s="65" t="s">
        <v>236</v>
      </c>
      <c r="R365" s="65" t="s">
        <v>237</v>
      </c>
      <c r="S365" s="65"/>
      <c r="T365" s="65" t="b">
        <f>FALSE()</f>
        <v>0</v>
      </c>
      <c r="U365" s="65" t="b">
        <f>FALSE()</f>
        <v>0</v>
      </c>
      <c r="V365" s="65">
        <v>283</v>
      </c>
      <c r="W365" s="67" t="s">
        <v>259</v>
      </c>
      <c r="X365" s="65">
        <v>429</v>
      </c>
      <c r="Y365" s="68">
        <v>2.66</v>
      </c>
      <c r="Z365" s="65" t="b">
        <f>FALSE()</f>
        <v>0</v>
      </c>
      <c r="AA365" s="65" t="b">
        <f>TRUE()</f>
        <v>1</v>
      </c>
      <c r="AB365" s="65" t="b">
        <f>FALSE()</f>
        <v>0</v>
      </c>
      <c r="AC365" s="65" t="b">
        <f>FALSE()</f>
        <v>0</v>
      </c>
      <c r="AD365" s="65" t="b">
        <f>TRUE()</f>
        <v>1</v>
      </c>
      <c r="AE365" s="65">
        <v>3</v>
      </c>
      <c r="AF365" s="69">
        <v>42.9</v>
      </c>
      <c r="AG365" s="65" t="s">
        <v>73</v>
      </c>
      <c r="AH365" s="65" t="s">
        <v>1366</v>
      </c>
      <c r="AI365">
        <f>IF(AND(OR(Company_Explorer!$B$5="All Companies",$E365=Company_Explorer!$B$5),OR(Company_Explorer!$B$6="All Platforms",$B365=Company_Explorer!$B$6),OR(Company_Explorer!$B$7="All Roles",$D365=Company_Explorer!$B$7),OR(Company_Explorer!$B$8="All Ghost Labels",$AG365=Company_Explorer!$B$8)),1,0)</f>
        <v>0</v>
      </c>
    </row>
    <row r="366" spans="1:35" ht="15" customHeight="1" x14ac:dyDescent="0.3">
      <c r="A366" s="60" t="s">
        <v>1367</v>
      </c>
      <c r="B366" s="60" t="s">
        <v>80</v>
      </c>
      <c r="C366" s="60" t="s">
        <v>258</v>
      </c>
      <c r="D366" s="60" t="s">
        <v>125</v>
      </c>
      <c r="E366" s="60" t="s">
        <v>141</v>
      </c>
      <c r="F366" s="60" t="b">
        <f>TRUE()</f>
        <v>1</v>
      </c>
      <c r="G366" s="60" t="s">
        <v>768</v>
      </c>
      <c r="H366" s="60" t="s">
        <v>769</v>
      </c>
      <c r="I366" s="61">
        <v>46198</v>
      </c>
      <c r="J366" s="61">
        <v>46210</v>
      </c>
      <c r="K366" s="60">
        <v>12</v>
      </c>
      <c r="L366" s="60" t="s">
        <v>192</v>
      </c>
      <c r="M366" s="60" t="s">
        <v>184</v>
      </c>
      <c r="N366" s="60" t="b">
        <f>FALSE()</f>
        <v>0</v>
      </c>
      <c r="O366" s="60"/>
      <c r="P366" s="60"/>
      <c r="Q366" s="60" t="s">
        <v>236</v>
      </c>
      <c r="R366" s="60" t="s">
        <v>237</v>
      </c>
      <c r="S366" s="60"/>
      <c r="T366" s="60" t="b">
        <f>FALSE()</f>
        <v>0</v>
      </c>
      <c r="U366" s="60" t="b">
        <f>FALSE()</f>
        <v>0</v>
      </c>
      <c r="V366" s="60">
        <v>324</v>
      </c>
      <c r="W366" s="62" t="s">
        <v>259</v>
      </c>
      <c r="X366" s="60">
        <v>429</v>
      </c>
      <c r="Y366" s="63">
        <v>2.66</v>
      </c>
      <c r="Z366" s="60" t="b">
        <f>FALSE()</f>
        <v>0</v>
      </c>
      <c r="AA366" s="60" t="b">
        <f>TRUE()</f>
        <v>1</v>
      </c>
      <c r="AB366" s="60" t="b">
        <f>FALSE()</f>
        <v>0</v>
      </c>
      <c r="AC366" s="60" t="b">
        <f>FALSE()</f>
        <v>0</v>
      </c>
      <c r="AD366" s="60" t="b">
        <f>TRUE()</f>
        <v>1</v>
      </c>
      <c r="AE366" s="60">
        <v>3</v>
      </c>
      <c r="AF366" s="64">
        <v>42.9</v>
      </c>
      <c r="AG366" s="60" t="s">
        <v>73</v>
      </c>
      <c r="AH366" s="60" t="s">
        <v>1368</v>
      </c>
      <c r="AI366">
        <f>IF(AND(OR(Company_Explorer!$B$5="All Companies",$E366=Company_Explorer!$B$5),OR(Company_Explorer!$B$6="All Platforms",$B366=Company_Explorer!$B$6),OR(Company_Explorer!$B$7="All Roles",$D366=Company_Explorer!$B$7),OR(Company_Explorer!$B$8="All Ghost Labels",$AG366=Company_Explorer!$B$8)),1,0)</f>
        <v>0</v>
      </c>
    </row>
    <row r="367" spans="1:35" ht="15" customHeight="1" x14ac:dyDescent="0.3">
      <c r="A367" s="65" t="s">
        <v>1369</v>
      </c>
      <c r="B367" s="65" t="s">
        <v>80</v>
      </c>
      <c r="C367" s="65" t="s">
        <v>1370</v>
      </c>
      <c r="D367" s="65" t="s">
        <v>131</v>
      </c>
      <c r="E367" s="65" t="s">
        <v>1371</v>
      </c>
      <c r="F367" s="65" t="b">
        <f>TRUE()</f>
        <v>1</v>
      </c>
      <c r="G367" s="65" t="s">
        <v>166</v>
      </c>
      <c r="H367" s="65" t="s">
        <v>235</v>
      </c>
      <c r="I367" s="66">
        <v>46143</v>
      </c>
      <c r="J367" s="66">
        <v>46210</v>
      </c>
      <c r="K367" s="65">
        <v>67</v>
      </c>
      <c r="L367" s="65" t="s">
        <v>192</v>
      </c>
      <c r="M367" s="65" t="s">
        <v>185</v>
      </c>
      <c r="N367" s="65" t="b">
        <f>TRUE()</f>
        <v>1</v>
      </c>
      <c r="O367" s="71">
        <v>2000000</v>
      </c>
      <c r="P367" s="71">
        <v>4500000</v>
      </c>
      <c r="Q367" s="65" t="s">
        <v>332</v>
      </c>
      <c r="R367" s="65" t="s">
        <v>237</v>
      </c>
      <c r="S367" s="65"/>
      <c r="T367" s="65" t="b">
        <f>FALSE()</f>
        <v>0</v>
      </c>
      <c r="U367" s="65" t="b">
        <f>FALSE()</f>
        <v>0</v>
      </c>
      <c r="V367" s="65">
        <v>413</v>
      </c>
      <c r="W367" s="67" t="s">
        <v>1372</v>
      </c>
      <c r="X367" s="65">
        <v>1</v>
      </c>
      <c r="Y367" s="68">
        <v>0.01</v>
      </c>
      <c r="Z367" s="65" t="b">
        <f>FALSE()</f>
        <v>0</v>
      </c>
      <c r="AA367" s="65" t="b">
        <f>FALSE()</f>
        <v>0</v>
      </c>
      <c r="AB367" s="65" t="b">
        <f>FALSE()</f>
        <v>0</v>
      </c>
      <c r="AC367" s="65" t="b">
        <f>TRUE()</f>
        <v>1</v>
      </c>
      <c r="AD367" s="65" t="b">
        <f>FALSE()</f>
        <v>0</v>
      </c>
      <c r="AE367" s="65">
        <v>1</v>
      </c>
      <c r="AF367" s="69">
        <v>14.3</v>
      </c>
      <c r="AG367" s="65" t="s">
        <v>74</v>
      </c>
      <c r="AH367" s="65" t="s">
        <v>1373</v>
      </c>
      <c r="AI367">
        <f>IF(AND(OR(Company_Explorer!$B$5="All Companies",$E367=Company_Explorer!$B$5),OR(Company_Explorer!$B$6="All Platforms",$B367=Company_Explorer!$B$6),OR(Company_Explorer!$B$7="All Roles",$D367=Company_Explorer!$B$7),OR(Company_Explorer!$B$8="All Ghost Labels",$AG367=Company_Explorer!$B$8)),1,0)</f>
        <v>0</v>
      </c>
    </row>
    <row r="368" spans="1:35" ht="15" customHeight="1" x14ac:dyDescent="0.3">
      <c r="A368" s="60" t="s">
        <v>1374</v>
      </c>
      <c r="B368" s="60" t="s">
        <v>80</v>
      </c>
      <c r="C368" s="60" t="s">
        <v>306</v>
      </c>
      <c r="D368" s="60" t="s">
        <v>125</v>
      </c>
      <c r="E368" s="60" t="s">
        <v>141</v>
      </c>
      <c r="F368" s="60" t="b">
        <f>TRUE()</f>
        <v>1</v>
      </c>
      <c r="G368" s="60" t="s">
        <v>168</v>
      </c>
      <c r="H368" s="60" t="s">
        <v>254</v>
      </c>
      <c r="I368" s="61">
        <v>46198</v>
      </c>
      <c r="J368" s="61">
        <v>46210</v>
      </c>
      <c r="K368" s="60">
        <v>12</v>
      </c>
      <c r="L368" s="60" t="s">
        <v>192</v>
      </c>
      <c r="M368" s="60" t="s">
        <v>184</v>
      </c>
      <c r="N368" s="60" t="b">
        <f>FALSE()</f>
        <v>0</v>
      </c>
      <c r="O368" s="60"/>
      <c r="P368" s="60"/>
      <c r="Q368" s="60" t="s">
        <v>236</v>
      </c>
      <c r="R368" s="60" t="s">
        <v>237</v>
      </c>
      <c r="S368" s="60"/>
      <c r="T368" s="60" t="b">
        <f>FALSE()</f>
        <v>0</v>
      </c>
      <c r="U368" s="60" t="b">
        <f>FALSE()</f>
        <v>0</v>
      </c>
      <c r="V368" s="60">
        <v>512</v>
      </c>
      <c r="W368" s="62" t="s">
        <v>1375</v>
      </c>
      <c r="X368" s="60">
        <v>429</v>
      </c>
      <c r="Y368" s="63">
        <v>2.66</v>
      </c>
      <c r="Z368" s="60" t="b">
        <f>FALSE()</f>
        <v>0</v>
      </c>
      <c r="AA368" s="60" t="b">
        <f>TRUE()</f>
        <v>1</v>
      </c>
      <c r="AB368" s="60" t="b">
        <f>FALSE()</f>
        <v>0</v>
      </c>
      <c r="AC368" s="60" t="b">
        <f>FALSE()</f>
        <v>0</v>
      </c>
      <c r="AD368" s="60" t="b">
        <f>TRUE()</f>
        <v>1</v>
      </c>
      <c r="AE368" s="60">
        <v>3</v>
      </c>
      <c r="AF368" s="64">
        <v>42.9</v>
      </c>
      <c r="AG368" s="60" t="s">
        <v>73</v>
      </c>
      <c r="AH368" s="60" t="s">
        <v>1376</v>
      </c>
      <c r="AI368">
        <f>IF(AND(OR(Company_Explorer!$B$5="All Companies",$E368=Company_Explorer!$B$5),OR(Company_Explorer!$B$6="All Platforms",$B368=Company_Explorer!$B$6),OR(Company_Explorer!$B$7="All Roles",$D368=Company_Explorer!$B$7),OR(Company_Explorer!$B$8="All Ghost Labels",$AG368=Company_Explorer!$B$8)),1,0)</f>
        <v>0</v>
      </c>
    </row>
    <row r="369" spans="1:35" ht="15" customHeight="1" x14ac:dyDescent="0.3">
      <c r="A369" s="65" t="s">
        <v>1377</v>
      </c>
      <c r="B369" s="65" t="s">
        <v>80</v>
      </c>
      <c r="C369" s="65" t="s">
        <v>1378</v>
      </c>
      <c r="D369" s="65" t="s">
        <v>129</v>
      </c>
      <c r="E369" s="65" t="s">
        <v>1379</v>
      </c>
      <c r="F369" s="65" t="b">
        <f>TRUE()</f>
        <v>1</v>
      </c>
      <c r="G369" s="65" t="s">
        <v>166</v>
      </c>
      <c r="H369" s="65" t="s">
        <v>235</v>
      </c>
      <c r="I369" s="66">
        <v>46205</v>
      </c>
      <c r="J369" s="66">
        <v>46210</v>
      </c>
      <c r="K369" s="65">
        <v>5</v>
      </c>
      <c r="L369" s="65" t="s">
        <v>192</v>
      </c>
      <c r="M369" s="65" t="s">
        <v>186</v>
      </c>
      <c r="N369" s="65" t="b">
        <f>FALSE()</f>
        <v>0</v>
      </c>
      <c r="O369" s="65"/>
      <c r="P369" s="65"/>
      <c r="Q369" s="65" t="s">
        <v>236</v>
      </c>
      <c r="R369" s="65" t="s">
        <v>237</v>
      </c>
      <c r="S369" s="65"/>
      <c r="T369" s="65" t="b">
        <f>FALSE()</f>
        <v>0</v>
      </c>
      <c r="U369" s="65" t="b">
        <f>FALSE()</f>
        <v>0</v>
      </c>
      <c r="V369" s="65">
        <v>456</v>
      </c>
      <c r="W369" s="67" t="s">
        <v>1380</v>
      </c>
      <c r="X369" s="65">
        <v>1</v>
      </c>
      <c r="Y369" s="68">
        <v>0.01</v>
      </c>
      <c r="Z369" s="65" t="b">
        <f>FALSE()</f>
        <v>0</v>
      </c>
      <c r="AA369" s="65" t="b">
        <f>TRUE()</f>
        <v>1</v>
      </c>
      <c r="AB369" s="65" t="b">
        <f>FALSE()</f>
        <v>0</v>
      </c>
      <c r="AC369" s="65" t="b">
        <f>FALSE()</f>
        <v>0</v>
      </c>
      <c r="AD369" s="65" t="b">
        <f>FALSE()</f>
        <v>0</v>
      </c>
      <c r="AE369" s="65">
        <v>1</v>
      </c>
      <c r="AF369" s="69">
        <v>14.3</v>
      </c>
      <c r="AG369" s="65" t="s">
        <v>74</v>
      </c>
      <c r="AH369" s="65" t="s">
        <v>1381</v>
      </c>
      <c r="AI369">
        <f>IF(AND(OR(Company_Explorer!$B$5="All Companies",$E369=Company_Explorer!$B$5),OR(Company_Explorer!$B$6="All Platforms",$B369=Company_Explorer!$B$6),OR(Company_Explorer!$B$7="All Roles",$D369=Company_Explorer!$B$7),OR(Company_Explorer!$B$8="All Ghost Labels",$AG369=Company_Explorer!$B$8)),1,0)</f>
        <v>0</v>
      </c>
    </row>
    <row r="370" spans="1:35" ht="15" customHeight="1" x14ac:dyDescent="0.3">
      <c r="A370" s="60" t="s">
        <v>1382</v>
      </c>
      <c r="B370" s="60" t="s">
        <v>80</v>
      </c>
      <c r="C370" s="60" t="s">
        <v>1383</v>
      </c>
      <c r="D370" s="60" t="s">
        <v>130</v>
      </c>
      <c r="E370" s="60" t="s">
        <v>764</v>
      </c>
      <c r="F370" s="60" t="b">
        <f>TRUE()</f>
        <v>1</v>
      </c>
      <c r="G370" s="60" t="s">
        <v>166</v>
      </c>
      <c r="H370" s="60" t="s">
        <v>235</v>
      </c>
      <c r="I370" s="61">
        <v>46205</v>
      </c>
      <c r="J370" s="61">
        <v>46210</v>
      </c>
      <c r="K370" s="60">
        <v>5</v>
      </c>
      <c r="L370" s="60" t="s">
        <v>192</v>
      </c>
      <c r="M370" s="60" t="s">
        <v>185</v>
      </c>
      <c r="N370" s="60" t="b">
        <f>FALSE()</f>
        <v>0</v>
      </c>
      <c r="O370" s="60"/>
      <c r="P370" s="60"/>
      <c r="Q370" s="60" t="s">
        <v>236</v>
      </c>
      <c r="R370" s="60" t="s">
        <v>237</v>
      </c>
      <c r="S370" s="60"/>
      <c r="T370" s="60" t="b">
        <f>FALSE()</f>
        <v>0</v>
      </c>
      <c r="U370" s="60" t="b">
        <f>FALSE()</f>
        <v>0</v>
      </c>
      <c r="V370" s="60">
        <v>650</v>
      </c>
      <c r="W370" s="60" t="s">
        <v>765</v>
      </c>
      <c r="X370" s="60">
        <v>3</v>
      </c>
      <c r="Y370" s="63">
        <v>0.02</v>
      </c>
      <c r="Z370" s="60" t="b">
        <f>FALSE()</f>
        <v>0</v>
      </c>
      <c r="AA370" s="60" t="b">
        <f>TRUE()</f>
        <v>1</v>
      </c>
      <c r="AB370" s="60" t="b">
        <f>FALSE()</f>
        <v>0</v>
      </c>
      <c r="AC370" s="60" t="b">
        <f>FALSE()</f>
        <v>0</v>
      </c>
      <c r="AD370" s="60" t="b">
        <f>FALSE()</f>
        <v>0</v>
      </c>
      <c r="AE370" s="60">
        <v>1</v>
      </c>
      <c r="AF370" s="64">
        <v>14.3</v>
      </c>
      <c r="AG370" s="60" t="s">
        <v>74</v>
      </c>
      <c r="AH370" s="60" t="s">
        <v>1384</v>
      </c>
      <c r="AI370">
        <f>IF(AND(OR(Company_Explorer!$B$5="All Companies",$E370=Company_Explorer!$B$5),OR(Company_Explorer!$B$6="All Platforms",$B370=Company_Explorer!$B$6),OR(Company_Explorer!$B$7="All Roles",$D370=Company_Explorer!$B$7),OR(Company_Explorer!$B$8="All Ghost Labels",$AG370=Company_Explorer!$B$8)),1,0)</f>
        <v>0</v>
      </c>
    </row>
    <row r="371" spans="1:35" ht="15" customHeight="1" x14ac:dyDescent="0.3">
      <c r="A371" s="65" t="s">
        <v>1385</v>
      </c>
      <c r="B371" s="65" t="s">
        <v>80</v>
      </c>
      <c r="C371" s="65" t="s">
        <v>718</v>
      </c>
      <c r="D371" s="65" t="s">
        <v>125</v>
      </c>
      <c r="E371" s="65" t="s">
        <v>1197</v>
      </c>
      <c r="F371" s="65" t="b">
        <f>TRUE()</f>
        <v>1</v>
      </c>
      <c r="G371" s="65" t="s">
        <v>1198</v>
      </c>
      <c r="H371" s="65" t="s">
        <v>165</v>
      </c>
      <c r="I371" s="66">
        <v>46208</v>
      </c>
      <c r="J371" s="66">
        <v>46210</v>
      </c>
      <c r="K371" s="65">
        <v>2</v>
      </c>
      <c r="L371" s="65" t="s">
        <v>192</v>
      </c>
      <c r="M371" s="65" t="s">
        <v>185</v>
      </c>
      <c r="N371" s="65" t="b">
        <f>FALSE()</f>
        <v>0</v>
      </c>
      <c r="O371" s="65"/>
      <c r="P371" s="65"/>
      <c r="Q371" s="65" t="s">
        <v>236</v>
      </c>
      <c r="R371" s="65" t="s">
        <v>237</v>
      </c>
      <c r="S371" s="65"/>
      <c r="T371" s="65" t="b">
        <f>FALSE()</f>
        <v>0</v>
      </c>
      <c r="U371" s="65" t="b">
        <f>FALSE()</f>
        <v>0</v>
      </c>
      <c r="V371" s="65">
        <v>580</v>
      </c>
      <c r="W371" s="67" t="s">
        <v>1199</v>
      </c>
      <c r="X371" s="65">
        <v>2</v>
      </c>
      <c r="Y371" s="68">
        <v>0.01</v>
      </c>
      <c r="Z371" s="65" t="b">
        <f>FALSE()</f>
        <v>0</v>
      </c>
      <c r="AA371" s="65" t="b">
        <f>TRUE()</f>
        <v>1</v>
      </c>
      <c r="AB371" s="65" t="b">
        <f>FALSE()</f>
        <v>0</v>
      </c>
      <c r="AC371" s="65" t="b">
        <f>FALSE()</f>
        <v>0</v>
      </c>
      <c r="AD371" s="65" t="b">
        <f>FALSE()</f>
        <v>0</v>
      </c>
      <c r="AE371" s="65">
        <v>1</v>
      </c>
      <c r="AF371" s="69">
        <v>14.3</v>
      </c>
      <c r="AG371" s="65" t="s">
        <v>74</v>
      </c>
      <c r="AH371" s="65" t="s">
        <v>1386</v>
      </c>
      <c r="AI371">
        <f>IF(AND(OR(Company_Explorer!$B$5="All Companies",$E371=Company_Explorer!$B$5),OR(Company_Explorer!$B$6="All Platforms",$B371=Company_Explorer!$B$6),OR(Company_Explorer!$B$7="All Roles",$D371=Company_Explorer!$B$7),OR(Company_Explorer!$B$8="All Ghost Labels",$AG371=Company_Explorer!$B$8)),1,0)</f>
        <v>0</v>
      </c>
    </row>
    <row r="372" spans="1:35" ht="15" customHeight="1" x14ac:dyDescent="0.3">
      <c r="A372" s="60" t="s">
        <v>1387</v>
      </c>
      <c r="B372" s="60" t="s">
        <v>80</v>
      </c>
      <c r="C372" s="60" t="s">
        <v>125</v>
      </c>
      <c r="D372" s="60" t="s">
        <v>125</v>
      </c>
      <c r="E372" s="60" t="s">
        <v>1388</v>
      </c>
      <c r="F372" s="60" t="b">
        <f>TRUE()</f>
        <v>1</v>
      </c>
      <c r="G372" s="60" t="s">
        <v>166</v>
      </c>
      <c r="H372" s="60" t="s">
        <v>235</v>
      </c>
      <c r="I372" s="61">
        <v>45624</v>
      </c>
      <c r="J372" s="61">
        <v>46210</v>
      </c>
      <c r="K372" s="60">
        <v>586</v>
      </c>
      <c r="L372" s="60" t="s">
        <v>192</v>
      </c>
      <c r="M372" s="60" t="s">
        <v>185</v>
      </c>
      <c r="N372" s="60" t="b">
        <f>FALSE()</f>
        <v>0</v>
      </c>
      <c r="O372" s="60"/>
      <c r="P372" s="60"/>
      <c r="Q372" s="60" t="s">
        <v>236</v>
      </c>
      <c r="R372" s="60" t="s">
        <v>237</v>
      </c>
      <c r="S372" s="60"/>
      <c r="T372" s="60" t="b">
        <f>FALSE()</f>
        <v>0</v>
      </c>
      <c r="U372" s="60" t="b">
        <f>FALSE()</f>
        <v>0</v>
      </c>
      <c r="V372" s="60">
        <v>116</v>
      </c>
      <c r="W372" s="62" t="s">
        <v>1389</v>
      </c>
      <c r="X372" s="60">
        <v>1</v>
      </c>
      <c r="Y372" s="63">
        <v>0.01</v>
      </c>
      <c r="Z372" s="60" t="b">
        <f>FALSE()</f>
        <v>0</v>
      </c>
      <c r="AA372" s="60" t="b">
        <f>TRUE()</f>
        <v>1</v>
      </c>
      <c r="AB372" s="60" t="b">
        <f>TRUE()</f>
        <v>1</v>
      </c>
      <c r="AC372" s="60" t="b">
        <f>TRUE()</f>
        <v>1</v>
      </c>
      <c r="AD372" s="60" t="b">
        <f>FALSE()</f>
        <v>0</v>
      </c>
      <c r="AE372" s="60">
        <v>3</v>
      </c>
      <c r="AF372" s="64">
        <v>42.9</v>
      </c>
      <c r="AG372" s="60" t="s">
        <v>73</v>
      </c>
      <c r="AH372" s="60" t="s">
        <v>1390</v>
      </c>
      <c r="AI372">
        <f>IF(AND(OR(Company_Explorer!$B$5="All Companies",$E372=Company_Explorer!$B$5),OR(Company_Explorer!$B$6="All Platforms",$B372=Company_Explorer!$B$6),OR(Company_Explorer!$B$7="All Roles",$D372=Company_Explorer!$B$7),OR(Company_Explorer!$B$8="All Ghost Labels",$AG372=Company_Explorer!$B$8)),1,0)</f>
        <v>0</v>
      </c>
    </row>
    <row r="373" spans="1:35" ht="15" customHeight="1" x14ac:dyDescent="0.3">
      <c r="A373" s="65" t="s">
        <v>1391</v>
      </c>
      <c r="B373" s="65" t="s">
        <v>80</v>
      </c>
      <c r="C373" s="65" t="s">
        <v>258</v>
      </c>
      <c r="D373" s="65" t="s">
        <v>125</v>
      </c>
      <c r="E373" s="65" t="s">
        <v>141</v>
      </c>
      <c r="F373" s="65" t="b">
        <f>TRUE()</f>
        <v>1</v>
      </c>
      <c r="G373" s="65" t="s">
        <v>168</v>
      </c>
      <c r="H373" s="65" t="s">
        <v>254</v>
      </c>
      <c r="I373" s="66">
        <v>46199</v>
      </c>
      <c r="J373" s="66">
        <v>46210</v>
      </c>
      <c r="K373" s="65">
        <v>11</v>
      </c>
      <c r="L373" s="65" t="s">
        <v>192</v>
      </c>
      <c r="M373" s="65" t="s">
        <v>184</v>
      </c>
      <c r="N373" s="65" t="b">
        <f>FALSE()</f>
        <v>0</v>
      </c>
      <c r="O373" s="65"/>
      <c r="P373" s="65"/>
      <c r="Q373" s="65" t="s">
        <v>236</v>
      </c>
      <c r="R373" s="65" t="s">
        <v>237</v>
      </c>
      <c r="S373" s="65"/>
      <c r="T373" s="65" t="b">
        <f>FALSE()</f>
        <v>0</v>
      </c>
      <c r="U373" s="65" t="b">
        <f>FALSE()</f>
        <v>0</v>
      </c>
      <c r="V373" s="65">
        <v>314</v>
      </c>
      <c r="W373" s="67" t="s">
        <v>259</v>
      </c>
      <c r="X373" s="65">
        <v>429</v>
      </c>
      <c r="Y373" s="68">
        <v>2.66</v>
      </c>
      <c r="Z373" s="65" t="b">
        <f>FALSE()</f>
        <v>0</v>
      </c>
      <c r="AA373" s="65" t="b">
        <f>TRUE()</f>
        <v>1</v>
      </c>
      <c r="AB373" s="65" t="b">
        <f>FALSE()</f>
        <v>0</v>
      </c>
      <c r="AC373" s="65" t="b">
        <f>FALSE()</f>
        <v>0</v>
      </c>
      <c r="AD373" s="65" t="b">
        <f>TRUE()</f>
        <v>1</v>
      </c>
      <c r="AE373" s="65">
        <v>3</v>
      </c>
      <c r="AF373" s="69">
        <v>42.9</v>
      </c>
      <c r="AG373" s="65" t="s">
        <v>73</v>
      </c>
      <c r="AH373" s="65" t="s">
        <v>1392</v>
      </c>
      <c r="AI373">
        <f>IF(AND(OR(Company_Explorer!$B$5="All Companies",$E373=Company_Explorer!$B$5),OR(Company_Explorer!$B$6="All Platforms",$B373=Company_Explorer!$B$6),OR(Company_Explorer!$B$7="All Roles",$D373=Company_Explorer!$B$7),OR(Company_Explorer!$B$8="All Ghost Labels",$AG373=Company_Explorer!$B$8)),1,0)</f>
        <v>0</v>
      </c>
    </row>
    <row r="374" spans="1:35" ht="15" customHeight="1" x14ac:dyDescent="0.3">
      <c r="A374" s="60" t="s">
        <v>1393</v>
      </c>
      <c r="B374" s="60" t="s">
        <v>80</v>
      </c>
      <c r="C374" s="60" t="s">
        <v>258</v>
      </c>
      <c r="D374" s="60" t="s">
        <v>125</v>
      </c>
      <c r="E374" s="60" t="s">
        <v>141</v>
      </c>
      <c r="F374" s="60" t="b">
        <f>TRUE()</f>
        <v>1</v>
      </c>
      <c r="G374" s="60" t="s">
        <v>168</v>
      </c>
      <c r="H374" s="60" t="s">
        <v>254</v>
      </c>
      <c r="I374" s="61">
        <v>46199</v>
      </c>
      <c r="J374" s="61">
        <v>46210</v>
      </c>
      <c r="K374" s="60">
        <v>11</v>
      </c>
      <c r="L374" s="60" t="s">
        <v>192</v>
      </c>
      <c r="M374" s="60" t="s">
        <v>184</v>
      </c>
      <c r="N374" s="60" t="b">
        <f>FALSE()</f>
        <v>0</v>
      </c>
      <c r="O374" s="60"/>
      <c r="P374" s="60"/>
      <c r="Q374" s="60" t="s">
        <v>236</v>
      </c>
      <c r="R374" s="60" t="s">
        <v>237</v>
      </c>
      <c r="S374" s="60"/>
      <c r="T374" s="60" t="b">
        <f>FALSE()</f>
        <v>0</v>
      </c>
      <c r="U374" s="60" t="b">
        <f>FALSE()</f>
        <v>0</v>
      </c>
      <c r="V374" s="60">
        <v>314</v>
      </c>
      <c r="W374" s="62" t="s">
        <v>259</v>
      </c>
      <c r="X374" s="60">
        <v>429</v>
      </c>
      <c r="Y374" s="63">
        <v>2.66</v>
      </c>
      <c r="Z374" s="60" t="b">
        <f>FALSE()</f>
        <v>0</v>
      </c>
      <c r="AA374" s="60" t="b">
        <f>TRUE()</f>
        <v>1</v>
      </c>
      <c r="AB374" s="60" t="b">
        <f>FALSE()</f>
        <v>0</v>
      </c>
      <c r="AC374" s="60" t="b">
        <f>FALSE()</f>
        <v>0</v>
      </c>
      <c r="AD374" s="60" t="b">
        <f>TRUE()</f>
        <v>1</v>
      </c>
      <c r="AE374" s="60">
        <v>3</v>
      </c>
      <c r="AF374" s="64">
        <v>42.9</v>
      </c>
      <c r="AG374" s="60" t="s">
        <v>73</v>
      </c>
      <c r="AH374" s="60" t="s">
        <v>1394</v>
      </c>
      <c r="AI374">
        <f>IF(AND(OR(Company_Explorer!$B$5="All Companies",$E374=Company_Explorer!$B$5),OR(Company_Explorer!$B$6="All Platforms",$B374=Company_Explorer!$B$6),OR(Company_Explorer!$B$7="All Roles",$D374=Company_Explorer!$B$7),OR(Company_Explorer!$B$8="All Ghost Labels",$AG374=Company_Explorer!$B$8)),1,0)</f>
        <v>0</v>
      </c>
    </row>
    <row r="375" spans="1:35" ht="15" customHeight="1" x14ac:dyDescent="0.3">
      <c r="A375" s="65" t="s">
        <v>1395</v>
      </c>
      <c r="B375" s="65" t="s">
        <v>80</v>
      </c>
      <c r="C375" s="65" t="s">
        <v>258</v>
      </c>
      <c r="D375" s="65" t="s">
        <v>125</v>
      </c>
      <c r="E375" s="65" t="s">
        <v>141</v>
      </c>
      <c r="F375" s="65" t="b">
        <f>TRUE()</f>
        <v>1</v>
      </c>
      <c r="G375" s="65" t="s">
        <v>179</v>
      </c>
      <c r="H375" s="65" t="s">
        <v>254</v>
      </c>
      <c r="I375" s="66">
        <v>46198</v>
      </c>
      <c r="J375" s="66">
        <v>46210</v>
      </c>
      <c r="K375" s="65">
        <v>12</v>
      </c>
      <c r="L375" s="65" t="s">
        <v>192</v>
      </c>
      <c r="M375" s="65" t="s">
        <v>184</v>
      </c>
      <c r="N375" s="65" t="b">
        <f>FALSE()</f>
        <v>0</v>
      </c>
      <c r="O375" s="65"/>
      <c r="P375" s="65"/>
      <c r="Q375" s="65" t="s">
        <v>236</v>
      </c>
      <c r="R375" s="65" t="s">
        <v>237</v>
      </c>
      <c r="S375" s="65"/>
      <c r="T375" s="65" t="b">
        <f>FALSE()</f>
        <v>0</v>
      </c>
      <c r="U375" s="65" t="b">
        <f>FALSE()</f>
        <v>0</v>
      </c>
      <c r="V375" s="65">
        <v>270</v>
      </c>
      <c r="W375" s="67" t="s">
        <v>707</v>
      </c>
      <c r="X375" s="65">
        <v>429</v>
      </c>
      <c r="Y375" s="68">
        <v>2.66</v>
      </c>
      <c r="Z375" s="65" t="b">
        <f>FALSE()</f>
        <v>0</v>
      </c>
      <c r="AA375" s="65" t="b">
        <f>TRUE()</f>
        <v>1</v>
      </c>
      <c r="AB375" s="65" t="b">
        <f>TRUE()</f>
        <v>1</v>
      </c>
      <c r="AC375" s="65" t="b">
        <f>FALSE()</f>
        <v>0</v>
      </c>
      <c r="AD375" s="65" t="b">
        <f>TRUE()</f>
        <v>1</v>
      </c>
      <c r="AE375" s="65">
        <v>4</v>
      </c>
      <c r="AF375" s="69">
        <v>57.1</v>
      </c>
      <c r="AG375" s="65" t="s">
        <v>72</v>
      </c>
      <c r="AH375" s="65" t="s">
        <v>1396</v>
      </c>
      <c r="AI375">
        <f>IF(AND(OR(Company_Explorer!$B$5="All Companies",$E375=Company_Explorer!$B$5),OR(Company_Explorer!$B$6="All Platforms",$B375=Company_Explorer!$B$6),OR(Company_Explorer!$B$7="All Roles",$D375=Company_Explorer!$B$7),OR(Company_Explorer!$B$8="All Ghost Labels",$AG375=Company_Explorer!$B$8)),1,0)</f>
        <v>0</v>
      </c>
    </row>
    <row r="376" spans="1:35" ht="15" customHeight="1" x14ac:dyDescent="0.3">
      <c r="A376" s="60" t="s">
        <v>1397</v>
      </c>
      <c r="B376" s="60" t="s">
        <v>80</v>
      </c>
      <c r="C376" s="60" t="s">
        <v>130</v>
      </c>
      <c r="D376" s="60" t="s">
        <v>130</v>
      </c>
      <c r="E376" s="60" t="s">
        <v>141</v>
      </c>
      <c r="F376" s="60" t="b">
        <f>TRUE()</f>
        <v>1</v>
      </c>
      <c r="G376" s="60" t="s">
        <v>269</v>
      </c>
      <c r="H376" s="60" t="s">
        <v>270</v>
      </c>
      <c r="I376" s="61">
        <v>46198</v>
      </c>
      <c r="J376" s="61">
        <v>46210</v>
      </c>
      <c r="K376" s="60">
        <v>12</v>
      </c>
      <c r="L376" s="60" t="s">
        <v>192</v>
      </c>
      <c r="M376" s="60" t="s">
        <v>184</v>
      </c>
      <c r="N376" s="60" t="b">
        <f>FALSE()</f>
        <v>0</v>
      </c>
      <c r="O376" s="60"/>
      <c r="P376" s="60"/>
      <c r="Q376" s="60" t="s">
        <v>236</v>
      </c>
      <c r="R376" s="60" t="s">
        <v>237</v>
      </c>
      <c r="S376" s="60"/>
      <c r="T376" s="60" t="b">
        <f>FALSE()</f>
        <v>0</v>
      </c>
      <c r="U376" s="60" t="b">
        <f>FALSE()</f>
        <v>0</v>
      </c>
      <c r="V376" s="60">
        <v>319</v>
      </c>
      <c r="W376" s="62" t="s">
        <v>861</v>
      </c>
      <c r="X376" s="60">
        <v>429</v>
      </c>
      <c r="Y376" s="63">
        <v>2.66</v>
      </c>
      <c r="Z376" s="60" t="b">
        <f>FALSE()</f>
        <v>0</v>
      </c>
      <c r="AA376" s="60" t="b">
        <f>TRUE()</f>
        <v>1</v>
      </c>
      <c r="AB376" s="60" t="b">
        <f>FALSE()</f>
        <v>0</v>
      </c>
      <c r="AC376" s="60" t="b">
        <f>FALSE()</f>
        <v>0</v>
      </c>
      <c r="AD376" s="60" t="b">
        <f>TRUE()</f>
        <v>1</v>
      </c>
      <c r="AE376" s="60">
        <v>3</v>
      </c>
      <c r="AF376" s="64">
        <v>42.9</v>
      </c>
      <c r="AG376" s="60" t="s">
        <v>73</v>
      </c>
      <c r="AH376" s="60" t="s">
        <v>1398</v>
      </c>
      <c r="AI376">
        <f>IF(AND(OR(Company_Explorer!$B$5="All Companies",$E376=Company_Explorer!$B$5),OR(Company_Explorer!$B$6="All Platforms",$B376=Company_Explorer!$B$6),OR(Company_Explorer!$B$7="All Roles",$D376=Company_Explorer!$B$7),OR(Company_Explorer!$B$8="All Ghost Labels",$AG376=Company_Explorer!$B$8)),1,0)</f>
        <v>0</v>
      </c>
    </row>
    <row r="377" spans="1:35" ht="15" customHeight="1" x14ac:dyDescent="0.3">
      <c r="A377" s="65" t="s">
        <v>1399</v>
      </c>
      <c r="B377" s="65" t="s">
        <v>80</v>
      </c>
      <c r="C377" s="65" t="s">
        <v>258</v>
      </c>
      <c r="D377" s="65" t="s">
        <v>125</v>
      </c>
      <c r="E377" s="65" t="s">
        <v>141</v>
      </c>
      <c r="F377" s="65" t="b">
        <f>TRUE()</f>
        <v>1</v>
      </c>
      <c r="G377" s="65" t="s">
        <v>168</v>
      </c>
      <c r="H377" s="65" t="s">
        <v>254</v>
      </c>
      <c r="I377" s="66">
        <v>46199</v>
      </c>
      <c r="J377" s="66">
        <v>46210</v>
      </c>
      <c r="K377" s="65">
        <v>11</v>
      </c>
      <c r="L377" s="65" t="s">
        <v>192</v>
      </c>
      <c r="M377" s="65" t="s">
        <v>184</v>
      </c>
      <c r="N377" s="65" t="b">
        <f>FALSE()</f>
        <v>0</v>
      </c>
      <c r="O377" s="65"/>
      <c r="P377" s="65"/>
      <c r="Q377" s="65" t="s">
        <v>236</v>
      </c>
      <c r="R377" s="65" t="s">
        <v>237</v>
      </c>
      <c r="S377" s="65"/>
      <c r="T377" s="65" t="b">
        <f>FALSE()</f>
        <v>0</v>
      </c>
      <c r="U377" s="65" t="b">
        <f>FALSE()</f>
        <v>0</v>
      </c>
      <c r="V377" s="65">
        <v>314</v>
      </c>
      <c r="W377" s="67" t="s">
        <v>259</v>
      </c>
      <c r="X377" s="65">
        <v>429</v>
      </c>
      <c r="Y377" s="68">
        <v>2.66</v>
      </c>
      <c r="Z377" s="65" t="b">
        <f>FALSE()</f>
        <v>0</v>
      </c>
      <c r="AA377" s="65" t="b">
        <f>TRUE()</f>
        <v>1</v>
      </c>
      <c r="AB377" s="65" t="b">
        <f>FALSE()</f>
        <v>0</v>
      </c>
      <c r="AC377" s="65" t="b">
        <f>FALSE()</f>
        <v>0</v>
      </c>
      <c r="AD377" s="65" t="b">
        <f>TRUE()</f>
        <v>1</v>
      </c>
      <c r="AE377" s="65">
        <v>3</v>
      </c>
      <c r="AF377" s="69">
        <v>42.9</v>
      </c>
      <c r="AG377" s="65" t="s">
        <v>73</v>
      </c>
      <c r="AH377" s="65" t="s">
        <v>1400</v>
      </c>
      <c r="AI377">
        <f>IF(AND(OR(Company_Explorer!$B$5="All Companies",$E377=Company_Explorer!$B$5),OR(Company_Explorer!$B$6="All Platforms",$B377=Company_Explorer!$B$6),OR(Company_Explorer!$B$7="All Roles",$D377=Company_Explorer!$B$7),OR(Company_Explorer!$B$8="All Ghost Labels",$AG377=Company_Explorer!$B$8)),1,0)</f>
        <v>0</v>
      </c>
    </row>
    <row r="378" spans="1:35" ht="15" customHeight="1" x14ac:dyDescent="0.3">
      <c r="A378" s="60" t="s">
        <v>1401</v>
      </c>
      <c r="B378" s="60" t="s">
        <v>80</v>
      </c>
      <c r="C378" s="60" t="s">
        <v>306</v>
      </c>
      <c r="D378" s="60" t="s">
        <v>125</v>
      </c>
      <c r="E378" s="60" t="s">
        <v>1402</v>
      </c>
      <c r="F378" s="60" t="b">
        <f>TRUE()</f>
        <v>1</v>
      </c>
      <c r="G378" s="60" t="s">
        <v>1403</v>
      </c>
      <c r="H378" s="60" t="s">
        <v>754</v>
      </c>
      <c r="I378" s="61">
        <v>46186</v>
      </c>
      <c r="J378" s="61">
        <v>46210</v>
      </c>
      <c r="K378" s="60">
        <v>24</v>
      </c>
      <c r="L378" s="60" t="s">
        <v>192</v>
      </c>
      <c r="M378" s="60" t="s">
        <v>185</v>
      </c>
      <c r="N378" s="60" t="b">
        <f>FALSE()</f>
        <v>0</v>
      </c>
      <c r="O378" s="60"/>
      <c r="P378" s="60"/>
      <c r="Q378" s="60" t="s">
        <v>236</v>
      </c>
      <c r="R378" s="60" t="s">
        <v>237</v>
      </c>
      <c r="S378" s="60"/>
      <c r="T378" s="60" t="b">
        <f>FALSE()</f>
        <v>0</v>
      </c>
      <c r="U378" s="60" t="b">
        <f>FALSE()</f>
        <v>0</v>
      </c>
      <c r="V378" s="60">
        <v>779</v>
      </c>
      <c r="W378" s="62" t="s">
        <v>1404</v>
      </c>
      <c r="X378" s="60">
        <v>1</v>
      </c>
      <c r="Y378" s="63">
        <v>0.01</v>
      </c>
      <c r="Z378" s="60" t="b">
        <f>FALSE()</f>
        <v>0</v>
      </c>
      <c r="AA378" s="60" t="b">
        <f>TRUE()</f>
        <v>1</v>
      </c>
      <c r="AB378" s="60" t="b">
        <f>FALSE()</f>
        <v>0</v>
      </c>
      <c r="AC378" s="60" t="b">
        <f>TRUE()</f>
        <v>1</v>
      </c>
      <c r="AD378" s="60" t="b">
        <f>FALSE()</f>
        <v>0</v>
      </c>
      <c r="AE378" s="60">
        <v>2</v>
      </c>
      <c r="AF378" s="64">
        <v>28.6</v>
      </c>
      <c r="AG378" s="60" t="s">
        <v>73</v>
      </c>
      <c r="AH378" s="60" t="s">
        <v>1405</v>
      </c>
      <c r="AI378">
        <f>IF(AND(OR(Company_Explorer!$B$5="All Companies",$E378=Company_Explorer!$B$5),OR(Company_Explorer!$B$6="All Platforms",$B378=Company_Explorer!$B$6),OR(Company_Explorer!$B$7="All Roles",$D378=Company_Explorer!$B$7),OR(Company_Explorer!$B$8="All Ghost Labels",$AG378=Company_Explorer!$B$8)),1,0)</f>
        <v>0</v>
      </c>
    </row>
    <row r="379" spans="1:35" ht="15" customHeight="1" x14ac:dyDescent="0.3">
      <c r="A379" s="65" t="s">
        <v>1406</v>
      </c>
      <c r="B379" s="65" t="s">
        <v>80</v>
      </c>
      <c r="C379" s="65" t="s">
        <v>258</v>
      </c>
      <c r="D379" s="65" t="s">
        <v>125</v>
      </c>
      <c r="E379" s="65" t="s">
        <v>141</v>
      </c>
      <c r="F379" s="65" t="b">
        <f>TRUE()</f>
        <v>1</v>
      </c>
      <c r="G379" s="65" t="s">
        <v>172</v>
      </c>
      <c r="H379" s="65" t="s">
        <v>276</v>
      </c>
      <c r="I379" s="66">
        <v>46198</v>
      </c>
      <c r="J379" s="66">
        <v>46210</v>
      </c>
      <c r="K379" s="65">
        <v>12</v>
      </c>
      <c r="L379" s="65" t="s">
        <v>192</v>
      </c>
      <c r="M379" s="65" t="s">
        <v>184</v>
      </c>
      <c r="N379" s="65" t="b">
        <f>FALSE()</f>
        <v>0</v>
      </c>
      <c r="O379" s="65"/>
      <c r="P379" s="65"/>
      <c r="Q379" s="65" t="s">
        <v>236</v>
      </c>
      <c r="R379" s="65" t="s">
        <v>237</v>
      </c>
      <c r="S379" s="65"/>
      <c r="T379" s="65" t="b">
        <f>FALSE()</f>
        <v>0</v>
      </c>
      <c r="U379" s="65" t="b">
        <f>FALSE()</f>
        <v>0</v>
      </c>
      <c r="V379" s="65">
        <v>273</v>
      </c>
      <c r="W379" s="67" t="s">
        <v>1407</v>
      </c>
      <c r="X379" s="65">
        <v>429</v>
      </c>
      <c r="Y379" s="68">
        <v>2.66</v>
      </c>
      <c r="Z379" s="65" t="b">
        <f>FALSE()</f>
        <v>0</v>
      </c>
      <c r="AA379" s="65" t="b">
        <f>TRUE()</f>
        <v>1</v>
      </c>
      <c r="AB379" s="65" t="b">
        <f>FALSE()</f>
        <v>0</v>
      </c>
      <c r="AC379" s="65" t="b">
        <f>FALSE()</f>
        <v>0</v>
      </c>
      <c r="AD379" s="65" t="b">
        <f>TRUE()</f>
        <v>1</v>
      </c>
      <c r="AE379" s="65">
        <v>3</v>
      </c>
      <c r="AF379" s="69">
        <v>42.9</v>
      </c>
      <c r="AG379" s="65" t="s">
        <v>73</v>
      </c>
      <c r="AH379" s="65" t="s">
        <v>1408</v>
      </c>
      <c r="AI379">
        <f>IF(AND(OR(Company_Explorer!$B$5="All Companies",$E379=Company_Explorer!$B$5),OR(Company_Explorer!$B$6="All Platforms",$B379=Company_Explorer!$B$6),OR(Company_Explorer!$B$7="All Roles",$D379=Company_Explorer!$B$7),OR(Company_Explorer!$B$8="All Ghost Labels",$AG379=Company_Explorer!$B$8)),1,0)</f>
        <v>0</v>
      </c>
    </row>
    <row r="380" spans="1:35" ht="15" customHeight="1" x14ac:dyDescent="0.3">
      <c r="A380" s="60" t="s">
        <v>1409</v>
      </c>
      <c r="B380" s="60" t="s">
        <v>80</v>
      </c>
      <c r="C380" s="60" t="s">
        <v>258</v>
      </c>
      <c r="D380" s="60" t="s">
        <v>125</v>
      </c>
      <c r="E380" s="60" t="s">
        <v>141</v>
      </c>
      <c r="F380" s="60" t="b">
        <f>TRUE()</f>
        <v>1</v>
      </c>
      <c r="G380" s="60" t="s">
        <v>167</v>
      </c>
      <c r="H380" s="60" t="s">
        <v>276</v>
      </c>
      <c r="I380" s="61">
        <v>46198</v>
      </c>
      <c r="J380" s="61">
        <v>46210</v>
      </c>
      <c r="K380" s="60">
        <v>12</v>
      </c>
      <c r="L380" s="60" t="s">
        <v>192</v>
      </c>
      <c r="M380" s="60" t="s">
        <v>184</v>
      </c>
      <c r="N380" s="60" t="b">
        <f>FALSE()</f>
        <v>0</v>
      </c>
      <c r="O380" s="60"/>
      <c r="P380" s="60"/>
      <c r="Q380" s="60" t="s">
        <v>236</v>
      </c>
      <c r="R380" s="60" t="s">
        <v>237</v>
      </c>
      <c r="S380" s="60"/>
      <c r="T380" s="60" t="b">
        <f>FALSE()</f>
        <v>0</v>
      </c>
      <c r="U380" s="60" t="b">
        <f>FALSE()</f>
        <v>0</v>
      </c>
      <c r="V380" s="60">
        <v>311</v>
      </c>
      <c r="W380" s="62" t="s">
        <v>259</v>
      </c>
      <c r="X380" s="60">
        <v>429</v>
      </c>
      <c r="Y380" s="63">
        <v>2.66</v>
      </c>
      <c r="Z380" s="60" t="b">
        <f>FALSE()</f>
        <v>0</v>
      </c>
      <c r="AA380" s="60" t="b">
        <f>TRUE()</f>
        <v>1</v>
      </c>
      <c r="AB380" s="60" t="b">
        <f>FALSE()</f>
        <v>0</v>
      </c>
      <c r="AC380" s="60" t="b">
        <f>FALSE()</f>
        <v>0</v>
      </c>
      <c r="AD380" s="60" t="b">
        <f>TRUE()</f>
        <v>1</v>
      </c>
      <c r="AE380" s="60">
        <v>3</v>
      </c>
      <c r="AF380" s="64">
        <v>42.9</v>
      </c>
      <c r="AG380" s="60" t="s">
        <v>73</v>
      </c>
      <c r="AH380" s="60" t="s">
        <v>1410</v>
      </c>
      <c r="AI380">
        <f>IF(AND(OR(Company_Explorer!$B$5="All Companies",$E380=Company_Explorer!$B$5),OR(Company_Explorer!$B$6="All Platforms",$B380=Company_Explorer!$B$6),OR(Company_Explorer!$B$7="All Roles",$D380=Company_Explorer!$B$7),OR(Company_Explorer!$B$8="All Ghost Labels",$AG380=Company_Explorer!$B$8)),1,0)</f>
        <v>0</v>
      </c>
    </row>
    <row r="381" spans="1:35" ht="15" customHeight="1" x14ac:dyDescent="0.3">
      <c r="A381" s="65" t="s">
        <v>1411</v>
      </c>
      <c r="B381" s="65" t="s">
        <v>80</v>
      </c>
      <c r="C381" s="65" t="s">
        <v>258</v>
      </c>
      <c r="D381" s="65" t="s">
        <v>125</v>
      </c>
      <c r="E381" s="65" t="s">
        <v>141</v>
      </c>
      <c r="F381" s="65" t="b">
        <f>TRUE()</f>
        <v>1</v>
      </c>
      <c r="G381" s="65" t="s">
        <v>169</v>
      </c>
      <c r="H381" s="65" t="s">
        <v>294</v>
      </c>
      <c r="I381" s="66">
        <v>46198</v>
      </c>
      <c r="J381" s="66">
        <v>46210</v>
      </c>
      <c r="K381" s="65">
        <v>12</v>
      </c>
      <c r="L381" s="65" t="s">
        <v>192</v>
      </c>
      <c r="M381" s="65" t="s">
        <v>184</v>
      </c>
      <c r="N381" s="65" t="b">
        <f>FALSE()</f>
        <v>0</v>
      </c>
      <c r="O381" s="65"/>
      <c r="P381" s="65"/>
      <c r="Q381" s="65" t="s">
        <v>236</v>
      </c>
      <c r="R381" s="65" t="s">
        <v>237</v>
      </c>
      <c r="S381" s="65"/>
      <c r="T381" s="65" t="b">
        <f>FALSE()</f>
        <v>0</v>
      </c>
      <c r="U381" s="65" t="b">
        <f>FALSE()</f>
        <v>0</v>
      </c>
      <c r="V381" s="65">
        <v>317</v>
      </c>
      <c r="W381" s="67" t="s">
        <v>259</v>
      </c>
      <c r="X381" s="65">
        <v>429</v>
      </c>
      <c r="Y381" s="68">
        <v>2.66</v>
      </c>
      <c r="Z381" s="65" t="b">
        <f>FALSE()</f>
        <v>0</v>
      </c>
      <c r="AA381" s="65" t="b">
        <f>TRUE()</f>
        <v>1</v>
      </c>
      <c r="AB381" s="65" t="b">
        <f>FALSE()</f>
        <v>0</v>
      </c>
      <c r="AC381" s="65" t="b">
        <f>FALSE()</f>
        <v>0</v>
      </c>
      <c r="AD381" s="65" t="b">
        <f>TRUE()</f>
        <v>1</v>
      </c>
      <c r="AE381" s="65">
        <v>3</v>
      </c>
      <c r="AF381" s="69">
        <v>42.9</v>
      </c>
      <c r="AG381" s="65" t="s">
        <v>73</v>
      </c>
      <c r="AH381" s="65" t="s">
        <v>1412</v>
      </c>
      <c r="AI381">
        <f>IF(AND(OR(Company_Explorer!$B$5="All Companies",$E381=Company_Explorer!$B$5),OR(Company_Explorer!$B$6="All Platforms",$B381=Company_Explorer!$B$6),OR(Company_Explorer!$B$7="All Roles",$D381=Company_Explorer!$B$7),OR(Company_Explorer!$B$8="All Ghost Labels",$AG381=Company_Explorer!$B$8)),1,0)</f>
        <v>0</v>
      </c>
    </row>
    <row r="382" spans="1:35" ht="15" customHeight="1" x14ac:dyDescent="0.3">
      <c r="A382" s="60" t="s">
        <v>1413</v>
      </c>
      <c r="B382" s="60" t="s">
        <v>80</v>
      </c>
      <c r="C382" s="60" t="s">
        <v>258</v>
      </c>
      <c r="D382" s="60" t="s">
        <v>125</v>
      </c>
      <c r="E382" s="60" t="s">
        <v>141</v>
      </c>
      <c r="F382" s="60" t="b">
        <f>TRUE()</f>
        <v>1</v>
      </c>
      <c r="G382" s="60" t="s">
        <v>167</v>
      </c>
      <c r="H382" s="60" t="s">
        <v>276</v>
      </c>
      <c r="I382" s="61">
        <v>46198</v>
      </c>
      <c r="J382" s="61">
        <v>46210</v>
      </c>
      <c r="K382" s="60">
        <v>12</v>
      </c>
      <c r="L382" s="60" t="s">
        <v>192</v>
      </c>
      <c r="M382" s="60" t="s">
        <v>184</v>
      </c>
      <c r="N382" s="60" t="b">
        <f>FALSE()</f>
        <v>0</v>
      </c>
      <c r="O382" s="60"/>
      <c r="P382" s="60"/>
      <c r="Q382" s="60" t="s">
        <v>236</v>
      </c>
      <c r="R382" s="60" t="s">
        <v>237</v>
      </c>
      <c r="S382" s="60"/>
      <c r="T382" s="60" t="b">
        <f>FALSE()</f>
        <v>0</v>
      </c>
      <c r="U382" s="60" t="b">
        <f>FALSE()</f>
        <v>0</v>
      </c>
      <c r="V382" s="60">
        <v>304</v>
      </c>
      <c r="W382" s="62" t="s">
        <v>1414</v>
      </c>
      <c r="X382" s="60">
        <v>429</v>
      </c>
      <c r="Y382" s="63">
        <v>2.66</v>
      </c>
      <c r="Z382" s="60" t="b">
        <f>FALSE()</f>
        <v>0</v>
      </c>
      <c r="AA382" s="60" t="b">
        <f>TRUE()</f>
        <v>1</v>
      </c>
      <c r="AB382" s="60" t="b">
        <f>FALSE()</f>
        <v>0</v>
      </c>
      <c r="AC382" s="60" t="b">
        <f>FALSE()</f>
        <v>0</v>
      </c>
      <c r="AD382" s="60" t="b">
        <f>TRUE()</f>
        <v>1</v>
      </c>
      <c r="AE382" s="60">
        <v>3</v>
      </c>
      <c r="AF382" s="64">
        <v>42.9</v>
      </c>
      <c r="AG382" s="60" t="s">
        <v>73</v>
      </c>
      <c r="AH382" s="60" t="s">
        <v>1415</v>
      </c>
      <c r="AI382">
        <f>IF(AND(OR(Company_Explorer!$B$5="All Companies",$E382=Company_Explorer!$B$5),OR(Company_Explorer!$B$6="All Platforms",$B382=Company_Explorer!$B$6),OR(Company_Explorer!$B$7="All Roles",$D382=Company_Explorer!$B$7),OR(Company_Explorer!$B$8="All Ghost Labels",$AG382=Company_Explorer!$B$8)),1,0)</f>
        <v>0</v>
      </c>
    </row>
    <row r="383" spans="1:35" ht="15" customHeight="1" x14ac:dyDescent="0.3">
      <c r="A383" s="65" t="s">
        <v>1416</v>
      </c>
      <c r="B383" s="65" t="s">
        <v>80</v>
      </c>
      <c r="C383" s="65" t="s">
        <v>306</v>
      </c>
      <c r="D383" s="65" t="s">
        <v>125</v>
      </c>
      <c r="E383" s="65" t="s">
        <v>141</v>
      </c>
      <c r="F383" s="65" t="b">
        <f>TRUE()</f>
        <v>1</v>
      </c>
      <c r="G383" s="65" t="s">
        <v>1417</v>
      </c>
      <c r="H383" s="65" t="s">
        <v>165</v>
      </c>
      <c r="I383" s="66">
        <v>46198</v>
      </c>
      <c r="J383" s="66">
        <v>46210</v>
      </c>
      <c r="K383" s="65">
        <v>12</v>
      </c>
      <c r="L383" s="65" t="s">
        <v>192</v>
      </c>
      <c r="M383" s="65" t="s">
        <v>184</v>
      </c>
      <c r="N383" s="65" t="b">
        <f>FALSE()</f>
        <v>0</v>
      </c>
      <c r="O383" s="65"/>
      <c r="P383" s="65"/>
      <c r="Q383" s="65" t="s">
        <v>236</v>
      </c>
      <c r="R383" s="65" t="s">
        <v>237</v>
      </c>
      <c r="S383" s="65"/>
      <c r="T383" s="65" t="b">
        <f>FALSE()</f>
        <v>0</v>
      </c>
      <c r="U383" s="65" t="b">
        <f>FALSE()</f>
        <v>0</v>
      </c>
      <c r="V383" s="65">
        <v>286</v>
      </c>
      <c r="W383" s="67" t="s">
        <v>1418</v>
      </c>
      <c r="X383" s="65">
        <v>429</v>
      </c>
      <c r="Y383" s="68">
        <v>2.66</v>
      </c>
      <c r="Z383" s="65" t="b">
        <f>FALSE()</f>
        <v>0</v>
      </c>
      <c r="AA383" s="65" t="b">
        <f>TRUE()</f>
        <v>1</v>
      </c>
      <c r="AB383" s="65" t="b">
        <f>FALSE()</f>
        <v>0</v>
      </c>
      <c r="AC383" s="65" t="b">
        <f>FALSE()</f>
        <v>0</v>
      </c>
      <c r="AD383" s="65" t="b">
        <f>TRUE()</f>
        <v>1</v>
      </c>
      <c r="AE383" s="65">
        <v>3</v>
      </c>
      <c r="AF383" s="69">
        <v>42.9</v>
      </c>
      <c r="AG383" s="65" t="s">
        <v>73</v>
      </c>
      <c r="AH383" s="65" t="s">
        <v>1419</v>
      </c>
      <c r="AI383">
        <f>IF(AND(OR(Company_Explorer!$B$5="All Companies",$E383=Company_Explorer!$B$5),OR(Company_Explorer!$B$6="All Platforms",$B383=Company_Explorer!$B$6),OR(Company_Explorer!$B$7="All Roles",$D383=Company_Explorer!$B$7),OR(Company_Explorer!$B$8="All Ghost Labels",$AG383=Company_Explorer!$B$8)),1,0)</f>
        <v>0</v>
      </c>
    </row>
    <row r="384" spans="1:35" ht="15" customHeight="1" x14ac:dyDescent="0.3">
      <c r="A384" s="60" t="s">
        <v>1420</v>
      </c>
      <c r="B384" s="60" t="s">
        <v>80</v>
      </c>
      <c r="C384" s="60" t="s">
        <v>258</v>
      </c>
      <c r="D384" s="60" t="s">
        <v>125</v>
      </c>
      <c r="E384" s="60" t="s">
        <v>141</v>
      </c>
      <c r="F384" s="60" t="b">
        <f>TRUE()</f>
        <v>1</v>
      </c>
      <c r="G384" s="60" t="s">
        <v>174</v>
      </c>
      <c r="H384" s="60" t="s">
        <v>302</v>
      </c>
      <c r="I384" s="61">
        <v>46205</v>
      </c>
      <c r="J384" s="61">
        <v>46210</v>
      </c>
      <c r="K384" s="60">
        <v>5</v>
      </c>
      <c r="L384" s="60" t="s">
        <v>192</v>
      </c>
      <c r="M384" s="60" t="s">
        <v>184</v>
      </c>
      <c r="N384" s="60" t="b">
        <f>FALSE()</f>
        <v>0</v>
      </c>
      <c r="O384" s="60"/>
      <c r="P384" s="60"/>
      <c r="Q384" s="60" t="s">
        <v>236</v>
      </c>
      <c r="R384" s="60" t="s">
        <v>237</v>
      </c>
      <c r="S384" s="60"/>
      <c r="T384" s="60" t="b">
        <f>FALSE()</f>
        <v>0</v>
      </c>
      <c r="U384" s="60" t="b">
        <f>FALSE()</f>
        <v>0</v>
      </c>
      <c r="V384" s="60">
        <v>329</v>
      </c>
      <c r="W384" s="62" t="s">
        <v>259</v>
      </c>
      <c r="X384" s="60">
        <v>429</v>
      </c>
      <c r="Y384" s="63">
        <v>2.66</v>
      </c>
      <c r="Z384" s="60" t="b">
        <f>FALSE()</f>
        <v>0</v>
      </c>
      <c r="AA384" s="60" t="b">
        <f>TRUE()</f>
        <v>1</v>
      </c>
      <c r="AB384" s="60" t="b">
        <f>FALSE()</f>
        <v>0</v>
      </c>
      <c r="AC384" s="60" t="b">
        <f>FALSE()</f>
        <v>0</v>
      </c>
      <c r="AD384" s="60" t="b">
        <f>TRUE()</f>
        <v>1</v>
      </c>
      <c r="AE384" s="60">
        <v>3</v>
      </c>
      <c r="AF384" s="64">
        <v>42.9</v>
      </c>
      <c r="AG384" s="60" t="s">
        <v>73</v>
      </c>
      <c r="AH384" s="60" t="s">
        <v>1421</v>
      </c>
      <c r="AI384">
        <f>IF(AND(OR(Company_Explorer!$B$5="All Companies",$E384=Company_Explorer!$B$5),OR(Company_Explorer!$B$6="All Platforms",$B384=Company_Explorer!$B$6),OR(Company_Explorer!$B$7="All Roles",$D384=Company_Explorer!$B$7),OR(Company_Explorer!$B$8="All Ghost Labels",$AG384=Company_Explorer!$B$8)),1,0)</f>
        <v>0</v>
      </c>
    </row>
    <row r="385" spans="1:35" ht="15" customHeight="1" x14ac:dyDescent="0.3">
      <c r="A385" s="65" t="s">
        <v>1422</v>
      </c>
      <c r="B385" s="65" t="s">
        <v>80</v>
      </c>
      <c r="C385" s="65" t="s">
        <v>258</v>
      </c>
      <c r="D385" s="65" t="s">
        <v>125</v>
      </c>
      <c r="E385" s="65" t="s">
        <v>141</v>
      </c>
      <c r="F385" s="65" t="b">
        <f>TRUE()</f>
        <v>1</v>
      </c>
      <c r="G385" s="65" t="s">
        <v>168</v>
      </c>
      <c r="H385" s="65" t="s">
        <v>254</v>
      </c>
      <c r="I385" s="66">
        <v>46205</v>
      </c>
      <c r="J385" s="66">
        <v>46210</v>
      </c>
      <c r="K385" s="65">
        <v>5</v>
      </c>
      <c r="L385" s="65" t="s">
        <v>192</v>
      </c>
      <c r="M385" s="65" t="s">
        <v>184</v>
      </c>
      <c r="N385" s="65" t="b">
        <f>FALSE()</f>
        <v>0</v>
      </c>
      <c r="O385" s="65"/>
      <c r="P385" s="65"/>
      <c r="Q385" s="65" t="s">
        <v>236</v>
      </c>
      <c r="R385" s="65" t="s">
        <v>237</v>
      </c>
      <c r="S385" s="65"/>
      <c r="T385" s="65" t="b">
        <f>FALSE()</f>
        <v>0</v>
      </c>
      <c r="U385" s="65" t="b">
        <f>FALSE()</f>
        <v>0</v>
      </c>
      <c r="V385" s="65">
        <v>248</v>
      </c>
      <c r="W385" s="67" t="s">
        <v>1423</v>
      </c>
      <c r="X385" s="65">
        <v>429</v>
      </c>
      <c r="Y385" s="68">
        <v>2.66</v>
      </c>
      <c r="Z385" s="65" t="b">
        <f>FALSE()</f>
        <v>0</v>
      </c>
      <c r="AA385" s="65" t="b">
        <f>TRUE()</f>
        <v>1</v>
      </c>
      <c r="AB385" s="65" t="b">
        <f>TRUE()</f>
        <v>1</v>
      </c>
      <c r="AC385" s="65" t="b">
        <f>FALSE()</f>
        <v>0</v>
      </c>
      <c r="AD385" s="65" t="b">
        <f>TRUE()</f>
        <v>1</v>
      </c>
      <c r="AE385" s="65">
        <v>4</v>
      </c>
      <c r="AF385" s="69">
        <v>57.1</v>
      </c>
      <c r="AG385" s="65" t="s">
        <v>72</v>
      </c>
      <c r="AH385" s="65" t="s">
        <v>1424</v>
      </c>
      <c r="AI385">
        <f>IF(AND(OR(Company_Explorer!$B$5="All Companies",$E385=Company_Explorer!$B$5),OR(Company_Explorer!$B$6="All Platforms",$B385=Company_Explorer!$B$6),OR(Company_Explorer!$B$7="All Roles",$D385=Company_Explorer!$B$7),OR(Company_Explorer!$B$8="All Ghost Labels",$AG385=Company_Explorer!$B$8)),1,0)</f>
        <v>0</v>
      </c>
    </row>
    <row r="386" spans="1:35" ht="15" customHeight="1" x14ac:dyDescent="0.3">
      <c r="A386" s="60" t="s">
        <v>1425</v>
      </c>
      <c r="B386" s="60" t="s">
        <v>80</v>
      </c>
      <c r="C386" s="60" t="s">
        <v>1426</v>
      </c>
      <c r="D386" s="60" t="s">
        <v>126</v>
      </c>
      <c r="E386" s="60" t="s">
        <v>155</v>
      </c>
      <c r="F386" s="60" t="b">
        <f>TRUE()</f>
        <v>1</v>
      </c>
      <c r="G386" s="60" t="s">
        <v>166</v>
      </c>
      <c r="H386" s="60" t="s">
        <v>235</v>
      </c>
      <c r="I386" s="61">
        <v>46191</v>
      </c>
      <c r="J386" s="61">
        <v>46210</v>
      </c>
      <c r="K386" s="60">
        <v>19</v>
      </c>
      <c r="L386" s="60" t="s">
        <v>192</v>
      </c>
      <c r="M386" s="60" t="s">
        <v>184</v>
      </c>
      <c r="N386" s="60" t="b">
        <f>FALSE()</f>
        <v>0</v>
      </c>
      <c r="O386" s="60"/>
      <c r="P386" s="60"/>
      <c r="Q386" s="60" t="s">
        <v>236</v>
      </c>
      <c r="R386" s="60" t="s">
        <v>237</v>
      </c>
      <c r="S386" s="60"/>
      <c r="T386" s="60" t="b">
        <f>FALSE()</f>
        <v>0</v>
      </c>
      <c r="U386" s="60" t="b">
        <f>FALSE()</f>
        <v>0</v>
      </c>
      <c r="V386" s="60">
        <v>479</v>
      </c>
      <c r="W386" s="62" t="s">
        <v>1427</v>
      </c>
      <c r="X386" s="60">
        <v>16</v>
      </c>
      <c r="Y386" s="63">
        <v>0.1</v>
      </c>
      <c r="Z386" s="60" t="b">
        <f>FALSE()</f>
        <v>0</v>
      </c>
      <c r="AA386" s="60" t="b">
        <f>TRUE()</f>
        <v>1</v>
      </c>
      <c r="AB386" s="60" t="b">
        <f>FALSE()</f>
        <v>0</v>
      </c>
      <c r="AC386" s="60" t="b">
        <f>TRUE()</f>
        <v>1</v>
      </c>
      <c r="AD386" s="60" t="b">
        <f>FALSE()</f>
        <v>0</v>
      </c>
      <c r="AE386" s="60">
        <v>2</v>
      </c>
      <c r="AF386" s="64">
        <v>28.6</v>
      </c>
      <c r="AG386" s="60" t="s">
        <v>73</v>
      </c>
      <c r="AH386" s="60" t="s">
        <v>1428</v>
      </c>
      <c r="AI386">
        <f>IF(AND(OR(Company_Explorer!$B$5="All Companies",$E386=Company_Explorer!$B$5),OR(Company_Explorer!$B$6="All Platforms",$B386=Company_Explorer!$B$6),OR(Company_Explorer!$B$7="All Roles",$D386=Company_Explorer!$B$7),OR(Company_Explorer!$B$8="All Ghost Labels",$AG386=Company_Explorer!$B$8)),1,0)</f>
        <v>0</v>
      </c>
    </row>
    <row r="387" spans="1:35" ht="15" customHeight="1" x14ac:dyDescent="0.3">
      <c r="A387" s="65" t="s">
        <v>1429</v>
      </c>
      <c r="B387" s="65" t="s">
        <v>80</v>
      </c>
      <c r="C387" s="65" t="s">
        <v>258</v>
      </c>
      <c r="D387" s="65" t="s">
        <v>125</v>
      </c>
      <c r="E387" s="65" t="s">
        <v>141</v>
      </c>
      <c r="F387" s="65" t="b">
        <f>TRUE()</f>
        <v>1</v>
      </c>
      <c r="G387" s="65" t="s">
        <v>174</v>
      </c>
      <c r="H387" s="65" t="s">
        <v>302</v>
      </c>
      <c r="I387" s="66">
        <v>46198</v>
      </c>
      <c r="J387" s="66">
        <v>46210</v>
      </c>
      <c r="K387" s="65">
        <v>12</v>
      </c>
      <c r="L387" s="65" t="s">
        <v>192</v>
      </c>
      <c r="M387" s="65" t="s">
        <v>184</v>
      </c>
      <c r="N387" s="65" t="b">
        <f>FALSE()</f>
        <v>0</v>
      </c>
      <c r="O387" s="65"/>
      <c r="P387" s="65"/>
      <c r="Q387" s="65" t="s">
        <v>236</v>
      </c>
      <c r="R387" s="65" t="s">
        <v>237</v>
      </c>
      <c r="S387" s="65"/>
      <c r="T387" s="65" t="b">
        <f>FALSE()</f>
        <v>0</v>
      </c>
      <c r="U387" s="65" t="b">
        <f>FALSE()</f>
        <v>0</v>
      </c>
      <c r="V387" s="65">
        <v>305</v>
      </c>
      <c r="W387" s="67" t="s">
        <v>259</v>
      </c>
      <c r="X387" s="65">
        <v>429</v>
      </c>
      <c r="Y387" s="68">
        <v>2.66</v>
      </c>
      <c r="Z387" s="65" t="b">
        <f>FALSE()</f>
        <v>0</v>
      </c>
      <c r="AA387" s="65" t="b">
        <f>TRUE()</f>
        <v>1</v>
      </c>
      <c r="AB387" s="65" t="b">
        <f>FALSE()</f>
        <v>0</v>
      </c>
      <c r="AC387" s="65" t="b">
        <f>FALSE()</f>
        <v>0</v>
      </c>
      <c r="AD387" s="65" t="b">
        <f>TRUE()</f>
        <v>1</v>
      </c>
      <c r="AE387" s="65">
        <v>3</v>
      </c>
      <c r="AF387" s="69">
        <v>42.9</v>
      </c>
      <c r="AG387" s="65" t="s">
        <v>73</v>
      </c>
      <c r="AH387" s="65" t="s">
        <v>1430</v>
      </c>
      <c r="AI387">
        <f>IF(AND(OR(Company_Explorer!$B$5="All Companies",$E387=Company_Explorer!$B$5),OR(Company_Explorer!$B$6="All Platforms",$B387=Company_Explorer!$B$6),OR(Company_Explorer!$B$7="All Roles",$D387=Company_Explorer!$B$7),OR(Company_Explorer!$B$8="All Ghost Labels",$AG387=Company_Explorer!$B$8)),1,0)</f>
        <v>0</v>
      </c>
    </row>
    <row r="388" spans="1:35" ht="15" customHeight="1" x14ac:dyDescent="0.3">
      <c r="A388" s="60" t="s">
        <v>1431</v>
      </c>
      <c r="B388" s="60" t="s">
        <v>80</v>
      </c>
      <c r="C388" s="60" t="s">
        <v>258</v>
      </c>
      <c r="D388" s="60" t="s">
        <v>125</v>
      </c>
      <c r="E388" s="60" t="s">
        <v>141</v>
      </c>
      <c r="F388" s="60" t="b">
        <f>TRUE()</f>
        <v>1</v>
      </c>
      <c r="G388" s="60" t="s">
        <v>170</v>
      </c>
      <c r="H388" s="60" t="s">
        <v>165</v>
      </c>
      <c r="I388" s="61">
        <v>46198</v>
      </c>
      <c r="J388" s="61">
        <v>46210</v>
      </c>
      <c r="K388" s="60">
        <v>12</v>
      </c>
      <c r="L388" s="60" t="s">
        <v>192</v>
      </c>
      <c r="M388" s="60" t="s">
        <v>184</v>
      </c>
      <c r="N388" s="60" t="b">
        <f>FALSE()</f>
        <v>0</v>
      </c>
      <c r="O388" s="60"/>
      <c r="P388" s="60"/>
      <c r="Q388" s="60" t="s">
        <v>236</v>
      </c>
      <c r="R388" s="60" t="s">
        <v>237</v>
      </c>
      <c r="S388" s="60"/>
      <c r="T388" s="60" t="b">
        <f>FALSE()</f>
        <v>0</v>
      </c>
      <c r="U388" s="60" t="b">
        <f>FALSE()</f>
        <v>0</v>
      </c>
      <c r="V388" s="60">
        <v>262</v>
      </c>
      <c r="W388" s="62" t="s">
        <v>1432</v>
      </c>
      <c r="X388" s="60">
        <v>429</v>
      </c>
      <c r="Y388" s="63">
        <v>2.66</v>
      </c>
      <c r="Z388" s="60" t="b">
        <f>FALSE()</f>
        <v>0</v>
      </c>
      <c r="AA388" s="60" t="b">
        <f>TRUE()</f>
        <v>1</v>
      </c>
      <c r="AB388" s="60" t="b">
        <f>TRUE()</f>
        <v>1</v>
      </c>
      <c r="AC388" s="60" t="b">
        <f>FALSE()</f>
        <v>0</v>
      </c>
      <c r="AD388" s="60" t="b">
        <f>TRUE()</f>
        <v>1</v>
      </c>
      <c r="AE388" s="60">
        <v>4</v>
      </c>
      <c r="AF388" s="64">
        <v>57.1</v>
      </c>
      <c r="AG388" s="60" t="s">
        <v>72</v>
      </c>
      <c r="AH388" s="60" t="s">
        <v>1433</v>
      </c>
      <c r="AI388">
        <f>IF(AND(OR(Company_Explorer!$B$5="All Companies",$E388=Company_Explorer!$B$5),OR(Company_Explorer!$B$6="All Platforms",$B388=Company_Explorer!$B$6),OR(Company_Explorer!$B$7="All Roles",$D388=Company_Explorer!$B$7),OR(Company_Explorer!$B$8="All Ghost Labels",$AG388=Company_Explorer!$B$8)),1,0)</f>
        <v>0</v>
      </c>
    </row>
    <row r="389" spans="1:35" ht="15" customHeight="1" x14ac:dyDescent="0.3">
      <c r="A389" s="65" t="s">
        <v>1434</v>
      </c>
      <c r="B389" s="65" t="s">
        <v>80</v>
      </c>
      <c r="C389" s="65" t="s">
        <v>258</v>
      </c>
      <c r="D389" s="65" t="s">
        <v>125</v>
      </c>
      <c r="E389" s="65" t="s">
        <v>141</v>
      </c>
      <c r="F389" s="65" t="b">
        <f>TRUE()</f>
        <v>1</v>
      </c>
      <c r="G389" s="65" t="s">
        <v>170</v>
      </c>
      <c r="H389" s="65" t="s">
        <v>165</v>
      </c>
      <c r="I389" s="66">
        <v>46198</v>
      </c>
      <c r="J389" s="66">
        <v>46210</v>
      </c>
      <c r="K389" s="65">
        <v>12</v>
      </c>
      <c r="L389" s="65" t="s">
        <v>192</v>
      </c>
      <c r="M389" s="65" t="s">
        <v>184</v>
      </c>
      <c r="N389" s="65" t="b">
        <f>FALSE()</f>
        <v>0</v>
      </c>
      <c r="O389" s="65"/>
      <c r="P389" s="65"/>
      <c r="Q389" s="65" t="s">
        <v>236</v>
      </c>
      <c r="R389" s="65" t="s">
        <v>237</v>
      </c>
      <c r="S389" s="65"/>
      <c r="T389" s="65" t="b">
        <f>FALSE()</f>
        <v>0</v>
      </c>
      <c r="U389" s="65" t="b">
        <f>FALSE()</f>
        <v>0</v>
      </c>
      <c r="V389" s="65">
        <v>280</v>
      </c>
      <c r="W389" s="67" t="s">
        <v>259</v>
      </c>
      <c r="X389" s="65">
        <v>429</v>
      </c>
      <c r="Y389" s="68">
        <v>2.66</v>
      </c>
      <c r="Z389" s="65" t="b">
        <f>FALSE()</f>
        <v>0</v>
      </c>
      <c r="AA389" s="65" t="b">
        <f>TRUE()</f>
        <v>1</v>
      </c>
      <c r="AB389" s="65" t="b">
        <f>FALSE()</f>
        <v>0</v>
      </c>
      <c r="AC389" s="65" t="b">
        <f>FALSE()</f>
        <v>0</v>
      </c>
      <c r="AD389" s="65" t="b">
        <f>TRUE()</f>
        <v>1</v>
      </c>
      <c r="AE389" s="65">
        <v>3</v>
      </c>
      <c r="AF389" s="69">
        <v>42.9</v>
      </c>
      <c r="AG389" s="65" t="s">
        <v>73</v>
      </c>
      <c r="AH389" s="65" t="s">
        <v>1435</v>
      </c>
      <c r="AI389">
        <f>IF(AND(OR(Company_Explorer!$B$5="All Companies",$E389=Company_Explorer!$B$5),OR(Company_Explorer!$B$6="All Platforms",$B389=Company_Explorer!$B$6),OR(Company_Explorer!$B$7="All Roles",$D389=Company_Explorer!$B$7),OR(Company_Explorer!$B$8="All Ghost Labels",$AG389=Company_Explorer!$B$8)),1,0)</f>
        <v>0</v>
      </c>
    </row>
    <row r="390" spans="1:35" ht="15" customHeight="1" x14ac:dyDescent="0.3">
      <c r="A390" s="60" t="s">
        <v>1436</v>
      </c>
      <c r="B390" s="60" t="s">
        <v>80</v>
      </c>
      <c r="C390" s="60" t="s">
        <v>258</v>
      </c>
      <c r="D390" s="60" t="s">
        <v>125</v>
      </c>
      <c r="E390" s="60" t="s">
        <v>141</v>
      </c>
      <c r="F390" s="60" t="b">
        <f>TRUE()</f>
        <v>1</v>
      </c>
      <c r="G390" s="60" t="s">
        <v>172</v>
      </c>
      <c r="H390" s="60" t="s">
        <v>276</v>
      </c>
      <c r="I390" s="61">
        <v>46198</v>
      </c>
      <c r="J390" s="61">
        <v>46210</v>
      </c>
      <c r="K390" s="60">
        <v>12</v>
      </c>
      <c r="L390" s="60" t="s">
        <v>192</v>
      </c>
      <c r="M390" s="60" t="s">
        <v>184</v>
      </c>
      <c r="N390" s="60" t="b">
        <f>FALSE()</f>
        <v>0</v>
      </c>
      <c r="O390" s="60"/>
      <c r="P390" s="60"/>
      <c r="Q390" s="60" t="s">
        <v>236</v>
      </c>
      <c r="R390" s="60" t="s">
        <v>237</v>
      </c>
      <c r="S390" s="60"/>
      <c r="T390" s="60" t="b">
        <f>FALSE()</f>
        <v>0</v>
      </c>
      <c r="U390" s="60" t="b">
        <f>FALSE()</f>
        <v>0</v>
      </c>
      <c r="V390" s="60">
        <v>310</v>
      </c>
      <c r="W390" s="62" t="s">
        <v>1437</v>
      </c>
      <c r="X390" s="60">
        <v>429</v>
      </c>
      <c r="Y390" s="63">
        <v>2.66</v>
      </c>
      <c r="Z390" s="60" t="b">
        <f>FALSE()</f>
        <v>0</v>
      </c>
      <c r="AA390" s="60" t="b">
        <f>TRUE()</f>
        <v>1</v>
      </c>
      <c r="AB390" s="60" t="b">
        <f>FALSE()</f>
        <v>0</v>
      </c>
      <c r="AC390" s="60" t="b">
        <f>FALSE()</f>
        <v>0</v>
      </c>
      <c r="AD390" s="60" t="b">
        <f>TRUE()</f>
        <v>1</v>
      </c>
      <c r="AE390" s="60">
        <v>3</v>
      </c>
      <c r="AF390" s="64">
        <v>42.9</v>
      </c>
      <c r="AG390" s="60" t="s">
        <v>73</v>
      </c>
      <c r="AH390" s="60" t="s">
        <v>1438</v>
      </c>
      <c r="AI390">
        <f>IF(AND(OR(Company_Explorer!$B$5="All Companies",$E390=Company_Explorer!$B$5),OR(Company_Explorer!$B$6="All Platforms",$B390=Company_Explorer!$B$6),OR(Company_Explorer!$B$7="All Roles",$D390=Company_Explorer!$B$7),OR(Company_Explorer!$B$8="All Ghost Labels",$AG390=Company_Explorer!$B$8)),1,0)</f>
        <v>0</v>
      </c>
    </row>
    <row r="391" spans="1:35" ht="15" customHeight="1" x14ac:dyDescent="0.3">
      <c r="A391" s="65" t="s">
        <v>1439</v>
      </c>
      <c r="B391" s="65" t="s">
        <v>80</v>
      </c>
      <c r="C391" s="65" t="s">
        <v>258</v>
      </c>
      <c r="D391" s="65" t="s">
        <v>125</v>
      </c>
      <c r="E391" s="65" t="s">
        <v>141</v>
      </c>
      <c r="F391" s="65" t="b">
        <f>TRUE()</f>
        <v>1</v>
      </c>
      <c r="G391" s="65" t="s">
        <v>168</v>
      </c>
      <c r="H391" s="65" t="s">
        <v>254</v>
      </c>
      <c r="I391" s="66">
        <v>46199</v>
      </c>
      <c r="J391" s="66">
        <v>46210</v>
      </c>
      <c r="K391" s="65">
        <v>11</v>
      </c>
      <c r="L391" s="65" t="s">
        <v>192</v>
      </c>
      <c r="M391" s="65" t="s">
        <v>184</v>
      </c>
      <c r="N391" s="65" t="b">
        <f>FALSE()</f>
        <v>0</v>
      </c>
      <c r="O391" s="65"/>
      <c r="P391" s="65"/>
      <c r="Q391" s="65" t="s">
        <v>236</v>
      </c>
      <c r="R391" s="65" t="s">
        <v>237</v>
      </c>
      <c r="S391" s="65"/>
      <c r="T391" s="65" t="b">
        <f>FALSE()</f>
        <v>0</v>
      </c>
      <c r="U391" s="65" t="b">
        <f>FALSE()</f>
        <v>0</v>
      </c>
      <c r="V391" s="65">
        <v>314</v>
      </c>
      <c r="W391" s="67" t="s">
        <v>259</v>
      </c>
      <c r="X391" s="65">
        <v>429</v>
      </c>
      <c r="Y391" s="68">
        <v>2.66</v>
      </c>
      <c r="Z391" s="65" t="b">
        <f>FALSE()</f>
        <v>0</v>
      </c>
      <c r="AA391" s="65" t="b">
        <f>TRUE()</f>
        <v>1</v>
      </c>
      <c r="AB391" s="65" t="b">
        <f>FALSE()</f>
        <v>0</v>
      </c>
      <c r="AC391" s="65" t="b">
        <f>FALSE()</f>
        <v>0</v>
      </c>
      <c r="AD391" s="65" t="b">
        <f>TRUE()</f>
        <v>1</v>
      </c>
      <c r="AE391" s="65">
        <v>3</v>
      </c>
      <c r="AF391" s="69">
        <v>42.9</v>
      </c>
      <c r="AG391" s="65" t="s">
        <v>73</v>
      </c>
      <c r="AH391" s="65" t="s">
        <v>1440</v>
      </c>
      <c r="AI391">
        <f>IF(AND(OR(Company_Explorer!$B$5="All Companies",$E391=Company_Explorer!$B$5),OR(Company_Explorer!$B$6="All Platforms",$B391=Company_Explorer!$B$6),OR(Company_Explorer!$B$7="All Roles",$D391=Company_Explorer!$B$7),OR(Company_Explorer!$B$8="All Ghost Labels",$AG391=Company_Explorer!$B$8)),1,0)</f>
        <v>0</v>
      </c>
    </row>
    <row r="392" spans="1:35" ht="15" customHeight="1" x14ac:dyDescent="0.3">
      <c r="A392" s="60" t="s">
        <v>1441</v>
      </c>
      <c r="B392" s="60" t="s">
        <v>80</v>
      </c>
      <c r="C392" s="60" t="s">
        <v>258</v>
      </c>
      <c r="D392" s="60" t="s">
        <v>125</v>
      </c>
      <c r="E392" s="60" t="s">
        <v>141</v>
      </c>
      <c r="F392" s="60" t="b">
        <f>TRUE()</f>
        <v>1</v>
      </c>
      <c r="G392" s="60" t="s">
        <v>169</v>
      </c>
      <c r="H392" s="60" t="s">
        <v>294</v>
      </c>
      <c r="I392" s="61">
        <v>46198</v>
      </c>
      <c r="J392" s="61">
        <v>46210</v>
      </c>
      <c r="K392" s="60">
        <v>12</v>
      </c>
      <c r="L392" s="60" t="s">
        <v>192</v>
      </c>
      <c r="M392" s="60" t="s">
        <v>184</v>
      </c>
      <c r="N392" s="60" t="b">
        <f>FALSE()</f>
        <v>0</v>
      </c>
      <c r="O392" s="60"/>
      <c r="P392" s="60"/>
      <c r="Q392" s="60" t="s">
        <v>236</v>
      </c>
      <c r="R392" s="60" t="s">
        <v>237</v>
      </c>
      <c r="S392" s="60"/>
      <c r="T392" s="60" t="b">
        <f>FALSE()</f>
        <v>0</v>
      </c>
      <c r="U392" s="60" t="b">
        <f>FALSE()</f>
        <v>0</v>
      </c>
      <c r="V392" s="60">
        <v>295</v>
      </c>
      <c r="W392" s="62" t="s">
        <v>259</v>
      </c>
      <c r="X392" s="60">
        <v>429</v>
      </c>
      <c r="Y392" s="63">
        <v>2.66</v>
      </c>
      <c r="Z392" s="60" t="b">
        <f>FALSE()</f>
        <v>0</v>
      </c>
      <c r="AA392" s="60" t="b">
        <f>TRUE()</f>
        <v>1</v>
      </c>
      <c r="AB392" s="60" t="b">
        <f>FALSE()</f>
        <v>0</v>
      </c>
      <c r="AC392" s="60" t="b">
        <f>FALSE()</f>
        <v>0</v>
      </c>
      <c r="AD392" s="60" t="b">
        <f>TRUE()</f>
        <v>1</v>
      </c>
      <c r="AE392" s="60">
        <v>3</v>
      </c>
      <c r="AF392" s="64">
        <v>42.9</v>
      </c>
      <c r="AG392" s="60" t="s">
        <v>73</v>
      </c>
      <c r="AH392" s="60" t="s">
        <v>1442</v>
      </c>
      <c r="AI392">
        <f>IF(AND(OR(Company_Explorer!$B$5="All Companies",$E392=Company_Explorer!$B$5),OR(Company_Explorer!$B$6="All Platforms",$B392=Company_Explorer!$B$6),OR(Company_Explorer!$B$7="All Roles",$D392=Company_Explorer!$B$7),OR(Company_Explorer!$B$8="All Ghost Labels",$AG392=Company_Explorer!$B$8)),1,0)</f>
        <v>0</v>
      </c>
    </row>
    <row r="393" spans="1:35" ht="15" customHeight="1" x14ac:dyDescent="0.3">
      <c r="A393" s="65" t="s">
        <v>1443</v>
      </c>
      <c r="B393" s="65" t="s">
        <v>80</v>
      </c>
      <c r="C393" s="65" t="s">
        <v>258</v>
      </c>
      <c r="D393" s="65" t="s">
        <v>125</v>
      </c>
      <c r="E393" s="65" t="s">
        <v>141</v>
      </c>
      <c r="F393" s="65" t="b">
        <f>TRUE()</f>
        <v>1</v>
      </c>
      <c r="G393" s="65" t="s">
        <v>1246</v>
      </c>
      <c r="H393" s="65" t="s">
        <v>165</v>
      </c>
      <c r="I393" s="66">
        <v>46198</v>
      </c>
      <c r="J393" s="66">
        <v>46210</v>
      </c>
      <c r="K393" s="65">
        <v>12</v>
      </c>
      <c r="L393" s="65" t="s">
        <v>192</v>
      </c>
      <c r="M393" s="65" t="s">
        <v>184</v>
      </c>
      <c r="N393" s="65" t="b">
        <f>FALSE()</f>
        <v>0</v>
      </c>
      <c r="O393" s="65"/>
      <c r="P393" s="65"/>
      <c r="Q393" s="65" t="s">
        <v>236</v>
      </c>
      <c r="R393" s="65" t="s">
        <v>237</v>
      </c>
      <c r="S393" s="65"/>
      <c r="T393" s="65" t="b">
        <f>FALSE()</f>
        <v>0</v>
      </c>
      <c r="U393" s="65" t="b">
        <f>FALSE()</f>
        <v>0</v>
      </c>
      <c r="V393" s="65">
        <v>325</v>
      </c>
      <c r="W393" s="67" t="s">
        <v>259</v>
      </c>
      <c r="X393" s="65">
        <v>429</v>
      </c>
      <c r="Y393" s="68">
        <v>2.66</v>
      </c>
      <c r="Z393" s="65" t="b">
        <f>FALSE()</f>
        <v>0</v>
      </c>
      <c r="AA393" s="65" t="b">
        <f>TRUE()</f>
        <v>1</v>
      </c>
      <c r="AB393" s="65" t="b">
        <f>FALSE()</f>
        <v>0</v>
      </c>
      <c r="AC393" s="65" t="b">
        <f>FALSE()</f>
        <v>0</v>
      </c>
      <c r="AD393" s="65" t="b">
        <f>TRUE()</f>
        <v>1</v>
      </c>
      <c r="AE393" s="65">
        <v>3</v>
      </c>
      <c r="AF393" s="69">
        <v>42.9</v>
      </c>
      <c r="AG393" s="65" t="s">
        <v>73</v>
      </c>
      <c r="AH393" s="65" t="s">
        <v>1444</v>
      </c>
      <c r="AI393">
        <f>IF(AND(OR(Company_Explorer!$B$5="All Companies",$E393=Company_Explorer!$B$5),OR(Company_Explorer!$B$6="All Platforms",$B393=Company_Explorer!$B$6),OR(Company_Explorer!$B$7="All Roles",$D393=Company_Explorer!$B$7),OR(Company_Explorer!$B$8="All Ghost Labels",$AG393=Company_Explorer!$B$8)),1,0)</f>
        <v>0</v>
      </c>
    </row>
    <row r="394" spans="1:35" ht="15" customHeight="1" x14ac:dyDescent="0.3">
      <c r="A394" s="60" t="s">
        <v>1445</v>
      </c>
      <c r="B394" s="60" t="s">
        <v>80</v>
      </c>
      <c r="C394" s="60" t="s">
        <v>258</v>
      </c>
      <c r="D394" s="60" t="s">
        <v>125</v>
      </c>
      <c r="E394" s="60" t="s">
        <v>141</v>
      </c>
      <c r="F394" s="60" t="b">
        <f>TRUE()</f>
        <v>1</v>
      </c>
      <c r="G394" s="60" t="s">
        <v>172</v>
      </c>
      <c r="H394" s="60" t="s">
        <v>276</v>
      </c>
      <c r="I394" s="61">
        <v>46198</v>
      </c>
      <c r="J394" s="61">
        <v>46210</v>
      </c>
      <c r="K394" s="60">
        <v>12</v>
      </c>
      <c r="L394" s="60" t="s">
        <v>192</v>
      </c>
      <c r="M394" s="60" t="s">
        <v>184</v>
      </c>
      <c r="N394" s="60" t="b">
        <f>FALSE()</f>
        <v>0</v>
      </c>
      <c r="O394" s="60"/>
      <c r="P394" s="60"/>
      <c r="Q394" s="60" t="s">
        <v>236</v>
      </c>
      <c r="R394" s="60" t="s">
        <v>237</v>
      </c>
      <c r="S394" s="60"/>
      <c r="T394" s="60" t="b">
        <f>FALSE()</f>
        <v>0</v>
      </c>
      <c r="U394" s="60" t="b">
        <f>FALSE()</f>
        <v>0</v>
      </c>
      <c r="V394" s="60">
        <v>275</v>
      </c>
      <c r="W394" s="62" t="s">
        <v>259</v>
      </c>
      <c r="X394" s="60">
        <v>429</v>
      </c>
      <c r="Y394" s="63">
        <v>2.66</v>
      </c>
      <c r="Z394" s="60" t="b">
        <f>FALSE()</f>
        <v>0</v>
      </c>
      <c r="AA394" s="60" t="b">
        <f>TRUE()</f>
        <v>1</v>
      </c>
      <c r="AB394" s="60" t="b">
        <f>FALSE()</f>
        <v>0</v>
      </c>
      <c r="AC394" s="60" t="b">
        <f>FALSE()</f>
        <v>0</v>
      </c>
      <c r="AD394" s="60" t="b">
        <f>TRUE()</f>
        <v>1</v>
      </c>
      <c r="AE394" s="60">
        <v>3</v>
      </c>
      <c r="AF394" s="64">
        <v>42.9</v>
      </c>
      <c r="AG394" s="60" t="s">
        <v>73</v>
      </c>
      <c r="AH394" s="60" t="s">
        <v>1446</v>
      </c>
      <c r="AI394">
        <f>IF(AND(OR(Company_Explorer!$B$5="All Companies",$E394=Company_Explorer!$B$5),OR(Company_Explorer!$B$6="All Platforms",$B394=Company_Explorer!$B$6),OR(Company_Explorer!$B$7="All Roles",$D394=Company_Explorer!$B$7),OR(Company_Explorer!$B$8="All Ghost Labels",$AG394=Company_Explorer!$B$8)),1,0)</f>
        <v>0</v>
      </c>
    </row>
    <row r="395" spans="1:35" ht="15" customHeight="1" x14ac:dyDescent="0.3">
      <c r="A395" s="65" t="s">
        <v>1447</v>
      </c>
      <c r="B395" s="65" t="s">
        <v>80</v>
      </c>
      <c r="C395" s="65" t="s">
        <v>125</v>
      </c>
      <c r="D395" s="65" t="s">
        <v>125</v>
      </c>
      <c r="E395" s="65" t="s">
        <v>1448</v>
      </c>
      <c r="F395" s="65" t="b">
        <f>TRUE()</f>
        <v>1</v>
      </c>
      <c r="G395" s="65" t="s">
        <v>166</v>
      </c>
      <c r="H395" s="65" t="s">
        <v>235</v>
      </c>
      <c r="I395" s="66">
        <v>46175</v>
      </c>
      <c r="J395" s="66">
        <v>46210</v>
      </c>
      <c r="K395" s="65">
        <v>35</v>
      </c>
      <c r="L395" s="65" t="s">
        <v>192</v>
      </c>
      <c r="M395" s="65" t="s">
        <v>185</v>
      </c>
      <c r="N395" s="65" t="b">
        <f>FALSE()</f>
        <v>0</v>
      </c>
      <c r="O395" s="65"/>
      <c r="P395" s="65"/>
      <c r="Q395" s="65" t="s">
        <v>236</v>
      </c>
      <c r="R395" s="65" t="s">
        <v>237</v>
      </c>
      <c r="S395" s="65"/>
      <c r="T395" s="65" t="b">
        <f>FALSE()</f>
        <v>0</v>
      </c>
      <c r="U395" s="65" t="b">
        <f>FALSE()</f>
        <v>0</v>
      </c>
      <c r="V395" s="65">
        <v>242</v>
      </c>
      <c r="W395" s="67" t="s">
        <v>1449</v>
      </c>
      <c r="X395" s="65">
        <v>1</v>
      </c>
      <c r="Y395" s="68">
        <v>0.01</v>
      </c>
      <c r="Z395" s="65" t="b">
        <f>FALSE()</f>
        <v>0</v>
      </c>
      <c r="AA395" s="65" t="b">
        <f>TRUE()</f>
        <v>1</v>
      </c>
      <c r="AB395" s="65" t="b">
        <f>TRUE()</f>
        <v>1</v>
      </c>
      <c r="AC395" s="65" t="b">
        <f>TRUE()</f>
        <v>1</v>
      </c>
      <c r="AD395" s="65" t="b">
        <f>FALSE()</f>
        <v>0</v>
      </c>
      <c r="AE395" s="65">
        <v>3</v>
      </c>
      <c r="AF395" s="69">
        <v>42.9</v>
      </c>
      <c r="AG395" s="65" t="s">
        <v>73</v>
      </c>
      <c r="AH395" s="65" t="s">
        <v>1450</v>
      </c>
      <c r="AI395">
        <f>IF(AND(OR(Company_Explorer!$B$5="All Companies",$E395=Company_Explorer!$B$5),OR(Company_Explorer!$B$6="All Platforms",$B395=Company_Explorer!$B$6),OR(Company_Explorer!$B$7="All Roles",$D395=Company_Explorer!$B$7),OR(Company_Explorer!$B$8="All Ghost Labels",$AG395=Company_Explorer!$B$8)),1,0)</f>
        <v>0</v>
      </c>
    </row>
    <row r="396" spans="1:35" ht="15" customHeight="1" x14ac:dyDescent="0.3">
      <c r="A396" s="60" t="s">
        <v>1451</v>
      </c>
      <c r="B396" s="60" t="s">
        <v>80</v>
      </c>
      <c r="C396" s="60" t="s">
        <v>258</v>
      </c>
      <c r="D396" s="60" t="s">
        <v>125</v>
      </c>
      <c r="E396" s="60" t="s">
        <v>141</v>
      </c>
      <c r="F396" s="60" t="b">
        <f>TRUE()</f>
        <v>1</v>
      </c>
      <c r="G396" s="60" t="s">
        <v>170</v>
      </c>
      <c r="H396" s="60" t="s">
        <v>165</v>
      </c>
      <c r="I396" s="61">
        <v>46198</v>
      </c>
      <c r="J396" s="61">
        <v>46210</v>
      </c>
      <c r="K396" s="60">
        <v>12</v>
      </c>
      <c r="L396" s="60" t="s">
        <v>192</v>
      </c>
      <c r="M396" s="60" t="s">
        <v>184</v>
      </c>
      <c r="N396" s="60" t="b">
        <f>FALSE()</f>
        <v>0</v>
      </c>
      <c r="O396" s="60"/>
      <c r="P396" s="60"/>
      <c r="Q396" s="60" t="s">
        <v>236</v>
      </c>
      <c r="R396" s="60" t="s">
        <v>237</v>
      </c>
      <c r="S396" s="60"/>
      <c r="T396" s="60" t="b">
        <f>FALSE()</f>
        <v>0</v>
      </c>
      <c r="U396" s="60" t="b">
        <f>FALSE()</f>
        <v>0</v>
      </c>
      <c r="V396" s="60">
        <v>262</v>
      </c>
      <c r="W396" s="62" t="s">
        <v>1432</v>
      </c>
      <c r="X396" s="60">
        <v>429</v>
      </c>
      <c r="Y396" s="63">
        <v>2.66</v>
      </c>
      <c r="Z396" s="60" t="b">
        <f>FALSE()</f>
        <v>0</v>
      </c>
      <c r="AA396" s="60" t="b">
        <f>TRUE()</f>
        <v>1</v>
      </c>
      <c r="AB396" s="60" t="b">
        <f>TRUE()</f>
        <v>1</v>
      </c>
      <c r="AC396" s="60" t="b">
        <f>FALSE()</f>
        <v>0</v>
      </c>
      <c r="AD396" s="60" t="b">
        <f>TRUE()</f>
        <v>1</v>
      </c>
      <c r="AE396" s="60">
        <v>4</v>
      </c>
      <c r="AF396" s="64">
        <v>57.1</v>
      </c>
      <c r="AG396" s="60" t="s">
        <v>72</v>
      </c>
      <c r="AH396" s="60" t="s">
        <v>1452</v>
      </c>
      <c r="AI396">
        <f>IF(AND(OR(Company_Explorer!$B$5="All Companies",$E396=Company_Explorer!$B$5),OR(Company_Explorer!$B$6="All Platforms",$B396=Company_Explorer!$B$6),OR(Company_Explorer!$B$7="All Roles",$D396=Company_Explorer!$B$7),OR(Company_Explorer!$B$8="All Ghost Labels",$AG396=Company_Explorer!$B$8)),1,0)</f>
        <v>0</v>
      </c>
    </row>
    <row r="397" spans="1:35" ht="15" customHeight="1" x14ac:dyDescent="0.3">
      <c r="A397" s="65" t="s">
        <v>1453</v>
      </c>
      <c r="B397" s="65" t="s">
        <v>80</v>
      </c>
      <c r="C397" s="65" t="s">
        <v>1454</v>
      </c>
      <c r="D397" s="65" t="s">
        <v>131</v>
      </c>
      <c r="E397" s="65" t="s">
        <v>1455</v>
      </c>
      <c r="F397" s="65" t="b">
        <f>TRUE()</f>
        <v>1</v>
      </c>
      <c r="G397" s="65" t="s">
        <v>168</v>
      </c>
      <c r="H397" s="65" t="s">
        <v>254</v>
      </c>
      <c r="I397" s="66">
        <v>46190</v>
      </c>
      <c r="J397" s="66">
        <v>46210</v>
      </c>
      <c r="K397" s="65">
        <v>20</v>
      </c>
      <c r="L397" s="65" t="s">
        <v>192</v>
      </c>
      <c r="M397" s="65" t="s">
        <v>185</v>
      </c>
      <c r="N397" s="65" t="b">
        <f>FALSE()</f>
        <v>0</v>
      </c>
      <c r="O397" s="65"/>
      <c r="P397" s="65"/>
      <c r="Q397" s="65" t="s">
        <v>236</v>
      </c>
      <c r="R397" s="65" t="s">
        <v>237</v>
      </c>
      <c r="S397" s="65"/>
      <c r="T397" s="65" t="b">
        <f>FALSE()</f>
        <v>0</v>
      </c>
      <c r="U397" s="65" t="b">
        <f>FALSE()</f>
        <v>0</v>
      </c>
      <c r="V397" s="65">
        <v>536</v>
      </c>
      <c r="W397" s="67" t="s">
        <v>1456</v>
      </c>
      <c r="X397" s="65">
        <v>2</v>
      </c>
      <c r="Y397" s="68">
        <v>0.01</v>
      </c>
      <c r="Z397" s="65" t="b">
        <f>FALSE()</f>
        <v>0</v>
      </c>
      <c r="AA397" s="65" t="b">
        <f>TRUE()</f>
        <v>1</v>
      </c>
      <c r="AB397" s="65" t="b">
        <f>FALSE()</f>
        <v>0</v>
      </c>
      <c r="AC397" s="65" t="b">
        <f>TRUE()</f>
        <v>1</v>
      </c>
      <c r="AD397" s="65" t="b">
        <f>FALSE()</f>
        <v>0</v>
      </c>
      <c r="AE397" s="65">
        <v>2</v>
      </c>
      <c r="AF397" s="69">
        <v>28.6</v>
      </c>
      <c r="AG397" s="65" t="s">
        <v>73</v>
      </c>
      <c r="AH397" s="65" t="s">
        <v>1457</v>
      </c>
      <c r="AI397">
        <f>IF(AND(OR(Company_Explorer!$B$5="All Companies",$E397=Company_Explorer!$B$5),OR(Company_Explorer!$B$6="All Platforms",$B397=Company_Explorer!$B$6),OR(Company_Explorer!$B$7="All Roles",$D397=Company_Explorer!$B$7),OR(Company_Explorer!$B$8="All Ghost Labels",$AG397=Company_Explorer!$B$8)),1,0)</f>
        <v>0</v>
      </c>
    </row>
    <row r="398" spans="1:35" ht="15" customHeight="1" x14ac:dyDescent="0.3">
      <c r="A398" s="60" t="s">
        <v>1458</v>
      </c>
      <c r="B398" s="60" t="s">
        <v>80</v>
      </c>
      <c r="C398" s="60" t="s">
        <v>258</v>
      </c>
      <c r="D398" s="60" t="s">
        <v>125</v>
      </c>
      <c r="E398" s="60" t="s">
        <v>141</v>
      </c>
      <c r="F398" s="60" t="b">
        <f>TRUE()</f>
        <v>1</v>
      </c>
      <c r="G398" s="60" t="s">
        <v>168</v>
      </c>
      <c r="H398" s="60" t="s">
        <v>254</v>
      </c>
      <c r="I398" s="61">
        <v>46198</v>
      </c>
      <c r="J398" s="61">
        <v>46210</v>
      </c>
      <c r="K398" s="60">
        <v>12</v>
      </c>
      <c r="L398" s="60" t="s">
        <v>192</v>
      </c>
      <c r="M398" s="60" t="s">
        <v>184</v>
      </c>
      <c r="N398" s="60" t="b">
        <f>FALSE()</f>
        <v>0</v>
      </c>
      <c r="O398" s="60"/>
      <c r="P398" s="60"/>
      <c r="Q398" s="60" t="s">
        <v>236</v>
      </c>
      <c r="R398" s="60" t="s">
        <v>237</v>
      </c>
      <c r="S398" s="60"/>
      <c r="T398" s="60" t="b">
        <f>FALSE()</f>
        <v>0</v>
      </c>
      <c r="U398" s="60" t="b">
        <f>FALSE()</f>
        <v>0</v>
      </c>
      <c r="V398" s="60">
        <v>305</v>
      </c>
      <c r="W398" s="62" t="s">
        <v>259</v>
      </c>
      <c r="X398" s="60">
        <v>429</v>
      </c>
      <c r="Y398" s="63">
        <v>2.66</v>
      </c>
      <c r="Z398" s="60" t="b">
        <f>FALSE()</f>
        <v>0</v>
      </c>
      <c r="AA398" s="60" t="b">
        <f>TRUE()</f>
        <v>1</v>
      </c>
      <c r="AB398" s="60" t="b">
        <f>FALSE()</f>
        <v>0</v>
      </c>
      <c r="AC398" s="60" t="b">
        <f>FALSE()</f>
        <v>0</v>
      </c>
      <c r="AD398" s="60" t="b">
        <f>TRUE()</f>
        <v>1</v>
      </c>
      <c r="AE398" s="60">
        <v>3</v>
      </c>
      <c r="AF398" s="64">
        <v>42.9</v>
      </c>
      <c r="AG398" s="60" t="s">
        <v>73</v>
      </c>
      <c r="AH398" s="60" t="s">
        <v>1459</v>
      </c>
      <c r="AI398">
        <f>IF(AND(OR(Company_Explorer!$B$5="All Companies",$E398=Company_Explorer!$B$5),OR(Company_Explorer!$B$6="All Platforms",$B398=Company_Explorer!$B$6),OR(Company_Explorer!$B$7="All Roles",$D398=Company_Explorer!$B$7),OR(Company_Explorer!$B$8="All Ghost Labels",$AG398=Company_Explorer!$B$8)),1,0)</f>
        <v>0</v>
      </c>
    </row>
    <row r="399" spans="1:35" ht="15" customHeight="1" x14ac:dyDescent="0.3">
      <c r="A399" s="65" t="s">
        <v>1460</v>
      </c>
      <c r="B399" s="65" t="s">
        <v>80</v>
      </c>
      <c r="C399" s="65" t="s">
        <v>345</v>
      </c>
      <c r="D399" s="65" t="s">
        <v>125</v>
      </c>
      <c r="E399" s="65" t="s">
        <v>853</v>
      </c>
      <c r="F399" s="65" t="b">
        <f>TRUE()</f>
        <v>1</v>
      </c>
      <c r="G399" s="65" t="s">
        <v>253</v>
      </c>
      <c r="H399" s="65" t="s">
        <v>254</v>
      </c>
      <c r="I399" s="66">
        <v>46184</v>
      </c>
      <c r="J399" s="66">
        <v>46210</v>
      </c>
      <c r="K399" s="65">
        <v>26</v>
      </c>
      <c r="L399" s="65" t="s">
        <v>192</v>
      </c>
      <c r="M399" s="65" t="s">
        <v>184</v>
      </c>
      <c r="N399" s="65" t="b">
        <f>FALSE()</f>
        <v>0</v>
      </c>
      <c r="O399" s="65"/>
      <c r="P399" s="65"/>
      <c r="Q399" s="65" t="s">
        <v>236</v>
      </c>
      <c r="R399" s="65" t="s">
        <v>237</v>
      </c>
      <c r="S399" s="65"/>
      <c r="T399" s="65" t="b">
        <f>FALSE()</f>
        <v>0</v>
      </c>
      <c r="U399" s="65" t="b">
        <f>FALSE()</f>
        <v>0</v>
      </c>
      <c r="V399" s="65">
        <v>357</v>
      </c>
      <c r="W399" s="67" t="s">
        <v>1461</v>
      </c>
      <c r="X399" s="65">
        <v>2</v>
      </c>
      <c r="Y399" s="68">
        <v>0.01</v>
      </c>
      <c r="Z399" s="65" t="b">
        <f>FALSE()</f>
        <v>0</v>
      </c>
      <c r="AA399" s="65" t="b">
        <f>TRUE()</f>
        <v>1</v>
      </c>
      <c r="AB399" s="65" t="b">
        <f>FALSE()</f>
        <v>0</v>
      </c>
      <c r="AC399" s="65" t="b">
        <f>TRUE()</f>
        <v>1</v>
      </c>
      <c r="AD399" s="65" t="b">
        <f>FALSE()</f>
        <v>0</v>
      </c>
      <c r="AE399" s="65">
        <v>2</v>
      </c>
      <c r="AF399" s="69">
        <v>28.6</v>
      </c>
      <c r="AG399" s="65" t="s">
        <v>73</v>
      </c>
      <c r="AH399" s="65" t="s">
        <v>1462</v>
      </c>
      <c r="AI399">
        <f>IF(AND(OR(Company_Explorer!$B$5="All Companies",$E399=Company_Explorer!$B$5),OR(Company_Explorer!$B$6="All Platforms",$B399=Company_Explorer!$B$6),OR(Company_Explorer!$B$7="All Roles",$D399=Company_Explorer!$B$7),OR(Company_Explorer!$B$8="All Ghost Labels",$AG399=Company_Explorer!$B$8)),1,0)</f>
        <v>0</v>
      </c>
    </row>
    <row r="400" spans="1:35" ht="15" customHeight="1" x14ac:dyDescent="0.3">
      <c r="A400" s="60" t="s">
        <v>1463</v>
      </c>
      <c r="B400" s="60" t="s">
        <v>80</v>
      </c>
      <c r="C400" s="60" t="s">
        <v>258</v>
      </c>
      <c r="D400" s="60" t="s">
        <v>125</v>
      </c>
      <c r="E400" s="60" t="s">
        <v>141</v>
      </c>
      <c r="F400" s="60" t="b">
        <f>TRUE()</f>
        <v>1</v>
      </c>
      <c r="G400" s="60" t="s">
        <v>167</v>
      </c>
      <c r="H400" s="60" t="s">
        <v>276</v>
      </c>
      <c r="I400" s="61">
        <v>46200</v>
      </c>
      <c r="J400" s="61">
        <v>46210</v>
      </c>
      <c r="K400" s="60">
        <v>10</v>
      </c>
      <c r="L400" s="60" t="s">
        <v>192</v>
      </c>
      <c r="M400" s="60" t="s">
        <v>184</v>
      </c>
      <c r="N400" s="60" t="b">
        <f>FALSE()</f>
        <v>0</v>
      </c>
      <c r="O400" s="60"/>
      <c r="P400" s="60"/>
      <c r="Q400" s="60" t="s">
        <v>236</v>
      </c>
      <c r="R400" s="60" t="s">
        <v>237</v>
      </c>
      <c r="S400" s="60"/>
      <c r="T400" s="60" t="b">
        <f>FALSE()</f>
        <v>0</v>
      </c>
      <c r="U400" s="60" t="b">
        <f>FALSE()</f>
        <v>0</v>
      </c>
      <c r="V400" s="60">
        <v>323</v>
      </c>
      <c r="W400" s="62" t="s">
        <v>259</v>
      </c>
      <c r="X400" s="60">
        <v>429</v>
      </c>
      <c r="Y400" s="63">
        <v>2.66</v>
      </c>
      <c r="Z400" s="60" t="b">
        <f>FALSE()</f>
        <v>0</v>
      </c>
      <c r="AA400" s="60" t="b">
        <f>TRUE()</f>
        <v>1</v>
      </c>
      <c r="AB400" s="60" t="b">
        <f>FALSE()</f>
        <v>0</v>
      </c>
      <c r="AC400" s="60" t="b">
        <f>FALSE()</f>
        <v>0</v>
      </c>
      <c r="AD400" s="60" t="b">
        <f>TRUE()</f>
        <v>1</v>
      </c>
      <c r="AE400" s="60">
        <v>3</v>
      </c>
      <c r="AF400" s="64">
        <v>42.9</v>
      </c>
      <c r="AG400" s="60" t="s">
        <v>73</v>
      </c>
      <c r="AH400" s="60" t="s">
        <v>1464</v>
      </c>
      <c r="AI400">
        <f>IF(AND(OR(Company_Explorer!$B$5="All Companies",$E400=Company_Explorer!$B$5),OR(Company_Explorer!$B$6="All Platforms",$B400=Company_Explorer!$B$6),OR(Company_Explorer!$B$7="All Roles",$D400=Company_Explorer!$B$7),OR(Company_Explorer!$B$8="All Ghost Labels",$AG400=Company_Explorer!$B$8)),1,0)</f>
        <v>0</v>
      </c>
    </row>
    <row r="401" spans="1:35" ht="15" customHeight="1" x14ac:dyDescent="0.3">
      <c r="A401" s="65" t="s">
        <v>1465</v>
      </c>
      <c r="B401" s="65" t="s">
        <v>80</v>
      </c>
      <c r="C401" s="65" t="s">
        <v>258</v>
      </c>
      <c r="D401" s="65" t="s">
        <v>125</v>
      </c>
      <c r="E401" s="65" t="s">
        <v>141</v>
      </c>
      <c r="F401" s="65" t="b">
        <f>TRUE()</f>
        <v>1</v>
      </c>
      <c r="G401" s="65" t="s">
        <v>170</v>
      </c>
      <c r="H401" s="65" t="s">
        <v>165</v>
      </c>
      <c r="I401" s="66">
        <v>46198</v>
      </c>
      <c r="J401" s="66">
        <v>46210</v>
      </c>
      <c r="K401" s="65">
        <v>12</v>
      </c>
      <c r="L401" s="65" t="s">
        <v>192</v>
      </c>
      <c r="M401" s="65" t="s">
        <v>184</v>
      </c>
      <c r="N401" s="65" t="b">
        <f>FALSE()</f>
        <v>0</v>
      </c>
      <c r="O401" s="65"/>
      <c r="P401" s="65"/>
      <c r="Q401" s="65" t="s">
        <v>236</v>
      </c>
      <c r="R401" s="65" t="s">
        <v>237</v>
      </c>
      <c r="S401" s="65"/>
      <c r="T401" s="65" t="b">
        <f>FALSE()</f>
        <v>0</v>
      </c>
      <c r="U401" s="65" t="b">
        <f>FALSE()</f>
        <v>0</v>
      </c>
      <c r="V401" s="65">
        <v>333</v>
      </c>
      <c r="W401" s="67" t="s">
        <v>259</v>
      </c>
      <c r="X401" s="65">
        <v>429</v>
      </c>
      <c r="Y401" s="68">
        <v>2.66</v>
      </c>
      <c r="Z401" s="65" t="b">
        <f>FALSE()</f>
        <v>0</v>
      </c>
      <c r="AA401" s="65" t="b">
        <f>TRUE()</f>
        <v>1</v>
      </c>
      <c r="AB401" s="65" t="b">
        <f>FALSE()</f>
        <v>0</v>
      </c>
      <c r="AC401" s="65" t="b">
        <f>FALSE()</f>
        <v>0</v>
      </c>
      <c r="AD401" s="65" t="b">
        <f>TRUE()</f>
        <v>1</v>
      </c>
      <c r="AE401" s="65">
        <v>3</v>
      </c>
      <c r="AF401" s="69">
        <v>42.9</v>
      </c>
      <c r="AG401" s="65" t="s">
        <v>73</v>
      </c>
      <c r="AH401" s="65" t="s">
        <v>1466</v>
      </c>
      <c r="AI401">
        <f>IF(AND(OR(Company_Explorer!$B$5="All Companies",$E401=Company_Explorer!$B$5),OR(Company_Explorer!$B$6="All Platforms",$B401=Company_Explorer!$B$6),OR(Company_Explorer!$B$7="All Roles",$D401=Company_Explorer!$B$7),OR(Company_Explorer!$B$8="All Ghost Labels",$AG401=Company_Explorer!$B$8)),1,0)</f>
        <v>0</v>
      </c>
    </row>
    <row r="402" spans="1:35" ht="15" customHeight="1" x14ac:dyDescent="0.3">
      <c r="A402" s="60" t="s">
        <v>1467</v>
      </c>
      <c r="B402" s="60" t="s">
        <v>80</v>
      </c>
      <c r="C402" s="60" t="s">
        <v>258</v>
      </c>
      <c r="D402" s="60" t="s">
        <v>125</v>
      </c>
      <c r="E402" s="60" t="s">
        <v>141</v>
      </c>
      <c r="F402" s="60" t="b">
        <f>TRUE()</f>
        <v>1</v>
      </c>
      <c r="G402" s="60" t="s">
        <v>167</v>
      </c>
      <c r="H402" s="60" t="s">
        <v>276</v>
      </c>
      <c r="I402" s="61">
        <v>46202</v>
      </c>
      <c r="J402" s="61">
        <v>46210</v>
      </c>
      <c r="K402" s="60">
        <v>8</v>
      </c>
      <c r="L402" s="60" t="s">
        <v>192</v>
      </c>
      <c r="M402" s="60" t="s">
        <v>184</v>
      </c>
      <c r="N402" s="60" t="b">
        <f>FALSE()</f>
        <v>0</v>
      </c>
      <c r="O402" s="60"/>
      <c r="P402" s="60"/>
      <c r="Q402" s="60" t="s">
        <v>236</v>
      </c>
      <c r="R402" s="60" t="s">
        <v>237</v>
      </c>
      <c r="S402" s="60"/>
      <c r="T402" s="60" t="b">
        <f>FALSE()</f>
        <v>0</v>
      </c>
      <c r="U402" s="60" t="b">
        <f>FALSE()</f>
        <v>0</v>
      </c>
      <c r="V402" s="60">
        <v>330</v>
      </c>
      <c r="W402" s="62" t="s">
        <v>259</v>
      </c>
      <c r="X402" s="60">
        <v>429</v>
      </c>
      <c r="Y402" s="63">
        <v>2.66</v>
      </c>
      <c r="Z402" s="60" t="b">
        <f>FALSE()</f>
        <v>0</v>
      </c>
      <c r="AA402" s="60" t="b">
        <f>TRUE()</f>
        <v>1</v>
      </c>
      <c r="AB402" s="60" t="b">
        <f>FALSE()</f>
        <v>0</v>
      </c>
      <c r="AC402" s="60" t="b">
        <f>FALSE()</f>
        <v>0</v>
      </c>
      <c r="AD402" s="60" t="b">
        <f>TRUE()</f>
        <v>1</v>
      </c>
      <c r="AE402" s="60">
        <v>3</v>
      </c>
      <c r="AF402" s="64">
        <v>42.9</v>
      </c>
      <c r="AG402" s="60" t="s">
        <v>73</v>
      </c>
      <c r="AH402" s="60" t="s">
        <v>1468</v>
      </c>
      <c r="AI402">
        <f>IF(AND(OR(Company_Explorer!$B$5="All Companies",$E402=Company_Explorer!$B$5),OR(Company_Explorer!$B$6="All Platforms",$B402=Company_Explorer!$B$6),OR(Company_Explorer!$B$7="All Roles",$D402=Company_Explorer!$B$7),OR(Company_Explorer!$B$8="All Ghost Labels",$AG402=Company_Explorer!$B$8)),1,0)</f>
        <v>0</v>
      </c>
    </row>
    <row r="403" spans="1:35" ht="15" customHeight="1" x14ac:dyDescent="0.3">
      <c r="A403" s="65" t="s">
        <v>1469</v>
      </c>
      <c r="B403" s="65" t="s">
        <v>80</v>
      </c>
      <c r="C403" s="65" t="s">
        <v>125</v>
      </c>
      <c r="D403" s="65" t="s">
        <v>125</v>
      </c>
      <c r="E403" s="65" t="s">
        <v>1470</v>
      </c>
      <c r="F403" s="65" t="b">
        <f>TRUE()</f>
        <v>1</v>
      </c>
      <c r="G403" s="65" t="s">
        <v>166</v>
      </c>
      <c r="H403" s="65" t="s">
        <v>235</v>
      </c>
      <c r="I403" s="66">
        <v>45885</v>
      </c>
      <c r="J403" s="66">
        <v>46210</v>
      </c>
      <c r="K403" s="65">
        <v>325</v>
      </c>
      <c r="L403" s="65" t="s">
        <v>193</v>
      </c>
      <c r="M403" s="65" t="s">
        <v>185</v>
      </c>
      <c r="N403" s="65" t="b">
        <f>FALSE()</f>
        <v>0</v>
      </c>
      <c r="O403" s="65"/>
      <c r="P403" s="65"/>
      <c r="Q403" s="65" t="s">
        <v>236</v>
      </c>
      <c r="R403" s="65" t="s">
        <v>237</v>
      </c>
      <c r="S403" s="65"/>
      <c r="T403" s="65" t="b">
        <f>FALSE()</f>
        <v>0</v>
      </c>
      <c r="U403" s="65" t="b">
        <f>FALSE()</f>
        <v>0</v>
      </c>
      <c r="V403" s="65">
        <v>640</v>
      </c>
      <c r="W403" s="67" t="s">
        <v>1471</v>
      </c>
      <c r="X403" s="65">
        <v>1</v>
      </c>
      <c r="Y403" s="68">
        <v>0.01</v>
      </c>
      <c r="Z403" s="65" t="b">
        <f>FALSE()</f>
        <v>0</v>
      </c>
      <c r="AA403" s="65" t="b">
        <f>TRUE()</f>
        <v>1</v>
      </c>
      <c r="AB403" s="65" t="b">
        <f>FALSE()</f>
        <v>0</v>
      </c>
      <c r="AC403" s="65" t="b">
        <f>TRUE()</f>
        <v>1</v>
      </c>
      <c r="AD403" s="65" t="b">
        <f>FALSE()</f>
        <v>0</v>
      </c>
      <c r="AE403" s="65">
        <v>2</v>
      </c>
      <c r="AF403" s="69">
        <v>28.6</v>
      </c>
      <c r="AG403" s="65" t="s">
        <v>73</v>
      </c>
      <c r="AH403" s="65" t="s">
        <v>1472</v>
      </c>
      <c r="AI403">
        <f>IF(AND(OR(Company_Explorer!$B$5="All Companies",$E403=Company_Explorer!$B$5),OR(Company_Explorer!$B$6="All Platforms",$B403=Company_Explorer!$B$6),OR(Company_Explorer!$B$7="All Roles",$D403=Company_Explorer!$B$7),OR(Company_Explorer!$B$8="All Ghost Labels",$AG403=Company_Explorer!$B$8)),1,0)</f>
        <v>0</v>
      </c>
    </row>
    <row r="404" spans="1:35" ht="15" customHeight="1" x14ac:dyDescent="0.3">
      <c r="A404" s="60" t="s">
        <v>1473</v>
      </c>
      <c r="B404" s="60" t="s">
        <v>80</v>
      </c>
      <c r="C404" s="60" t="s">
        <v>130</v>
      </c>
      <c r="D404" s="60" t="s">
        <v>130</v>
      </c>
      <c r="E404" s="60" t="s">
        <v>141</v>
      </c>
      <c r="F404" s="60" t="b">
        <f>TRUE()</f>
        <v>1</v>
      </c>
      <c r="G404" s="60" t="s">
        <v>269</v>
      </c>
      <c r="H404" s="60" t="s">
        <v>270</v>
      </c>
      <c r="I404" s="61">
        <v>46198</v>
      </c>
      <c r="J404" s="61">
        <v>46210</v>
      </c>
      <c r="K404" s="60">
        <v>12</v>
      </c>
      <c r="L404" s="60" t="s">
        <v>192</v>
      </c>
      <c r="M404" s="60" t="s">
        <v>184</v>
      </c>
      <c r="N404" s="60" t="b">
        <f>FALSE()</f>
        <v>0</v>
      </c>
      <c r="O404" s="60"/>
      <c r="P404" s="60"/>
      <c r="Q404" s="60" t="s">
        <v>236</v>
      </c>
      <c r="R404" s="60" t="s">
        <v>237</v>
      </c>
      <c r="S404" s="60"/>
      <c r="T404" s="60" t="b">
        <f>FALSE()</f>
        <v>0</v>
      </c>
      <c r="U404" s="60" t="b">
        <f>FALSE()</f>
        <v>0</v>
      </c>
      <c r="V404" s="60">
        <v>331</v>
      </c>
      <c r="W404" s="62" t="s">
        <v>861</v>
      </c>
      <c r="X404" s="60">
        <v>429</v>
      </c>
      <c r="Y404" s="63">
        <v>2.66</v>
      </c>
      <c r="Z404" s="60" t="b">
        <f>FALSE()</f>
        <v>0</v>
      </c>
      <c r="AA404" s="60" t="b">
        <f>TRUE()</f>
        <v>1</v>
      </c>
      <c r="AB404" s="60" t="b">
        <f>FALSE()</f>
        <v>0</v>
      </c>
      <c r="AC404" s="60" t="b">
        <f>FALSE()</f>
        <v>0</v>
      </c>
      <c r="AD404" s="60" t="b">
        <f>TRUE()</f>
        <v>1</v>
      </c>
      <c r="AE404" s="60">
        <v>3</v>
      </c>
      <c r="AF404" s="64">
        <v>42.9</v>
      </c>
      <c r="AG404" s="60" t="s">
        <v>73</v>
      </c>
      <c r="AH404" s="60" t="s">
        <v>1474</v>
      </c>
      <c r="AI404">
        <f>IF(AND(OR(Company_Explorer!$B$5="All Companies",$E404=Company_Explorer!$B$5),OR(Company_Explorer!$B$6="All Platforms",$B404=Company_Explorer!$B$6),OR(Company_Explorer!$B$7="All Roles",$D404=Company_Explorer!$B$7),OR(Company_Explorer!$B$8="All Ghost Labels",$AG404=Company_Explorer!$B$8)),1,0)</f>
        <v>0</v>
      </c>
    </row>
    <row r="405" spans="1:35" ht="15" customHeight="1" x14ac:dyDescent="0.3">
      <c r="A405" s="65" t="s">
        <v>1475</v>
      </c>
      <c r="B405" s="65" t="s">
        <v>80</v>
      </c>
      <c r="C405" s="65" t="s">
        <v>1476</v>
      </c>
      <c r="D405" s="65" t="s">
        <v>125</v>
      </c>
      <c r="E405" s="65" t="s">
        <v>1477</v>
      </c>
      <c r="F405" s="65" t="b">
        <f>TRUE()</f>
        <v>1</v>
      </c>
      <c r="G405" s="65" t="s">
        <v>178</v>
      </c>
      <c r="H405" s="65" t="s">
        <v>165</v>
      </c>
      <c r="I405" s="66">
        <v>46209</v>
      </c>
      <c r="J405" s="66">
        <v>46210</v>
      </c>
      <c r="K405" s="65">
        <v>1</v>
      </c>
      <c r="L405" s="65" t="s">
        <v>196</v>
      </c>
      <c r="M405" s="65" t="s">
        <v>185</v>
      </c>
      <c r="N405" s="65" t="b">
        <f>TRUE()</f>
        <v>1</v>
      </c>
      <c r="O405" s="71">
        <v>35</v>
      </c>
      <c r="P405" s="65"/>
      <c r="Q405" s="65" t="s">
        <v>332</v>
      </c>
      <c r="R405" s="65" t="s">
        <v>237</v>
      </c>
      <c r="S405" s="65"/>
      <c r="T405" s="65" t="b">
        <f>FALSE()</f>
        <v>0</v>
      </c>
      <c r="U405" s="65" t="b">
        <f>FALSE()</f>
        <v>0</v>
      </c>
      <c r="V405" s="65">
        <v>706</v>
      </c>
      <c r="W405" s="65" t="s">
        <v>1478</v>
      </c>
      <c r="X405" s="65">
        <v>3</v>
      </c>
      <c r="Y405" s="68">
        <v>0.02</v>
      </c>
      <c r="Z405" s="65" t="b">
        <f>FALSE()</f>
        <v>0</v>
      </c>
      <c r="AA405" s="65" t="b">
        <f>FALSE()</f>
        <v>0</v>
      </c>
      <c r="AB405" s="65" t="b">
        <f>FALSE()</f>
        <v>0</v>
      </c>
      <c r="AC405" s="65" t="b">
        <f>FALSE()</f>
        <v>0</v>
      </c>
      <c r="AD405" s="65" t="b">
        <f>FALSE()</f>
        <v>0</v>
      </c>
      <c r="AE405" s="65">
        <v>0</v>
      </c>
      <c r="AF405" s="69">
        <v>0</v>
      </c>
      <c r="AG405" s="65" t="s">
        <v>74</v>
      </c>
      <c r="AH405" s="65" t="s">
        <v>1479</v>
      </c>
      <c r="AI405">
        <f>IF(AND(OR(Company_Explorer!$B$5="All Companies",$E405=Company_Explorer!$B$5),OR(Company_Explorer!$B$6="All Platforms",$B405=Company_Explorer!$B$6),OR(Company_Explorer!$B$7="All Roles",$D405=Company_Explorer!$B$7),OR(Company_Explorer!$B$8="All Ghost Labels",$AG405=Company_Explorer!$B$8)),1,0)</f>
        <v>0</v>
      </c>
    </row>
    <row r="406" spans="1:35" ht="15" customHeight="1" x14ac:dyDescent="0.3">
      <c r="A406" s="60" t="s">
        <v>1480</v>
      </c>
      <c r="B406" s="60" t="s">
        <v>80</v>
      </c>
      <c r="C406" s="60" t="s">
        <v>258</v>
      </c>
      <c r="D406" s="60" t="s">
        <v>125</v>
      </c>
      <c r="E406" s="60" t="s">
        <v>141</v>
      </c>
      <c r="F406" s="60" t="b">
        <f>TRUE()</f>
        <v>1</v>
      </c>
      <c r="G406" s="60" t="s">
        <v>169</v>
      </c>
      <c r="H406" s="60" t="s">
        <v>294</v>
      </c>
      <c r="I406" s="61">
        <v>46198</v>
      </c>
      <c r="J406" s="61">
        <v>46210</v>
      </c>
      <c r="K406" s="60">
        <v>12</v>
      </c>
      <c r="L406" s="60" t="s">
        <v>192</v>
      </c>
      <c r="M406" s="60" t="s">
        <v>184</v>
      </c>
      <c r="N406" s="60" t="b">
        <f>FALSE()</f>
        <v>0</v>
      </c>
      <c r="O406" s="60"/>
      <c r="P406" s="60"/>
      <c r="Q406" s="60" t="s">
        <v>236</v>
      </c>
      <c r="R406" s="60" t="s">
        <v>237</v>
      </c>
      <c r="S406" s="60"/>
      <c r="T406" s="60" t="b">
        <f>FALSE()</f>
        <v>0</v>
      </c>
      <c r="U406" s="60" t="b">
        <f>FALSE()</f>
        <v>0</v>
      </c>
      <c r="V406" s="60">
        <v>271</v>
      </c>
      <c r="W406" s="62" t="s">
        <v>259</v>
      </c>
      <c r="X406" s="60">
        <v>429</v>
      </c>
      <c r="Y406" s="63">
        <v>2.66</v>
      </c>
      <c r="Z406" s="60" t="b">
        <f>FALSE()</f>
        <v>0</v>
      </c>
      <c r="AA406" s="60" t="b">
        <f>TRUE()</f>
        <v>1</v>
      </c>
      <c r="AB406" s="60" t="b">
        <f>TRUE()</f>
        <v>1</v>
      </c>
      <c r="AC406" s="60" t="b">
        <f>FALSE()</f>
        <v>0</v>
      </c>
      <c r="AD406" s="60" t="b">
        <f>TRUE()</f>
        <v>1</v>
      </c>
      <c r="AE406" s="60">
        <v>4</v>
      </c>
      <c r="AF406" s="64">
        <v>57.1</v>
      </c>
      <c r="AG406" s="60" t="s">
        <v>72</v>
      </c>
      <c r="AH406" s="60" t="s">
        <v>1481</v>
      </c>
      <c r="AI406">
        <f>IF(AND(OR(Company_Explorer!$B$5="All Companies",$E406=Company_Explorer!$B$5),OR(Company_Explorer!$B$6="All Platforms",$B406=Company_Explorer!$B$6),OR(Company_Explorer!$B$7="All Roles",$D406=Company_Explorer!$B$7),OR(Company_Explorer!$B$8="All Ghost Labels",$AG406=Company_Explorer!$B$8)),1,0)</f>
        <v>0</v>
      </c>
    </row>
    <row r="407" spans="1:35" ht="15" customHeight="1" x14ac:dyDescent="0.3">
      <c r="A407" s="65" t="s">
        <v>1482</v>
      </c>
      <c r="B407" s="65" t="s">
        <v>80</v>
      </c>
      <c r="C407" s="65" t="s">
        <v>1483</v>
      </c>
      <c r="D407" s="65" t="s">
        <v>131</v>
      </c>
      <c r="E407" s="65" t="s">
        <v>1484</v>
      </c>
      <c r="F407" s="65" t="b">
        <f>TRUE()</f>
        <v>1</v>
      </c>
      <c r="G407" s="65" t="s">
        <v>171</v>
      </c>
      <c r="H407" s="65" t="s">
        <v>254</v>
      </c>
      <c r="I407" s="66">
        <v>45688</v>
      </c>
      <c r="J407" s="66">
        <v>46210</v>
      </c>
      <c r="K407" s="65">
        <v>522</v>
      </c>
      <c r="L407" s="65" t="s">
        <v>192</v>
      </c>
      <c r="M407" s="65" t="s">
        <v>185</v>
      </c>
      <c r="N407" s="65" t="b">
        <f>FALSE()</f>
        <v>0</v>
      </c>
      <c r="O407" s="65"/>
      <c r="P407" s="65"/>
      <c r="Q407" s="65" t="s">
        <v>236</v>
      </c>
      <c r="R407" s="65" t="s">
        <v>237</v>
      </c>
      <c r="S407" s="65"/>
      <c r="T407" s="65" t="b">
        <f>FALSE()</f>
        <v>0</v>
      </c>
      <c r="U407" s="65" t="b">
        <f>FALSE()</f>
        <v>0</v>
      </c>
      <c r="V407" s="65">
        <v>652</v>
      </c>
      <c r="W407" s="67" t="s">
        <v>1485</v>
      </c>
      <c r="X407" s="65">
        <v>1</v>
      </c>
      <c r="Y407" s="68">
        <v>0.01</v>
      </c>
      <c r="Z407" s="65" t="b">
        <f>FALSE()</f>
        <v>0</v>
      </c>
      <c r="AA407" s="65" t="b">
        <f>TRUE()</f>
        <v>1</v>
      </c>
      <c r="AB407" s="65" t="b">
        <f>FALSE()</f>
        <v>0</v>
      </c>
      <c r="AC407" s="65" t="b">
        <f>TRUE()</f>
        <v>1</v>
      </c>
      <c r="AD407" s="65" t="b">
        <f>FALSE()</f>
        <v>0</v>
      </c>
      <c r="AE407" s="65">
        <v>2</v>
      </c>
      <c r="AF407" s="69">
        <v>28.6</v>
      </c>
      <c r="AG407" s="65" t="s">
        <v>73</v>
      </c>
      <c r="AH407" s="65" t="s">
        <v>1486</v>
      </c>
      <c r="AI407">
        <f>IF(AND(OR(Company_Explorer!$B$5="All Companies",$E407=Company_Explorer!$B$5),OR(Company_Explorer!$B$6="All Platforms",$B407=Company_Explorer!$B$6),OR(Company_Explorer!$B$7="All Roles",$D407=Company_Explorer!$B$7),OR(Company_Explorer!$B$8="All Ghost Labels",$AG407=Company_Explorer!$B$8)),1,0)</f>
        <v>0</v>
      </c>
    </row>
    <row r="408" spans="1:35" ht="15" customHeight="1" x14ac:dyDescent="0.3">
      <c r="A408" s="60" t="s">
        <v>1487</v>
      </c>
      <c r="B408" s="60" t="s">
        <v>80</v>
      </c>
      <c r="C408" s="60" t="s">
        <v>125</v>
      </c>
      <c r="D408" s="60" t="s">
        <v>125</v>
      </c>
      <c r="E408" s="60" t="s">
        <v>1488</v>
      </c>
      <c r="F408" s="60" t="b">
        <f>TRUE()</f>
        <v>1</v>
      </c>
      <c r="G408" s="60" t="s">
        <v>166</v>
      </c>
      <c r="H408" s="60" t="s">
        <v>235</v>
      </c>
      <c r="I408" s="61">
        <v>46196</v>
      </c>
      <c r="J408" s="61">
        <v>46210</v>
      </c>
      <c r="K408" s="60">
        <v>14</v>
      </c>
      <c r="L408" s="60" t="s">
        <v>192</v>
      </c>
      <c r="M408" s="60" t="s">
        <v>184</v>
      </c>
      <c r="N408" s="60" t="b">
        <f>FALSE()</f>
        <v>0</v>
      </c>
      <c r="O408" s="60"/>
      <c r="P408" s="60"/>
      <c r="Q408" s="60" t="s">
        <v>236</v>
      </c>
      <c r="R408" s="60" t="s">
        <v>237</v>
      </c>
      <c r="S408" s="60"/>
      <c r="T408" s="60" t="b">
        <f>FALSE()</f>
        <v>0</v>
      </c>
      <c r="U408" s="60" t="b">
        <f>FALSE()</f>
        <v>0</v>
      </c>
      <c r="V408" s="60">
        <v>501</v>
      </c>
      <c r="W408" s="60" t="s">
        <v>1489</v>
      </c>
      <c r="X408" s="60">
        <v>1</v>
      </c>
      <c r="Y408" s="63">
        <v>0.01</v>
      </c>
      <c r="Z408" s="60" t="b">
        <f>FALSE()</f>
        <v>0</v>
      </c>
      <c r="AA408" s="60" t="b">
        <f>TRUE()</f>
        <v>1</v>
      </c>
      <c r="AB408" s="60" t="b">
        <f>FALSE()</f>
        <v>0</v>
      </c>
      <c r="AC408" s="60" t="b">
        <f>FALSE()</f>
        <v>0</v>
      </c>
      <c r="AD408" s="60" t="b">
        <f>FALSE()</f>
        <v>0</v>
      </c>
      <c r="AE408" s="60">
        <v>1</v>
      </c>
      <c r="AF408" s="64">
        <v>14.3</v>
      </c>
      <c r="AG408" s="60" t="s">
        <v>74</v>
      </c>
      <c r="AH408" s="60" t="s">
        <v>1490</v>
      </c>
      <c r="AI408">
        <f>IF(AND(OR(Company_Explorer!$B$5="All Companies",$E408=Company_Explorer!$B$5),OR(Company_Explorer!$B$6="All Platforms",$B408=Company_Explorer!$B$6),OR(Company_Explorer!$B$7="All Roles",$D408=Company_Explorer!$B$7),OR(Company_Explorer!$B$8="All Ghost Labels",$AG408=Company_Explorer!$B$8)),1,0)</f>
        <v>0</v>
      </c>
    </row>
    <row r="409" spans="1:35" ht="15" customHeight="1" x14ac:dyDescent="0.3">
      <c r="A409" s="65" t="s">
        <v>1491</v>
      </c>
      <c r="B409" s="65" t="s">
        <v>80</v>
      </c>
      <c r="C409" s="65" t="s">
        <v>1492</v>
      </c>
      <c r="D409" s="65" t="s">
        <v>131</v>
      </c>
      <c r="E409" s="65" t="s">
        <v>764</v>
      </c>
      <c r="F409" s="65" t="b">
        <f>TRUE()</f>
        <v>1</v>
      </c>
      <c r="G409" s="65" t="s">
        <v>166</v>
      </c>
      <c r="H409" s="65" t="s">
        <v>235</v>
      </c>
      <c r="I409" s="66">
        <v>46192</v>
      </c>
      <c r="J409" s="66">
        <v>46210</v>
      </c>
      <c r="K409" s="65">
        <v>18</v>
      </c>
      <c r="L409" s="65" t="s">
        <v>192</v>
      </c>
      <c r="M409" s="65" t="s">
        <v>185</v>
      </c>
      <c r="N409" s="65" t="b">
        <f>FALSE()</f>
        <v>0</v>
      </c>
      <c r="O409" s="65"/>
      <c r="P409" s="65"/>
      <c r="Q409" s="65" t="s">
        <v>236</v>
      </c>
      <c r="R409" s="65" t="s">
        <v>237</v>
      </c>
      <c r="S409" s="65"/>
      <c r="T409" s="65" t="b">
        <f>FALSE()</f>
        <v>0</v>
      </c>
      <c r="U409" s="65" t="b">
        <f>FALSE()</f>
        <v>0</v>
      </c>
      <c r="V409" s="65">
        <v>648</v>
      </c>
      <c r="W409" s="65" t="s">
        <v>765</v>
      </c>
      <c r="X409" s="65">
        <v>3</v>
      </c>
      <c r="Y409" s="68">
        <v>0.02</v>
      </c>
      <c r="Z409" s="65" t="b">
        <f>FALSE()</f>
        <v>0</v>
      </c>
      <c r="AA409" s="65" t="b">
        <f>TRUE()</f>
        <v>1</v>
      </c>
      <c r="AB409" s="65" t="b">
        <f>FALSE()</f>
        <v>0</v>
      </c>
      <c r="AC409" s="65" t="b">
        <f>FALSE()</f>
        <v>0</v>
      </c>
      <c r="AD409" s="65" t="b">
        <f>FALSE()</f>
        <v>0</v>
      </c>
      <c r="AE409" s="65">
        <v>1</v>
      </c>
      <c r="AF409" s="69">
        <v>14.3</v>
      </c>
      <c r="AG409" s="65" t="s">
        <v>74</v>
      </c>
      <c r="AH409" s="65" t="s">
        <v>1493</v>
      </c>
      <c r="AI409">
        <f>IF(AND(OR(Company_Explorer!$B$5="All Companies",$E409=Company_Explorer!$B$5),OR(Company_Explorer!$B$6="All Platforms",$B409=Company_Explorer!$B$6),OR(Company_Explorer!$B$7="All Roles",$D409=Company_Explorer!$B$7),OR(Company_Explorer!$B$8="All Ghost Labels",$AG409=Company_Explorer!$B$8)),1,0)</f>
        <v>0</v>
      </c>
    </row>
    <row r="410" spans="1:35" ht="15" customHeight="1" x14ac:dyDescent="0.3">
      <c r="A410" s="60" t="s">
        <v>1494</v>
      </c>
      <c r="B410" s="60" t="s">
        <v>80</v>
      </c>
      <c r="C410" s="60" t="s">
        <v>1495</v>
      </c>
      <c r="D410" s="60" t="s">
        <v>125</v>
      </c>
      <c r="E410" s="60" t="s">
        <v>1496</v>
      </c>
      <c r="F410" s="60" t="b">
        <f>TRUE()</f>
        <v>1</v>
      </c>
      <c r="G410" s="60" t="s">
        <v>166</v>
      </c>
      <c r="H410" s="60" t="s">
        <v>235</v>
      </c>
      <c r="I410" s="61">
        <v>46128</v>
      </c>
      <c r="J410" s="61">
        <v>46210</v>
      </c>
      <c r="K410" s="60">
        <v>82</v>
      </c>
      <c r="L410" s="60" t="s">
        <v>192</v>
      </c>
      <c r="M410" s="60" t="s">
        <v>185</v>
      </c>
      <c r="N410" s="60" t="b">
        <f>FALSE()</f>
        <v>0</v>
      </c>
      <c r="O410" s="60"/>
      <c r="P410" s="60"/>
      <c r="Q410" s="60" t="s">
        <v>236</v>
      </c>
      <c r="R410" s="60" t="s">
        <v>237</v>
      </c>
      <c r="S410" s="60"/>
      <c r="T410" s="60" t="b">
        <f>FALSE()</f>
        <v>0</v>
      </c>
      <c r="U410" s="60" t="b">
        <f>FALSE()</f>
        <v>0</v>
      </c>
      <c r="V410" s="60">
        <v>116</v>
      </c>
      <c r="W410" s="62" t="s">
        <v>1497</v>
      </c>
      <c r="X410" s="60">
        <v>2</v>
      </c>
      <c r="Y410" s="63">
        <v>0.01</v>
      </c>
      <c r="Z410" s="60" t="b">
        <f>FALSE()</f>
        <v>0</v>
      </c>
      <c r="AA410" s="60" t="b">
        <f>TRUE()</f>
        <v>1</v>
      </c>
      <c r="AB410" s="60" t="b">
        <f>TRUE()</f>
        <v>1</v>
      </c>
      <c r="AC410" s="60" t="b">
        <f>TRUE()</f>
        <v>1</v>
      </c>
      <c r="AD410" s="60" t="b">
        <f>FALSE()</f>
        <v>0</v>
      </c>
      <c r="AE410" s="60">
        <v>3</v>
      </c>
      <c r="AF410" s="64">
        <v>42.9</v>
      </c>
      <c r="AG410" s="60" t="s">
        <v>73</v>
      </c>
      <c r="AH410" s="60" t="s">
        <v>1498</v>
      </c>
      <c r="AI410">
        <f>IF(AND(OR(Company_Explorer!$B$5="All Companies",$E410=Company_Explorer!$B$5),OR(Company_Explorer!$B$6="All Platforms",$B410=Company_Explorer!$B$6),OR(Company_Explorer!$B$7="All Roles",$D410=Company_Explorer!$B$7),OR(Company_Explorer!$B$8="All Ghost Labels",$AG410=Company_Explorer!$B$8)),1,0)</f>
        <v>0</v>
      </c>
    </row>
    <row r="411" spans="1:35" ht="15" customHeight="1" x14ac:dyDescent="0.3">
      <c r="A411" s="65" t="s">
        <v>1499</v>
      </c>
      <c r="B411" s="65" t="s">
        <v>80</v>
      </c>
      <c r="C411" s="65" t="s">
        <v>125</v>
      </c>
      <c r="D411" s="65" t="s">
        <v>125</v>
      </c>
      <c r="E411" s="65" t="s">
        <v>614</v>
      </c>
      <c r="F411" s="65" t="b">
        <f>TRUE()</f>
        <v>1</v>
      </c>
      <c r="G411" s="65" t="s">
        <v>168</v>
      </c>
      <c r="H411" s="65" t="s">
        <v>254</v>
      </c>
      <c r="I411" s="66">
        <v>46209</v>
      </c>
      <c r="J411" s="66">
        <v>46210</v>
      </c>
      <c r="K411" s="65">
        <v>1</v>
      </c>
      <c r="L411" s="65" t="s">
        <v>192</v>
      </c>
      <c r="M411" s="65" t="s">
        <v>185</v>
      </c>
      <c r="N411" s="65" t="b">
        <f>FALSE()</f>
        <v>0</v>
      </c>
      <c r="O411" s="65"/>
      <c r="P411" s="65"/>
      <c r="Q411" s="65" t="s">
        <v>236</v>
      </c>
      <c r="R411" s="65" t="s">
        <v>237</v>
      </c>
      <c r="S411" s="65"/>
      <c r="T411" s="65" t="b">
        <f>FALSE()</f>
        <v>0</v>
      </c>
      <c r="U411" s="65" t="b">
        <f>FALSE()</f>
        <v>0</v>
      </c>
      <c r="V411" s="65">
        <v>647</v>
      </c>
      <c r="W411" s="67" t="s">
        <v>744</v>
      </c>
      <c r="X411" s="65">
        <v>7</v>
      </c>
      <c r="Y411" s="68">
        <v>0.04</v>
      </c>
      <c r="Z411" s="65" t="b">
        <f>FALSE()</f>
        <v>0</v>
      </c>
      <c r="AA411" s="65" t="b">
        <f>TRUE()</f>
        <v>1</v>
      </c>
      <c r="AB411" s="65" t="b">
        <f>FALSE()</f>
        <v>0</v>
      </c>
      <c r="AC411" s="65" t="b">
        <f>FALSE()</f>
        <v>0</v>
      </c>
      <c r="AD411" s="65" t="b">
        <f>FALSE()</f>
        <v>0</v>
      </c>
      <c r="AE411" s="65">
        <v>1</v>
      </c>
      <c r="AF411" s="69">
        <v>14.3</v>
      </c>
      <c r="AG411" s="65" t="s">
        <v>74</v>
      </c>
      <c r="AH411" s="65" t="s">
        <v>1500</v>
      </c>
      <c r="AI411">
        <f>IF(AND(OR(Company_Explorer!$B$5="All Companies",$E411=Company_Explorer!$B$5),OR(Company_Explorer!$B$6="All Platforms",$B411=Company_Explorer!$B$6),OR(Company_Explorer!$B$7="All Roles",$D411=Company_Explorer!$B$7),OR(Company_Explorer!$B$8="All Ghost Labels",$AG411=Company_Explorer!$B$8)),1,0)</f>
        <v>0</v>
      </c>
    </row>
    <row r="412" spans="1:35" ht="15" customHeight="1" x14ac:dyDescent="0.3">
      <c r="A412" s="60" t="s">
        <v>1501</v>
      </c>
      <c r="B412" s="60" t="s">
        <v>80</v>
      </c>
      <c r="C412" s="60" t="s">
        <v>1502</v>
      </c>
      <c r="D412" s="60" t="s">
        <v>126</v>
      </c>
      <c r="E412" s="60" t="s">
        <v>155</v>
      </c>
      <c r="F412" s="60" t="b">
        <f>TRUE()</f>
        <v>1</v>
      </c>
      <c r="G412" s="60" t="s">
        <v>169</v>
      </c>
      <c r="H412" s="60" t="s">
        <v>294</v>
      </c>
      <c r="I412" s="61">
        <v>46204</v>
      </c>
      <c r="J412" s="61">
        <v>46210</v>
      </c>
      <c r="K412" s="60">
        <v>6</v>
      </c>
      <c r="L412" s="60" t="s">
        <v>192</v>
      </c>
      <c r="M412" s="60" t="s">
        <v>184</v>
      </c>
      <c r="N412" s="60" t="b">
        <f>FALSE()</f>
        <v>0</v>
      </c>
      <c r="O412" s="60"/>
      <c r="P412" s="60"/>
      <c r="Q412" s="60" t="s">
        <v>236</v>
      </c>
      <c r="R412" s="60" t="s">
        <v>237</v>
      </c>
      <c r="S412" s="60"/>
      <c r="T412" s="60" t="b">
        <f>FALSE()</f>
        <v>0</v>
      </c>
      <c r="U412" s="60" t="b">
        <f>FALSE()</f>
        <v>0</v>
      </c>
      <c r="V412" s="60">
        <v>475</v>
      </c>
      <c r="W412" s="62" t="s">
        <v>1503</v>
      </c>
      <c r="X412" s="60">
        <v>16</v>
      </c>
      <c r="Y412" s="63">
        <v>0.1</v>
      </c>
      <c r="Z412" s="60" t="b">
        <f>FALSE()</f>
        <v>0</v>
      </c>
      <c r="AA412" s="60" t="b">
        <f>TRUE()</f>
        <v>1</v>
      </c>
      <c r="AB412" s="60" t="b">
        <f>FALSE()</f>
        <v>0</v>
      </c>
      <c r="AC412" s="60" t="b">
        <f>FALSE()</f>
        <v>0</v>
      </c>
      <c r="AD412" s="60" t="b">
        <f>FALSE()</f>
        <v>0</v>
      </c>
      <c r="AE412" s="60">
        <v>1</v>
      </c>
      <c r="AF412" s="64">
        <v>14.3</v>
      </c>
      <c r="AG412" s="60" t="s">
        <v>74</v>
      </c>
      <c r="AH412" s="60" t="s">
        <v>1504</v>
      </c>
      <c r="AI412">
        <f>IF(AND(OR(Company_Explorer!$B$5="All Companies",$E412=Company_Explorer!$B$5),OR(Company_Explorer!$B$6="All Platforms",$B412=Company_Explorer!$B$6),OR(Company_Explorer!$B$7="All Roles",$D412=Company_Explorer!$B$7),OR(Company_Explorer!$B$8="All Ghost Labels",$AG412=Company_Explorer!$B$8)),1,0)</f>
        <v>0</v>
      </c>
    </row>
    <row r="413" spans="1:35" ht="15" customHeight="1" x14ac:dyDescent="0.3">
      <c r="A413" s="65" t="s">
        <v>1505</v>
      </c>
      <c r="B413" s="65" t="s">
        <v>80</v>
      </c>
      <c r="C413" s="65" t="s">
        <v>1506</v>
      </c>
      <c r="D413" s="65" t="s">
        <v>125</v>
      </c>
      <c r="E413" s="65" t="s">
        <v>1507</v>
      </c>
      <c r="F413" s="65" t="b">
        <f>TRUE()</f>
        <v>1</v>
      </c>
      <c r="G413" s="65" t="s">
        <v>753</v>
      </c>
      <c r="H413" s="65" t="s">
        <v>754</v>
      </c>
      <c r="I413" s="66">
        <v>46203</v>
      </c>
      <c r="J413" s="66">
        <v>46210</v>
      </c>
      <c r="K413" s="65">
        <v>7</v>
      </c>
      <c r="L413" s="65" t="s">
        <v>192</v>
      </c>
      <c r="M413" s="65" t="s">
        <v>184</v>
      </c>
      <c r="N413" s="65" t="b">
        <f>FALSE()</f>
        <v>0</v>
      </c>
      <c r="O413" s="65"/>
      <c r="P413" s="65"/>
      <c r="Q413" s="65" t="s">
        <v>236</v>
      </c>
      <c r="R413" s="65" t="s">
        <v>237</v>
      </c>
      <c r="S413" s="65"/>
      <c r="T413" s="65" t="b">
        <f>FALSE()</f>
        <v>0</v>
      </c>
      <c r="U413" s="65" t="b">
        <f>FALSE()</f>
        <v>0</v>
      </c>
      <c r="V413" s="65">
        <v>173</v>
      </c>
      <c r="W413" s="67" t="s">
        <v>1508</v>
      </c>
      <c r="X413" s="65">
        <v>1</v>
      </c>
      <c r="Y413" s="68">
        <v>0.01</v>
      </c>
      <c r="Z413" s="65" t="b">
        <f>FALSE()</f>
        <v>0</v>
      </c>
      <c r="AA413" s="65" t="b">
        <f>TRUE()</f>
        <v>1</v>
      </c>
      <c r="AB413" s="65" t="b">
        <f>TRUE()</f>
        <v>1</v>
      </c>
      <c r="AC413" s="65" t="b">
        <f>FALSE()</f>
        <v>0</v>
      </c>
      <c r="AD413" s="65" t="b">
        <f>FALSE()</f>
        <v>0</v>
      </c>
      <c r="AE413" s="65">
        <v>2</v>
      </c>
      <c r="AF413" s="69">
        <v>28.6</v>
      </c>
      <c r="AG413" s="65" t="s">
        <v>73</v>
      </c>
      <c r="AH413" s="65" t="s">
        <v>1509</v>
      </c>
      <c r="AI413">
        <f>IF(AND(OR(Company_Explorer!$B$5="All Companies",$E413=Company_Explorer!$B$5),OR(Company_Explorer!$B$6="All Platforms",$B413=Company_Explorer!$B$6),OR(Company_Explorer!$B$7="All Roles",$D413=Company_Explorer!$B$7),OR(Company_Explorer!$B$8="All Ghost Labels",$AG413=Company_Explorer!$B$8)),1,0)</f>
        <v>0</v>
      </c>
    </row>
    <row r="414" spans="1:35" ht="15" customHeight="1" x14ac:dyDescent="0.3">
      <c r="A414" s="60" t="s">
        <v>1510</v>
      </c>
      <c r="B414" s="60" t="s">
        <v>80</v>
      </c>
      <c r="C414" s="60" t="s">
        <v>125</v>
      </c>
      <c r="D414" s="60" t="s">
        <v>125</v>
      </c>
      <c r="E414" s="60" t="s">
        <v>1511</v>
      </c>
      <c r="F414" s="60" t="b">
        <f>TRUE()</f>
        <v>1</v>
      </c>
      <c r="G414" s="60" t="s">
        <v>170</v>
      </c>
      <c r="H414" s="60" t="s">
        <v>165</v>
      </c>
      <c r="I414" s="61">
        <v>45594</v>
      </c>
      <c r="J414" s="61">
        <v>46210</v>
      </c>
      <c r="K414" s="60">
        <v>616</v>
      </c>
      <c r="L414" s="60" t="s">
        <v>192</v>
      </c>
      <c r="M414" s="60" t="s">
        <v>185</v>
      </c>
      <c r="N414" s="60" t="b">
        <f>FALSE()</f>
        <v>0</v>
      </c>
      <c r="O414" s="60"/>
      <c r="P414" s="60"/>
      <c r="Q414" s="60" t="s">
        <v>236</v>
      </c>
      <c r="R414" s="60" t="s">
        <v>237</v>
      </c>
      <c r="S414" s="60"/>
      <c r="T414" s="60" t="b">
        <f>FALSE()</f>
        <v>0</v>
      </c>
      <c r="U414" s="60" t="b">
        <f>FALSE()</f>
        <v>0</v>
      </c>
      <c r="V414" s="60">
        <v>127</v>
      </c>
      <c r="W414" s="62" t="s">
        <v>1512</v>
      </c>
      <c r="X414" s="60">
        <v>1</v>
      </c>
      <c r="Y414" s="63">
        <v>0.01</v>
      </c>
      <c r="Z414" s="60" t="b">
        <f>FALSE()</f>
        <v>0</v>
      </c>
      <c r="AA414" s="60" t="b">
        <f>TRUE()</f>
        <v>1</v>
      </c>
      <c r="AB414" s="60" t="b">
        <f>TRUE()</f>
        <v>1</v>
      </c>
      <c r="AC414" s="60" t="b">
        <f>TRUE()</f>
        <v>1</v>
      </c>
      <c r="AD414" s="60" t="b">
        <f>FALSE()</f>
        <v>0</v>
      </c>
      <c r="AE414" s="60">
        <v>3</v>
      </c>
      <c r="AF414" s="64">
        <v>42.9</v>
      </c>
      <c r="AG414" s="60" t="s">
        <v>73</v>
      </c>
      <c r="AH414" s="60" t="s">
        <v>1513</v>
      </c>
      <c r="AI414">
        <f>IF(AND(OR(Company_Explorer!$B$5="All Companies",$E414=Company_Explorer!$B$5),OR(Company_Explorer!$B$6="All Platforms",$B414=Company_Explorer!$B$6),OR(Company_Explorer!$B$7="All Roles",$D414=Company_Explorer!$B$7),OR(Company_Explorer!$B$8="All Ghost Labels",$AG414=Company_Explorer!$B$8)),1,0)</f>
        <v>0</v>
      </c>
    </row>
    <row r="415" spans="1:35" ht="15" customHeight="1" x14ac:dyDescent="0.3">
      <c r="A415" s="65" t="s">
        <v>1514</v>
      </c>
      <c r="B415" s="65" t="s">
        <v>80</v>
      </c>
      <c r="C415" s="65" t="s">
        <v>130</v>
      </c>
      <c r="D415" s="65" t="s">
        <v>130</v>
      </c>
      <c r="E415" s="65" t="s">
        <v>141</v>
      </c>
      <c r="F415" s="65" t="b">
        <f>TRUE()</f>
        <v>1</v>
      </c>
      <c r="G415" s="65" t="s">
        <v>1417</v>
      </c>
      <c r="H415" s="65" t="s">
        <v>165</v>
      </c>
      <c r="I415" s="66">
        <v>46198</v>
      </c>
      <c r="J415" s="66">
        <v>46210</v>
      </c>
      <c r="K415" s="65">
        <v>12</v>
      </c>
      <c r="L415" s="65" t="s">
        <v>192</v>
      </c>
      <c r="M415" s="65" t="s">
        <v>184</v>
      </c>
      <c r="N415" s="65" t="b">
        <f>FALSE()</f>
        <v>0</v>
      </c>
      <c r="O415" s="65"/>
      <c r="P415" s="65"/>
      <c r="Q415" s="65" t="s">
        <v>236</v>
      </c>
      <c r="R415" s="65" t="s">
        <v>237</v>
      </c>
      <c r="S415" s="65"/>
      <c r="T415" s="65" t="b">
        <f>FALSE()</f>
        <v>0</v>
      </c>
      <c r="U415" s="65" t="b">
        <f>FALSE()</f>
        <v>0</v>
      </c>
      <c r="V415" s="65">
        <v>342</v>
      </c>
      <c r="W415" s="67" t="s">
        <v>861</v>
      </c>
      <c r="X415" s="65">
        <v>429</v>
      </c>
      <c r="Y415" s="68">
        <v>2.66</v>
      </c>
      <c r="Z415" s="65" t="b">
        <f>FALSE()</f>
        <v>0</v>
      </c>
      <c r="AA415" s="65" t="b">
        <f>TRUE()</f>
        <v>1</v>
      </c>
      <c r="AB415" s="65" t="b">
        <f>FALSE()</f>
        <v>0</v>
      </c>
      <c r="AC415" s="65" t="b">
        <f>FALSE()</f>
        <v>0</v>
      </c>
      <c r="AD415" s="65" t="b">
        <f>TRUE()</f>
        <v>1</v>
      </c>
      <c r="AE415" s="65">
        <v>3</v>
      </c>
      <c r="AF415" s="69">
        <v>42.9</v>
      </c>
      <c r="AG415" s="65" t="s">
        <v>73</v>
      </c>
      <c r="AH415" s="65" t="s">
        <v>1515</v>
      </c>
      <c r="AI415">
        <f>IF(AND(OR(Company_Explorer!$B$5="All Companies",$E415=Company_Explorer!$B$5),OR(Company_Explorer!$B$6="All Platforms",$B415=Company_Explorer!$B$6),OR(Company_Explorer!$B$7="All Roles",$D415=Company_Explorer!$B$7),OR(Company_Explorer!$B$8="All Ghost Labels",$AG415=Company_Explorer!$B$8)),1,0)</f>
        <v>0</v>
      </c>
    </row>
    <row r="416" spans="1:35" ht="15" customHeight="1" x14ac:dyDescent="0.3">
      <c r="A416" s="60" t="s">
        <v>1516</v>
      </c>
      <c r="B416" s="60" t="s">
        <v>80</v>
      </c>
      <c r="C416" s="60" t="s">
        <v>1517</v>
      </c>
      <c r="D416" s="60" t="s">
        <v>125</v>
      </c>
      <c r="E416" s="60" t="s">
        <v>1518</v>
      </c>
      <c r="F416" s="60" t="b">
        <f>TRUE()</f>
        <v>1</v>
      </c>
      <c r="G416" s="60" t="s">
        <v>170</v>
      </c>
      <c r="H416" s="60" t="s">
        <v>165</v>
      </c>
      <c r="I416" s="61">
        <v>45616</v>
      </c>
      <c r="J416" s="61">
        <v>46210</v>
      </c>
      <c r="K416" s="60">
        <v>594</v>
      </c>
      <c r="L416" s="60" t="s">
        <v>192</v>
      </c>
      <c r="M416" s="60" t="s">
        <v>185</v>
      </c>
      <c r="N416" s="60" t="b">
        <f>FALSE()</f>
        <v>0</v>
      </c>
      <c r="O416" s="60"/>
      <c r="P416" s="60"/>
      <c r="Q416" s="60" t="s">
        <v>236</v>
      </c>
      <c r="R416" s="60" t="s">
        <v>237</v>
      </c>
      <c r="S416" s="60"/>
      <c r="T416" s="60" t="b">
        <f>FALSE()</f>
        <v>0</v>
      </c>
      <c r="U416" s="60" t="b">
        <f>FALSE()</f>
        <v>0</v>
      </c>
      <c r="V416" s="60">
        <v>131</v>
      </c>
      <c r="W416" s="62" t="s">
        <v>1519</v>
      </c>
      <c r="X416" s="60">
        <v>1</v>
      </c>
      <c r="Y416" s="63">
        <v>0.01</v>
      </c>
      <c r="Z416" s="60" t="b">
        <f>FALSE()</f>
        <v>0</v>
      </c>
      <c r="AA416" s="60" t="b">
        <f>TRUE()</f>
        <v>1</v>
      </c>
      <c r="AB416" s="60" t="b">
        <f>TRUE()</f>
        <v>1</v>
      </c>
      <c r="AC416" s="60" t="b">
        <f>TRUE()</f>
        <v>1</v>
      </c>
      <c r="AD416" s="60" t="b">
        <f>FALSE()</f>
        <v>0</v>
      </c>
      <c r="AE416" s="60">
        <v>3</v>
      </c>
      <c r="AF416" s="64">
        <v>42.9</v>
      </c>
      <c r="AG416" s="60" t="s">
        <v>73</v>
      </c>
      <c r="AH416" s="60" t="s">
        <v>1520</v>
      </c>
      <c r="AI416">
        <f>IF(AND(OR(Company_Explorer!$B$5="All Companies",$E416=Company_Explorer!$B$5),OR(Company_Explorer!$B$6="All Platforms",$B416=Company_Explorer!$B$6),OR(Company_Explorer!$B$7="All Roles",$D416=Company_Explorer!$B$7),OR(Company_Explorer!$B$8="All Ghost Labels",$AG416=Company_Explorer!$B$8)),1,0)</f>
        <v>0</v>
      </c>
    </row>
    <row r="417" spans="1:35" ht="15" customHeight="1" x14ac:dyDescent="0.3">
      <c r="A417" s="65" t="s">
        <v>1521</v>
      </c>
      <c r="B417" s="65" t="s">
        <v>80</v>
      </c>
      <c r="C417" s="65" t="s">
        <v>125</v>
      </c>
      <c r="D417" s="65" t="s">
        <v>125</v>
      </c>
      <c r="E417" s="65" t="s">
        <v>1522</v>
      </c>
      <c r="F417" s="65" t="b">
        <f>TRUE()</f>
        <v>1</v>
      </c>
      <c r="G417" s="65" t="s">
        <v>166</v>
      </c>
      <c r="H417" s="65" t="s">
        <v>235</v>
      </c>
      <c r="I417" s="66">
        <v>46204</v>
      </c>
      <c r="J417" s="66">
        <v>46210</v>
      </c>
      <c r="K417" s="65">
        <v>6</v>
      </c>
      <c r="L417" s="65" t="s">
        <v>192</v>
      </c>
      <c r="M417" s="65" t="s">
        <v>185</v>
      </c>
      <c r="N417" s="65" t="b">
        <f>FALSE()</f>
        <v>0</v>
      </c>
      <c r="O417" s="65"/>
      <c r="P417" s="65"/>
      <c r="Q417" s="65" t="s">
        <v>236</v>
      </c>
      <c r="R417" s="65" t="s">
        <v>237</v>
      </c>
      <c r="S417" s="65"/>
      <c r="T417" s="65" t="b">
        <f>FALSE()</f>
        <v>0</v>
      </c>
      <c r="U417" s="65" t="b">
        <f>FALSE()</f>
        <v>0</v>
      </c>
      <c r="V417" s="65">
        <v>738</v>
      </c>
      <c r="W417" s="65" t="s">
        <v>1523</v>
      </c>
      <c r="X417" s="65">
        <v>2</v>
      </c>
      <c r="Y417" s="68">
        <v>0.01</v>
      </c>
      <c r="Z417" s="65" t="b">
        <f>FALSE()</f>
        <v>0</v>
      </c>
      <c r="AA417" s="65" t="b">
        <f>TRUE()</f>
        <v>1</v>
      </c>
      <c r="AB417" s="65" t="b">
        <f>FALSE()</f>
        <v>0</v>
      </c>
      <c r="AC417" s="65" t="b">
        <f>FALSE()</f>
        <v>0</v>
      </c>
      <c r="AD417" s="65" t="b">
        <f>FALSE()</f>
        <v>0</v>
      </c>
      <c r="AE417" s="65">
        <v>1</v>
      </c>
      <c r="AF417" s="69">
        <v>14.3</v>
      </c>
      <c r="AG417" s="65" t="s">
        <v>74</v>
      </c>
      <c r="AH417" s="65" t="s">
        <v>1524</v>
      </c>
      <c r="AI417">
        <f>IF(AND(OR(Company_Explorer!$B$5="All Companies",$E417=Company_Explorer!$B$5),OR(Company_Explorer!$B$6="All Platforms",$B417=Company_Explorer!$B$6),OR(Company_Explorer!$B$7="All Roles",$D417=Company_Explorer!$B$7),OR(Company_Explorer!$B$8="All Ghost Labels",$AG417=Company_Explorer!$B$8)),1,0)</f>
        <v>0</v>
      </c>
    </row>
    <row r="418" spans="1:35" ht="15" customHeight="1" x14ac:dyDescent="0.3">
      <c r="A418" s="60" t="s">
        <v>1525</v>
      </c>
      <c r="B418" s="60" t="s">
        <v>80</v>
      </c>
      <c r="C418" s="60" t="s">
        <v>125</v>
      </c>
      <c r="D418" s="60" t="s">
        <v>125</v>
      </c>
      <c r="E418" s="60" t="s">
        <v>1526</v>
      </c>
      <c r="F418" s="60" t="b">
        <f>TRUE()</f>
        <v>1</v>
      </c>
      <c r="G418" s="60" t="s">
        <v>753</v>
      </c>
      <c r="H418" s="60" t="s">
        <v>754</v>
      </c>
      <c r="I418" s="61">
        <v>46183</v>
      </c>
      <c r="J418" s="61">
        <v>46210</v>
      </c>
      <c r="K418" s="60">
        <v>27</v>
      </c>
      <c r="L418" s="60" t="s">
        <v>192</v>
      </c>
      <c r="M418" s="60" t="s">
        <v>186</v>
      </c>
      <c r="N418" s="60" t="b">
        <f>FALSE()</f>
        <v>0</v>
      </c>
      <c r="O418" s="60"/>
      <c r="P418" s="60"/>
      <c r="Q418" s="60" t="s">
        <v>236</v>
      </c>
      <c r="R418" s="60" t="s">
        <v>237</v>
      </c>
      <c r="S418" s="60"/>
      <c r="T418" s="60" t="b">
        <f>FALSE()</f>
        <v>0</v>
      </c>
      <c r="U418" s="60" t="b">
        <f>FALSE()</f>
        <v>0</v>
      </c>
      <c r="V418" s="60">
        <v>404</v>
      </c>
      <c r="W418" s="62" t="s">
        <v>1527</v>
      </c>
      <c r="X418" s="60">
        <v>1</v>
      </c>
      <c r="Y418" s="63">
        <v>0.01</v>
      </c>
      <c r="Z418" s="60" t="b">
        <f>FALSE()</f>
        <v>0</v>
      </c>
      <c r="AA418" s="60" t="b">
        <f>TRUE()</f>
        <v>1</v>
      </c>
      <c r="AB418" s="60" t="b">
        <f>FALSE()</f>
        <v>0</v>
      </c>
      <c r="AC418" s="60" t="b">
        <f>TRUE()</f>
        <v>1</v>
      </c>
      <c r="AD418" s="60" t="b">
        <f>FALSE()</f>
        <v>0</v>
      </c>
      <c r="AE418" s="60">
        <v>2</v>
      </c>
      <c r="AF418" s="64">
        <v>28.6</v>
      </c>
      <c r="AG418" s="60" t="s">
        <v>73</v>
      </c>
      <c r="AH418" s="60" t="s">
        <v>1528</v>
      </c>
      <c r="AI418">
        <f>IF(AND(OR(Company_Explorer!$B$5="All Companies",$E418=Company_Explorer!$B$5),OR(Company_Explorer!$B$6="All Platforms",$B418=Company_Explorer!$B$6),OR(Company_Explorer!$B$7="All Roles",$D418=Company_Explorer!$B$7),OR(Company_Explorer!$B$8="All Ghost Labels",$AG418=Company_Explorer!$B$8)),1,0)</f>
        <v>0</v>
      </c>
    </row>
    <row r="419" spans="1:35" ht="15" customHeight="1" x14ac:dyDescent="0.3">
      <c r="A419" s="65" t="s">
        <v>1529</v>
      </c>
      <c r="B419" s="65" t="s">
        <v>80</v>
      </c>
      <c r="C419" s="65" t="s">
        <v>125</v>
      </c>
      <c r="D419" s="65" t="s">
        <v>125</v>
      </c>
      <c r="E419" s="65" t="s">
        <v>619</v>
      </c>
      <c r="F419" s="65" t="b">
        <f>TRUE()</f>
        <v>1</v>
      </c>
      <c r="G419" s="65" t="s">
        <v>166</v>
      </c>
      <c r="H419" s="65" t="s">
        <v>235</v>
      </c>
      <c r="I419" s="66">
        <v>46190</v>
      </c>
      <c r="J419" s="66">
        <v>46210</v>
      </c>
      <c r="K419" s="65">
        <v>20</v>
      </c>
      <c r="L419" s="65" t="s">
        <v>192</v>
      </c>
      <c r="M419" s="65" t="s">
        <v>185</v>
      </c>
      <c r="N419" s="65" t="b">
        <f>FALSE()</f>
        <v>0</v>
      </c>
      <c r="O419" s="65"/>
      <c r="P419" s="65"/>
      <c r="Q419" s="65" t="s">
        <v>236</v>
      </c>
      <c r="R419" s="65" t="s">
        <v>237</v>
      </c>
      <c r="S419" s="65"/>
      <c r="T419" s="65" t="b">
        <f>FALSE()</f>
        <v>0</v>
      </c>
      <c r="U419" s="65" t="b">
        <f>FALSE()</f>
        <v>0</v>
      </c>
      <c r="V419" s="65">
        <v>669</v>
      </c>
      <c r="W419" s="67" t="s">
        <v>620</v>
      </c>
      <c r="X419" s="65">
        <v>4</v>
      </c>
      <c r="Y419" s="68">
        <v>0.02</v>
      </c>
      <c r="Z419" s="65" t="b">
        <f>FALSE()</f>
        <v>0</v>
      </c>
      <c r="AA419" s="65" t="b">
        <f>TRUE()</f>
        <v>1</v>
      </c>
      <c r="AB419" s="65" t="b">
        <f>FALSE()</f>
        <v>0</v>
      </c>
      <c r="AC419" s="65" t="b">
        <f>TRUE()</f>
        <v>1</v>
      </c>
      <c r="AD419" s="65" t="b">
        <f>FALSE()</f>
        <v>0</v>
      </c>
      <c r="AE419" s="65">
        <v>2</v>
      </c>
      <c r="AF419" s="69">
        <v>28.6</v>
      </c>
      <c r="AG419" s="65" t="s">
        <v>73</v>
      </c>
      <c r="AH419" s="65" t="s">
        <v>1530</v>
      </c>
      <c r="AI419">
        <f>IF(AND(OR(Company_Explorer!$B$5="All Companies",$E419=Company_Explorer!$B$5),OR(Company_Explorer!$B$6="All Platforms",$B419=Company_Explorer!$B$6),OR(Company_Explorer!$B$7="All Roles",$D419=Company_Explorer!$B$7),OR(Company_Explorer!$B$8="All Ghost Labels",$AG419=Company_Explorer!$B$8)),1,0)</f>
        <v>0</v>
      </c>
    </row>
    <row r="420" spans="1:35" ht="15" customHeight="1" x14ac:dyDescent="0.3">
      <c r="A420" s="60" t="s">
        <v>1531</v>
      </c>
      <c r="B420" s="60" t="s">
        <v>80</v>
      </c>
      <c r="C420" s="60" t="s">
        <v>258</v>
      </c>
      <c r="D420" s="60" t="s">
        <v>125</v>
      </c>
      <c r="E420" s="60" t="s">
        <v>141</v>
      </c>
      <c r="F420" s="60" t="b">
        <f>TRUE()</f>
        <v>1</v>
      </c>
      <c r="G420" s="60" t="s">
        <v>325</v>
      </c>
      <c r="H420" s="60" t="s">
        <v>326</v>
      </c>
      <c r="I420" s="61">
        <v>46198</v>
      </c>
      <c r="J420" s="61">
        <v>46210</v>
      </c>
      <c r="K420" s="60">
        <v>12</v>
      </c>
      <c r="L420" s="60" t="s">
        <v>192</v>
      </c>
      <c r="M420" s="60" t="s">
        <v>184</v>
      </c>
      <c r="N420" s="60" t="b">
        <f>FALSE()</f>
        <v>0</v>
      </c>
      <c r="O420" s="60"/>
      <c r="P420" s="60"/>
      <c r="Q420" s="60" t="s">
        <v>236</v>
      </c>
      <c r="R420" s="60" t="s">
        <v>237</v>
      </c>
      <c r="S420" s="60"/>
      <c r="T420" s="60" t="b">
        <f>FALSE()</f>
        <v>0</v>
      </c>
      <c r="U420" s="60" t="b">
        <f>FALSE()</f>
        <v>0</v>
      </c>
      <c r="V420" s="60">
        <v>320</v>
      </c>
      <c r="W420" s="62" t="s">
        <v>1532</v>
      </c>
      <c r="X420" s="60">
        <v>429</v>
      </c>
      <c r="Y420" s="63">
        <v>2.66</v>
      </c>
      <c r="Z420" s="60" t="b">
        <f>FALSE()</f>
        <v>0</v>
      </c>
      <c r="AA420" s="60" t="b">
        <f>TRUE()</f>
        <v>1</v>
      </c>
      <c r="AB420" s="60" t="b">
        <f>FALSE()</f>
        <v>0</v>
      </c>
      <c r="AC420" s="60" t="b">
        <f>FALSE()</f>
        <v>0</v>
      </c>
      <c r="AD420" s="60" t="b">
        <f>TRUE()</f>
        <v>1</v>
      </c>
      <c r="AE420" s="60">
        <v>3</v>
      </c>
      <c r="AF420" s="64">
        <v>42.9</v>
      </c>
      <c r="AG420" s="60" t="s">
        <v>73</v>
      </c>
      <c r="AH420" s="60" t="s">
        <v>1533</v>
      </c>
      <c r="AI420">
        <f>IF(AND(OR(Company_Explorer!$B$5="All Companies",$E420=Company_Explorer!$B$5),OR(Company_Explorer!$B$6="All Platforms",$B420=Company_Explorer!$B$6),OR(Company_Explorer!$B$7="All Roles",$D420=Company_Explorer!$B$7),OR(Company_Explorer!$B$8="All Ghost Labels",$AG420=Company_Explorer!$B$8)),1,0)</f>
        <v>0</v>
      </c>
    </row>
    <row r="421" spans="1:35" ht="15" customHeight="1" x14ac:dyDescent="0.3">
      <c r="A421" s="65" t="s">
        <v>1534</v>
      </c>
      <c r="B421" s="65" t="s">
        <v>80</v>
      </c>
      <c r="C421" s="65" t="s">
        <v>1476</v>
      </c>
      <c r="D421" s="65" t="s">
        <v>125</v>
      </c>
      <c r="E421" s="65" t="s">
        <v>1477</v>
      </c>
      <c r="F421" s="65" t="b">
        <f>TRUE()</f>
        <v>1</v>
      </c>
      <c r="G421" s="65" t="s">
        <v>1417</v>
      </c>
      <c r="H421" s="65" t="s">
        <v>165</v>
      </c>
      <c r="I421" s="66">
        <v>46209</v>
      </c>
      <c r="J421" s="66">
        <v>46210</v>
      </c>
      <c r="K421" s="65">
        <v>1</v>
      </c>
      <c r="L421" s="65" t="s">
        <v>196</v>
      </c>
      <c r="M421" s="65" t="s">
        <v>185</v>
      </c>
      <c r="N421" s="65" t="b">
        <f>TRUE()</f>
        <v>1</v>
      </c>
      <c r="O421" s="71">
        <v>35</v>
      </c>
      <c r="P421" s="65"/>
      <c r="Q421" s="65" t="s">
        <v>332</v>
      </c>
      <c r="R421" s="65" t="s">
        <v>237</v>
      </c>
      <c r="S421" s="65"/>
      <c r="T421" s="65" t="b">
        <f>FALSE()</f>
        <v>0</v>
      </c>
      <c r="U421" s="65" t="b">
        <f>FALSE()</f>
        <v>0</v>
      </c>
      <c r="V421" s="65">
        <v>706</v>
      </c>
      <c r="W421" s="65" t="s">
        <v>1478</v>
      </c>
      <c r="X421" s="65">
        <v>3</v>
      </c>
      <c r="Y421" s="68">
        <v>0.02</v>
      </c>
      <c r="Z421" s="65" t="b">
        <f>FALSE()</f>
        <v>0</v>
      </c>
      <c r="AA421" s="65" t="b">
        <f>FALSE()</f>
        <v>0</v>
      </c>
      <c r="AB421" s="65" t="b">
        <f>FALSE()</f>
        <v>0</v>
      </c>
      <c r="AC421" s="65" t="b">
        <f>FALSE()</f>
        <v>0</v>
      </c>
      <c r="AD421" s="65" t="b">
        <f>FALSE()</f>
        <v>0</v>
      </c>
      <c r="AE421" s="65">
        <v>0</v>
      </c>
      <c r="AF421" s="69">
        <v>0</v>
      </c>
      <c r="AG421" s="65" t="s">
        <v>74</v>
      </c>
      <c r="AH421" s="65" t="s">
        <v>1535</v>
      </c>
      <c r="AI421">
        <f>IF(AND(OR(Company_Explorer!$B$5="All Companies",$E421=Company_Explorer!$B$5),OR(Company_Explorer!$B$6="All Platforms",$B421=Company_Explorer!$B$6),OR(Company_Explorer!$B$7="All Roles",$D421=Company_Explorer!$B$7),OR(Company_Explorer!$B$8="All Ghost Labels",$AG421=Company_Explorer!$B$8)),1,0)</f>
        <v>0</v>
      </c>
    </row>
    <row r="422" spans="1:35" ht="15" customHeight="1" x14ac:dyDescent="0.3">
      <c r="A422" s="60" t="s">
        <v>1536</v>
      </c>
      <c r="B422" s="60" t="s">
        <v>80</v>
      </c>
      <c r="C422" s="60" t="s">
        <v>258</v>
      </c>
      <c r="D422" s="60" t="s">
        <v>125</v>
      </c>
      <c r="E422" s="60" t="s">
        <v>141</v>
      </c>
      <c r="F422" s="60" t="b">
        <f>TRUE()</f>
        <v>1</v>
      </c>
      <c r="G422" s="60" t="s">
        <v>172</v>
      </c>
      <c r="H422" s="60" t="s">
        <v>276</v>
      </c>
      <c r="I422" s="61">
        <v>46198</v>
      </c>
      <c r="J422" s="61">
        <v>46210</v>
      </c>
      <c r="K422" s="60">
        <v>12</v>
      </c>
      <c r="L422" s="60" t="s">
        <v>192</v>
      </c>
      <c r="M422" s="60" t="s">
        <v>184</v>
      </c>
      <c r="N422" s="60" t="b">
        <f>FALSE()</f>
        <v>0</v>
      </c>
      <c r="O422" s="60"/>
      <c r="P422" s="60"/>
      <c r="Q422" s="60" t="s">
        <v>236</v>
      </c>
      <c r="R422" s="60" t="s">
        <v>237</v>
      </c>
      <c r="S422" s="60"/>
      <c r="T422" s="60" t="b">
        <f>FALSE()</f>
        <v>0</v>
      </c>
      <c r="U422" s="60" t="b">
        <f>FALSE()</f>
        <v>0</v>
      </c>
      <c r="V422" s="60">
        <v>322</v>
      </c>
      <c r="W422" s="62" t="s">
        <v>1537</v>
      </c>
      <c r="X422" s="60">
        <v>429</v>
      </c>
      <c r="Y422" s="63">
        <v>2.66</v>
      </c>
      <c r="Z422" s="60" t="b">
        <f>FALSE()</f>
        <v>0</v>
      </c>
      <c r="AA422" s="60" t="b">
        <f>TRUE()</f>
        <v>1</v>
      </c>
      <c r="AB422" s="60" t="b">
        <f>FALSE()</f>
        <v>0</v>
      </c>
      <c r="AC422" s="60" t="b">
        <f>FALSE()</f>
        <v>0</v>
      </c>
      <c r="AD422" s="60" t="b">
        <f>TRUE()</f>
        <v>1</v>
      </c>
      <c r="AE422" s="60">
        <v>3</v>
      </c>
      <c r="AF422" s="64">
        <v>42.9</v>
      </c>
      <c r="AG422" s="60" t="s">
        <v>73</v>
      </c>
      <c r="AH422" s="60" t="s">
        <v>1538</v>
      </c>
      <c r="AI422">
        <f>IF(AND(OR(Company_Explorer!$B$5="All Companies",$E422=Company_Explorer!$B$5),OR(Company_Explorer!$B$6="All Platforms",$B422=Company_Explorer!$B$6),OR(Company_Explorer!$B$7="All Roles",$D422=Company_Explorer!$B$7),OR(Company_Explorer!$B$8="All Ghost Labels",$AG422=Company_Explorer!$B$8)),1,0)</f>
        <v>0</v>
      </c>
    </row>
    <row r="423" spans="1:35" ht="15" customHeight="1" x14ac:dyDescent="0.3">
      <c r="A423" s="65" t="s">
        <v>1539</v>
      </c>
      <c r="B423" s="65" t="s">
        <v>80</v>
      </c>
      <c r="C423" s="65" t="s">
        <v>258</v>
      </c>
      <c r="D423" s="65" t="s">
        <v>125</v>
      </c>
      <c r="E423" s="65" t="s">
        <v>141</v>
      </c>
      <c r="F423" s="65" t="b">
        <f>TRUE()</f>
        <v>1</v>
      </c>
      <c r="G423" s="65" t="s">
        <v>167</v>
      </c>
      <c r="H423" s="65" t="s">
        <v>276</v>
      </c>
      <c r="I423" s="66">
        <v>46198</v>
      </c>
      <c r="J423" s="66">
        <v>46210</v>
      </c>
      <c r="K423" s="65">
        <v>12</v>
      </c>
      <c r="L423" s="65" t="s">
        <v>192</v>
      </c>
      <c r="M423" s="65" t="s">
        <v>184</v>
      </c>
      <c r="N423" s="65" t="b">
        <f>FALSE()</f>
        <v>0</v>
      </c>
      <c r="O423" s="65"/>
      <c r="P423" s="65"/>
      <c r="Q423" s="65" t="s">
        <v>236</v>
      </c>
      <c r="R423" s="65" t="s">
        <v>237</v>
      </c>
      <c r="S423" s="65"/>
      <c r="T423" s="65" t="b">
        <f>FALSE()</f>
        <v>0</v>
      </c>
      <c r="U423" s="65" t="b">
        <f>FALSE()</f>
        <v>0</v>
      </c>
      <c r="V423" s="65">
        <v>333</v>
      </c>
      <c r="W423" s="67" t="s">
        <v>259</v>
      </c>
      <c r="X423" s="65">
        <v>429</v>
      </c>
      <c r="Y423" s="68">
        <v>2.66</v>
      </c>
      <c r="Z423" s="65" t="b">
        <f>FALSE()</f>
        <v>0</v>
      </c>
      <c r="AA423" s="65" t="b">
        <f>TRUE()</f>
        <v>1</v>
      </c>
      <c r="AB423" s="65" t="b">
        <f>FALSE()</f>
        <v>0</v>
      </c>
      <c r="AC423" s="65" t="b">
        <f>FALSE()</f>
        <v>0</v>
      </c>
      <c r="AD423" s="65" t="b">
        <f>TRUE()</f>
        <v>1</v>
      </c>
      <c r="AE423" s="65">
        <v>3</v>
      </c>
      <c r="AF423" s="69">
        <v>42.9</v>
      </c>
      <c r="AG423" s="65" t="s">
        <v>73</v>
      </c>
      <c r="AH423" s="65" t="s">
        <v>1540</v>
      </c>
      <c r="AI423">
        <f>IF(AND(OR(Company_Explorer!$B$5="All Companies",$E423=Company_Explorer!$B$5),OR(Company_Explorer!$B$6="All Platforms",$B423=Company_Explorer!$B$6),OR(Company_Explorer!$B$7="All Roles",$D423=Company_Explorer!$B$7),OR(Company_Explorer!$B$8="All Ghost Labels",$AG423=Company_Explorer!$B$8)),1,0)</f>
        <v>0</v>
      </c>
    </row>
    <row r="424" spans="1:35" ht="15" customHeight="1" x14ac:dyDescent="0.3">
      <c r="A424" s="60" t="s">
        <v>1541</v>
      </c>
      <c r="B424" s="60" t="s">
        <v>80</v>
      </c>
      <c r="C424" s="60" t="s">
        <v>258</v>
      </c>
      <c r="D424" s="60" t="s">
        <v>125</v>
      </c>
      <c r="E424" s="60" t="s">
        <v>141</v>
      </c>
      <c r="F424" s="60" t="b">
        <f>TRUE()</f>
        <v>1</v>
      </c>
      <c r="G424" s="60" t="s">
        <v>169</v>
      </c>
      <c r="H424" s="60" t="s">
        <v>294</v>
      </c>
      <c r="I424" s="61">
        <v>46199</v>
      </c>
      <c r="J424" s="61">
        <v>46210</v>
      </c>
      <c r="K424" s="60">
        <v>11</v>
      </c>
      <c r="L424" s="60" t="s">
        <v>192</v>
      </c>
      <c r="M424" s="60" t="s">
        <v>184</v>
      </c>
      <c r="N424" s="60" t="b">
        <f>FALSE()</f>
        <v>0</v>
      </c>
      <c r="O424" s="60"/>
      <c r="P424" s="60"/>
      <c r="Q424" s="60" t="s">
        <v>236</v>
      </c>
      <c r="R424" s="60" t="s">
        <v>237</v>
      </c>
      <c r="S424" s="60"/>
      <c r="T424" s="60" t="b">
        <f>FALSE()</f>
        <v>0</v>
      </c>
      <c r="U424" s="60" t="b">
        <f>FALSE()</f>
        <v>0</v>
      </c>
      <c r="V424" s="60">
        <v>312</v>
      </c>
      <c r="W424" s="62" t="s">
        <v>259</v>
      </c>
      <c r="X424" s="60">
        <v>429</v>
      </c>
      <c r="Y424" s="63">
        <v>2.66</v>
      </c>
      <c r="Z424" s="60" t="b">
        <f>FALSE()</f>
        <v>0</v>
      </c>
      <c r="AA424" s="60" t="b">
        <f>TRUE()</f>
        <v>1</v>
      </c>
      <c r="AB424" s="60" t="b">
        <f>FALSE()</f>
        <v>0</v>
      </c>
      <c r="AC424" s="60" t="b">
        <f>FALSE()</f>
        <v>0</v>
      </c>
      <c r="AD424" s="60" t="b">
        <f>TRUE()</f>
        <v>1</v>
      </c>
      <c r="AE424" s="60">
        <v>3</v>
      </c>
      <c r="AF424" s="64">
        <v>42.9</v>
      </c>
      <c r="AG424" s="60" t="s">
        <v>73</v>
      </c>
      <c r="AH424" s="60" t="s">
        <v>1542</v>
      </c>
      <c r="AI424">
        <f>IF(AND(OR(Company_Explorer!$B$5="All Companies",$E424=Company_Explorer!$B$5),OR(Company_Explorer!$B$6="All Platforms",$B424=Company_Explorer!$B$6),OR(Company_Explorer!$B$7="All Roles",$D424=Company_Explorer!$B$7),OR(Company_Explorer!$B$8="All Ghost Labels",$AG424=Company_Explorer!$B$8)),1,0)</f>
        <v>0</v>
      </c>
    </row>
    <row r="425" spans="1:35" ht="15" customHeight="1" x14ac:dyDescent="0.3">
      <c r="A425" s="65" t="s">
        <v>1543</v>
      </c>
      <c r="B425" s="65" t="s">
        <v>80</v>
      </c>
      <c r="C425" s="65" t="s">
        <v>258</v>
      </c>
      <c r="D425" s="65" t="s">
        <v>125</v>
      </c>
      <c r="E425" s="65" t="s">
        <v>141</v>
      </c>
      <c r="F425" s="65" t="b">
        <f>TRUE()</f>
        <v>1</v>
      </c>
      <c r="G425" s="65" t="s">
        <v>167</v>
      </c>
      <c r="H425" s="65" t="s">
        <v>276</v>
      </c>
      <c r="I425" s="66">
        <v>46198</v>
      </c>
      <c r="J425" s="66">
        <v>46210</v>
      </c>
      <c r="K425" s="65">
        <v>12</v>
      </c>
      <c r="L425" s="65" t="s">
        <v>192</v>
      </c>
      <c r="M425" s="65" t="s">
        <v>184</v>
      </c>
      <c r="N425" s="65" t="b">
        <f>FALSE()</f>
        <v>0</v>
      </c>
      <c r="O425" s="65"/>
      <c r="P425" s="65"/>
      <c r="Q425" s="65" t="s">
        <v>236</v>
      </c>
      <c r="R425" s="65" t="s">
        <v>237</v>
      </c>
      <c r="S425" s="65"/>
      <c r="T425" s="65" t="b">
        <f>FALSE()</f>
        <v>0</v>
      </c>
      <c r="U425" s="65" t="b">
        <f>FALSE()</f>
        <v>0</v>
      </c>
      <c r="V425" s="65">
        <v>333</v>
      </c>
      <c r="W425" s="67" t="s">
        <v>259</v>
      </c>
      <c r="X425" s="65">
        <v>429</v>
      </c>
      <c r="Y425" s="68">
        <v>2.66</v>
      </c>
      <c r="Z425" s="65" t="b">
        <f>FALSE()</f>
        <v>0</v>
      </c>
      <c r="AA425" s="65" t="b">
        <f>TRUE()</f>
        <v>1</v>
      </c>
      <c r="AB425" s="65" t="b">
        <f>FALSE()</f>
        <v>0</v>
      </c>
      <c r="AC425" s="65" t="b">
        <f>FALSE()</f>
        <v>0</v>
      </c>
      <c r="AD425" s="65" t="b">
        <f>TRUE()</f>
        <v>1</v>
      </c>
      <c r="AE425" s="65">
        <v>3</v>
      </c>
      <c r="AF425" s="69">
        <v>42.9</v>
      </c>
      <c r="AG425" s="65" t="s">
        <v>73</v>
      </c>
      <c r="AH425" s="65" t="s">
        <v>1544</v>
      </c>
      <c r="AI425">
        <f>IF(AND(OR(Company_Explorer!$B$5="All Companies",$E425=Company_Explorer!$B$5),OR(Company_Explorer!$B$6="All Platforms",$B425=Company_Explorer!$B$6),OR(Company_Explorer!$B$7="All Roles",$D425=Company_Explorer!$B$7),OR(Company_Explorer!$B$8="All Ghost Labels",$AG425=Company_Explorer!$B$8)),1,0)</f>
        <v>0</v>
      </c>
    </row>
    <row r="426" spans="1:35" ht="15" customHeight="1" x14ac:dyDescent="0.3">
      <c r="A426" s="60" t="s">
        <v>1545</v>
      </c>
      <c r="B426" s="60" t="s">
        <v>80</v>
      </c>
      <c r="C426" s="60" t="s">
        <v>258</v>
      </c>
      <c r="D426" s="60" t="s">
        <v>125</v>
      </c>
      <c r="E426" s="60" t="s">
        <v>141</v>
      </c>
      <c r="F426" s="60" t="b">
        <f>TRUE()</f>
        <v>1</v>
      </c>
      <c r="G426" s="60" t="s">
        <v>170</v>
      </c>
      <c r="H426" s="60" t="s">
        <v>165</v>
      </c>
      <c r="I426" s="61">
        <v>46198</v>
      </c>
      <c r="J426" s="61">
        <v>46210</v>
      </c>
      <c r="K426" s="60">
        <v>12</v>
      </c>
      <c r="L426" s="60" t="s">
        <v>192</v>
      </c>
      <c r="M426" s="60" t="s">
        <v>184</v>
      </c>
      <c r="N426" s="60" t="b">
        <f>FALSE()</f>
        <v>0</v>
      </c>
      <c r="O426" s="60"/>
      <c r="P426" s="60"/>
      <c r="Q426" s="60" t="s">
        <v>236</v>
      </c>
      <c r="R426" s="60" t="s">
        <v>237</v>
      </c>
      <c r="S426" s="60"/>
      <c r="T426" s="60" t="b">
        <f>FALSE()</f>
        <v>0</v>
      </c>
      <c r="U426" s="60" t="b">
        <f>FALSE()</f>
        <v>0</v>
      </c>
      <c r="V426" s="60">
        <v>337</v>
      </c>
      <c r="W426" s="62" t="s">
        <v>1546</v>
      </c>
      <c r="X426" s="60">
        <v>429</v>
      </c>
      <c r="Y426" s="63">
        <v>2.66</v>
      </c>
      <c r="Z426" s="60" t="b">
        <f>FALSE()</f>
        <v>0</v>
      </c>
      <c r="AA426" s="60" t="b">
        <f>TRUE()</f>
        <v>1</v>
      </c>
      <c r="AB426" s="60" t="b">
        <f>FALSE()</f>
        <v>0</v>
      </c>
      <c r="AC426" s="60" t="b">
        <f>FALSE()</f>
        <v>0</v>
      </c>
      <c r="AD426" s="60" t="b">
        <f>TRUE()</f>
        <v>1</v>
      </c>
      <c r="AE426" s="60">
        <v>3</v>
      </c>
      <c r="AF426" s="64">
        <v>42.9</v>
      </c>
      <c r="AG426" s="60" t="s">
        <v>73</v>
      </c>
      <c r="AH426" s="60" t="s">
        <v>1547</v>
      </c>
      <c r="AI426">
        <f>IF(AND(OR(Company_Explorer!$B$5="All Companies",$E426=Company_Explorer!$B$5),OR(Company_Explorer!$B$6="All Platforms",$B426=Company_Explorer!$B$6),OR(Company_Explorer!$B$7="All Roles",$D426=Company_Explorer!$B$7),OR(Company_Explorer!$B$8="All Ghost Labels",$AG426=Company_Explorer!$B$8)),1,0)</f>
        <v>0</v>
      </c>
    </row>
    <row r="427" spans="1:35" ht="15" customHeight="1" x14ac:dyDescent="0.3">
      <c r="A427" s="65" t="s">
        <v>1548</v>
      </c>
      <c r="B427" s="65" t="s">
        <v>80</v>
      </c>
      <c r="C427" s="65" t="s">
        <v>258</v>
      </c>
      <c r="D427" s="65" t="s">
        <v>125</v>
      </c>
      <c r="E427" s="65" t="s">
        <v>141</v>
      </c>
      <c r="F427" s="65" t="b">
        <f>TRUE()</f>
        <v>1</v>
      </c>
      <c r="G427" s="65" t="s">
        <v>168</v>
      </c>
      <c r="H427" s="65" t="s">
        <v>254</v>
      </c>
      <c r="I427" s="66">
        <v>46198</v>
      </c>
      <c r="J427" s="66">
        <v>46210</v>
      </c>
      <c r="K427" s="65">
        <v>12</v>
      </c>
      <c r="L427" s="65" t="s">
        <v>192</v>
      </c>
      <c r="M427" s="65" t="s">
        <v>184</v>
      </c>
      <c r="N427" s="65" t="b">
        <f>FALSE()</f>
        <v>0</v>
      </c>
      <c r="O427" s="65"/>
      <c r="P427" s="65"/>
      <c r="Q427" s="65" t="s">
        <v>236</v>
      </c>
      <c r="R427" s="65" t="s">
        <v>237</v>
      </c>
      <c r="S427" s="65"/>
      <c r="T427" s="65" t="b">
        <f>FALSE()</f>
        <v>0</v>
      </c>
      <c r="U427" s="65" t="b">
        <f>FALSE()</f>
        <v>0</v>
      </c>
      <c r="V427" s="65">
        <v>323</v>
      </c>
      <c r="W427" s="67" t="s">
        <v>259</v>
      </c>
      <c r="X427" s="65">
        <v>429</v>
      </c>
      <c r="Y427" s="68">
        <v>2.66</v>
      </c>
      <c r="Z427" s="65" t="b">
        <f>FALSE()</f>
        <v>0</v>
      </c>
      <c r="AA427" s="65" t="b">
        <f>TRUE()</f>
        <v>1</v>
      </c>
      <c r="AB427" s="65" t="b">
        <f>FALSE()</f>
        <v>0</v>
      </c>
      <c r="AC427" s="65" t="b">
        <f>FALSE()</f>
        <v>0</v>
      </c>
      <c r="AD427" s="65" t="b">
        <f>TRUE()</f>
        <v>1</v>
      </c>
      <c r="AE427" s="65">
        <v>3</v>
      </c>
      <c r="AF427" s="69">
        <v>42.9</v>
      </c>
      <c r="AG427" s="65" t="s">
        <v>73</v>
      </c>
      <c r="AH427" s="65" t="s">
        <v>1549</v>
      </c>
      <c r="AI427">
        <f>IF(AND(OR(Company_Explorer!$B$5="All Companies",$E427=Company_Explorer!$B$5),OR(Company_Explorer!$B$6="All Platforms",$B427=Company_Explorer!$B$6),OR(Company_Explorer!$B$7="All Roles",$D427=Company_Explorer!$B$7),OR(Company_Explorer!$B$8="All Ghost Labels",$AG427=Company_Explorer!$B$8)),1,0)</f>
        <v>0</v>
      </c>
    </row>
    <row r="428" spans="1:35" ht="15" customHeight="1" x14ac:dyDescent="0.3">
      <c r="A428" s="60" t="s">
        <v>1550</v>
      </c>
      <c r="B428" s="60" t="s">
        <v>80</v>
      </c>
      <c r="C428" s="60" t="s">
        <v>258</v>
      </c>
      <c r="D428" s="60" t="s">
        <v>125</v>
      </c>
      <c r="E428" s="60" t="s">
        <v>141</v>
      </c>
      <c r="F428" s="60" t="b">
        <f>TRUE()</f>
        <v>1</v>
      </c>
      <c r="G428" s="60" t="s">
        <v>172</v>
      </c>
      <c r="H428" s="60" t="s">
        <v>276</v>
      </c>
      <c r="I428" s="61">
        <v>46198</v>
      </c>
      <c r="J428" s="61">
        <v>46210</v>
      </c>
      <c r="K428" s="60">
        <v>12</v>
      </c>
      <c r="L428" s="60" t="s">
        <v>192</v>
      </c>
      <c r="M428" s="60" t="s">
        <v>184</v>
      </c>
      <c r="N428" s="60" t="b">
        <f>FALSE()</f>
        <v>0</v>
      </c>
      <c r="O428" s="60"/>
      <c r="P428" s="60"/>
      <c r="Q428" s="60" t="s">
        <v>236</v>
      </c>
      <c r="R428" s="60" t="s">
        <v>237</v>
      </c>
      <c r="S428" s="60"/>
      <c r="T428" s="60" t="b">
        <f>FALSE()</f>
        <v>0</v>
      </c>
      <c r="U428" s="60" t="b">
        <f>FALSE()</f>
        <v>0</v>
      </c>
      <c r="V428" s="60">
        <v>543</v>
      </c>
      <c r="W428" s="62" t="s">
        <v>259</v>
      </c>
      <c r="X428" s="60">
        <v>429</v>
      </c>
      <c r="Y428" s="63">
        <v>2.66</v>
      </c>
      <c r="Z428" s="60" t="b">
        <f>FALSE()</f>
        <v>0</v>
      </c>
      <c r="AA428" s="60" t="b">
        <f>TRUE()</f>
        <v>1</v>
      </c>
      <c r="AB428" s="60" t="b">
        <f>FALSE()</f>
        <v>0</v>
      </c>
      <c r="AC428" s="60" t="b">
        <f>FALSE()</f>
        <v>0</v>
      </c>
      <c r="AD428" s="60" t="b">
        <f>TRUE()</f>
        <v>1</v>
      </c>
      <c r="AE428" s="60">
        <v>3</v>
      </c>
      <c r="AF428" s="64">
        <v>42.9</v>
      </c>
      <c r="AG428" s="60" t="s">
        <v>73</v>
      </c>
      <c r="AH428" s="60" t="s">
        <v>1551</v>
      </c>
      <c r="AI428">
        <f>IF(AND(OR(Company_Explorer!$B$5="All Companies",$E428=Company_Explorer!$B$5),OR(Company_Explorer!$B$6="All Platforms",$B428=Company_Explorer!$B$6),OR(Company_Explorer!$B$7="All Roles",$D428=Company_Explorer!$B$7),OR(Company_Explorer!$B$8="All Ghost Labels",$AG428=Company_Explorer!$B$8)),1,0)</f>
        <v>0</v>
      </c>
    </row>
    <row r="429" spans="1:35" ht="15" customHeight="1" x14ac:dyDescent="0.3">
      <c r="A429" s="65" t="s">
        <v>1552</v>
      </c>
      <c r="B429" s="65" t="s">
        <v>80</v>
      </c>
      <c r="C429" s="65" t="s">
        <v>258</v>
      </c>
      <c r="D429" s="65" t="s">
        <v>125</v>
      </c>
      <c r="E429" s="65" t="s">
        <v>141</v>
      </c>
      <c r="F429" s="65" t="b">
        <f>TRUE()</f>
        <v>1</v>
      </c>
      <c r="G429" s="65" t="s">
        <v>768</v>
      </c>
      <c r="H429" s="65" t="s">
        <v>769</v>
      </c>
      <c r="I429" s="66">
        <v>46198</v>
      </c>
      <c r="J429" s="66">
        <v>46210</v>
      </c>
      <c r="K429" s="65">
        <v>12</v>
      </c>
      <c r="L429" s="65" t="s">
        <v>192</v>
      </c>
      <c r="M429" s="65" t="s">
        <v>184</v>
      </c>
      <c r="N429" s="65" t="b">
        <f>FALSE()</f>
        <v>0</v>
      </c>
      <c r="O429" s="65"/>
      <c r="P429" s="65"/>
      <c r="Q429" s="65" t="s">
        <v>236</v>
      </c>
      <c r="R429" s="65" t="s">
        <v>237</v>
      </c>
      <c r="S429" s="65"/>
      <c r="T429" s="65" t="b">
        <f>FALSE()</f>
        <v>0</v>
      </c>
      <c r="U429" s="65" t="b">
        <f>FALSE()</f>
        <v>0</v>
      </c>
      <c r="V429" s="65">
        <v>315</v>
      </c>
      <c r="W429" s="67" t="s">
        <v>259</v>
      </c>
      <c r="X429" s="65">
        <v>429</v>
      </c>
      <c r="Y429" s="68">
        <v>2.66</v>
      </c>
      <c r="Z429" s="65" t="b">
        <f>FALSE()</f>
        <v>0</v>
      </c>
      <c r="AA429" s="65" t="b">
        <f>TRUE()</f>
        <v>1</v>
      </c>
      <c r="AB429" s="65" t="b">
        <f>FALSE()</f>
        <v>0</v>
      </c>
      <c r="AC429" s="65" t="b">
        <f>FALSE()</f>
        <v>0</v>
      </c>
      <c r="AD429" s="65" t="b">
        <f>TRUE()</f>
        <v>1</v>
      </c>
      <c r="AE429" s="65">
        <v>3</v>
      </c>
      <c r="AF429" s="69">
        <v>42.9</v>
      </c>
      <c r="AG429" s="65" t="s">
        <v>73</v>
      </c>
      <c r="AH429" s="65" t="s">
        <v>1553</v>
      </c>
      <c r="AI429">
        <f>IF(AND(OR(Company_Explorer!$B$5="All Companies",$E429=Company_Explorer!$B$5),OR(Company_Explorer!$B$6="All Platforms",$B429=Company_Explorer!$B$6),OR(Company_Explorer!$B$7="All Roles",$D429=Company_Explorer!$B$7),OR(Company_Explorer!$B$8="All Ghost Labels",$AG429=Company_Explorer!$B$8)),1,0)</f>
        <v>0</v>
      </c>
    </row>
    <row r="430" spans="1:35" ht="15" customHeight="1" x14ac:dyDescent="0.3">
      <c r="A430" s="60" t="s">
        <v>1554</v>
      </c>
      <c r="B430" s="60" t="s">
        <v>80</v>
      </c>
      <c r="C430" s="60" t="s">
        <v>1555</v>
      </c>
      <c r="D430" s="60" t="s">
        <v>125</v>
      </c>
      <c r="E430" s="60" t="s">
        <v>247</v>
      </c>
      <c r="F430" s="60" t="b">
        <f>TRUE()</f>
        <v>1</v>
      </c>
      <c r="G430" s="60" t="s">
        <v>166</v>
      </c>
      <c r="H430" s="60" t="s">
        <v>235</v>
      </c>
      <c r="I430" s="61">
        <v>46208</v>
      </c>
      <c r="J430" s="61">
        <v>46210</v>
      </c>
      <c r="K430" s="60">
        <v>2</v>
      </c>
      <c r="L430" s="60" t="s">
        <v>192</v>
      </c>
      <c r="M430" s="60" t="s">
        <v>185</v>
      </c>
      <c r="N430" s="60" t="b">
        <f>FALSE()</f>
        <v>0</v>
      </c>
      <c r="O430" s="60"/>
      <c r="P430" s="60"/>
      <c r="Q430" s="60" t="s">
        <v>236</v>
      </c>
      <c r="R430" s="60" t="s">
        <v>237</v>
      </c>
      <c r="S430" s="60"/>
      <c r="T430" s="60" t="b">
        <f>FALSE()</f>
        <v>0</v>
      </c>
      <c r="U430" s="60" t="b">
        <f>FALSE()</f>
        <v>0</v>
      </c>
      <c r="V430" s="60">
        <v>1095</v>
      </c>
      <c r="W430" s="62" t="s">
        <v>1556</v>
      </c>
      <c r="X430" s="60">
        <v>9</v>
      </c>
      <c r="Y430" s="63">
        <v>0.06</v>
      </c>
      <c r="Z430" s="60" t="b">
        <f>FALSE()</f>
        <v>0</v>
      </c>
      <c r="AA430" s="60" t="b">
        <f>TRUE()</f>
        <v>1</v>
      </c>
      <c r="AB430" s="60" t="b">
        <f>FALSE()</f>
        <v>0</v>
      </c>
      <c r="AC430" s="60" t="b">
        <f>FALSE()</f>
        <v>0</v>
      </c>
      <c r="AD430" s="60" t="b">
        <f>FALSE()</f>
        <v>0</v>
      </c>
      <c r="AE430" s="60">
        <v>1</v>
      </c>
      <c r="AF430" s="64">
        <v>14.3</v>
      </c>
      <c r="AG430" s="60" t="s">
        <v>74</v>
      </c>
      <c r="AH430" s="60" t="s">
        <v>1557</v>
      </c>
      <c r="AI430">
        <f>IF(AND(OR(Company_Explorer!$B$5="All Companies",$E430=Company_Explorer!$B$5),OR(Company_Explorer!$B$6="All Platforms",$B430=Company_Explorer!$B$6),OR(Company_Explorer!$B$7="All Roles",$D430=Company_Explorer!$B$7),OR(Company_Explorer!$B$8="All Ghost Labels",$AG430=Company_Explorer!$B$8)),1,0)</f>
        <v>0</v>
      </c>
    </row>
    <row r="431" spans="1:35" ht="15" customHeight="1" x14ac:dyDescent="0.3">
      <c r="A431" s="65" t="s">
        <v>1558</v>
      </c>
      <c r="B431" s="65" t="s">
        <v>80</v>
      </c>
      <c r="C431" s="65" t="s">
        <v>258</v>
      </c>
      <c r="D431" s="65" t="s">
        <v>125</v>
      </c>
      <c r="E431" s="65" t="s">
        <v>141</v>
      </c>
      <c r="F431" s="65" t="b">
        <f>TRUE()</f>
        <v>1</v>
      </c>
      <c r="G431" s="65" t="s">
        <v>1246</v>
      </c>
      <c r="H431" s="65" t="s">
        <v>165</v>
      </c>
      <c r="I431" s="66">
        <v>46205</v>
      </c>
      <c r="J431" s="66">
        <v>46210</v>
      </c>
      <c r="K431" s="65">
        <v>5</v>
      </c>
      <c r="L431" s="65" t="s">
        <v>192</v>
      </c>
      <c r="M431" s="65" t="s">
        <v>184</v>
      </c>
      <c r="N431" s="65" t="b">
        <f>FALSE()</f>
        <v>0</v>
      </c>
      <c r="O431" s="65"/>
      <c r="P431" s="65"/>
      <c r="Q431" s="65" t="s">
        <v>236</v>
      </c>
      <c r="R431" s="65" t="s">
        <v>237</v>
      </c>
      <c r="S431" s="65"/>
      <c r="T431" s="65" t="b">
        <f>FALSE()</f>
        <v>0</v>
      </c>
      <c r="U431" s="65" t="b">
        <f>FALSE()</f>
        <v>0</v>
      </c>
      <c r="V431" s="65">
        <v>313</v>
      </c>
      <c r="W431" s="67" t="s">
        <v>259</v>
      </c>
      <c r="X431" s="65">
        <v>429</v>
      </c>
      <c r="Y431" s="68">
        <v>2.66</v>
      </c>
      <c r="Z431" s="65" t="b">
        <f>FALSE()</f>
        <v>0</v>
      </c>
      <c r="AA431" s="65" t="b">
        <f>TRUE()</f>
        <v>1</v>
      </c>
      <c r="AB431" s="65" t="b">
        <f>FALSE()</f>
        <v>0</v>
      </c>
      <c r="AC431" s="65" t="b">
        <f>FALSE()</f>
        <v>0</v>
      </c>
      <c r="AD431" s="65" t="b">
        <f>TRUE()</f>
        <v>1</v>
      </c>
      <c r="AE431" s="65">
        <v>3</v>
      </c>
      <c r="AF431" s="69">
        <v>42.9</v>
      </c>
      <c r="AG431" s="65" t="s">
        <v>73</v>
      </c>
      <c r="AH431" s="65" t="s">
        <v>1559</v>
      </c>
      <c r="AI431">
        <f>IF(AND(OR(Company_Explorer!$B$5="All Companies",$E431=Company_Explorer!$B$5),OR(Company_Explorer!$B$6="All Platforms",$B431=Company_Explorer!$B$6),OR(Company_Explorer!$B$7="All Roles",$D431=Company_Explorer!$B$7),OR(Company_Explorer!$B$8="All Ghost Labels",$AG431=Company_Explorer!$B$8)),1,0)</f>
        <v>0</v>
      </c>
    </row>
    <row r="432" spans="1:35" ht="15" customHeight="1" x14ac:dyDescent="0.3">
      <c r="A432" s="60" t="s">
        <v>1560</v>
      </c>
      <c r="B432" s="60" t="s">
        <v>80</v>
      </c>
      <c r="C432" s="60" t="s">
        <v>345</v>
      </c>
      <c r="D432" s="60" t="s">
        <v>125</v>
      </c>
      <c r="E432" s="60" t="s">
        <v>1561</v>
      </c>
      <c r="F432" s="60" t="b">
        <f>TRUE()</f>
        <v>1</v>
      </c>
      <c r="G432" s="60" t="s">
        <v>166</v>
      </c>
      <c r="H432" s="60" t="s">
        <v>235</v>
      </c>
      <c r="I432" s="61">
        <v>46191</v>
      </c>
      <c r="J432" s="61">
        <v>46210</v>
      </c>
      <c r="K432" s="60">
        <v>19</v>
      </c>
      <c r="L432" s="60" t="s">
        <v>192</v>
      </c>
      <c r="M432" s="60" t="s">
        <v>184</v>
      </c>
      <c r="N432" s="60" t="b">
        <f>FALSE()</f>
        <v>0</v>
      </c>
      <c r="O432" s="60"/>
      <c r="P432" s="60"/>
      <c r="Q432" s="60" t="s">
        <v>236</v>
      </c>
      <c r="R432" s="60" t="s">
        <v>237</v>
      </c>
      <c r="S432" s="60"/>
      <c r="T432" s="60" t="b">
        <f>FALSE()</f>
        <v>0</v>
      </c>
      <c r="U432" s="60" t="b">
        <f>FALSE()</f>
        <v>0</v>
      </c>
      <c r="V432" s="60">
        <v>103</v>
      </c>
      <c r="W432" s="60" t="s">
        <v>1562</v>
      </c>
      <c r="X432" s="60">
        <v>1</v>
      </c>
      <c r="Y432" s="63">
        <v>0.01</v>
      </c>
      <c r="Z432" s="60" t="b">
        <f>FALSE()</f>
        <v>0</v>
      </c>
      <c r="AA432" s="60" t="b">
        <f>TRUE()</f>
        <v>1</v>
      </c>
      <c r="AB432" s="60" t="b">
        <f>TRUE()</f>
        <v>1</v>
      </c>
      <c r="AC432" s="60" t="b">
        <f>TRUE()</f>
        <v>1</v>
      </c>
      <c r="AD432" s="60" t="b">
        <f>FALSE()</f>
        <v>0</v>
      </c>
      <c r="AE432" s="60">
        <v>3</v>
      </c>
      <c r="AF432" s="64">
        <v>42.9</v>
      </c>
      <c r="AG432" s="60" t="s">
        <v>73</v>
      </c>
      <c r="AH432" s="60" t="s">
        <v>1563</v>
      </c>
      <c r="AI432">
        <f>IF(AND(OR(Company_Explorer!$B$5="All Companies",$E432=Company_Explorer!$B$5),OR(Company_Explorer!$B$6="All Platforms",$B432=Company_Explorer!$B$6),OR(Company_Explorer!$B$7="All Roles",$D432=Company_Explorer!$B$7),OR(Company_Explorer!$B$8="All Ghost Labels",$AG432=Company_Explorer!$B$8)),1,0)</f>
        <v>0</v>
      </c>
    </row>
    <row r="433" spans="1:35" ht="15" customHeight="1" x14ac:dyDescent="0.3">
      <c r="A433" s="65" t="s">
        <v>1564</v>
      </c>
      <c r="B433" s="65" t="s">
        <v>80</v>
      </c>
      <c r="C433" s="65" t="s">
        <v>258</v>
      </c>
      <c r="D433" s="65" t="s">
        <v>125</v>
      </c>
      <c r="E433" s="65" t="s">
        <v>141</v>
      </c>
      <c r="F433" s="65" t="b">
        <f>TRUE()</f>
        <v>1</v>
      </c>
      <c r="G433" s="65" t="s">
        <v>1246</v>
      </c>
      <c r="H433" s="65" t="s">
        <v>165</v>
      </c>
      <c r="I433" s="66">
        <v>46205</v>
      </c>
      <c r="J433" s="66">
        <v>46210</v>
      </c>
      <c r="K433" s="65">
        <v>5</v>
      </c>
      <c r="L433" s="65" t="s">
        <v>192</v>
      </c>
      <c r="M433" s="65" t="s">
        <v>184</v>
      </c>
      <c r="N433" s="65" t="b">
        <f>FALSE()</f>
        <v>0</v>
      </c>
      <c r="O433" s="65"/>
      <c r="P433" s="65"/>
      <c r="Q433" s="65" t="s">
        <v>236</v>
      </c>
      <c r="R433" s="65" t="s">
        <v>237</v>
      </c>
      <c r="S433" s="65"/>
      <c r="T433" s="65" t="b">
        <f>FALSE()</f>
        <v>0</v>
      </c>
      <c r="U433" s="65" t="b">
        <f>FALSE()</f>
        <v>0</v>
      </c>
      <c r="V433" s="65">
        <v>313</v>
      </c>
      <c r="W433" s="67" t="s">
        <v>259</v>
      </c>
      <c r="X433" s="65">
        <v>429</v>
      </c>
      <c r="Y433" s="68">
        <v>2.66</v>
      </c>
      <c r="Z433" s="65" t="b">
        <f>FALSE()</f>
        <v>0</v>
      </c>
      <c r="AA433" s="65" t="b">
        <f>TRUE()</f>
        <v>1</v>
      </c>
      <c r="AB433" s="65" t="b">
        <f>FALSE()</f>
        <v>0</v>
      </c>
      <c r="AC433" s="65" t="b">
        <f>FALSE()</f>
        <v>0</v>
      </c>
      <c r="AD433" s="65" t="b">
        <f>TRUE()</f>
        <v>1</v>
      </c>
      <c r="AE433" s="65">
        <v>3</v>
      </c>
      <c r="AF433" s="69">
        <v>42.9</v>
      </c>
      <c r="AG433" s="65" t="s">
        <v>73</v>
      </c>
      <c r="AH433" s="65" t="s">
        <v>1565</v>
      </c>
      <c r="AI433">
        <f>IF(AND(OR(Company_Explorer!$B$5="All Companies",$E433=Company_Explorer!$B$5),OR(Company_Explorer!$B$6="All Platforms",$B433=Company_Explorer!$B$6),OR(Company_Explorer!$B$7="All Roles",$D433=Company_Explorer!$B$7),OR(Company_Explorer!$B$8="All Ghost Labels",$AG433=Company_Explorer!$B$8)),1,0)</f>
        <v>0</v>
      </c>
    </row>
    <row r="434" spans="1:35" ht="15" customHeight="1" x14ac:dyDescent="0.3">
      <c r="A434" s="60" t="s">
        <v>1566</v>
      </c>
      <c r="B434" s="60" t="s">
        <v>80</v>
      </c>
      <c r="C434" s="60" t="s">
        <v>258</v>
      </c>
      <c r="D434" s="60" t="s">
        <v>125</v>
      </c>
      <c r="E434" s="60" t="s">
        <v>141</v>
      </c>
      <c r="F434" s="60" t="b">
        <f>TRUE()</f>
        <v>1</v>
      </c>
      <c r="G434" s="60" t="s">
        <v>1246</v>
      </c>
      <c r="H434" s="60" t="s">
        <v>165</v>
      </c>
      <c r="I434" s="61">
        <v>46205</v>
      </c>
      <c r="J434" s="61">
        <v>46210</v>
      </c>
      <c r="K434" s="60">
        <v>5</v>
      </c>
      <c r="L434" s="60" t="s">
        <v>192</v>
      </c>
      <c r="M434" s="60" t="s">
        <v>184</v>
      </c>
      <c r="N434" s="60" t="b">
        <f>FALSE()</f>
        <v>0</v>
      </c>
      <c r="O434" s="60"/>
      <c r="P434" s="60"/>
      <c r="Q434" s="60" t="s">
        <v>236</v>
      </c>
      <c r="R434" s="60" t="s">
        <v>237</v>
      </c>
      <c r="S434" s="60"/>
      <c r="T434" s="60" t="b">
        <f>FALSE()</f>
        <v>0</v>
      </c>
      <c r="U434" s="60" t="b">
        <f>FALSE()</f>
        <v>0</v>
      </c>
      <c r="V434" s="60">
        <v>313</v>
      </c>
      <c r="W434" s="62" t="s">
        <v>259</v>
      </c>
      <c r="X434" s="60">
        <v>429</v>
      </c>
      <c r="Y434" s="63">
        <v>2.66</v>
      </c>
      <c r="Z434" s="60" t="b">
        <f>FALSE()</f>
        <v>0</v>
      </c>
      <c r="AA434" s="60" t="b">
        <f>TRUE()</f>
        <v>1</v>
      </c>
      <c r="AB434" s="60" t="b">
        <f>FALSE()</f>
        <v>0</v>
      </c>
      <c r="AC434" s="60" t="b">
        <f>FALSE()</f>
        <v>0</v>
      </c>
      <c r="AD434" s="60" t="b">
        <f>TRUE()</f>
        <v>1</v>
      </c>
      <c r="AE434" s="60">
        <v>3</v>
      </c>
      <c r="AF434" s="64">
        <v>42.9</v>
      </c>
      <c r="AG434" s="60" t="s">
        <v>73</v>
      </c>
      <c r="AH434" s="60" t="s">
        <v>1567</v>
      </c>
      <c r="AI434">
        <f>IF(AND(OR(Company_Explorer!$B$5="All Companies",$E434=Company_Explorer!$B$5),OR(Company_Explorer!$B$6="All Platforms",$B434=Company_Explorer!$B$6),OR(Company_Explorer!$B$7="All Roles",$D434=Company_Explorer!$B$7),OR(Company_Explorer!$B$8="All Ghost Labels",$AG434=Company_Explorer!$B$8)),1,0)</f>
        <v>0</v>
      </c>
    </row>
    <row r="435" spans="1:35" ht="15" customHeight="1" x14ac:dyDescent="0.3">
      <c r="A435" s="65" t="s">
        <v>1568</v>
      </c>
      <c r="B435" s="65" t="s">
        <v>80</v>
      </c>
      <c r="C435" s="65" t="s">
        <v>258</v>
      </c>
      <c r="D435" s="65" t="s">
        <v>125</v>
      </c>
      <c r="E435" s="65" t="s">
        <v>141</v>
      </c>
      <c r="F435" s="65" t="b">
        <f>TRUE()</f>
        <v>1</v>
      </c>
      <c r="G435" s="65" t="s">
        <v>174</v>
      </c>
      <c r="H435" s="65" t="s">
        <v>302</v>
      </c>
      <c r="I435" s="66">
        <v>46198</v>
      </c>
      <c r="J435" s="66">
        <v>46210</v>
      </c>
      <c r="K435" s="65">
        <v>12</v>
      </c>
      <c r="L435" s="65" t="s">
        <v>192</v>
      </c>
      <c r="M435" s="65" t="s">
        <v>184</v>
      </c>
      <c r="N435" s="65" t="b">
        <f>FALSE()</f>
        <v>0</v>
      </c>
      <c r="O435" s="65"/>
      <c r="P435" s="65"/>
      <c r="Q435" s="65" t="s">
        <v>236</v>
      </c>
      <c r="R435" s="65" t="s">
        <v>237</v>
      </c>
      <c r="S435" s="65"/>
      <c r="T435" s="65" t="b">
        <f>FALSE()</f>
        <v>0</v>
      </c>
      <c r="U435" s="65" t="b">
        <f>FALSE()</f>
        <v>0</v>
      </c>
      <c r="V435" s="65">
        <v>332</v>
      </c>
      <c r="W435" s="67" t="s">
        <v>259</v>
      </c>
      <c r="X435" s="65">
        <v>429</v>
      </c>
      <c r="Y435" s="68">
        <v>2.66</v>
      </c>
      <c r="Z435" s="65" t="b">
        <f>FALSE()</f>
        <v>0</v>
      </c>
      <c r="AA435" s="65" t="b">
        <f>TRUE()</f>
        <v>1</v>
      </c>
      <c r="AB435" s="65" t="b">
        <f>FALSE()</f>
        <v>0</v>
      </c>
      <c r="AC435" s="65" t="b">
        <f>FALSE()</f>
        <v>0</v>
      </c>
      <c r="AD435" s="65" t="b">
        <f>TRUE()</f>
        <v>1</v>
      </c>
      <c r="AE435" s="65">
        <v>3</v>
      </c>
      <c r="AF435" s="69">
        <v>42.9</v>
      </c>
      <c r="AG435" s="65" t="s">
        <v>73</v>
      </c>
      <c r="AH435" s="65" t="s">
        <v>1569</v>
      </c>
      <c r="AI435">
        <f>IF(AND(OR(Company_Explorer!$B$5="All Companies",$E435=Company_Explorer!$B$5),OR(Company_Explorer!$B$6="All Platforms",$B435=Company_Explorer!$B$6),OR(Company_Explorer!$B$7="All Roles",$D435=Company_Explorer!$B$7),OR(Company_Explorer!$B$8="All Ghost Labels",$AG435=Company_Explorer!$B$8)),1,0)</f>
        <v>0</v>
      </c>
    </row>
    <row r="436" spans="1:35" ht="15" customHeight="1" x14ac:dyDescent="0.3">
      <c r="A436" s="60" t="s">
        <v>1570</v>
      </c>
      <c r="B436" s="60" t="s">
        <v>80</v>
      </c>
      <c r="C436" s="60" t="s">
        <v>258</v>
      </c>
      <c r="D436" s="60" t="s">
        <v>125</v>
      </c>
      <c r="E436" s="60" t="s">
        <v>141</v>
      </c>
      <c r="F436" s="60" t="b">
        <f>TRUE()</f>
        <v>1</v>
      </c>
      <c r="G436" s="60" t="s">
        <v>167</v>
      </c>
      <c r="H436" s="60" t="s">
        <v>276</v>
      </c>
      <c r="I436" s="61">
        <v>46206</v>
      </c>
      <c r="J436" s="61">
        <v>46210</v>
      </c>
      <c r="K436" s="60">
        <v>4</v>
      </c>
      <c r="L436" s="60" t="s">
        <v>192</v>
      </c>
      <c r="M436" s="60" t="s">
        <v>184</v>
      </c>
      <c r="N436" s="60" t="b">
        <f>FALSE()</f>
        <v>0</v>
      </c>
      <c r="O436" s="60"/>
      <c r="P436" s="60"/>
      <c r="Q436" s="60" t="s">
        <v>236</v>
      </c>
      <c r="R436" s="60" t="s">
        <v>237</v>
      </c>
      <c r="S436" s="60"/>
      <c r="T436" s="60" t="b">
        <f>FALSE()</f>
        <v>0</v>
      </c>
      <c r="U436" s="60" t="b">
        <f>FALSE()</f>
        <v>0</v>
      </c>
      <c r="V436" s="60">
        <v>317</v>
      </c>
      <c r="W436" s="62" t="s">
        <v>259</v>
      </c>
      <c r="X436" s="60">
        <v>429</v>
      </c>
      <c r="Y436" s="63">
        <v>2.66</v>
      </c>
      <c r="Z436" s="60" t="b">
        <f>FALSE()</f>
        <v>0</v>
      </c>
      <c r="AA436" s="60" t="b">
        <f>TRUE()</f>
        <v>1</v>
      </c>
      <c r="AB436" s="60" t="b">
        <f>FALSE()</f>
        <v>0</v>
      </c>
      <c r="AC436" s="60" t="b">
        <f>FALSE()</f>
        <v>0</v>
      </c>
      <c r="AD436" s="60" t="b">
        <f>TRUE()</f>
        <v>1</v>
      </c>
      <c r="AE436" s="60">
        <v>3</v>
      </c>
      <c r="AF436" s="64">
        <v>42.9</v>
      </c>
      <c r="AG436" s="60" t="s">
        <v>73</v>
      </c>
      <c r="AH436" s="60" t="s">
        <v>1571</v>
      </c>
      <c r="AI436">
        <f>IF(AND(OR(Company_Explorer!$B$5="All Companies",$E436=Company_Explorer!$B$5),OR(Company_Explorer!$B$6="All Platforms",$B436=Company_Explorer!$B$6),OR(Company_Explorer!$B$7="All Roles",$D436=Company_Explorer!$B$7),OR(Company_Explorer!$B$8="All Ghost Labels",$AG436=Company_Explorer!$B$8)),1,0)</f>
        <v>0</v>
      </c>
    </row>
    <row r="437" spans="1:35" ht="15" customHeight="1" x14ac:dyDescent="0.3">
      <c r="A437" s="65" t="s">
        <v>1572</v>
      </c>
      <c r="B437" s="65" t="s">
        <v>80</v>
      </c>
      <c r="C437" s="65" t="s">
        <v>1573</v>
      </c>
      <c r="D437" s="65" t="s">
        <v>125</v>
      </c>
      <c r="E437" s="65" t="s">
        <v>331</v>
      </c>
      <c r="F437" s="65" t="b">
        <f>TRUE()</f>
        <v>1</v>
      </c>
      <c r="G437" s="65" t="s">
        <v>178</v>
      </c>
      <c r="H437" s="65" t="s">
        <v>165</v>
      </c>
      <c r="I437" s="66">
        <v>46206</v>
      </c>
      <c r="J437" s="66">
        <v>46210</v>
      </c>
      <c r="K437" s="65">
        <v>4</v>
      </c>
      <c r="L437" s="65" t="s">
        <v>192</v>
      </c>
      <c r="M437" s="65" t="s">
        <v>184</v>
      </c>
      <c r="N437" s="65" t="b">
        <f>TRUE()</f>
        <v>1</v>
      </c>
      <c r="O437" s="71">
        <v>180000</v>
      </c>
      <c r="P437" s="71">
        <v>230000</v>
      </c>
      <c r="Q437" s="65" t="s">
        <v>332</v>
      </c>
      <c r="R437" s="65" t="s">
        <v>237</v>
      </c>
      <c r="S437" s="65"/>
      <c r="T437" s="65" t="b">
        <f>FALSE()</f>
        <v>0</v>
      </c>
      <c r="U437" s="65" t="b">
        <f>FALSE()</f>
        <v>0</v>
      </c>
      <c r="V437" s="65">
        <v>202</v>
      </c>
      <c r="W437" s="67" t="s">
        <v>1574</v>
      </c>
      <c r="X437" s="65">
        <v>7</v>
      </c>
      <c r="Y437" s="68">
        <v>0.04</v>
      </c>
      <c r="Z437" s="65" t="b">
        <f>FALSE()</f>
        <v>0</v>
      </c>
      <c r="AA437" s="65" t="b">
        <f>FALSE()</f>
        <v>0</v>
      </c>
      <c r="AB437" s="65" t="b">
        <f>TRUE()</f>
        <v>1</v>
      </c>
      <c r="AC437" s="65" t="b">
        <f>FALSE()</f>
        <v>0</v>
      </c>
      <c r="AD437" s="65" t="b">
        <f>FALSE()</f>
        <v>0</v>
      </c>
      <c r="AE437" s="65">
        <v>1</v>
      </c>
      <c r="AF437" s="69">
        <v>14.3</v>
      </c>
      <c r="AG437" s="65" t="s">
        <v>74</v>
      </c>
      <c r="AH437" s="65" t="s">
        <v>1575</v>
      </c>
      <c r="AI437">
        <f>IF(AND(OR(Company_Explorer!$B$5="All Companies",$E437=Company_Explorer!$B$5),OR(Company_Explorer!$B$6="All Platforms",$B437=Company_Explorer!$B$6),OR(Company_Explorer!$B$7="All Roles",$D437=Company_Explorer!$B$7),OR(Company_Explorer!$B$8="All Ghost Labels",$AG437=Company_Explorer!$B$8)),1,0)</f>
        <v>0</v>
      </c>
    </row>
    <row r="438" spans="1:35" ht="15" customHeight="1" x14ac:dyDescent="0.3">
      <c r="A438" s="60" t="s">
        <v>1576</v>
      </c>
      <c r="B438" s="60" t="s">
        <v>80</v>
      </c>
      <c r="C438" s="60" t="s">
        <v>258</v>
      </c>
      <c r="D438" s="60" t="s">
        <v>125</v>
      </c>
      <c r="E438" s="60" t="s">
        <v>141</v>
      </c>
      <c r="F438" s="60" t="b">
        <f>TRUE()</f>
        <v>1</v>
      </c>
      <c r="G438" s="60" t="s">
        <v>1246</v>
      </c>
      <c r="H438" s="60" t="s">
        <v>165</v>
      </c>
      <c r="I438" s="61">
        <v>46198</v>
      </c>
      <c r="J438" s="61">
        <v>46210</v>
      </c>
      <c r="K438" s="60">
        <v>12</v>
      </c>
      <c r="L438" s="60" t="s">
        <v>192</v>
      </c>
      <c r="M438" s="60" t="s">
        <v>184</v>
      </c>
      <c r="N438" s="60" t="b">
        <f>FALSE()</f>
        <v>0</v>
      </c>
      <c r="O438" s="60"/>
      <c r="P438" s="60"/>
      <c r="Q438" s="60" t="s">
        <v>236</v>
      </c>
      <c r="R438" s="60" t="s">
        <v>237</v>
      </c>
      <c r="S438" s="60"/>
      <c r="T438" s="60" t="b">
        <f>FALSE()</f>
        <v>0</v>
      </c>
      <c r="U438" s="60" t="b">
        <f>FALSE()</f>
        <v>0</v>
      </c>
      <c r="V438" s="60">
        <v>276</v>
      </c>
      <c r="W438" s="62" t="s">
        <v>259</v>
      </c>
      <c r="X438" s="60">
        <v>429</v>
      </c>
      <c r="Y438" s="63">
        <v>2.66</v>
      </c>
      <c r="Z438" s="60" t="b">
        <f>FALSE()</f>
        <v>0</v>
      </c>
      <c r="AA438" s="60" t="b">
        <f>TRUE()</f>
        <v>1</v>
      </c>
      <c r="AB438" s="60" t="b">
        <f>FALSE()</f>
        <v>0</v>
      </c>
      <c r="AC438" s="60" t="b">
        <f>FALSE()</f>
        <v>0</v>
      </c>
      <c r="AD438" s="60" t="b">
        <f>TRUE()</f>
        <v>1</v>
      </c>
      <c r="AE438" s="60">
        <v>3</v>
      </c>
      <c r="AF438" s="64">
        <v>42.9</v>
      </c>
      <c r="AG438" s="60" t="s">
        <v>73</v>
      </c>
      <c r="AH438" s="60" t="s">
        <v>1577</v>
      </c>
      <c r="AI438">
        <f>IF(AND(OR(Company_Explorer!$B$5="All Companies",$E438=Company_Explorer!$B$5),OR(Company_Explorer!$B$6="All Platforms",$B438=Company_Explorer!$B$6),OR(Company_Explorer!$B$7="All Roles",$D438=Company_Explorer!$B$7),OR(Company_Explorer!$B$8="All Ghost Labels",$AG438=Company_Explorer!$B$8)),1,0)</f>
        <v>0</v>
      </c>
    </row>
    <row r="439" spans="1:35" ht="15" customHeight="1" x14ac:dyDescent="0.3">
      <c r="A439" s="65" t="s">
        <v>1578</v>
      </c>
      <c r="B439" s="65" t="s">
        <v>80</v>
      </c>
      <c r="C439" s="65" t="s">
        <v>1579</v>
      </c>
      <c r="D439" s="65" t="s">
        <v>126</v>
      </c>
      <c r="E439" s="65" t="s">
        <v>1580</v>
      </c>
      <c r="F439" s="65" t="b">
        <f>TRUE()</f>
        <v>1</v>
      </c>
      <c r="G439" s="65" t="s">
        <v>167</v>
      </c>
      <c r="H439" s="65" t="s">
        <v>276</v>
      </c>
      <c r="I439" s="66">
        <v>46208</v>
      </c>
      <c r="J439" s="66">
        <v>46210</v>
      </c>
      <c r="K439" s="65">
        <v>2</v>
      </c>
      <c r="L439" s="65" t="s">
        <v>192</v>
      </c>
      <c r="M439" s="65" t="s">
        <v>185</v>
      </c>
      <c r="N439" s="65" t="b">
        <f>FALSE()</f>
        <v>0</v>
      </c>
      <c r="O439" s="65"/>
      <c r="P439" s="65"/>
      <c r="Q439" s="65" t="s">
        <v>236</v>
      </c>
      <c r="R439" s="65" t="s">
        <v>237</v>
      </c>
      <c r="S439" s="65"/>
      <c r="T439" s="65" t="b">
        <f>FALSE()</f>
        <v>0</v>
      </c>
      <c r="U439" s="65" t="b">
        <f>FALSE()</f>
        <v>0</v>
      </c>
      <c r="V439" s="65">
        <v>273</v>
      </c>
      <c r="W439" s="67" t="s">
        <v>1581</v>
      </c>
      <c r="X439" s="65">
        <v>1</v>
      </c>
      <c r="Y439" s="68">
        <v>0.01</v>
      </c>
      <c r="Z439" s="65" t="b">
        <f>FALSE()</f>
        <v>0</v>
      </c>
      <c r="AA439" s="65" t="b">
        <f>TRUE()</f>
        <v>1</v>
      </c>
      <c r="AB439" s="65" t="b">
        <f>FALSE()</f>
        <v>0</v>
      </c>
      <c r="AC439" s="65" t="b">
        <f>FALSE()</f>
        <v>0</v>
      </c>
      <c r="AD439" s="65" t="b">
        <f>FALSE()</f>
        <v>0</v>
      </c>
      <c r="AE439" s="65">
        <v>1</v>
      </c>
      <c r="AF439" s="69">
        <v>14.3</v>
      </c>
      <c r="AG439" s="65" t="s">
        <v>74</v>
      </c>
      <c r="AH439" s="65" t="s">
        <v>1582</v>
      </c>
      <c r="AI439">
        <f>IF(AND(OR(Company_Explorer!$B$5="All Companies",$E439=Company_Explorer!$B$5),OR(Company_Explorer!$B$6="All Platforms",$B439=Company_Explorer!$B$6),OR(Company_Explorer!$B$7="All Roles",$D439=Company_Explorer!$B$7),OR(Company_Explorer!$B$8="All Ghost Labels",$AG439=Company_Explorer!$B$8)),1,0)</f>
        <v>0</v>
      </c>
    </row>
    <row r="440" spans="1:35" ht="15" customHeight="1" x14ac:dyDescent="0.3">
      <c r="A440" s="60" t="s">
        <v>1583</v>
      </c>
      <c r="B440" s="60" t="s">
        <v>80</v>
      </c>
      <c r="C440" s="60" t="s">
        <v>1584</v>
      </c>
      <c r="D440" s="60" t="s">
        <v>125</v>
      </c>
      <c r="E440" s="60" t="s">
        <v>1585</v>
      </c>
      <c r="F440" s="60" t="b">
        <f>TRUE()</f>
        <v>1</v>
      </c>
      <c r="G440" s="60" t="s">
        <v>172</v>
      </c>
      <c r="H440" s="60" t="s">
        <v>276</v>
      </c>
      <c r="I440" s="61">
        <v>45930</v>
      </c>
      <c r="J440" s="61">
        <v>46210</v>
      </c>
      <c r="K440" s="60">
        <v>280</v>
      </c>
      <c r="L440" s="60" t="s">
        <v>192</v>
      </c>
      <c r="M440" s="60" t="s">
        <v>186</v>
      </c>
      <c r="N440" s="60" t="b">
        <f>TRUE()</f>
        <v>1</v>
      </c>
      <c r="O440" s="70">
        <v>100000</v>
      </c>
      <c r="P440" s="70">
        <v>350000</v>
      </c>
      <c r="Q440" s="60" t="s">
        <v>332</v>
      </c>
      <c r="R440" s="60" t="s">
        <v>237</v>
      </c>
      <c r="S440" s="60"/>
      <c r="T440" s="60" t="b">
        <f>FALSE()</f>
        <v>0</v>
      </c>
      <c r="U440" s="60" t="b">
        <f>FALSE()</f>
        <v>0</v>
      </c>
      <c r="V440" s="60">
        <v>125</v>
      </c>
      <c r="W440" s="62" t="s">
        <v>1586</v>
      </c>
      <c r="X440" s="60">
        <v>1</v>
      </c>
      <c r="Y440" s="63">
        <v>0.01</v>
      </c>
      <c r="Z440" s="60" t="b">
        <f>FALSE()</f>
        <v>0</v>
      </c>
      <c r="AA440" s="60" t="b">
        <f>FALSE()</f>
        <v>0</v>
      </c>
      <c r="AB440" s="60" t="b">
        <f>TRUE()</f>
        <v>1</v>
      </c>
      <c r="AC440" s="60" t="b">
        <f>TRUE()</f>
        <v>1</v>
      </c>
      <c r="AD440" s="60" t="b">
        <f>FALSE()</f>
        <v>0</v>
      </c>
      <c r="AE440" s="60">
        <v>2</v>
      </c>
      <c r="AF440" s="64">
        <v>28.6</v>
      </c>
      <c r="AG440" s="60" t="s">
        <v>73</v>
      </c>
      <c r="AH440" s="60" t="s">
        <v>1587</v>
      </c>
      <c r="AI440">
        <f>IF(AND(OR(Company_Explorer!$B$5="All Companies",$E440=Company_Explorer!$B$5),OR(Company_Explorer!$B$6="All Platforms",$B440=Company_Explorer!$B$6),OR(Company_Explorer!$B$7="All Roles",$D440=Company_Explorer!$B$7),OR(Company_Explorer!$B$8="All Ghost Labels",$AG440=Company_Explorer!$B$8)),1,0)</f>
        <v>0</v>
      </c>
    </row>
    <row r="441" spans="1:35" ht="15" customHeight="1" x14ac:dyDescent="0.3">
      <c r="A441" s="65" t="s">
        <v>1588</v>
      </c>
      <c r="B441" s="65" t="s">
        <v>80</v>
      </c>
      <c r="C441" s="65" t="s">
        <v>1589</v>
      </c>
      <c r="D441" s="65" t="s">
        <v>125</v>
      </c>
      <c r="E441" s="65" t="s">
        <v>1590</v>
      </c>
      <c r="F441" s="65" t="b">
        <f>TRUE()</f>
        <v>1</v>
      </c>
      <c r="G441" s="65" t="s">
        <v>170</v>
      </c>
      <c r="H441" s="65" t="s">
        <v>165</v>
      </c>
      <c r="I441" s="66">
        <v>46206</v>
      </c>
      <c r="J441" s="66">
        <v>46210</v>
      </c>
      <c r="K441" s="65">
        <v>4</v>
      </c>
      <c r="L441" s="65" t="s">
        <v>192</v>
      </c>
      <c r="M441" s="65" t="s">
        <v>184</v>
      </c>
      <c r="N441" s="65" t="b">
        <f>FALSE()</f>
        <v>0</v>
      </c>
      <c r="O441" s="65"/>
      <c r="P441" s="65"/>
      <c r="Q441" s="65" t="s">
        <v>236</v>
      </c>
      <c r="R441" s="65" t="s">
        <v>237</v>
      </c>
      <c r="S441" s="65"/>
      <c r="T441" s="65" t="b">
        <f>FALSE()</f>
        <v>0</v>
      </c>
      <c r="U441" s="65" t="b">
        <f>FALSE()</f>
        <v>0</v>
      </c>
      <c r="V441" s="65">
        <v>761</v>
      </c>
      <c r="W441" s="67" t="s">
        <v>1591</v>
      </c>
      <c r="X441" s="65">
        <v>1</v>
      </c>
      <c r="Y441" s="68">
        <v>0.01</v>
      </c>
      <c r="Z441" s="65" t="b">
        <f>FALSE()</f>
        <v>0</v>
      </c>
      <c r="AA441" s="65" t="b">
        <f>TRUE()</f>
        <v>1</v>
      </c>
      <c r="AB441" s="65" t="b">
        <f>FALSE()</f>
        <v>0</v>
      </c>
      <c r="AC441" s="65" t="b">
        <f>FALSE()</f>
        <v>0</v>
      </c>
      <c r="AD441" s="65" t="b">
        <f>FALSE()</f>
        <v>0</v>
      </c>
      <c r="AE441" s="65">
        <v>1</v>
      </c>
      <c r="AF441" s="69">
        <v>14.3</v>
      </c>
      <c r="AG441" s="65" t="s">
        <v>74</v>
      </c>
      <c r="AH441" s="65" t="s">
        <v>1592</v>
      </c>
      <c r="AI441">
        <f>IF(AND(OR(Company_Explorer!$B$5="All Companies",$E441=Company_Explorer!$B$5),OR(Company_Explorer!$B$6="All Platforms",$B441=Company_Explorer!$B$6),OR(Company_Explorer!$B$7="All Roles",$D441=Company_Explorer!$B$7),OR(Company_Explorer!$B$8="All Ghost Labels",$AG441=Company_Explorer!$B$8)),1,0)</f>
        <v>0</v>
      </c>
    </row>
    <row r="442" spans="1:35" ht="15" customHeight="1" x14ac:dyDescent="0.3">
      <c r="A442" s="60" t="s">
        <v>1593</v>
      </c>
      <c r="B442" s="60" t="s">
        <v>80</v>
      </c>
      <c r="C442" s="60" t="s">
        <v>1594</v>
      </c>
      <c r="D442" s="60" t="s">
        <v>125</v>
      </c>
      <c r="E442" s="60" t="s">
        <v>365</v>
      </c>
      <c r="F442" s="60" t="b">
        <f>TRUE()</f>
        <v>1</v>
      </c>
      <c r="G442" s="60" t="s">
        <v>166</v>
      </c>
      <c r="H442" s="60" t="s">
        <v>235</v>
      </c>
      <c r="I442" s="61">
        <v>46202</v>
      </c>
      <c r="J442" s="61">
        <v>46210</v>
      </c>
      <c r="K442" s="60">
        <v>8</v>
      </c>
      <c r="L442" s="60" t="s">
        <v>192</v>
      </c>
      <c r="M442" s="60" t="s">
        <v>185</v>
      </c>
      <c r="N442" s="60" t="b">
        <f>FALSE()</f>
        <v>0</v>
      </c>
      <c r="O442" s="60"/>
      <c r="P442" s="60"/>
      <c r="Q442" s="60" t="s">
        <v>236</v>
      </c>
      <c r="R442" s="60" t="s">
        <v>237</v>
      </c>
      <c r="S442" s="60"/>
      <c r="T442" s="60" t="b">
        <f>FALSE()</f>
        <v>0</v>
      </c>
      <c r="U442" s="60" t="b">
        <f>FALSE()</f>
        <v>0</v>
      </c>
      <c r="V442" s="60">
        <v>848</v>
      </c>
      <c r="W442" s="62" t="s">
        <v>366</v>
      </c>
      <c r="X442" s="60">
        <v>3</v>
      </c>
      <c r="Y442" s="63">
        <v>0.02</v>
      </c>
      <c r="Z442" s="60" t="b">
        <f>FALSE()</f>
        <v>0</v>
      </c>
      <c r="AA442" s="60" t="b">
        <f>TRUE()</f>
        <v>1</v>
      </c>
      <c r="AB442" s="60" t="b">
        <f>FALSE()</f>
        <v>0</v>
      </c>
      <c r="AC442" s="60" t="b">
        <f>FALSE()</f>
        <v>0</v>
      </c>
      <c r="AD442" s="60" t="b">
        <f>FALSE()</f>
        <v>0</v>
      </c>
      <c r="AE442" s="60">
        <v>1</v>
      </c>
      <c r="AF442" s="64">
        <v>14.3</v>
      </c>
      <c r="AG442" s="60" t="s">
        <v>74</v>
      </c>
      <c r="AH442" s="60" t="s">
        <v>1595</v>
      </c>
      <c r="AI442">
        <f>IF(AND(OR(Company_Explorer!$B$5="All Companies",$E442=Company_Explorer!$B$5),OR(Company_Explorer!$B$6="All Platforms",$B442=Company_Explorer!$B$6),OR(Company_Explorer!$B$7="All Roles",$D442=Company_Explorer!$B$7),OR(Company_Explorer!$B$8="All Ghost Labels",$AG442=Company_Explorer!$B$8)),1,0)</f>
        <v>0</v>
      </c>
    </row>
    <row r="443" spans="1:35" ht="15" customHeight="1" x14ac:dyDescent="0.3">
      <c r="A443" s="65" t="s">
        <v>1596</v>
      </c>
      <c r="B443" s="65" t="s">
        <v>80</v>
      </c>
      <c r="C443" s="65" t="s">
        <v>258</v>
      </c>
      <c r="D443" s="65" t="s">
        <v>125</v>
      </c>
      <c r="E443" s="65" t="s">
        <v>141</v>
      </c>
      <c r="F443" s="65" t="b">
        <f>TRUE()</f>
        <v>1</v>
      </c>
      <c r="G443" s="65" t="s">
        <v>168</v>
      </c>
      <c r="H443" s="65" t="s">
        <v>254</v>
      </c>
      <c r="I443" s="66">
        <v>46209</v>
      </c>
      <c r="J443" s="66">
        <v>46210</v>
      </c>
      <c r="K443" s="65">
        <v>1</v>
      </c>
      <c r="L443" s="65" t="s">
        <v>192</v>
      </c>
      <c r="M443" s="65" t="s">
        <v>184</v>
      </c>
      <c r="N443" s="65" t="b">
        <f>FALSE()</f>
        <v>0</v>
      </c>
      <c r="O443" s="65"/>
      <c r="P443" s="65"/>
      <c r="Q443" s="65" t="s">
        <v>236</v>
      </c>
      <c r="R443" s="65" t="s">
        <v>237</v>
      </c>
      <c r="S443" s="65"/>
      <c r="T443" s="65" t="b">
        <f>FALSE()</f>
        <v>0</v>
      </c>
      <c r="U443" s="65" t="b">
        <f>FALSE()</f>
        <v>0</v>
      </c>
      <c r="V443" s="65">
        <v>275</v>
      </c>
      <c r="W443" s="67" t="s">
        <v>259</v>
      </c>
      <c r="X443" s="65">
        <v>429</v>
      </c>
      <c r="Y443" s="68">
        <v>2.66</v>
      </c>
      <c r="Z443" s="65" t="b">
        <f>FALSE()</f>
        <v>0</v>
      </c>
      <c r="AA443" s="65" t="b">
        <f>TRUE()</f>
        <v>1</v>
      </c>
      <c r="AB443" s="65" t="b">
        <f>FALSE()</f>
        <v>0</v>
      </c>
      <c r="AC443" s="65" t="b">
        <f>FALSE()</f>
        <v>0</v>
      </c>
      <c r="AD443" s="65" t="b">
        <f>TRUE()</f>
        <v>1</v>
      </c>
      <c r="AE443" s="65">
        <v>3</v>
      </c>
      <c r="AF443" s="69">
        <v>42.9</v>
      </c>
      <c r="AG443" s="65" t="s">
        <v>73</v>
      </c>
      <c r="AH443" s="65" t="s">
        <v>1597</v>
      </c>
      <c r="AI443">
        <f>IF(AND(OR(Company_Explorer!$B$5="All Companies",$E443=Company_Explorer!$B$5),OR(Company_Explorer!$B$6="All Platforms",$B443=Company_Explorer!$B$6),OR(Company_Explorer!$B$7="All Roles",$D443=Company_Explorer!$B$7),OR(Company_Explorer!$B$8="All Ghost Labels",$AG443=Company_Explorer!$B$8)),1,0)</f>
        <v>0</v>
      </c>
    </row>
    <row r="444" spans="1:35" ht="15" customHeight="1" x14ac:dyDescent="0.3">
      <c r="A444" s="60" t="s">
        <v>1598</v>
      </c>
      <c r="B444" s="60" t="s">
        <v>80</v>
      </c>
      <c r="C444" s="60" t="s">
        <v>1599</v>
      </c>
      <c r="D444" s="60" t="s">
        <v>125</v>
      </c>
      <c r="E444" s="60" t="s">
        <v>1600</v>
      </c>
      <c r="F444" s="60" t="b">
        <f>TRUE()</f>
        <v>1</v>
      </c>
      <c r="G444" s="60" t="s">
        <v>166</v>
      </c>
      <c r="H444" s="60" t="s">
        <v>235</v>
      </c>
      <c r="I444" s="61">
        <v>46188</v>
      </c>
      <c r="J444" s="61">
        <v>46210</v>
      </c>
      <c r="K444" s="60">
        <v>22</v>
      </c>
      <c r="L444" s="60" t="s">
        <v>192</v>
      </c>
      <c r="M444" s="60" t="s">
        <v>186</v>
      </c>
      <c r="N444" s="60" t="b">
        <f>FALSE()</f>
        <v>0</v>
      </c>
      <c r="O444" s="60"/>
      <c r="P444" s="60"/>
      <c r="Q444" s="60" t="s">
        <v>236</v>
      </c>
      <c r="R444" s="60" t="s">
        <v>237</v>
      </c>
      <c r="S444" s="60"/>
      <c r="T444" s="60" t="b">
        <f>FALSE()</f>
        <v>0</v>
      </c>
      <c r="U444" s="60" t="b">
        <f>FALSE()</f>
        <v>0</v>
      </c>
      <c r="V444" s="60">
        <v>559</v>
      </c>
      <c r="W444" s="62" t="s">
        <v>1601</v>
      </c>
      <c r="X444" s="60">
        <v>1</v>
      </c>
      <c r="Y444" s="63">
        <v>0.01</v>
      </c>
      <c r="Z444" s="60" t="b">
        <f>FALSE()</f>
        <v>0</v>
      </c>
      <c r="AA444" s="60" t="b">
        <f>TRUE()</f>
        <v>1</v>
      </c>
      <c r="AB444" s="60" t="b">
        <f>FALSE()</f>
        <v>0</v>
      </c>
      <c r="AC444" s="60" t="b">
        <f>TRUE()</f>
        <v>1</v>
      </c>
      <c r="AD444" s="60" t="b">
        <f>FALSE()</f>
        <v>0</v>
      </c>
      <c r="AE444" s="60">
        <v>2</v>
      </c>
      <c r="AF444" s="64">
        <v>28.6</v>
      </c>
      <c r="AG444" s="60" t="s">
        <v>73</v>
      </c>
      <c r="AH444" s="60" t="s">
        <v>1602</v>
      </c>
      <c r="AI444">
        <f>IF(AND(OR(Company_Explorer!$B$5="All Companies",$E444=Company_Explorer!$B$5),OR(Company_Explorer!$B$6="All Platforms",$B444=Company_Explorer!$B$6),OR(Company_Explorer!$B$7="All Roles",$D444=Company_Explorer!$B$7),OR(Company_Explorer!$B$8="All Ghost Labels",$AG444=Company_Explorer!$B$8)),1,0)</f>
        <v>0</v>
      </c>
    </row>
    <row r="445" spans="1:35" ht="15" customHeight="1" x14ac:dyDescent="0.3">
      <c r="A445" s="65" t="s">
        <v>1603</v>
      </c>
      <c r="B445" s="65" t="s">
        <v>80</v>
      </c>
      <c r="C445" s="65" t="s">
        <v>1604</v>
      </c>
      <c r="D445" s="65" t="s">
        <v>125</v>
      </c>
      <c r="E445" s="65" t="s">
        <v>1182</v>
      </c>
      <c r="F445" s="65" t="b">
        <f>TRUE()</f>
        <v>1</v>
      </c>
      <c r="G445" s="65" t="s">
        <v>753</v>
      </c>
      <c r="H445" s="65" t="s">
        <v>754</v>
      </c>
      <c r="I445" s="66">
        <v>46194</v>
      </c>
      <c r="J445" s="66">
        <v>46210</v>
      </c>
      <c r="K445" s="65">
        <v>16</v>
      </c>
      <c r="L445" s="65" t="s">
        <v>192</v>
      </c>
      <c r="M445" s="65" t="s">
        <v>185</v>
      </c>
      <c r="N445" s="65" t="b">
        <f>FALSE()</f>
        <v>0</v>
      </c>
      <c r="O445" s="65"/>
      <c r="P445" s="65"/>
      <c r="Q445" s="65" t="s">
        <v>236</v>
      </c>
      <c r="R445" s="65" t="s">
        <v>237</v>
      </c>
      <c r="S445" s="65"/>
      <c r="T445" s="65" t="b">
        <f>FALSE()</f>
        <v>0</v>
      </c>
      <c r="U445" s="65" t="b">
        <f>FALSE()</f>
        <v>0</v>
      </c>
      <c r="V445" s="65">
        <v>677</v>
      </c>
      <c r="W445" s="67" t="s">
        <v>1605</v>
      </c>
      <c r="X445" s="65">
        <v>4</v>
      </c>
      <c r="Y445" s="68">
        <v>0.02</v>
      </c>
      <c r="Z445" s="65" t="b">
        <f>FALSE()</f>
        <v>0</v>
      </c>
      <c r="AA445" s="65" t="b">
        <f>TRUE()</f>
        <v>1</v>
      </c>
      <c r="AB445" s="65" t="b">
        <f>FALSE()</f>
        <v>0</v>
      </c>
      <c r="AC445" s="65" t="b">
        <f>FALSE()</f>
        <v>0</v>
      </c>
      <c r="AD445" s="65" t="b">
        <f>FALSE()</f>
        <v>0</v>
      </c>
      <c r="AE445" s="65">
        <v>1</v>
      </c>
      <c r="AF445" s="69">
        <v>14.3</v>
      </c>
      <c r="AG445" s="65" t="s">
        <v>74</v>
      </c>
      <c r="AH445" s="65" t="s">
        <v>1606</v>
      </c>
      <c r="AI445">
        <f>IF(AND(OR(Company_Explorer!$B$5="All Companies",$E445=Company_Explorer!$B$5),OR(Company_Explorer!$B$6="All Platforms",$B445=Company_Explorer!$B$6),OR(Company_Explorer!$B$7="All Roles",$D445=Company_Explorer!$B$7),OR(Company_Explorer!$B$8="All Ghost Labels",$AG445=Company_Explorer!$B$8)),1,0)</f>
        <v>0</v>
      </c>
    </row>
    <row r="446" spans="1:35" ht="15" customHeight="1" x14ac:dyDescent="0.3">
      <c r="A446" s="60" t="s">
        <v>1607</v>
      </c>
      <c r="B446" s="60" t="s">
        <v>80</v>
      </c>
      <c r="C446" s="60" t="s">
        <v>1608</v>
      </c>
      <c r="D446" s="60" t="s">
        <v>126</v>
      </c>
      <c r="E446" s="60" t="s">
        <v>1609</v>
      </c>
      <c r="F446" s="60" t="b">
        <f>TRUE()</f>
        <v>1</v>
      </c>
      <c r="G446" s="60" t="s">
        <v>166</v>
      </c>
      <c r="H446" s="60" t="s">
        <v>235</v>
      </c>
      <c r="I446" s="61">
        <v>46191</v>
      </c>
      <c r="J446" s="61">
        <v>46210</v>
      </c>
      <c r="K446" s="60">
        <v>19</v>
      </c>
      <c r="L446" s="60" t="s">
        <v>192</v>
      </c>
      <c r="M446" s="60" t="s">
        <v>185</v>
      </c>
      <c r="N446" s="60" t="b">
        <f>FALSE()</f>
        <v>0</v>
      </c>
      <c r="O446" s="60"/>
      <c r="P446" s="60"/>
      <c r="Q446" s="60" t="s">
        <v>236</v>
      </c>
      <c r="R446" s="60" t="s">
        <v>237</v>
      </c>
      <c r="S446" s="60"/>
      <c r="T446" s="60" t="b">
        <f>FALSE()</f>
        <v>0</v>
      </c>
      <c r="U446" s="60" t="b">
        <f>FALSE()</f>
        <v>0</v>
      </c>
      <c r="V446" s="60">
        <v>390</v>
      </c>
      <c r="W446" s="62" t="s">
        <v>1610</v>
      </c>
      <c r="X446" s="60">
        <v>1</v>
      </c>
      <c r="Y446" s="63">
        <v>0.01</v>
      </c>
      <c r="Z446" s="60" t="b">
        <f>FALSE()</f>
        <v>0</v>
      </c>
      <c r="AA446" s="60" t="b">
        <f>TRUE()</f>
        <v>1</v>
      </c>
      <c r="AB446" s="60" t="b">
        <f>FALSE()</f>
        <v>0</v>
      </c>
      <c r="AC446" s="60" t="b">
        <f>TRUE()</f>
        <v>1</v>
      </c>
      <c r="AD446" s="60" t="b">
        <f>FALSE()</f>
        <v>0</v>
      </c>
      <c r="AE446" s="60">
        <v>2</v>
      </c>
      <c r="AF446" s="64">
        <v>28.6</v>
      </c>
      <c r="AG446" s="60" t="s">
        <v>73</v>
      </c>
      <c r="AH446" s="60" t="s">
        <v>1611</v>
      </c>
      <c r="AI446">
        <f>IF(AND(OR(Company_Explorer!$B$5="All Companies",$E446=Company_Explorer!$B$5),OR(Company_Explorer!$B$6="All Platforms",$B446=Company_Explorer!$B$6),OR(Company_Explorer!$B$7="All Roles",$D446=Company_Explorer!$B$7),OR(Company_Explorer!$B$8="All Ghost Labels",$AG446=Company_Explorer!$B$8)),1,0)</f>
        <v>0</v>
      </c>
    </row>
    <row r="447" spans="1:35" ht="15" customHeight="1" x14ac:dyDescent="0.3">
      <c r="A447" s="65" t="s">
        <v>1612</v>
      </c>
      <c r="B447" s="65" t="s">
        <v>80</v>
      </c>
      <c r="C447" s="65" t="s">
        <v>1613</v>
      </c>
      <c r="D447" s="65" t="s">
        <v>125</v>
      </c>
      <c r="E447" s="65" t="s">
        <v>1614</v>
      </c>
      <c r="F447" s="65" t="b">
        <f>TRUE()</f>
        <v>1</v>
      </c>
      <c r="G447" s="65" t="s">
        <v>325</v>
      </c>
      <c r="H447" s="65" t="s">
        <v>326</v>
      </c>
      <c r="I447" s="66">
        <v>46203</v>
      </c>
      <c r="J447" s="66">
        <v>46210</v>
      </c>
      <c r="K447" s="65">
        <v>7</v>
      </c>
      <c r="L447" s="65" t="s">
        <v>192</v>
      </c>
      <c r="M447" s="65" t="s">
        <v>185</v>
      </c>
      <c r="N447" s="65" t="b">
        <f>FALSE()</f>
        <v>0</v>
      </c>
      <c r="O447" s="65"/>
      <c r="P447" s="65"/>
      <c r="Q447" s="65" t="s">
        <v>236</v>
      </c>
      <c r="R447" s="65" t="s">
        <v>237</v>
      </c>
      <c r="S447" s="65"/>
      <c r="T447" s="65" t="b">
        <f>FALSE()</f>
        <v>0</v>
      </c>
      <c r="U447" s="65" t="b">
        <f>FALSE()</f>
        <v>0</v>
      </c>
      <c r="V447" s="65">
        <v>358</v>
      </c>
      <c r="W447" s="67" t="s">
        <v>1615</v>
      </c>
      <c r="X447" s="65">
        <v>1</v>
      </c>
      <c r="Y447" s="68">
        <v>0.01</v>
      </c>
      <c r="Z447" s="65" t="b">
        <f>FALSE()</f>
        <v>0</v>
      </c>
      <c r="AA447" s="65" t="b">
        <f>TRUE()</f>
        <v>1</v>
      </c>
      <c r="AB447" s="65" t="b">
        <f>FALSE()</f>
        <v>0</v>
      </c>
      <c r="AC447" s="65" t="b">
        <f>FALSE()</f>
        <v>0</v>
      </c>
      <c r="AD447" s="65" t="b">
        <f>FALSE()</f>
        <v>0</v>
      </c>
      <c r="AE447" s="65">
        <v>1</v>
      </c>
      <c r="AF447" s="69">
        <v>14.3</v>
      </c>
      <c r="AG447" s="65" t="s">
        <v>74</v>
      </c>
      <c r="AH447" s="65" t="s">
        <v>1616</v>
      </c>
      <c r="AI447">
        <f>IF(AND(OR(Company_Explorer!$B$5="All Companies",$E447=Company_Explorer!$B$5),OR(Company_Explorer!$B$6="All Platforms",$B447=Company_Explorer!$B$6),OR(Company_Explorer!$B$7="All Roles",$D447=Company_Explorer!$B$7),OR(Company_Explorer!$B$8="All Ghost Labels",$AG447=Company_Explorer!$B$8)),1,0)</f>
        <v>0</v>
      </c>
    </row>
    <row r="448" spans="1:35" ht="15" customHeight="1" x14ac:dyDescent="0.3">
      <c r="A448" s="60" t="s">
        <v>1617</v>
      </c>
      <c r="B448" s="60" t="s">
        <v>80</v>
      </c>
      <c r="C448" s="60" t="s">
        <v>1618</v>
      </c>
      <c r="D448" s="60" t="s">
        <v>125</v>
      </c>
      <c r="E448" s="60" t="s">
        <v>247</v>
      </c>
      <c r="F448" s="60" t="b">
        <f>TRUE()</f>
        <v>1</v>
      </c>
      <c r="G448" s="60" t="s">
        <v>166</v>
      </c>
      <c r="H448" s="60" t="s">
        <v>235</v>
      </c>
      <c r="I448" s="61">
        <v>46201</v>
      </c>
      <c r="J448" s="61">
        <v>46210</v>
      </c>
      <c r="K448" s="60">
        <v>9</v>
      </c>
      <c r="L448" s="60" t="s">
        <v>192</v>
      </c>
      <c r="M448" s="60" t="s">
        <v>185</v>
      </c>
      <c r="N448" s="60" t="b">
        <f>FALSE()</f>
        <v>0</v>
      </c>
      <c r="O448" s="60"/>
      <c r="P448" s="60"/>
      <c r="Q448" s="60" t="s">
        <v>236</v>
      </c>
      <c r="R448" s="60" t="s">
        <v>237</v>
      </c>
      <c r="S448" s="60"/>
      <c r="T448" s="60" t="b">
        <f>FALSE()</f>
        <v>0</v>
      </c>
      <c r="U448" s="60" t="b">
        <f>FALSE()</f>
        <v>0</v>
      </c>
      <c r="V448" s="60">
        <v>910</v>
      </c>
      <c r="W448" s="62" t="s">
        <v>1619</v>
      </c>
      <c r="X448" s="60">
        <v>9</v>
      </c>
      <c r="Y448" s="63">
        <v>0.06</v>
      </c>
      <c r="Z448" s="60" t="b">
        <f>FALSE()</f>
        <v>0</v>
      </c>
      <c r="AA448" s="60" t="b">
        <f>TRUE()</f>
        <v>1</v>
      </c>
      <c r="AB448" s="60" t="b">
        <f>FALSE()</f>
        <v>0</v>
      </c>
      <c r="AC448" s="60" t="b">
        <f>FALSE()</f>
        <v>0</v>
      </c>
      <c r="AD448" s="60" t="b">
        <f>FALSE()</f>
        <v>0</v>
      </c>
      <c r="AE448" s="60">
        <v>1</v>
      </c>
      <c r="AF448" s="64">
        <v>14.3</v>
      </c>
      <c r="AG448" s="60" t="s">
        <v>74</v>
      </c>
      <c r="AH448" s="60" t="s">
        <v>1620</v>
      </c>
      <c r="AI448">
        <f>IF(AND(OR(Company_Explorer!$B$5="All Companies",$E448=Company_Explorer!$B$5),OR(Company_Explorer!$B$6="All Platforms",$B448=Company_Explorer!$B$6),OR(Company_Explorer!$B$7="All Roles",$D448=Company_Explorer!$B$7),OR(Company_Explorer!$B$8="All Ghost Labels",$AG448=Company_Explorer!$B$8)),1,0)</f>
        <v>0</v>
      </c>
    </row>
    <row r="449" spans="1:35" ht="15" customHeight="1" x14ac:dyDescent="0.3">
      <c r="A449" s="65" t="s">
        <v>1621</v>
      </c>
      <c r="B449" s="65" t="s">
        <v>80</v>
      </c>
      <c r="C449" s="65" t="s">
        <v>1622</v>
      </c>
      <c r="D449" s="65" t="s">
        <v>126</v>
      </c>
      <c r="E449" s="65" t="s">
        <v>155</v>
      </c>
      <c r="F449" s="65" t="b">
        <f>TRUE()</f>
        <v>1</v>
      </c>
      <c r="G449" s="65" t="s">
        <v>166</v>
      </c>
      <c r="H449" s="65" t="s">
        <v>235</v>
      </c>
      <c r="I449" s="66">
        <v>46206</v>
      </c>
      <c r="J449" s="66">
        <v>46210</v>
      </c>
      <c r="K449" s="65">
        <v>4</v>
      </c>
      <c r="L449" s="65" t="s">
        <v>192</v>
      </c>
      <c r="M449" s="65" t="s">
        <v>184</v>
      </c>
      <c r="N449" s="65" t="b">
        <f>FALSE()</f>
        <v>0</v>
      </c>
      <c r="O449" s="65"/>
      <c r="P449" s="65"/>
      <c r="Q449" s="65" t="s">
        <v>236</v>
      </c>
      <c r="R449" s="65" t="s">
        <v>237</v>
      </c>
      <c r="S449" s="65"/>
      <c r="T449" s="65" t="b">
        <f>FALSE()</f>
        <v>0</v>
      </c>
      <c r="U449" s="65" t="b">
        <f>FALSE()</f>
        <v>0</v>
      </c>
      <c r="V449" s="65">
        <v>455</v>
      </c>
      <c r="W449" s="67" t="s">
        <v>1623</v>
      </c>
      <c r="X449" s="65">
        <v>16</v>
      </c>
      <c r="Y449" s="68">
        <v>0.1</v>
      </c>
      <c r="Z449" s="65" t="b">
        <f>FALSE()</f>
        <v>0</v>
      </c>
      <c r="AA449" s="65" t="b">
        <f>TRUE()</f>
        <v>1</v>
      </c>
      <c r="AB449" s="65" t="b">
        <f>FALSE()</f>
        <v>0</v>
      </c>
      <c r="AC449" s="65" t="b">
        <f>FALSE()</f>
        <v>0</v>
      </c>
      <c r="AD449" s="65" t="b">
        <f>FALSE()</f>
        <v>0</v>
      </c>
      <c r="AE449" s="65">
        <v>1</v>
      </c>
      <c r="AF449" s="69">
        <v>14.3</v>
      </c>
      <c r="AG449" s="65" t="s">
        <v>74</v>
      </c>
      <c r="AH449" s="65" t="s">
        <v>1624</v>
      </c>
      <c r="AI449">
        <f>IF(AND(OR(Company_Explorer!$B$5="All Companies",$E449=Company_Explorer!$B$5),OR(Company_Explorer!$B$6="All Platforms",$B449=Company_Explorer!$B$6),OR(Company_Explorer!$B$7="All Roles",$D449=Company_Explorer!$B$7),OR(Company_Explorer!$B$8="All Ghost Labels",$AG449=Company_Explorer!$B$8)),1,0)</f>
        <v>0</v>
      </c>
    </row>
    <row r="450" spans="1:35" ht="15" customHeight="1" x14ac:dyDescent="0.3">
      <c r="A450" s="60" t="s">
        <v>1625</v>
      </c>
      <c r="B450" s="60" t="s">
        <v>80</v>
      </c>
      <c r="C450" s="60" t="s">
        <v>241</v>
      </c>
      <c r="D450" s="60" t="s">
        <v>125</v>
      </c>
      <c r="E450" s="60" t="s">
        <v>1626</v>
      </c>
      <c r="F450" s="60" t="b">
        <f>TRUE()</f>
        <v>1</v>
      </c>
      <c r="G450" s="60" t="s">
        <v>172</v>
      </c>
      <c r="H450" s="60" t="s">
        <v>276</v>
      </c>
      <c r="I450" s="61">
        <v>46198</v>
      </c>
      <c r="J450" s="61">
        <v>46210</v>
      </c>
      <c r="K450" s="60">
        <v>12</v>
      </c>
      <c r="L450" s="60" t="s">
        <v>192</v>
      </c>
      <c r="M450" s="60" t="s">
        <v>187</v>
      </c>
      <c r="N450" s="60" t="b">
        <f>FALSE()</f>
        <v>0</v>
      </c>
      <c r="O450" s="60"/>
      <c r="P450" s="60"/>
      <c r="Q450" s="60" t="s">
        <v>236</v>
      </c>
      <c r="R450" s="60" t="s">
        <v>237</v>
      </c>
      <c r="S450" s="60"/>
      <c r="T450" s="60" t="b">
        <f>FALSE()</f>
        <v>0</v>
      </c>
      <c r="U450" s="60" t="b">
        <f>FALSE()</f>
        <v>0</v>
      </c>
      <c r="V450" s="60">
        <v>316</v>
      </c>
      <c r="W450" s="60" t="s">
        <v>1627</v>
      </c>
      <c r="X450" s="60">
        <v>1</v>
      </c>
      <c r="Y450" s="63">
        <v>0.01</v>
      </c>
      <c r="Z450" s="60" t="b">
        <f>FALSE()</f>
        <v>0</v>
      </c>
      <c r="AA450" s="60" t="b">
        <f>TRUE()</f>
        <v>1</v>
      </c>
      <c r="AB450" s="60" t="b">
        <f>FALSE()</f>
        <v>0</v>
      </c>
      <c r="AC450" s="60" t="b">
        <f>FALSE()</f>
        <v>0</v>
      </c>
      <c r="AD450" s="60" t="b">
        <f>FALSE()</f>
        <v>0</v>
      </c>
      <c r="AE450" s="60">
        <v>1</v>
      </c>
      <c r="AF450" s="64">
        <v>14.3</v>
      </c>
      <c r="AG450" s="60" t="s">
        <v>74</v>
      </c>
      <c r="AH450" s="60" t="s">
        <v>1628</v>
      </c>
      <c r="AI450">
        <f>IF(AND(OR(Company_Explorer!$B$5="All Companies",$E450=Company_Explorer!$B$5),OR(Company_Explorer!$B$6="All Platforms",$B450=Company_Explorer!$B$6),OR(Company_Explorer!$B$7="All Roles",$D450=Company_Explorer!$B$7),OR(Company_Explorer!$B$8="All Ghost Labels",$AG450=Company_Explorer!$B$8)),1,0)</f>
        <v>0</v>
      </c>
    </row>
    <row r="451" spans="1:35" ht="15" customHeight="1" x14ac:dyDescent="0.3">
      <c r="A451" s="65" t="s">
        <v>1629</v>
      </c>
      <c r="B451" s="65" t="s">
        <v>80</v>
      </c>
      <c r="C451" s="65" t="s">
        <v>125</v>
      </c>
      <c r="D451" s="65" t="s">
        <v>125</v>
      </c>
      <c r="E451" s="65" t="s">
        <v>1630</v>
      </c>
      <c r="F451" s="65" t="b">
        <f>TRUE()</f>
        <v>1</v>
      </c>
      <c r="G451" s="65" t="s">
        <v>178</v>
      </c>
      <c r="H451" s="65" t="s">
        <v>165</v>
      </c>
      <c r="I451" s="66">
        <v>46206</v>
      </c>
      <c r="J451" s="66">
        <v>46210</v>
      </c>
      <c r="K451" s="65">
        <v>4</v>
      </c>
      <c r="L451" s="65" t="s">
        <v>192</v>
      </c>
      <c r="M451" s="65" t="s">
        <v>185</v>
      </c>
      <c r="N451" s="65" t="b">
        <f>FALSE()</f>
        <v>0</v>
      </c>
      <c r="O451" s="65"/>
      <c r="P451" s="65"/>
      <c r="Q451" s="65" t="s">
        <v>236</v>
      </c>
      <c r="R451" s="65" t="s">
        <v>237</v>
      </c>
      <c r="S451" s="65"/>
      <c r="T451" s="65" t="b">
        <f>FALSE()</f>
        <v>0</v>
      </c>
      <c r="U451" s="65" t="b">
        <f>FALSE()</f>
        <v>0</v>
      </c>
      <c r="V451" s="65">
        <v>676</v>
      </c>
      <c r="W451" s="67" t="s">
        <v>1631</v>
      </c>
      <c r="X451" s="65">
        <v>1</v>
      </c>
      <c r="Y451" s="68">
        <v>0.01</v>
      </c>
      <c r="Z451" s="65" t="b">
        <f>FALSE()</f>
        <v>0</v>
      </c>
      <c r="AA451" s="65" t="b">
        <f>TRUE()</f>
        <v>1</v>
      </c>
      <c r="AB451" s="65" t="b">
        <f>FALSE()</f>
        <v>0</v>
      </c>
      <c r="AC451" s="65" t="b">
        <f>FALSE()</f>
        <v>0</v>
      </c>
      <c r="AD451" s="65" t="b">
        <f>FALSE()</f>
        <v>0</v>
      </c>
      <c r="AE451" s="65">
        <v>1</v>
      </c>
      <c r="AF451" s="69">
        <v>14.3</v>
      </c>
      <c r="AG451" s="65" t="s">
        <v>74</v>
      </c>
      <c r="AH451" s="65" t="s">
        <v>1632</v>
      </c>
      <c r="AI451">
        <f>IF(AND(OR(Company_Explorer!$B$5="All Companies",$E451=Company_Explorer!$B$5),OR(Company_Explorer!$B$6="All Platforms",$B451=Company_Explorer!$B$6),OR(Company_Explorer!$B$7="All Roles",$D451=Company_Explorer!$B$7),OR(Company_Explorer!$B$8="All Ghost Labels",$AG451=Company_Explorer!$B$8)),1,0)</f>
        <v>0</v>
      </c>
    </row>
    <row r="452" spans="1:35" ht="15" customHeight="1" x14ac:dyDescent="0.3">
      <c r="A452" s="60" t="s">
        <v>1633</v>
      </c>
      <c r="B452" s="60" t="s">
        <v>80</v>
      </c>
      <c r="C452" s="60" t="s">
        <v>306</v>
      </c>
      <c r="D452" s="60" t="s">
        <v>125</v>
      </c>
      <c r="E452" s="60" t="s">
        <v>141</v>
      </c>
      <c r="F452" s="60" t="b">
        <f>TRUE()</f>
        <v>1</v>
      </c>
      <c r="G452" s="60" t="s">
        <v>166</v>
      </c>
      <c r="H452" s="60" t="s">
        <v>235</v>
      </c>
      <c r="I452" s="61">
        <v>46196</v>
      </c>
      <c r="J452" s="61">
        <v>46210</v>
      </c>
      <c r="K452" s="60">
        <v>14</v>
      </c>
      <c r="L452" s="60" t="s">
        <v>192</v>
      </c>
      <c r="M452" s="60" t="s">
        <v>184</v>
      </c>
      <c r="N452" s="60" t="b">
        <f>FALSE()</f>
        <v>0</v>
      </c>
      <c r="O452" s="60"/>
      <c r="P452" s="60"/>
      <c r="Q452" s="60" t="s">
        <v>236</v>
      </c>
      <c r="R452" s="60" t="s">
        <v>237</v>
      </c>
      <c r="S452" s="60"/>
      <c r="T452" s="60" t="b">
        <f>FALSE()</f>
        <v>0</v>
      </c>
      <c r="U452" s="60" t="b">
        <f>FALSE()</f>
        <v>0</v>
      </c>
      <c r="V452" s="60">
        <v>289</v>
      </c>
      <c r="W452" s="62" t="s">
        <v>1634</v>
      </c>
      <c r="X452" s="60">
        <v>429</v>
      </c>
      <c r="Y452" s="63">
        <v>2.66</v>
      </c>
      <c r="Z452" s="60" t="b">
        <f>FALSE()</f>
        <v>0</v>
      </c>
      <c r="AA452" s="60" t="b">
        <f>TRUE()</f>
        <v>1</v>
      </c>
      <c r="AB452" s="60" t="b">
        <f>FALSE()</f>
        <v>0</v>
      </c>
      <c r="AC452" s="60" t="b">
        <f>FALSE()</f>
        <v>0</v>
      </c>
      <c r="AD452" s="60" t="b">
        <f>TRUE()</f>
        <v>1</v>
      </c>
      <c r="AE452" s="60">
        <v>3</v>
      </c>
      <c r="AF452" s="64">
        <v>42.9</v>
      </c>
      <c r="AG452" s="60" t="s">
        <v>73</v>
      </c>
      <c r="AH452" s="60" t="s">
        <v>1635</v>
      </c>
      <c r="AI452">
        <f>IF(AND(OR(Company_Explorer!$B$5="All Companies",$E452=Company_Explorer!$B$5),OR(Company_Explorer!$B$6="All Platforms",$B452=Company_Explorer!$B$6),OR(Company_Explorer!$B$7="All Roles",$D452=Company_Explorer!$B$7),OR(Company_Explorer!$B$8="All Ghost Labels",$AG452=Company_Explorer!$B$8)),1,0)</f>
        <v>0</v>
      </c>
    </row>
    <row r="453" spans="1:35" ht="15" customHeight="1" x14ac:dyDescent="0.3">
      <c r="A453" s="65" t="s">
        <v>1636</v>
      </c>
      <c r="B453" s="65" t="s">
        <v>80</v>
      </c>
      <c r="C453" s="65" t="s">
        <v>1637</v>
      </c>
      <c r="D453" s="65" t="s">
        <v>125</v>
      </c>
      <c r="E453" s="65" t="s">
        <v>1638</v>
      </c>
      <c r="F453" s="65" t="b">
        <f>TRUE()</f>
        <v>1</v>
      </c>
      <c r="G453" s="65" t="s">
        <v>166</v>
      </c>
      <c r="H453" s="65" t="s">
        <v>235</v>
      </c>
      <c r="I453" s="66">
        <v>46112</v>
      </c>
      <c r="J453" s="66">
        <v>46210</v>
      </c>
      <c r="K453" s="65">
        <v>98</v>
      </c>
      <c r="L453" s="65" t="s">
        <v>192</v>
      </c>
      <c r="M453" s="65" t="s">
        <v>185</v>
      </c>
      <c r="N453" s="65" t="b">
        <f>FALSE()</f>
        <v>0</v>
      </c>
      <c r="O453" s="65"/>
      <c r="P453" s="65"/>
      <c r="Q453" s="65" t="s">
        <v>236</v>
      </c>
      <c r="R453" s="65" t="s">
        <v>237</v>
      </c>
      <c r="S453" s="65"/>
      <c r="T453" s="65" t="b">
        <f>FALSE()</f>
        <v>0</v>
      </c>
      <c r="U453" s="65" t="b">
        <f>FALSE()</f>
        <v>0</v>
      </c>
      <c r="V453" s="65">
        <v>233</v>
      </c>
      <c r="W453" s="65" t="s">
        <v>1639</v>
      </c>
      <c r="X453" s="65">
        <v>1</v>
      </c>
      <c r="Y453" s="68">
        <v>0.01</v>
      </c>
      <c r="Z453" s="65" t="b">
        <f>FALSE()</f>
        <v>0</v>
      </c>
      <c r="AA453" s="65" t="b">
        <f>TRUE()</f>
        <v>1</v>
      </c>
      <c r="AB453" s="65" t="b">
        <f>TRUE()</f>
        <v>1</v>
      </c>
      <c r="AC453" s="65" t="b">
        <f>TRUE()</f>
        <v>1</v>
      </c>
      <c r="AD453" s="65" t="b">
        <f>FALSE()</f>
        <v>0</v>
      </c>
      <c r="AE453" s="65">
        <v>3</v>
      </c>
      <c r="AF453" s="69">
        <v>42.9</v>
      </c>
      <c r="AG453" s="65" t="s">
        <v>73</v>
      </c>
      <c r="AH453" s="65" t="s">
        <v>1640</v>
      </c>
      <c r="AI453">
        <f>IF(AND(OR(Company_Explorer!$B$5="All Companies",$E453=Company_Explorer!$B$5),OR(Company_Explorer!$B$6="All Platforms",$B453=Company_Explorer!$B$6),OR(Company_Explorer!$B$7="All Roles",$D453=Company_Explorer!$B$7),OR(Company_Explorer!$B$8="All Ghost Labels",$AG453=Company_Explorer!$B$8)),1,0)</f>
        <v>0</v>
      </c>
    </row>
    <row r="454" spans="1:35" ht="15" customHeight="1" x14ac:dyDescent="0.3">
      <c r="A454" s="60" t="s">
        <v>1641</v>
      </c>
      <c r="B454" s="60" t="s">
        <v>80</v>
      </c>
      <c r="C454" s="60" t="s">
        <v>1642</v>
      </c>
      <c r="D454" s="60" t="s">
        <v>129</v>
      </c>
      <c r="E454" s="60" t="s">
        <v>1643</v>
      </c>
      <c r="F454" s="60" t="b">
        <f>TRUE()</f>
        <v>1</v>
      </c>
      <c r="G454" s="60" t="s">
        <v>1644</v>
      </c>
      <c r="H454" s="60" t="s">
        <v>294</v>
      </c>
      <c r="I454" s="61">
        <v>45930</v>
      </c>
      <c r="J454" s="61">
        <v>46210</v>
      </c>
      <c r="K454" s="60">
        <v>280</v>
      </c>
      <c r="L454" s="60" t="s">
        <v>192</v>
      </c>
      <c r="M454" s="60" t="s">
        <v>186</v>
      </c>
      <c r="N454" s="60" t="b">
        <f>TRUE()</f>
        <v>1</v>
      </c>
      <c r="O454" s="70">
        <v>120000</v>
      </c>
      <c r="P454" s="70">
        <v>240000</v>
      </c>
      <c r="Q454" s="60" t="s">
        <v>332</v>
      </c>
      <c r="R454" s="60" t="s">
        <v>237</v>
      </c>
      <c r="S454" s="60"/>
      <c r="T454" s="60" t="b">
        <f>FALSE()</f>
        <v>0</v>
      </c>
      <c r="U454" s="60" t="b">
        <f>FALSE()</f>
        <v>0</v>
      </c>
      <c r="V454" s="60">
        <v>61</v>
      </c>
      <c r="W454" s="62" t="s">
        <v>1645</v>
      </c>
      <c r="X454" s="60">
        <v>1</v>
      </c>
      <c r="Y454" s="63">
        <v>0.01</v>
      </c>
      <c r="Z454" s="60" t="b">
        <f>FALSE()</f>
        <v>0</v>
      </c>
      <c r="AA454" s="60" t="b">
        <f>FALSE()</f>
        <v>0</v>
      </c>
      <c r="AB454" s="60" t="b">
        <f>TRUE()</f>
        <v>1</v>
      </c>
      <c r="AC454" s="60" t="b">
        <f>TRUE()</f>
        <v>1</v>
      </c>
      <c r="AD454" s="60" t="b">
        <f>FALSE()</f>
        <v>0</v>
      </c>
      <c r="AE454" s="60">
        <v>2</v>
      </c>
      <c r="AF454" s="64">
        <v>28.6</v>
      </c>
      <c r="AG454" s="60" t="s">
        <v>73</v>
      </c>
      <c r="AH454" s="60" t="s">
        <v>1646</v>
      </c>
      <c r="AI454">
        <f>IF(AND(OR(Company_Explorer!$B$5="All Companies",$E454=Company_Explorer!$B$5),OR(Company_Explorer!$B$6="All Platforms",$B454=Company_Explorer!$B$6),OR(Company_Explorer!$B$7="All Roles",$D454=Company_Explorer!$B$7),OR(Company_Explorer!$B$8="All Ghost Labels",$AG454=Company_Explorer!$B$8)),1,0)</f>
        <v>0</v>
      </c>
    </row>
    <row r="455" spans="1:35" ht="15" customHeight="1" x14ac:dyDescent="0.3">
      <c r="A455" s="65" t="s">
        <v>1647</v>
      </c>
      <c r="B455" s="65" t="s">
        <v>80</v>
      </c>
      <c r="C455" s="65" t="s">
        <v>1648</v>
      </c>
      <c r="D455" s="65" t="s">
        <v>126</v>
      </c>
      <c r="E455" s="65" t="s">
        <v>386</v>
      </c>
      <c r="F455" s="65" t="b">
        <f>TRUE()</f>
        <v>1</v>
      </c>
      <c r="G455" s="65" t="s">
        <v>166</v>
      </c>
      <c r="H455" s="65" t="s">
        <v>235</v>
      </c>
      <c r="I455" s="66">
        <v>46190</v>
      </c>
      <c r="J455" s="66">
        <v>46210</v>
      </c>
      <c r="K455" s="65">
        <v>20</v>
      </c>
      <c r="L455" s="65" t="s">
        <v>192</v>
      </c>
      <c r="M455" s="65" t="s">
        <v>185</v>
      </c>
      <c r="N455" s="65" t="b">
        <f>FALSE()</f>
        <v>0</v>
      </c>
      <c r="O455" s="65"/>
      <c r="P455" s="65"/>
      <c r="Q455" s="65" t="s">
        <v>236</v>
      </c>
      <c r="R455" s="65" t="s">
        <v>237</v>
      </c>
      <c r="S455" s="65"/>
      <c r="T455" s="65" t="b">
        <f>FALSE()</f>
        <v>0</v>
      </c>
      <c r="U455" s="65" t="b">
        <f>FALSE()</f>
        <v>0</v>
      </c>
      <c r="V455" s="65">
        <v>273</v>
      </c>
      <c r="W455" s="67" t="s">
        <v>387</v>
      </c>
      <c r="X455" s="65">
        <v>2</v>
      </c>
      <c r="Y455" s="68">
        <v>0.01</v>
      </c>
      <c r="Z455" s="65" t="b">
        <f>FALSE()</f>
        <v>0</v>
      </c>
      <c r="AA455" s="65" t="b">
        <f>TRUE()</f>
        <v>1</v>
      </c>
      <c r="AB455" s="65" t="b">
        <f>FALSE()</f>
        <v>0</v>
      </c>
      <c r="AC455" s="65" t="b">
        <f>TRUE()</f>
        <v>1</v>
      </c>
      <c r="AD455" s="65" t="b">
        <f>FALSE()</f>
        <v>0</v>
      </c>
      <c r="AE455" s="65">
        <v>2</v>
      </c>
      <c r="AF455" s="69">
        <v>28.6</v>
      </c>
      <c r="AG455" s="65" t="s">
        <v>73</v>
      </c>
      <c r="AH455" s="65" t="s">
        <v>1649</v>
      </c>
      <c r="AI455">
        <f>IF(AND(OR(Company_Explorer!$B$5="All Companies",$E455=Company_Explorer!$B$5),OR(Company_Explorer!$B$6="All Platforms",$B455=Company_Explorer!$B$6),OR(Company_Explorer!$B$7="All Roles",$D455=Company_Explorer!$B$7),OR(Company_Explorer!$B$8="All Ghost Labels",$AG455=Company_Explorer!$B$8)),1,0)</f>
        <v>0</v>
      </c>
    </row>
    <row r="456" spans="1:35" ht="15" customHeight="1" x14ac:dyDescent="0.3">
      <c r="A456" s="60" t="s">
        <v>1650</v>
      </c>
      <c r="B456" s="60" t="s">
        <v>80</v>
      </c>
      <c r="C456" s="60" t="s">
        <v>1651</v>
      </c>
      <c r="D456" s="60" t="s">
        <v>135</v>
      </c>
      <c r="E456" s="60" t="s">
        <v>1652</v>
      </c>
      <c r="F456" s="60" t="b">
        <f>TRUE()</f>
        <v>1</v>
      </c>
      <c r="G456" s="60" t="s">
        <v>585</v>
      </c>
      <c r="H456" s="60" t="s">
        <v>178</v>
      </c>
      <c r="I456" s="61">
        <v>46035</v>
      </c>
      <c r="J456" s="61">
        <v>46210</v>
      </c>
      <c r="K456" s="60">
        <v>175</v>
      </c>
      <c r="L456" s="60" t="s">
        <v>192</v>
      </c>
      <c r="M456" s="60" t="s">
        <v>184</v>
      </c>
      <c r="N456" s="60" t="b">
        <f>TRUE()</f>
        <v>1</v>
      </c>
      <c r="O456" s="70">
        <v>400000</v>
      </c>
      <c r="P456" s="70">
        <v>1000000</v>
      </c>
      <c r="Q456" s="60" t="s">
        <v>332</v>
      </c>
      <c r="R456" s="60" t="s">
        <v>237</v>
      </c>
      <c r="S456" s="60"/>
      <c r="T456" s="60" t="b">
        <f>FALSE()</f>
        <v>0</v>
      </c>
      <c r="U456" s="60" t="b">
        <f>FALSE()</f>
        <v>0</v>
      </c>
      <c r="V456" s="60">
        <v>139</v>
      </c>
      <c r="W456" s="62" t="s">
        <v>1653</v>
      </c>
      <c r="X456" s="60">
        <v>1</v>
      </c>
      <c r="Y456" s="63">
        <v>0.01</v>
      </c>
      <c r="Z456" s="60" t="b">
        <f>FALSE()</f>
        <v>0</v>
      </c>
      <c r="AA456" s="60" t="b">
        <f>FALSE()</f>
        <v>0</v>
      </c>
      <c r="AB456" s="60" t="b">
        <f>TRUE()</f>
        <v>1</v>
      </c>
      <c r="AC456" s="60" t="b">
        <f>TRUE()</f>
        <v>1</v>
      </c>
      <c r="AD456" s="60" t="b">
        <f>FALSE()</f>
        <v>0</v>
      </c>
      <c r="AE456" s="60">
        <v>2</v>
      </c>
      <c r="AF456" s="64">
        <v>28.6</v>
      </c>
      <c r="AG456" s="60" t="s">
        <v>73</v>
      </c>
      <c r="AH456" s="60" t="s">
        <v>1654</v>
      </c>
      <c r="AI456">
        <f>IF(AND(OR(Company_Explorer!$B$5="All Companies",$E456=Company_Explorer!$B$5),OR(Company_Explorer!$B$6="All Platforms",$B456=Company_Explorer!$B$6),OR(Company_Explorer!$B$7="All Roles",$D456=Company_Explorer!$B$7),OR(Company_Explorer!$B$8="All Ghost Labels",$AG456=Company_Explorer!$B$8)),1,0)</f>
        <v>0</v>
      </c>
    </row>
    <row r="457" spans="1:35" ht="15" customHeight="1" x14ac:dyDescent="0.3">
      <c r="A457" s="65" t="s">
        <v>1655</v>
      </c>
      <c r="B457" s="65" t="s">
        <v>80</v>
      </c>
      <c r="C457" s="65" t="s">
        <v>1656</v>
      </c>
      <c r="D457" s="65" t="s">
        <v>126</v>
      </c>
      <c r="E457" s="65" t="s">
        <v>1657</v>
      </c>
      <c r="F457" s="65" t="b">
        <f>TRUE()</f>
        <v>1</v>
      </c>
      <c r="G457" s="65" t="s">
        <v>178</v>
      </c>
      <c r="H457" s="65" t="s">
        <v>165</v>
      </c>
      <c r="I457" s="66">
        <v>46196</v>
      </c>
      <c r="J457" s="66">
        <v>46210</v>
      </c>
      <c r="K457" s="65">
        <v>14</v>
      </c>
      <c r="L457" s="65" t="s">
        <v>192</v>
      </c>
      <c r="M457" s="65" t="s">
        <v>184</v>
      </c>
      <c r="N457" s="65" t="b">
        <f>FALSE()</f>
        <v>0</v>
      </c>
      <c r="O457" s="65"/>
      <c r="P457" s="65"/>
      <c r="Q457" s="65" t="s">
        <v>236</v>
      </c>
      <c r="R457" s="65" t="s">
        <v>237</v>
      </c>
      <c r="S457" s="65"/>
      <c r="T457" s="65" t="b">
        <f>FALSE()</f>
        <v>0</v>
      </c>
      <c r="U457" s="65" t="b">
        <f>FALSE()</f>
        <v>0</v>
      </c>
      <c r="V457" s="65">
        <v>421</v>
      </c>
      <c r="W457" s="67" t="s">
        <v>1658</v>
      </c>
      <c r="X457" s="65">
        <v>1</v>
      </c>
      <c r="Y457" s="68">
        <v>0.01</v>
      </c>
      <c r="Z457" s="65" t="b">
        <f>FALSE()</f>
        <v>0</v>
      </c>
      <c r="AA457" s="65" t="b">
        <f>TRUE()</f>
        <v>1</v>
      </c>
      <c r="AB457" s="65" t="b">
        <f>FALSE()</f>
        <v>0</v>
      </c>
      <c r="AC457" s="65" t="b">
        <f>FALSE()</f>
        <v>0</v>
      </c>
      <c r="AD457" s="65" t="b">
        <f>FALSE()</f>
        <v>0</v>
      </c>
      <c r="AE457" s="65">
        <v>1</v>
      </c>
      <c r="AF457" s="69">
        <v>14.3</v>
      </c>
      <c r="AG457" s="65" t="s">
        <v>74</v>
      </c>
      <c r="AH457" s="65" t="s">
        <v>1659</v>
      </c>
      <c r="AI457">
        <f>IF(AND(OR(Company_Explorer!$B$5="All Companies",$E457=Company_Explorer!$B$5),OR(Company_Explorer!$B$6="All Platforms",$B457=Company_Explorer!$B$6),OR(Company_Explorer!$B$7="All Roles",$D457=Company_Explorer!$B$7),OR(Company_Explorer!$B$8="All Ghost Labels",$AG457=Company_Explorer!$B$8)),1,0)</f>
        <v>0</v>
      </c>
    </row>
    <row r="458" spans="1:35" ht="15" customHeight="1" x14ac:dyDescent="0.3">
      <c r="A458" s="60" t="s">
        <v>1660</v>
      </c>
      <c r="B458" s="60" t="s">
        <v>80</v>
      </c>
      <c r="C458" s="60" t="s">
        <v>1661</v>
      </c>
      <c r="D458" s="60" t="s">
        <v>125</v>
      </c>
      <c r="E458" s="60" t="s">
        <v>1662</v>
      </c>
      <c r="F458" s="60" t="b">
        <f>TRUE()</f>
        <v>1</v>
      </c>
      <c r="G458" s="60" t="s">
        <v>174</v>
      </c>
      <c r="H458" s="60" t="s">
        <v>302</v>
      </c>
      <c r="I458" s="61">
        <v>46188</v>
      </c>
      <c r="J458" s="61">
        <v>46210</v>
      </c>
      <c r="K458" s="60">
        <v>22</v>
      </c>
      <c r="L458" s="60" t="s">
        <v>192</v>
      </c>
      <c r="M458" s="60" t="s">
        <v>185</v>
      </c>
      <c r="N458" s="60" t="b">
        <f>FALSE()</f>
        <v>0</v>
      </c>
      <c r="O458" s="60"/>
      <c r="P458" s="60"/>
      <c r="Q458" s="60" t="s">
        <v>236</v>
      </c>
      <c r="R458" s="60" t="s">
        <v>237</v>
      </c>
      <c r="S458" s="60"/>
      <c r="T458" s="60" t="b">
        <f>FALSE()</f>
        <v>0</v>
      </c>
      <c r="U458" s="60" t="b">
        <f>FALSE()</f>
        <v>0</v>
      </c>
      <c r="V458" s="60">
        <v>284</v>
      </c>
      <c r="W458" s="62" t="s">
        <v>1663</v>
      </c>
      <c r="X458" s="60">
        <v>1</v>
      </c>
      <c r="Y458" s="63">
        <v>0.01</v>
      </c>
      <c r="Z458" s="60" t="b">
        <f>FALSE()</f>
        <v>0</v>
      </c>
      <c r="AA458" s="60" t="b">
        <f>TRUE()</f>
        <v>1</v>
      </c>
      <c r="AB458" s="60" t="b">
        <f>FALSE()</f>
        <v>0</v>
      </c>
      <c r="AC458" s="60" t="b">
        <f>TRUE()</f>
        <v>1</v>
      </c>
      <c r="AD458" s="60" t="b">
        <f>FALSE()</f>
        <v>0</v>
      </c>
      <c r="AE458" s="60">
        <v>2</v>
      </c>
      <c r="AF458" s="64">
        <v>28.6</v>
      </c>
      <c r="AG458" s="60" t="s">
        <v>73</v>
      </c>
      <c r="AH458" s="60" t="s">
        <v>1664</v>
      </c>
      <c r="AI458">
        <f>IF(AND(OR(Company_Explorer!$B$5="All Companies",$E458=Company_Explorer!$B$5),OR(Company_Explorer!$B$6="All Platforms",$B458=Company_Explorer!$B$6),OR(Company_Explorer!$B$7="All Roles",$D458=Company_Explorer!$B$7),OR(Company_Explorer!$B$8="All Ghost Labels",$AG458=Company_Explorer!$B$8)),1,0)</f>
        <v>0</v>
      </c>
    </row>
    <row r="459" spans="1:35" ht="15" customHeight="1" x14ac:dyDescent="0.3">
      <c r="A459" s="65" t="s">
        <v>1665</v>
      </c>
      <c r="B459" s="65" t="s">
        <v>80</v>
      </c>
      <c r="C459" s="65" t="s">
        <v>306</v>
      </c>
      <c r="D459" s="65" t="s">
        <v>125</v>
      </c>
      <c r="E459" s="65" t="s">
        <v>1666</v>
      </c>
      <c r="F459" s="65" t="b">
        <f>TRUE()</f>
        <v>1</v>
      </c>
      <c r="G459" s="65" t="s">
        <v>172</v>
      </c>
      <c r="H459" s="65" t="s">
        <v>276</v>
      </c>
      <c r="I459" s="66">
        <v>46201</v>
      </c>
      <c r="J459" s="66">
        <v>46210</v>
      </c>
      <c r="K459" s="65">
        <v>9</v>
      </c>
      <c r="L459" s="65" t="s">
        <v>192</v>
      </c>
      <c r="M459" s="65" t="s">
        <v>185</v>
      </c>
      <c r="N459" s="65" t="b">
        <f>FALSE()</f>
        <v>0</v>
      </c>
      <c r="O459" s="65"/>
      <c r="P459" s="65"/>
      <c r="Q459" s="65" t="s">
        <v>236</v>
      </c>
      <c r="R459" s="65" t="s">
        <v>237</v>
      </c>
      <c r="S459" s="65"/>
      <c r="T459" s="65" t="b">
        <f>FALSE()</f>
        <v>0</v>
      </c>
      <c r="U459" s="65" t="b">
        <f>FALSE()</f>
        <v>0</v>
      </c>
      <c r="V459" s="65">
        <v>24</v>
      </c>
      <c r="W459" s="67" t="s">
        <v>1667</v>
      </c>
      <c r="X459" s="65">
        <v>1</v>
      </c>
      <c r="Y459" s="68">
        <v>0.01</v>
      </c>
      <c r="Z459" s="65" t="b">
        <f>FALSE()</f>
        <v>0</v>
      </c>
      <c r="AA459" s="65" t="b">
        <f>TRUE()</f>
        <v>1</v>
      </c>
      <c r="AB459" s="65" t="b">
        <f>TRUE()</f>
        <v>1</v>
      </c>
      <c r="AC459" s="65" t="b">
        <f>FALSE()</f>
        <v>0</v>
      </c>
      <c r="AD459" s="65" t="b">
        <f>FALSE()</f>
        <v>0</v>
      </c>
      <c r="AE459" s="65">
        <v>2</v>
      </c>
      <c r="AF459" s="69">
        <v>28.6</v>
      </c>
      <c r="AG459" s="65" t="s">
        <v>73</v>
      </c>
      <c r="AH459" s="65" t="s">
        <v>1668</v>
      </c>
      <c r="AI459">
        <f>IF(AND(OR(Company_Explorer!$B$5="All Companies",$E459=Company_Explorer!$B$5),OR(Company_Explorer!$B$6="All Platforms",$B459=Company_Explorer!$B$6),OR(Company_Explorer!$B$7="All Roles",$D459=Company_Explorer!$B$7),OR(Company_Explorer!$B$8="All Ghost Labels",$AG459=Company_Explorer!$B$8)),1,0)</f>
        <v>0</v>
      </c>
    </row>
    <row r="460" spans="1:35" ht="15" customHeight="1" x14ac:dyDescent="0.3">
      <c r="A460" s="60" t="s">
        <v>1669</v>
      </c>
      <c r="B460" s="60" t="s">
        <v>80</v>
      </c>
      <c r="C460" s="60" t="s">
        <v>306</v>
      </c>
      <c r="D460" s="60" t="s">
        <v>125</v>
      </c>
      <c r="E460" s="60" t="s">
        <v>141</v>
      </c>
      <c r="F460" s="60" t="b">
        <f>TRUE()</f>
        <v>1</v>
      </c>
      <c r="G460" s="60" t="s">
        <v>166</v>
      </c>
      <c r="H460" s="60" t="s">
        <v>235</v>
      </c>
      <c r="I460" s="61">
        <v>46206</v>
      </c>
      <c r="J460" s="61">
        <v>46210</v>
      </c>
      <c r="K460" s="60">
        <v>4</v>
      </c>
      <c r="L460" s="60" t="s">
        <v>192</v>
      </c>
      <c r="M460" s="60" t="s">
        <v>184</v>
      </c>
      <c r="N460" s="60" t="b">
        <f>FALSE()</f>
        <v>0</v>
      </c>
      <c r="O460" s="60"/>
      <c r="P460" s="60"/>
      <c r="Q460" s="60" t="s">
        <v>236</v>
      </c>
      <c r="R460" s="60" t="s">
        <v>237</v>
      </c>
      <c r="S460" s="60"/>
      <c r="T460" s="60" t="b">
        <f>FALSE()</f>
        <v>0</v>
      </c>
      <c r="U460" s="60" t="b">
        <f>FALSE()</f>
        <v>0</v>
      </c>
      <c r="V460" s="60">
        <v>341</v>
      </c>
      <c r="W460" s="62" t="s">
        <v>1670</v>
      </c>
      <c r="X460" s="60">
        <v>429</v>
      </c>
      <c r="Y460" s="63">
        <v>2.66</v>
      </c>
      <c r="Z460" s="60" t="b">
        <f>FALSE()</f>
        <v>0</v>
      </c>
      <c r="AA460" s="60" t="b">
        <f>TRUE()</f>
        <v>1</v>
      </c>
      <c r="AB460" s="60" t="b">
        <f>FALSE()</f>
        <v>0</v>
      </c>
      <c r="AC460" s="60" t="b">
        <f>FALSE()</f>
        <v>0</v>
      </c>
      <c r="AD460" s="60" t="b">
        <f>TRUE()</f>
        <v>1</v>
      </c>
      <c r="AE460" s="60">
        <v>3</v>
      </c>
      <c r="AF460" s="64">
        <v>42.9</v>
      </c>
      <c r="AG460" s="60" t="s">
        <v>73</v>
      </c>
      <c r="AH460" s="60" t="s">
        <v>1671</v>
      </c>
      <c r="AI460">
        <f>IF(AND(OR(Company_Explorer!$B$5="All Companies",$E460=Company_Explorer!$B$5),OR(Company_Explorer!$B$6="All Platforms",$B460=Company_Explorer!$B$6),OR(Company_Explorer!$B$7="All Roles",$D460=Company_Explorer!$B$7),OR(Company_Explorer!$B$8="All Ghost Labels",$AG460=Company_Explorer!$B$8)),1,0)</f>
        <v>0</v>
      </c>
    </row>
    <row r="461" spans="1:35" ht="15" customHeight="1" x14ac:dyDescent="0.3">
      <c r="A461" s="65" t="s">
        <v>1672</v>
      </c>
      <c r="B461" s="65" t="s">
        <v>80</v>
      </c>
      <c r="C461" s="65" t="s">
        <v>125</v>
      </c>
      <c r="D461" s="65" t="s">
        <v>125</v>
      </c>
      <c r="E461" s="65" t="s">
        <v>1673</v>
      </c>
      <c r="F461" s="65" t="b">
        <f>TRUE()</f>
        <v>1</v>
      </c>
      <c r="G461" s="65" t="s">
        <v>178</v>
      </c>
      <c r="H461" s="65" t="s">
        <v>165</v>
      </c>
      <c r="I461" s="66">
        <v>46167</v>
      </c>
      <c r="J461" s="66">
        <v>46210</v>
      </c>
      <c r="K461" s="65">
        <v>43</v>
      </c>
      <c r="L461" s="65" t="s">
        <v>192</v>
      </c>
      <c r="M461" s="65" t="s">
        <v>185</v>
      </c>
      <c r="N461" s="65" t="b">
        <f>FALSE()</f>
        <v>0</v>
      </c>
      <c r="O461" s="65"/>
      <c r="P461" s="65"/>
      <c r="Q461" s="65" t="s">
        <v>236</v>
      </c>
      <c r="R461" s="65" t="s">
        <v>237</v>
      </c>
      <c r="S461" s="65"/>
      <c r="T461" s="65" t="b">
        <f>FALSE()</f>
        <v>0</v>
      </c>
      <c r="U461" s="65" t="b">
        <f>FALSE()</f>
        <v>0</v>
      </c>
      <c r="V461" s="65">
        <v>825</v>
      </c>
      <c r="W461" s="67" t="s">
        <v>1674</v>
      </c>
      <c r="X461" s="65">
        <v>1</v>
      </c>
      <c r="Y461" s="68">
        <v>0.01</v>
      </c>
      <c r="Z461" s="65" t="b">
        <f>FALSE()</f>
        <v>0</v>
      </c>
      <c r="AA461" s="65" t="b">
        <f>TRUE()</f>
        <v>1</v>
      </c>
      <c r="AB461" s="65" t="b">
        <f>FALSE()</f>
        <v>0</v>
      </c>
      <c r="AC461" s="65" t="b">
        <f>TRUE()</f>
        <v>1</v>
      </c>
      <c r="AD461" s="65" t="b">
        <f>FALSE()</f>
        <v>0</v>
      </c>
      <c r="AE461" s="65">
        <v>2</v>
      </c>
      <c r="AF461" s="69">
        <v>28.6</v>
      </c>
      <c r="AG461" s="65" t="s">
        <v>73</v>
      </c>
      <c r="AH461" s="65" t="s">
        <v>1675</v>
      </c>
      <c r="AI461">
        <f>IF(AND(OR(Company_Explorer!$B$5="All Companies",$E461=Company_Explorer!$B$5),OR(Company_Explorer!$B$6="All Platforms",$B461=Company_Explorer!$B$6),OR(Company_Explorer!$B$7="All Roles",$D461=Company_Explorer!$B$7),OR(Company_Explorer!$B$8="All Ghost Labels",$AG461=Company_Explorer!$B$8)),1,0)</f>
        <v>0</v>
      </c>
    </row>
    <row r="462" spans="1:35" ht="15" customHeight="1" x14ac:dyDescent="0.3">
      <c r="A462" s="60" t="s">
        <v>1676</v>
      </c>
      <c r="B462" s="60" t="s">
        <v>80</v>
      </c>
      <c r="C462" s="60" t="s">
        <v>125</v>
      </c>
      <c r="D462" s="60" t="s">
        <v>125</v>
      </c>
      <c r="E462" s="60" t="s">
        <v>351</v>
      </c>
      <c r="F462" s="60" t="b">
        <f>TRUE()</f>
        <v>1</v>
      </c>
      <c r="G462" s="60" t="s">
        <v>168</v>
      </c>
      <c r="H462" s="60" t="s">
        <v>254</v>
      </c>
      <c r="I462" s="61">
        <v>46152</v>
      </c>
      <c r="J462" s="61">
        <v>46210</v>
      </c>
      <c r="K462" s="60">
        <v>58</v>
      </c>
      <c r="L462" s="60" t="s">
        <v>192</v>
      </c>
      <c r="M462" s="60" t="s">
        <v>186</v>
      </c>
      <c r="N462" s="60" t="b">
        <f>FALSE()</f>
        <v>0</v>
      </c>
      <c r="O462" s="60"/>
      <c r="P462" s="60"/>
      <c r="Q462" s="60" t="s">
        <v>236</v>
      </c>
      <c r="R462" s="60" t="s">
        <v>237</v>
      </c>
      <c r="S462" s="60"/>
      <c r="T462" s="60" t="b">
        <f>FALSE()</f>
        <v>0</v>
      </c>
      <c r="U462" s="60" t="b">
        <f>FALSE()</f>
        <v>0</v>
      </c>
      <c r="V462" s="60">
        <v>365</v>
      </c>
      <c r="W462" s="62" t="s">
        <v>1677</v>
      </c>
      <c r="X462" s="60">
        <v>10</v>
      </c>
      <c r="Y462" s="63">
        <v>0.06</v>
      </c>
      <c r="Z462" s="60" t="b">
        <f>FALSE()</f>
        <v>0</v>
      </c>
      <c r="AA462" s="60" t="b">
        <f>TRUE()</f>
        <v>1</v>
      </c>
      <c r="AB462" s="60" t="b">
        <f>FALSE()</f>
        <v>0</v>
      </c>
      <c r="AC462" s="60" t="b">
        <f>TRUE()</f>
        <v>1</v>
      </c>
      <c r="AD462" s="60" t="b">
        <f>FALSE()</f>
        <v>0</v>
      </c>
      <c r="AE462" s="60">
        <v>2</v>
      </c>
      <c r="AF462" s="64">
        <v>28.6</v>
      </c>
      <c r="AG462" s="60" t="s">
        <v>73</v>
      </c>
      <c r="AH462" s="60" t="s">
        <v>1678</v>
      </c>
      <c r="AI462">
        <f>IF(AND(OR(Company_Explorer!$B$5="All Companies",$E462=Company_Explorer!$B$5),OR(Company_Explorer!$B$6="All Platforms",$B462=Company_Explorer!$B$6),OR(Company_Explorer!$B$7="All Roles",$D462=Company_Explorer!$B$7),OR(Company_Explorer!$B$8="All Ghost Labels",$AG462=Company_Explorer!$B$8)),1,0)</f>
        <v>0</v>
      </c>
    </row>
    <row r="463" spans="1:35" ht="15" customHeight="1" x14ac:dyDescent="0.3">
      <c r="A463" s="65" t="s">
        <v>1679</v>
      </c>
      <c r="B463" s="65" t="s">
        <v>80</v>
      </c>
      <c r="C463" s="65" t="s">
        <v>258</v>
      </c>
      <c r="D463" s="65" t="s">
        <v>125</v>
      </c>
      <c r="E463" s="65" t="s">
        <v>141</v>
      </c>
      <c r="F463" s="65" t="b">
        <f>TRUE()</f>
        <v>1</v>
      </c>
      <c r="G463" s="65" t="s">
        <v>166</v>
      </c>
      <c r="H463" s="65" t="s">
        <v>235</v>
      </c>
      <c r="I463" s="66">
        <v>46198</v>
      </c>
      <c r="J463" s="66">
        <v>46210</v>
      </c>
      <c r="K463" s="65">
        <v>12</v>
      </c>
      <c r="L463" s="65" t="s">
        <v>192</v>
      </c>
      <c r="M463" s="65" t="s">
        <v>184</v>
      </c>
      <c r="N463" s="65" t="b">
        <f>FALSE()</f>
        <v>0</v>
      </c>
      <c r="O463" s="65"/>
      <c r="P463" s="65"/>
      <c r="Q463" s="65" t="s">
        <v>236</v>
      </c>
      <c r="R463" s="65" t="s">
        <v>237</v>
      </c>
      <c r="S463" s="65"/>
      <c r="T463" s="65" t="b">
        <f>FALSE()</f>
        <v>0</v>
      </c>
      <c r="U463" s="65" t="b">
        <f>FALSE()</f>
        <v>0</v>
      </c>
      <c r="V463" s="65">
        <v>313</v>
      </c>
      <c r="W463" s="67" t="s">
        <v>1680</v>
      </c>
      <c r="X463" s="65">
        <v>429</v>
      </c>
      <c r="Y463" s="68">
        <v>2.66</v>
      </c>
      <c r="Z463" s="65" t="b">
        <f>FALSE()</f>
        <v>0</v>
      </c>
      <c r="AA463" s="65" t="b">
        <f>TRUE()</f>
        <v>1</v>
      </c>
      <c r="AB463" s="65" t="b">
        <f>FALSE()</f>
        <v>0</v>
      </c>
      <c r="AC463" s="65" t="b">
        <f>FALSE()</f>
        <v>0</v>
      </c>
      <c r="AD463" s="65" t="b">
        <f>TRUE()</f>
        <v>1</v>
      </c>
      <c r="AE463" s="65">
        <v>3</v>
      </c>
      <c r="AF463" s="69">
        <v>42.9</v>
      </c>
      <c r="AG463" s="65" t="s">
        <v>73</v>
      </c>
      <c r="AH463" s="65" t="s">
        <v>1681</v>
      </c>
      <c r="AI463">
        <f>IF(AND(OR(Company_Explorer!$B$5="All Companies",$E463=Company_Explorer!$B$5),OR(Company_Explorer!$B$6="All Platforms",$B463=Company_Explorer!$B$6),OR(Company_Explorer!$B$7="All Roles",$D463=Company_Explorer!$B$7),OR(Company_Explorer!$B$8="All Ghost Labels",$AG463=Company_Explorer!$B$8)),1,0)</f>
        <v>0</v>
      </c>
    </row>
    <row r="464" spans="1:35" ht="15" customHeight="1" x14ac:dyDescent="0.3">
      <c r="A464" s="60" t="s">
        <v>1682</v>
      </c>
      <c r="B464" s="60" t="s">
        <v>80</v>
      </c>
      <c r="C464" s="60" t="s">
        <v>1683</v>
      </c>
      <c r="D464" s="60" t="s">
        <v>135</v>
      </c>
      <c r="E464" s="60" t="s">
        <v>158</v>
      </c>
      <c r="F464" s="60" t="b">
        <f>TRUE()</f>
        <v>1</v>
      </c>
      <c r="G464" s="60" t="s">
        <v>166</v>
      </c>
      <c r="H464" s="60" t="s">
        <v>235</v>
      </c>
      <c r="I464" s="61">
        <v>46203</v>
      </c>
      <c r="J464" s="61">
        <v>46210</v>
      </c>
      <c r="K464" s="60">
        <v>7</v>
      </c>
      <c r="L464" s="60" t="s">
        <v>192</v>
      </c>
      <c r="M464" s="60" t="s">
        <v>184</v>
      </c>
      <c r="N464" s="60" t="b">
        <f>FALSE()</f>
        <v>0</v>
      </c>
      <c r="O464" s="60"/>
      <c r="P464" s="60"/>
      <c r="Q464" s="60" t="s">
        <v>236</v>
      </c>
      <c r="R464" s="60" t="s">
        <v>237</v>
      </c>
      <c r="S464" s="60"/>
      <c r="T464" s="60" t="b">
        <f>FALSE()</f>
        <v>0</v>
      </c>
      <c r="U464" s="60" t="b">
        <f>FALSE()</f>
        <v>0</v>
      </c>
      <c r="V464" s="60">
        <v>477</v>
      </c>
      <c r="W464" s="62" t="s">
        <v>1684</v>
      </c>
      <c r="X464" s="60">
        <v>14</v>
      </c>
      <c r="Y464" s="63">
        <v>0.09</v>
      </c>
      <c r="Z464" s="60" t="b">
        <f>FALSE()</f>
        <v>0</v>
      </c>
      <c r="AA464" s="60" t="b">
        <f>TRUE()</f>
        <v>1</v>
      </c>
      <c r="AB464" s="60" t="b">
        <f>FALSE()</f>
        <v>0</v>
      </c>
      <c r="AC464" s="60" t="b">
        <f>FALSE()</f>
        <v>0</v>
      </c>
      <c r="AD464" s="60" t="b">
        <f>FALSE()</f>
        <v>0</v>
      </c>
      <c r="AE464" s="60">
        <v>1</v>
      </c>
      <c r="AF464" s="64">
        <v>14.3</v>
      </c>
      <c r="AG464" s="60" t="s">
        <v>74</v>
      </c>
      <c r="AH464" s="60" t="s">
        <v>1685</v>
      </c>
      <c r="AI464">
        <f>IF(AND(OR(Company_Explorer!$B$5="All Companies",$E464=Company_Explorer!$B$5),OR(Company_Explorer!$B$6="All Platforms",$B464=Company_Explorer!$B$6),OR(Company_Explorer!$B$7="All Roles",$D464=Company_Explorer!$B$7),OR(Company_Explorer!$B$8="All Ghost Labels",$AG464=Company_Explorer!$B$8)),1,0)</f>
        <v>0</v>
      </c>
    </row>
    <row r="465" spans="1:35" ht="15" customHeight="1" x14ac:dyDescent="0.3">
      <c r="A465" s="65" t="s">
        <v>1686</v>
      </c>
      <c r="B465" s="65" t="s">
        <v>80</v>
      </c>
      <c r="C465" s="65" t="s">
        <v>125</v>
      </c>
      <c r="D465" s="65" t="s">
        <v>125</v>
      </c>
      <c r="E465" s="65" t="s">
        <v>351</v>
      </c>
      <c r="F465" s="65" t="b">
        <f>TRUE()</f>
        <v>1</v>
      </c>
      <c r="G465" s="65" t="s">
        <v>168</v>
      </c>
      <c r="H465" s="65" t="s">
        <v>254</v>
      </c>
      <c r="I465" s="66">
        <v>46155</v>
      </c>
      <c r="J465" s="66">
        <v>46210</v>
      </c>
      <c r="K465" s="65">
        <v>55</v>
      </c>
      <c r="L465" s="65" t="s">
        <v>192</v>
      </c>
      <c r="M465" s="65" t="s">
        <v>186</v>
      </c>
      <c r="N465" s="65" t="b">
        <f>FALSE()</f>
        <v>0</v>
      </c>
      <c r="O465" s="65"/>
      <c r="P465" s="65"/>
      <c r="Q465" s="65" t="s">
        <v>236</v>
      </c>
      <c r="R465" s="65" t="s">
        <v>237</v>
      </c>
      <c r="S465" s="65"/>
      <c r="T465" s="65" t="b">
        <f>FALSE()</f>
        <v>0</v>
      </c>
      <c r="U465" s="65" t="b">
        <f>FALSE()</f>
        <v>0</v>
      </c>
      <c r="V465" s="65">
        <v>263</v>
      </c>
      <c r="W465" s="67" t="s">
        <v>1687</v>
      </c>
      <c r="X465" s="65">
        <v>10</v>
      </c>
      <c r="Y465" s="68">
        <v>0.06</v>
      </c>
      <c r="Z465" s="65" t="b">
        <f>FALSE()</f>
        <v>0</v>
      </c>
      <c r="AA465" s="65" t="b">
        <f>TRUE()</f>
        <v>1</v>
      </c>
      <c r="AB465" s="65" t="b">
        <f>TRUE()</f>
        <v>1</v>
      </c>
      <c r="AC465" s="65" t="b">
        <f>TRUE()</f>
        <v>1</v>
      </c>
      <c r="AD465" s="65" t="b">
        <f>FALSE()</f>
        <v>0</v>
      </c>
      <c r="AE465" s="65">
        <v>3</v>
      </c>
      <c r="AF465" s="69">
        <v>42.9</v>
      </c>
      <c r="AG465" s="65" t="s">
        <v>73</v>
      </c>
      <c r="AH465" s="65" t="s">
        <v>1688</v>
      </c>
      <c r="AI465">
        <f>IF(AND(OR(Company_Explorer!$B$5="All Companies",$E465=Company_Explorer!$B$5),OR(Company_Explorer!$B$6="All Platforms",$B465=Company_Explorer!$B$6),OR(Company_Explorer!$B$7="All Roles",$D465=Company_Explorer!$B$7),OR(Company_Explorer!$B$8="All Ghost Labels",$AG465=Company_Explorer!$B$8)),1,0)</f>
        <v>0</v>
      </c>
    </row>
    <row r="466" spans="1:35" ht="15" customHeight="1" x14ac:dyDescent="0.3">
      <c r="A466" s="60" t="s">
        <v>1689</v>
      </c>
      <c r="B466" s="60" t="s">
        <v>80</v>
      </c>
      <c r="C466" s="60" t="s">
        <v>258</v>
      </c>
      <c r="D466" s="60" t="s">
        <v>125</v>
      </c>
      <c r="E466" s="60" t="s">
        <v>141</v>
      </c>
      <c r="F466" s="60" t="b">
        <f>TRUE()</f>
        <v>1</v>
      </c>
      <c r="G466" s="60" t="s">
        <v>166</v>
      </c>
      <c r="H466" s="60" t="s">
        <v>235</v>
      </c>
      <c r="I466" s="61">
        <v>46198</v>
      </c>
      <c r="J466" s="61">
        <v>46210</v>
      </c>
      <c r="K466" s="60">
        <v>12</v>
      </c>
      <c r="L466" s="60" t="s">
        <v>192</v>
      </c>
      <c r="M466" s="60" t="s">
        <v>184</v>
      </c>
      <c r="N466" s="60" t="b">
        <f>FALSE()</f>
        <v>0</v>
      </c>
      <c r="O466" s="60"/>
      <c r="P466" s="60"/>
      <c r="Q466" s="60" t="s">
        <v>236</v>
      </c>
      <c r="R466" s="60" t="s">
        <v>237</v>
      </c>
      <c r="S466" s="60"/>
      <c r="T466" s="60" t="b">
        <f>FALSE()</f>
        <v>0</v>
      </c>
      <c r="U466" s="60" t="b">
        <f>FALSE()</f>
        <v>0</v>
      </c>
      <c r="V466" s="60">
        <v>266</v>
      </c>
      <c r="W466" s="62" t="s">
        <v>1690</v>
      </c>
      <c r="X466" s="60">
        <v>429</v>
      </c>
      <c r="Y466" s="63">
        <v>2.66</v>
      </c>
      <c r="Z466" s="60" t="b">
        <f>FALSE()</f>
        <v>0</v>
      </c>
      <c r="AA466" s="60" t="b">
        <f>TRUE()</f>
        <v>1</v>
      </c>
      <c r="AB466" s="60" t="b">
        <f>TRUE()</f>
        <v>1</v>
      </c>
      <c r="AC466" s="60" t="b">
        <f>FALSE()</f>
        <v>0</v>
      </c>
      <c r="AD466" s="60" t="b">
        <f>TRUE()</f>
        <v>1</v>
      </c>
      <c r="AE466" s="60">
        <v>4</v>
      </c>
      <c r="AF466" s="64">
        <v>57.1</v>
      </c>
      <c r="AG466" s="60" t="s">
        <v>72</v>
      </c>
      <c r="AH466" s="60" t="s">
        <v>1691</v>
      </c>
      <c r="AI466">
        <f>IF(AND(OR(Company_Explorer!$B$5="All Companies",$E466=Company_Explorer!$B$5),OR(Company_Explorer!$B$6="All Platforms",$B466=Company_Explorer!$B$6),OR(Company_Explorer!$B$7="All Roles",$D466=Company_Explorer!$B$7),OR(Company_Explorer!$B$8="All Ghost Labels",$AG466=Company_Explorer!$B$8)),1,0)</f>
        <v>0</v>
      </c>
    </row>
    <row r="467" spans="1:35" ht="15" customHeight="1" x14ac:dyDescent="0.3">
      <c r="A467" s="65" t="s">
        <v>1692</v>
      </c>
      <c r="B467" s="65" t="s">
        <v>80</v>
      </c>
      <c r="C467" s="65" t="s">
        <v>258</v>
      </c>
      <c r="D467" s="65" t="s">
        <v>125</v>
      </c>
      <c r="E467" s="65" t="s">
        <v>141</v>
      </c>
      <c r="F467" s="65" t="b">
        <f>TRUE()</f>
        <v>1</v>
      </c>
      <c r="G467" s="65" t="s">
        <v>166</v>
      </c>
      <c r="H467" s="65" t="s">
        <v>235</v>
      </c>
      <c r="I467" s="66">
        <v>46199</v>
      </c>
      <c r="J467" s="66">
        <v>46210</v>
      </c>
      <c r="K467" s="65">
        <v>11</v>
      </c>
      <c r="L467" s="65" t="s">
        <v>192</v>
      </c>
      <c r="M467" s="65" t="s">
        <v>184</v>
      </c>
      <c r="N467" s="65" t="b">
        <f>FALSE()</f>
        <v>0</v>
      </c>
      <c r="O467" s="65"/>
      <c r="P467" s="65"/>
      <c r="Q467" s="65" t="s">
        <v>236</v>
      </c>
      <c r="R467" s="65" t="s">
        <v>237</v>
      </c>
      <c r="S467" s="65"/>
      <c r="T467" s="65" t="b">
        <f>FALSE()</f>
        <v>0</v>
      </c>
      <c r="U467" s="65" t="b">
        <f>FALSE()</f>
        <v>0</v>
      </c>
      <c r="V467" s="65">
        <v>308</v>
      </c>
      <c r="W467" s="67" t="s">
        <v>259</v>
      </c>
      <c r="X467" s="65">
        <v>429</v>
      </c>
      <c r="Y467" s="68">
        <v>2.66</v>
      </c>
      <c r="Z467" s="65" t="b">
        <f>FALSE()</f>
        <v>0</v>
      </c>
      <c r="AA467" s="65" t="b">
        <f>TRUE()</f>
        <v>1</v>
      </c>
      <c r="AB467" s="65" t="b">
        <f>FALSE()</f>
        <v>0</v>
      </c>
      <c r="AC467" s="65" t="b">
        <f>FALSE()</f>
        <v>0</v>
      </c>
      <c r="AD467" s="65" t="b">
        <f>TRUE()</f>
        <v>1</v>
      </c>
      <c r="AE467" s="65">
        <v>3</v>
      </c>
      <c r="AF467" s="69">
        <v>42.9</v>
      </c>
      <c r="AG467" s="65" t="s">
        <v>73</v>
      </c>
      <c r="AH467" s="65" t="s">
        <v>1693</v>
      </c>
      <c r="AI467">
        <f>IF(AND(OR(Company_Explorer!$B$5="All Companies",$E467=Company_Explorer!$B$5),OR(Company_Explorer!$B$6="All Platforms",$B467=Company_Explorer!$B$6),OR(Company_Explorer!$B$7="All Roles",$D467=Company_Explorer!$B$7),OR(Company_Explorer!$B$8="All Ghost Labels",$AG467=Company_Explorer!$B$8)),1,0)</f>
        <v>0</v>
      </c>
    </row>
    <row r="468" spans="1:35" ht="15" customHeight="1" x14ac:dyDescent="0.3">
      <c r="A468" s="60" t="s">
        <v>1694</v>
      </c>
      <c r="B468" s="60" t="s">
        <v>80</v>
      </c>
      <c r="C468" s="60" t="s">
        <v>1695</v>
      </c>
      <c r="D468" s="60" t="s">
        <v>130</v>
      </c>
      <c r="E468" s="60" t="s">
        <v>1696</v>
      </c>
      <c r="F468" s="60" t="b">
        <f>TRUE()</f>
        <v>1</v>
      </c>
      <c r="G468" s="60" t="s">
        <v>169</v>
      </c>
      <c r="H468" s="60" t="s">
        <v>294</v>
      </c>
      <c r="I468" s="61">
        <v>46204</v>
      </c>
      <c r="J468" s="61">
        <v>46210</v>
      </c>
      <c r="K468" s="60">
        <v>6</v>
      </c>
      <c r="L468" s="60" t="s">
        <v>192</v>
      </c>
      <c r="M468" s="60" t="s">
        <v>185</v>
      </c>
      <c r="N468" s="60" t="b">
        <f>FALSE()</f>
        <v>0</v>
      </c>
      <c r="O468" s="60"/>
      <c r="P468" s="60"/>
      <c r="Q468" s="60" t="s">
        <v>236</v>
      </c>
      <c r="R468" s="60" t="s">
        <v>237</v>
      </c>
      <c r="S468" s="60"/>
      <c r="T468" s="60" t="b">
        <f>FALSE()</f>
        <v>0</v>
      </c>
      <c r="U468" s="60" t="b">
        <f>FALSE()</f>
        <v>0</v>
      </c>
      <c r="V468" s="60">
        <v>731</v>
      </c>
      <c r="W468" s="60" t="s">
        <v>1697</v>
      </c>
      <c r="X468" s="60">
        <v>1</v>
      </c>
      <c r="Y468" s="63">
        <v>0.01</v>
      </c>
      <c r="Z468" s="60" t="b">
        <f>FALSE()</f>
        <v>0</v>
      </c>
      <c r="AA468" s="60" t="b">
        <f>TRUE()</f>
        <v>1</v>
      </c>
      <c r="AB468" s="60" t="b">
        <f>FALSE()</f>
        <v>0</v>
      </c>
      <c r="AC468" s="60" t="b">
        <f>FALSE()</f>
        <v>0</v>
      </c>
      <c r="AD468" s="60" t="b">
        <f>FALSE()</f>
        <v>0</v>
      </c>
      <c r="AE468" s="60">
        <v>1</v>
      </c>
      <c r="AF468" s="64">
        <v>14.3</v>
      </c>
      <c r="AG468" s="60" t="s">
        <v>74</v>
      </c>
      <c r="AH468" s="60" t="s">
        <v>1698</v>
      </c>
      <c r="AI468">
        <f>IF(AND(OR(Company_Explorer!$B$5="All Companies",$E468=Company_Explorer!$B$5),OR(Company_Explorer!$B$6="All Platforms",$B468=Company_Explorer!$B$6),OR(Company_Explorer!$B$7="All Roles",$D468=Company_Explorer!$B$7),OR(Company_Explorer!$B$8="All Ghost Labels",$AG468=Company_Explorer!$B$8)),1,0)</f>
        <v>0</v>
      </c>
    </row>
    <row r="469" spans="1:35" ht="15" customHeight="1" x14ac:dyDescent="0.3">
      <c r="A469" s="65" t="s">
        <v>1699</v>
      </c>
      <c r="B469" s="65" t="s">
        <v>80</v>
      </c>
      <c r="C469" s="65" t="s">
        <v>258</v>
      </c>
      <c r="D469" s="65" t="s">
        <v>125</v>
      </c>
      <c r="E469" s="65" t="s">
        <v>141</v>
      </c>
      <c r="F469" s="65" t="b">
        <f>TRUE()</f>
        <v>1</v>
      </c>
      <c r="G469" s="65" t="s">
        <v>166</v>
      </c>
      <c r="H469" s="65" t="s">
        <v>235</v>
      </c>
      <c r="I469" s="66">
        <v>46198</v>
      </c>
      <c r="J469" s="66">
        <v>46210</v>
      </c>
      <c r="K469" s="65">
        <v>12</v>
      </c>
      <c r="L469" s="65" t="s">
        <v>192</v>
      </c>
      <c r="M469" s="65" t="s">
        <v>184</v>
      </c>
      <c r="N469" s="65" t="b">
        <f>FALSE()</f>
        <v>0</v>
      </c>
      <c r="O469" s="65"/>
      <c r="P469" s="65"/>
      <c r="Q469" s="65" t="s">
        <v>236</v>
      </c>
      <c r="R469" s="65" t="s">
        <v>237</v>
      </c>
      <c r="S469" s="65"/>
      <c r="T469" s="65" t="b">
        <f>FALSE()</f>
        <v>0</v>
      </c>
      <c r="U469" s="65" t="b">
        <f>FALSE()</f>
        <v>0</v>
      </c>
      <c r="V469" s="65">
        <v>287</v>
      </c>
      <c r="W469" s="67" t="s">
        <v>259</v>
      </c>
      <c r="X469" s="65">
        <v>429</v>
      </c>
      <c r="Y469" s="68">
        <v>2.66</v>
      </c>
      <c r="Z469" s="65" t="b">
        <f>FALSE()</f>
        <v>0</v>
      </c>
      <c r="AA469" s="65" t="b">
        <f>TRUE()</f>
        <v>1</v>
      </c>
      <c r="AB469" s="65" t="b">
        <f>FALSE()</f>
        <v>0</v>
      </c>
      <c r="AC469" s="65" t="b">
        <f>FALSE()</f>
        <v>0</v>
      </c>
      <c r="AD469" s="65" t="b">
        <f>TRUE()</f>
        <v>1</v>
      </c>
      <c r="AE469" s="65">
        <v>3</v>
      </c>
      <c r="AF469" s="69">
        <v>42.9</v>
      </c>
      <c r="AG469" s="65" t="s">
        <v>73</v>
      </c>
      <c r="AH469" s="65" t="s">
        <v>1700</v>
      </c>
      <c r="AI469">
        <f>IF(AND(OR(Company_Explorer!$B$5="All Companies",$E469=Company_Explorer!$B$5),OR(Company_Explorer!$B$6="All Platforms",$B469=Company_Explorer!$B$6),OR(Company_Explorer!$B$7="All Roles",$D469=Company_Explorer!$B$7),OR(Company_Explorer!$B$8="All Ghost Labels",$AG469=Company_Explorer!$B$8)),1,0)</f>
        <v>0</v>
      </c>
    </row>
    <row r="470" spans="1:35" ht="15" customHeight="1" x14ac:dyDescent="0.3">
      <c r="A470" s="60" t="s">
        <v>1701</v>
      </c>
      <c r="B470" s="60" t="s">
        <v>80</v>
      </c>
      <c r="C470" s="60" t="s">
        <v>258</v>
      </c>
      <c r="D470" s="60" t="s">
        <v>125</v>
      </c>
      <c r="E470" s="60" t="s">
        <v>141</v>
      </c>
      <c r="F470" s="60" t="b">
        <f>TRUE()</f>
        <v>1</v>
      </c>
      <c r="G470" s="60" t="s">
        <v>166</v>
      </c>
      <c r="H470" s="60" t="s">
        <v>235</v>
      </c>
      <c r="I470" s="61">
        <v>46198</v>
      </c>
      <c r="J470" s="61">
        <v>46210</v>
      </c>
      <c r="K470" s="60">
        <v>12</v>
      </c>
      <c r="L470" s="60" t="s">
        <v>192</v>
      </c>
      <c r="M470" s="60" t="s">
        <v>184</v>
      </c>
      <c r="N470" s="60" t="b">
        <f>FALSE()</f>
        <v>0</v>
      </c>
      <c r="O470" s="60"/>
      <c r="P470" s="60"/>
      <c r="Q470" s="60" t="s">
        <v>236</v>
      </c>
      <c r="R470" s="60" t="s">
        <v>237</v>
      </c>
      <c r="S470" s="60"/>
      <c r="T470" s="60" t="b">
        <f>FALSE()</f>
        <v>0</v>
      </c>
      <c r="U470" s="60" t="b">
        <f>FALSE()</f>
        <v>0</v>
      </c>
      <c r="V470" s="60">
        <v>289</v>
      </c>
      <c r="W470" s="62" t="s">
        <v>259</v>
      </c>
      <c r="X470" s="60">
        <v>429</v>
      </c>
      <c r="Y470" s="63">
        <v>2.66</v>
      </c>
      <c r="Z470" s="60" t="b">
        <f>FALSE()</f>
        <v>0</v>
      </c>
      <c r="AA470" s="60" t="b">
        <f>TRUE()</f>
        <v>1</v>
      </c>
      <c r="AB470" s="60" t="b">
        <f>FALSE()</f>
        <v>0</v>
      </c>
      <c r="AC470" s="60" t="b">
        <f>FALSE()</f>
        <v>0</v>
      </c>
      <c r="AD470" s="60" t="b">
        <f>TRUE()</f>
        <v>1</v>
      </c>
      <c r="AE470" s="60">
        <v>3</v>
      </c>
      <c r="AF470" s="64">
        <v>42.9</v>
      </c>
      <c r="AG470" s="60" t="s">
        <v>73</v>
      </c>
      <c r="AH470" s="60" t="s">
        <v>1702</v>
      </c>
      <c r="AI470">
        <f>IF(AND(OR(Company_Explorer!$B$5="All Companies",$E470=Company_Explorer!$B$5),OR(Company_Explorer!$B$6="All Platforms",$B470=Company_Explorer!$B$6),OR(Company_Explorer!$B$7="All Roles",$D470=Company_Explorer!$B$7),OR(Company_Explorer!$B$8="All Ghost Labels",$AG470=Company_Explorer!$B$8)),1,0)</f>
        <v>0</v>
      </c>
    </row>
    <row r="471" spans="1:35" ht="15" customHeight="1" x14ac:dyDescent="0.3">
      <c r="A471" s="65" t="s">
        <v>1703</v>
      </c>
      <c r="B471" s="65" t="s">
        <v>80</v>
      </c>
      <c r="C471" s="65" t="s">
        <v>258</v>
      </c>
      <c r="D471" s="65" t="s">
        <v>125</v>
      </c>
      <c r="E471" s="65" t="s">
        <v>141</v>
      </c>
      <c r="F471" s="65" t="b">
        <f>TRUE()</f>
        <v>1</v>
      </c>
      <c r="G471" s="65" t="s">
        <v>166</v>
      </c>
      <c r="H471" s="65" t="s">
        <v>235</v>
      </c>
      <c r="I471" s="66">
        <v>46199</v>
      </c>
      <c r="J471" s="66">
        <v>46210</v>
      </c>
      <c r="K471" s="65">
        <v>11</v>
      </c>
      <c r="L471" s="65" t="s">
        <v>192</v>
      </c>
      <c r="M471" s="65" t="s">
        <v>184</v>
      </c>
      <c r="N471" s="65" t="b">
        <f>FALSE()</f>
        <v>0</v>
      </c>
      <c r="O471" s="65"/>
      <c r="P471" s="65"/>
      <c r="Q471" s="65" t="s">
        <v>236</v>
      </c>
      <c r="R471" s="65" t="s">
        <v>237</v>
      </c>
      <c r="S471" s="65"/>
      <c r="T471" s="65" t="b">
        <f>FALSE()</f>
        <v>0</v>
      </c>
      <c r="U471" s="65" t="b">
        <f>FALSE()</f>
        <v>0</v>
      </c>
      <c r="V471" s="65">
        <v>308</v>
      </c>
      <c r="W471" s="67" t="s">
        <v>259</v>
      </c>
      <c r="X471" s="65">
        <v>429</v>
      </c>
      <c r="Y471" s="68">
        <v>2.66</v>
      </c>
      <c r="Z471" s="65" t="b">
        <f>FALSE()</f>
        <v>0</v>
      </c>
      <c r="AA471" s="65" t="b">
        <f>TRUE()</f>
        <v>1</v>
      </c>
      <c r="AB471" s="65" t="b">
        <f>FALSE()</f>
        <v>0</v>
      </c>
      <c r="AC471" s="65" t="b">
        <f>FALSE()</f>
        <v>0</v>
      </c>
      <c r="AD471" s="65" t="b">
        <f>TRUE()</f>
        <v>1</v>
      </c>
      <c r="AE471" s="65">
        <v>3</v>
      </c>
      <c r="AF471" s="69">
        <v>42.9</v>
      </c>
      <c r="AG471" s="65" t="s">
        <v>73</v>
      </c>
      <c r="AH471" s="65" t="s">
        <v>1704</v>
      </c>
      <c r="AI471">
        <f>IF(AND(OR(Company_Explorer!$B$5="All Companies",$E471=Company_Explorer!$B$5),OR(Company_Explorer!$B$6="All Platforms",$B471=Company_Explorer!$B$6),OR(Company_Explorer!$B$7="All Roles",$D471=Company_Explorer!$B$7),OR(Company_Explorer!$B$8="All Ghost Labels",$AG471=Company_Explorer!$B$8)),1,0)</f>
        <v>0</v>
      </c>
    </row>
    <row r="472" spans="1:35" ht="15" customHeight="1" x14ac:dyDescent="0.3">
      <c r="A472" s="60" t="s">
        <v>1705</v>
      </c>
      <c r="B472" s="60" t="s">
        <v>80</v>
      </c>
      <c r="C472" s="60" t="s">
        <v>125</v>
      </c>
      <c r="D472" s="60" t="s">
        <v>125</v>
      </c>
      <c r="E472" s="60" t="s">
        <v>641</v>
      </c>
      <c r="F472" s="60" t="b">
        <f>TRUE()</f>
        <v>1</v>
      </c>
      <c r="G472" s="60" t="s">
        <v>166</v>
      </c>
      <c r="H472" s="60" t="s">
        <v>235</v>
      </c>
      <c r="I472" s="61">
        <v>46147</v>
      </c>
      <c r="J472" s="61">
        <v>46210</v>
      </c>
      <c r="K472" s="60">
        <v>63</v>
      </c>
      <c r="L472" s="60" t="s">
        <v>192</v>
      </c>
      <c r="M472" s="60" t="s">
        <v>185</v>
      </c>
      <c r="N472" s="60" t="b">
        <f>FALSE()</f>
        <v>0</v>
      </c>
      <c r="O472" s="60"/>
      <c r="P472" s="60"/>
      <c r="Q472" s="60" t="s">
        <v>236</v>
      </c>
      <c r="R472" s="60" t="s">
        <v>237</v>
      </c>
      <c r="S472" s="60"/>
      <c r="T472" s="60" t="b">
        <f>FALSE()</f>
        <v>0</v>
      </c>
      <c r="U472" s="60" t="b">
        <f>FALSE()</f>
        <v>0</v>
      </c>
      <c r="V472" s="60">
        <v>381</v>
      </c>
      <c r="W472" s="60" t="s">
        <v>642</v>
      </c>
      <c r="X472" s="60">
        <v>2</v>
      </c>
      <c r="Y472" s="63">
        <v>0.01</v>
      </c>
      <c r="Z472" s="60" t="b">
        <f>FALSE()</f>
        <v>0</v>
      </c>
      <c r="AA472" s="60" t="b">
        <f>TRUE()</f>
        <v>1</v>
      </c>
      <c r="AB472" s="60" t="b">
        <f>FALSE()</f>
        <v>0</v>
      </c>
      <c r="AC472" s="60" t="b">
        <f>TRUE()</f>
        <v>1</v>
      </c>
      <c r="AD472" s="60" t="b">
        <f>FALSE()</f>
        <v>0</v>
      </c>
      <c r="AE472" s="60">
        <v>2</v>
      </c>
      <c r="AF472" s="64">
        <v>28.6</v>
      </c>
      <c r="AG472" s="60" t="s">
        <v>73</v>
      </c>
      <c r="AH472" s="60" t="s">
        <v>1706</v>
      </c>
      <c r="AI472">
        <f>IF(AND(OR(Company_Explorer!$B$5="All Companies",$E472=Company_Explorer!$B$5),OR(Company_Explorer!$B$6="All Platforms",$B472=Company_Explorer!$B$6),OR(Company_Explorer!$B$7="All Roles",$D472=Company_Explorer!$B$7),OR(Company_Explorer!$B$8="All Ghost Labels",$AG472=Company_Explorer!$B$8)),1,0)</f>
        <v>0</v>
      </c>
    </row>
    <row r="473" spans="1:35" ht="15" customHeight="1" x14ac:dyDescent="0.3">
      <c r="A473" s="65" t="s">
        <v>1707</v>
      </c>
      <c r="B473" s="65" t="s">
        <v>80</v>
      </c>
      <c r="C473" s="65" t="s">
        <v>258</v>
      </c>
      <c r="D473" s="65" t="s">
        <v>125</v>
      </c>
      <c r="E473" s="65" t="s">
        <v>141</v>
      </c>
      <c r="F473" s="65" t="b">
        <f>TRUE()</f>
        <v>1</v>
      </c>
      <c r="G473" s="65" t="s">
        <v>171</v>
      </c>
      <c r="H473" s="65" t="s">
        <v>254</v>
      </c>
      <c r="I473" s="66">
        <v>46198</v>
      </c>
      <c r="J473" s="66">
        <v>46210</v>
      </c>
      <c r="K473" s="65">
        <v>12</v>
      </c>
      <c r="L473" s="65" t="s">
        <v>192</v>
      </c>
      <c r="M473" s="65" t="s">
        <v>184</v>
      </c>
      <c r="N473" s="65" t="b">
        <f>FALSE()</f>
        <v>0</v>
      </c>
      <c r="O473" s="65"/>
      <c r="P473" s="65"/>
      <c r="Q473" s="65" t="s">
        <v>236</v>
      </c>
      <c r="R473" s="65" t="s">
        <v>237</v>
      </c>
      <c r="S473" s="65"/>
      <c r="T473" s="65" t="b">
        <f>FALSE()</f>
        <v>0</v>
      </c>
      <c r="U473" s="65" t="b">
        <f>FALSE()</f>
        <v>0</v>
      </c>
      <c r="V473" s="65">
        <v>251</v>
      </c>
      <c r="W473" s="67" t="s">
        <v>259</v>
      </c>
      <c r="X473" s="65">
        <v>429</v>
      </c>
      <c r="Y473" s="68">
        <v>2.66</v>
      </c>
      <c r="Z473" s="65" t="b">
        <f>FALSE()</f>
        <v>0</v>
      </c>
      <c r="AA473" s="65" t="b">
        <f>TRUE()</f>
        <v>1</v>
      </c>
      <c r="AB473" s="65" t="b">
        <f>TRUE()</f>
        <v>1</v>
      </c>
      <c r="AC473" s="65" t="b">
        <f>FALSE()</f>
        <v>0</v>
      </c>
      <c r="AD473" s="65" t="b">
        <f>TRUE()</f>
        <v>1</v>
      </c>
      <c r="AE473" s="65">
        <v>4</v>
      </c>
      <c r="AF473" s="69">
        <v>57.1</v>
      </c>
      <c r="AG473" s="65" t="s">
        <v>72</v>
      </c>
      <c r="AH473" s="65" t="s">
        <v>1708</v>
      </c>
      <c r="AI473">
        <f>IF(AND(OR(Company_Explorer!$B$5="All Companies",$E473=Company_Explorer!$B$5),OR(Company_Explorer!$B$6="All Platforms",$B473=Company_Explorer!$B$6),OR(Company_Explorer!$B$7="All Roles",$D473=Company_Explorer!$B$7),OR(Company_Explorer!$B$8="All Ghost Labels",$AG473=Company_Explorer!$B$8)),1,0)</f>
        <v>0</v>
      </c>
    </row>
    <row r="474" spans="1:35" ht="15" customHeight="1" x14ac:dyDescent="0.3">
      <c r="A474" s="60" t="s">
        <v>1709</v>
      </c>
      <c r="B474" s="60" t="s">
        <v>80</v>
      </c>
      <c r="C474" s="60" t="s">
        <v>258</v>
      </c>
      <c r="D474" s="60" t="s">
        <v>125</v>
      </c>
      <c r="E474" s="60" t="s">
        <v>141</v>
      </c>
      <c r="F474" s="60" t="b">
        <f>TRUE()</f>
        <v>1</v>
      </c>
      <c r="G474" s="60" t="s">
        <v>166</v>
      </c>
      <c r="H474" s="60" t="s">
        <v>235</v>
      </c>
      <c r="I474" s="61">
        <v>46199</v>
      </c>
      <c r="J474" s="61">
        <v>46210</v>
      </c>
      <c r="K474" s="60">
        <v>11</v>
      </c>
      <c r="L474" s="60" t="s">
        <v>192</v>
      </c>
      <c r="M474" s="60" t="s">
        <v>184</v>
      </c>
      <c r="N474" s="60" t="b">
        <f>FALSE()</f>
        <v>0</v>
      </c>
      <c r="O474" s="60"/>
      <c r="P474" s="60"/>
      <c r="Q474" s="60" t="s">
        <v>236</v>
      </c>
      <c r="R474" s="60" t="s">
        <v>237</v>
      </c>
      <c r="S474" s="60"/>
      <c r="T474" s="60" t="b">
        <f>FALSE()</f>
        <v>0</v>
      </c>
      <c r="U474" s="60" t="b">
        <f>FALSE()</f>
        <v>0</v>
      </c>
      <c r="V474" s="60">
        <v>308</v>
      </c>
      <c r="W474" s="62" t="s">
        <v>259</v>
      </c>
      <c r="X474" s="60">
        <v>429</v>
      </c>
      <c r="Y474" s="63">
        <v>2.66</v>
      </c>
      <c r="Z474" s="60" t="b">
        <f>FALSE()</f>
        <v>0</v>
      </c>
      <c r="AA474" s="60" t="b">
        <f>TRUE()</f>
        <v>1</v>
      </c>
      <c r="AB474" s="60" t="b">
        <f>FALSE()</f>
        <v>0</v>
      </c>
      <c r="AC474" s="60" t="b">
        <f>FALSE()</f>
        <v>0</v>
      </c>
      <c r="AD474" s="60" t="b">
        <f>TRUE()</f>
        <v>1</v>
      </c>
      <c r="AE474" s="60">
        <v>3</v>
      </c>
      <c r="AF474" s="64">
        <v>42.9</v>
      </c>
      <c r="AG474" s="60" t="s">
        <v>73</v>
      </c>
      <c r="AH474" s="60" t="s">
        <v>1710</v>
      </c>
      <c r="AI474">
        <f>IF(AND(OR(Company_Explorer!$B$5="All Companies",$E474=Company_Explorer!$B$5),OR(Company_Explorer!$B$6="All Platforms",$B474=Company_Explorer!$B$6),OR(Company_Explorer!$B$7="All Roles",$D474=Company_Explorer!$B$7),OR(Company_Explorer!$B$8="All Ghost Labels",$AG474=Company_Explorer!$B$8)),1,0)</f>
        <v>0</v>
      </c>
    </row>
    <row r="475" spans="1:35" ht="15" customHeight="1" x14ac:dyDescent="0.3">
      <c r="A475" s="65" t="s">
        <v>1711</v>
      </c>
      <c r="B475" s="65" t="s">
        <v>80</v>
      </c>
      <c r="C475" s="65" t="s">
        <v>258</v>
      </c>
      <c r="D475" s="65" t="s">
        <v>125</v>
      </c>
      <c r="E475" s="65" t="s">
        <v>141</v>
      </c>
      <c r="F475" s="65" t="b">
        <f>TRUE()</f>
        <v>1</v>
      </c>
      <c r="G475" s="65" t="s">
        <v>171</v>
      </c>
      <c r="H475" s="65" t="s">
        <v>254</v>
      </c>
      <c r="I475" s="66">
        <v>46198</v>
      </c>
      <c r="J475" s="66">
        <v>46210</v>
      </c>
      <c r="K475" s="65">
        <v>12</v>
      </c>
      <c r="L475" s="65" t="s">
        <v>192</v>
      </c>
      <c r="M475" s="65" t="s">
        <v>184</v>
      </c>
      <c r="N475" s="65" t="b">
        <f>FALSE()</f>
        <v>0</v>
      </c>
      <c r="O475" s="65"/>
      <c r="P475" s="65"/>
      <c r="Q475" s="65" t="s">
        <v>236</v>
      </c>
      <c r="R475" s="65" t="s">
        <v>237</v>
      </c>
      <c r="S475" s="65"/>
      <c r="T475" s="65" t="b">
        <f>FALSE()</f>
        <v>0</v>
      </c>
      <c r="U475" s="65" t="b">
        <f>FALSE()</f>
        <v>0</v>
      </c>
      <c r="V475" s="65">
        <v>251</v>
      </c>
      <c r="W475" s="67" t="s">
        <v>259</v>
      </c>
      <c r="X475" s="65">
        <v>429</v>
      </c>
      <c r="Y475" s="68">
        <v>2.66</v>
      </c>
      <c r="Z475" s="65" t="b">
        <f>FALSE()</f>
        <v>0</v>
      </c>
      <c r="AA475" s="65" t="b">
        <f>TRUE()</f>
        <v>1</v>
      </c>
      <c r="AB475" s="65" t="b">
        <f>TRUE()</f>
        <v>1</v>
      </c>
      <c r="AC475" s="65" t="b">
        <f>FALSE()</f>
        <v>0</v>
      </c>
      <c r="AD475" s="65" t="b">
        <f>TRUE()</f>
        <v>1</v>
      </c>
      <c r="AE475" s="65">
        <v>4</v>
      </c>
      <c r="AF475" s="69">
        <v>57.1</v>
      </c>
      <c r="AG475" s="65" t="s">
        <v>72</v>
      </c>
      <c r="AH475" s="65" t="s">
        <v>1712</v>
      </c>
      <c r="AI475">
        <f>IF(AND(OR(Company_Explorer!$B$5="All Companies",$E475=Company_Explorer!$B$5),OR(Company_Explorer!$B$6="All Platforms",$B475=Company_Explorer!$B$6),OR(Company_Explorer!$B$7="All Roles",$D475=Company_Explorer!$B$7),OR(Company_Explorer!$B$8="All Ghost Labels",$AG475=Company_Explorer!$B$8)),1,0)</f>
        <v>0</v>
      </c>
    </row>
    <row r="476" spans="1:35" ht="15" customHeight="1" x14ac:dyDescent="0.3">
      <c r="A476" s="60" t="s">
        <v>1713</v>
      </c>
      <c r="B476" s="60" t="s">
        <v>80</v>
      </c>
      <c r="C476" s="60" t="s">
        <v>1714</v>
      </c>
      <c r="D476" s="60" t="s">
        <v>126</v>
      </c>
      <c r="E476" s="60" t="s">
        <v>159</v>
      </c>
      <c r="F476" s="60" t="b">
        <f>TRUE()</f>
        <v>1</v>
      </c>
      <c r="G476" s="60" t="s">
        <v>166</v>
      </c>
      <c r="H476" s="60" t="s">
        <v>235</v>
      </c>
      <c r="I476" s="61">
        <v>46199</v>
      </c>
      <c r="J476" s="61">
        <v>46210</v>
      </c>
      <c r="K476" s="60">
        <v>11</v>
      </c>
      <c r="L476" s="60" t="s">
        <v>192</v>
      </c>
      <c r="M476" s="60" t="s">
        <v>185</v>
      </c>
      <c r="N476" s="60" t="b">
        <f>FALSE()</f>
        <v>0</v>
      </c>
      <c r="O476" s="60"/>
      <c r="P476" s="60"/>
      <c r="Q476" s="60" t="s">
        <v>236</v>
      </c>
      <c r="R476" s="60" t="s">
        <v>237</v>
      </c>
      <c r="S476" s="60"/>
      <c r="T476" s="60" t="b">
        <f>FALSE()</f>
        <v>0</v>
      </c>
      <c r="U476" s="60" t="b">
        <f>FALSE()</f>
        <v>0</v>
      </c>
      <c r="V476" s="60">
        <v>485</v>
      </c>
      <c r="W476" s="62" t="s">
        <v>1715</v>
      </c>
      <c r="X476" s="60">
        <v>11</v>
      </c>
      <c r="Y476" s="63">
        <v>7.0000000000000007E-2</v>
      </c>
      <c r="Z476" s="60" t="b">
        <f>FALSE()</f>
        <v>0</v>
      </c>
      <c r="AA476" s="60" t="b">
        <f>TRUE()</f>
        <v>1</v>
      </c>
      <c r="AB476" s="60" t="b">
        <f>FALSE()</f>
        <v>0</v>
      </c>
      <c r="AC476" s="60" t="b">
        <f>FALSE()</f>
        <v>0</v>
      </c>
      <c r="AD476" s="60" t="b">
        <f>FALSE()</f>
        <v>0</v>
      </c>
      <c r="AE476" s="60">
        <v>1</v>
      </c>
      <c r="AF476" s="64">
        <v>14.3</v>
      </c>
      <c r="AG476" s="60" t="s">
        <v>74</v>
      </c>
      <c r="AH476" s="60" t="s">
        <v>1716</v>
      </c>
      <c r="AI476">
        <f>IF(AND(OR(Company_Explorer!$B$5="All Companies",$E476=Company_Explorer!$B$5),OR(Company_Explorer!$B$6="All Platforms",$B476=Company_Explorer!$B$6),OR(Company_Explorer!$B$7="All Roles",$D476=Company_Explorer!$B$7),OR(Company_Explorer!$B$8="All Ghost Labels",$AG476=Company_Explorer!$B$8)),1,0)</f>
        <v>0</v>
      </c>
    </row>
    <row r="477" spans="1:35" ht="15" customHeight="1" x14ac:dyDescent="0.3">
      <c r="A477" s="65" t="s">
        <v>1717</v>
      </c>
      <c r="B477" s="65" t="s">
        <v>80</v>
      </c>
      <c r="C477" s="65" t="s">
        <v>258</v>
      </c>
      <c r="D477" s="65" t="s">
        <v>125</v>
      </c>
      <c r="E477" s="65" t="s">
        <v>141</v>
      </c>
      <c r="F477" s="65" t="b">
        <f>TRUE()</f>
        <v>1</v>
      </c>
      <c r="G477" s="65" t="s">
        <v>166</v>
      </c>
      <c r="H477" s="65" t="s">
        <v>235</v>
      </c>
      <c r="I477" s="66">
        <v>46198</v>
      </c>
      <c r="J477" s="66">
        <v>46210</v>
      </c>
      <c r="K477" s="65">
        <v>12</v>
      </c>
      <c r="L477" s="65" t="s">
        <v>192</v>
      </c>
      <c r="M477" s="65" t="s">
        <v>184</v>
      </c>
      <c r="N477" s="65" t="b">
        <f>FALSE()</f>
        <v>0</v>
      </c>
      <c r="O477" s="65"/>
      <c r="P477" s="65"/>
      <c r="Q477" s="65" t="s">
        <v>236</v>
      </c>
      <c r="R477" s="65" t="s">
        <v>237</v>
      </c>
      <c r="S477" s="65"/>
      <c r="T477" s="65" t="b">
        <f>FALSE()</f>
        <v>0</v>
      </c>
      <c r="U477" s="65" t="b">
        <f>FALSE()</f>
        <v>0</v>
      </c>
      <c r="V477" s="65">
        <v>290</v>
      </c>
      <c r="W477" s="67" t="s">
        <v>1718</v>
      </c>
      <c r="X477" s="65">
        <v>429</v>
      </c>
      <c r="Y477" s="68">
        <v>2.66</v>
      </c>
      <c r="Z477" s="65" t="b">
        <f>FALSE()</f>
        <v>0</v>
      </c>
      <c r="AA477" s="65" t="b">
        <f>TRUE()</f>
        <v>1</v>
      </c>
      <c r="AB477" s="65" t="b">
        <f>FALSE()</f>
        <v>0</v>
      </c>
      <c r="AC477" s="65" t="b">
        <f>FALSE()</f>
        <v>0</v>
      </c>
      <c r="AD477" s="65" t="b">
        <f>TRUE()</f>
        <v>1</v>
      </c>
      <c r="AE477" s="65">
        <v>3</v>
      </c>
      <c r="AF477" s="69">
        <v>42.9</v>
      </c>
      <c r="AG477" s="65" t="s">
        <v>73</v>
      </c>
      <c r="AH477" s="65" t="s">
        <v>1719</v>
      </c>
      <c r="AI477">
        <f>IF(AND(OR(Company_Explorer!$B$5="All Companies",$E477=Company_Explorer!$B$5),OR(Company_Explorer!$B$6="All Platforms",$B477=Company_Explorer!$B$6),OR(Company_Explorer!$B$7="All Roles",$D477=Company_Explorer!$B$7),OR(Company_Explorer!$B$8="All Ghost Labels",$AG477=Company_Explorer!$B$8)),1,0)</f>
        <v>0</v>
      </c>
    </row>
    <row r="478" spans="1:35" ht="15" customHeight="1" x14ac:dyDescent="0.3">
      <c r="A478" s="60" t="s">
        <v>1720</v>
      </c>
      <c r="B478" s="60" t="s">
        <v>80</v>
      </c>
      <c r="C478" s="60" t="s">
        <v>258</v>
      </c>
      <c r="D478" s="60" t="s">
        <v>125</v>
      </c>
      <c r="E478" s="60" t="s">
        <v>141</v>
      </c>
      <c r="F478" s="60" t="b">
        <f>TRUE()</f>
        <v>1</v>
      </c>
      <c r="G478" s="60" t="s">
        <v>166</v>
      </c>
      <c r="H478" s="60" t="s">
        <v>235</v>
      </c>
      <c r="I478" s="61">
        <v>46198</v>
      </c>
      <c r="J478" s="61">
        <v>46210</v>
      </c>
      <c r="K478" s="60">
        <v>12</v>
      </c>
      <c r="L478" s="60" t="s">
        <v>192</v>
      </c>
      <c r="M478" s="60" t="s">
        <v>184</v>
      </c>
      <c r="N478" s="60" t="b">
        <f>FALSE()</f>
        <v>0</v>
      </c>
      <c r="O478" s="60"/>
      <c r="P478" s="60"/>
      <c r="Q478" s="60" t="s">
        <v>236</v>
      </c>
      <c r="R478" s="60" t="s">
        <v>237</v>
      </c>
      <c r="S478" s="60"/>
      <c r="T478" s="60" t="b">
        <f>FALSE()</f>
        <v>0</v>
      </c>
      <c r="U478" s="60" t="b">
        <f>FALSE()</f>
        <v>0</v>
      </c>
      <c r="V478" s="60">
        <v>308</v>
      </c>
      <c r="W478" s="62" t="s">
        <v>259</v>
      </c>
      <c r="X478" s="60">
        <v>429</v>
      </c>
      <c r="Y478" s="63">
        <v>2.66</v>
      </c>
      <c r="Z478" s="60" t="b">
        <f>FALSE()</f>
        <v>0</v>
      </c>
      <c r="AA478" s="60" t="b">
        <f>TRUE()</f>
        <v>1</v>
      </c>
      <c r="AB478" s="60" t="b">
        <f>FALSE()</f>
        <v>0</v>
      </c>
      <c r="AC478" s="60" t="b">
        <f>FALSE()</f>
        <v>0</v>
      </c>
      <c r="AD478" s="60" t="b">
        <f>TRUE()</f>
        <v>1</v>
      </c>
      <c r="AE478" s="60">
        <v>3</v>
      </c>
      <c r="AF478" s="64">
        <v>42.9</v>
      </c>
      <c r="AG478" s="60" t="s">
        <v>73</v>
      </c>
      <c r="AH478" s="60" t="s">
        <v>1721</v>
      </c>
      <c r="AI478">
        <f>IF(AND(OR(Company_Explorer!$B$5="All Companies",$E478=Company_Explorer!$B$5),OR(Company_Explorer!$B$6="All Platforms",$B478=Company_Explorer!$B$6),OR(Company_Explorer!$B$7="All Roles",$D478=Company_Explorer!$B$7),OR(Company_Explorer!$B$8="All Ghost Labels",$AG478=Company_Explorer!$B$8)),1,0)</f>
        <v>0</v>
      </c>
    </row>
    <row r="479" spans="1:35" ht="15" customHeight="1" x14ac:dyDescent="0.3">
      <c r="A479" s="65" t="s">
        <v>1722</v>
      </c>
      <c r="B479" s="65" t="s">
        <v>80</v>
      </c>
      <c r="C479" s="65" t="s">
        <v>258</v>
      </c>
      <c r="D479" s="65" t="s">
        <v>125</v>
      </c>
      <c r="E479" s="65" t="s">
        <v>141</v>
      </c>
      <c r="F479" s="65" t="b">
        <f>TRUE()</f>
        <v>1</v>
      </c>
      <c r="G479" s="65" t="s">
        <v>170</v>
      </c>
      <c r="H479" s="65" t="s">
        <v>165</v>
      </c>
      <c r="I479" s="66">
        <v>46198</v>
      </c>
      <c r="J479" s="66">
        <v>46210</v>
      </c>
      <c r="K479" s="65">
        <v>12</v>
      </c>
      <c r="L479" s="65" t="s">
        <v>192</v>
      </c>
      <c r="M479" s="65" t="s">
        <v>184</v>
      </c>
      <c r="N479" s="65" t="b">
        <f>FALSE()</f>
        <v>0</v>
      </c>
      <c r="O479" s="65"/>
      <c r="P479" s="65"/>
      <c r="Q479" s="65" t="s">
        <v>236</v>
      </c>
      <c r="R479" s="65" t="s">
        <v>237</v>
      </c>
      <c r="S479" s="65"/>
      <c r="T479" s="65" t="b">
        <f>FALSE()</f>
        <v>0</v>
      </c>
      <c r="U479" s="65" t="b">
        <f>FALSE()</f>
        <v>0</v>
      </c>
      <c r="V479" s="65">
        <v>326</v>
      </c>
      <c r="W479" s="67" t="s">
        <v>259</v>
      </c>
      <c r="X479" s="65">
        <v>429</v>
      </c>
      <c r="Y479" s="68">
        <v>2.66</v>
      </c>
      <c r="Z479" s="65" t="b">
        <f>FALSE()</f>
        <v>0</v>
      </c>
      <c r="AA479" s="65" t="b">
        <f>TRUE()</f>
        <v>1</v>
      </c>
      <c r="AB479" s="65" t="b">
        <f>FALSE()</f>
        <v>0</v>
      </c>
      <c r="AC479" s="65" t="b">
        <f>FALSE()</f>
        <v>0</v>
      </c>
      <c r="AD479" s="65" t="b">
        <f>TRUE()</f>
        <v>1</v>
      </c>
      <c r="AE479" s="65">
        <v>3</v>
      </c>
      <c r="AF479" s="69">
        <v>42.9</v>
      </c>
      <c r="AG479" s="65" t="s">
        <v>73</v>
      </c>
      <c r="AH479" s="65" t="s">
        <v>1723</v>
      </c>
      <c r="AI479">
        <f>IF(AND(OR(Company_Explorer!$B$5="All Companies",$E479=Company_Explorer!$B$5),OR(Company_Explorer!$B$6="All Platforms",$B479=Company_Explorer!$B$6),OR(Company_Explorer!$B$7="All Roles",$D479=Company_Explorer!$B$7),OR(Company_Explorer!$B$8="All Ghost Labels",$AG479=Company_Explorer!$B$8)),1,0)</f>
        <v>0</v>
      </c>
    </row>
    <row r="480" spans="1:35" ht="15" customHeight="1" x14ac:dyDescent="0.3">
      <c r="A480" s="60" t="s">
        <v>1724</v>
      </c>
      <c r="B480" s="60" t="s">
        <v>80</v>
      </c>
      <c r="C480" s="60" t="s">
        <v>258</v>
      </c>
      <c r="D480" s="60" t="s">
        <v>125</v>
      </c>
      <c r="E480" s="60" t="s">
        <v>141</v>
      </c>
      <c r="F480" s="60" t="b">
        <f>TRUE()</f>
        <v>1</v>
      </c>
      <c r="G480" s="60" t="s">
        <v>325</v>
      </c>
      <c r="H480" s="60" t="s">
        <v>326</v>
      </c>
      <c r="I480" s="61">
        <v>46198</v>
      </c>
      <c r="J480" s="61">
        <v>46210</v>
      </c>
      <c r="K480" s="60">
        <v>12</v>
      </c>
      <c r="L480" s="60" t="s">
        <v>192</v>
      </c>
      <c r="M480" s="60" t="s">
        <v>184</v>
      </c>
      <c r="N480" s="60" t="b">
        <f>FALSE()</f>
        <v>0</v>
      </c>
      <c r="O480" s="60"/>
      <c r="P480" s="60"/>
      <c r="Q480" s="60" t="s">
        <v>236</v>
      </c>
      <c r="R480" s="60" t="s">
        <v>237</v>
      </c>
      <c r="S480" s="60"/>
      <c r="T480" s="60" t="b">
        <f>FALSE()</f>
        <v>0</v>
      </c>
      <c r="U480" s="60" t="b">
        <f>FALSE()</f>
        <v>0</v>
      </c>
      <c r="V480" s="60">
        <v>264</v>
      </c>
      <c r="W480" s="62" t="s">
        <v>1288</v>
      </c>
      <c r="X480" s="60">
        <v>429</v>
      </c>
      <c r="Y480" s="63">
        <v>2.66</v>
      </c>
      <c r="Z480" s="60" t="b">
        <f>FALSE()</f>
        <v>0</v>
      </c>
      <c r="AA480" s="60" t="b">
        <f>TRUE()</f>
        <v>1</v>
      </c>
      <c r="AB480" s="60" t="b">
        <f>TRUE()</f>
        <v>1</v>
      </c>
      <c r="AC480" s="60" t="b">
        <f>FALSE()</f>
        <v>0</v>
      </c>
      <c r="AD480" s="60" t="b">
        <f>TRUE()</f>
        <v>1</v>
      </c>
      <c r="AE480" s="60">
        <v>4</v>
      </c>
      <c r="AF480" s="64">
        <v>57.1</v>
      </c>
      <c r="AG480" s="60" t="s">
        <v>72</v>
      </c>
      <c r="AH480" s="60" t="s">
        <v>1725</v>
      </c>
      <c r="AI480">
        <f>IF(AND(OR(Company_Explorer!$B$5="All Companies",$E480=Company_Explorer!$B$5),OR(Company_Explorer!$B$6="All Platforms",$B480=Company_Explorer!$B$6),OR(Company_Explorer!$B$7="All Roles",$D480=Company_Explorer!$B$7),OR(Company_Explorer!$B$8="All Ghost Labels",$AG480=Company_Explorer!$B$8)),1,0)</f>
        <v>0</v>
      </c>
    </row>
    <row r="481" spans="1:35" ht="15" customHeight="1" x14ac:dyDescent="0.3">
      <c r="A481" s="65" t="s">
        <v>1726</v>
      </c>
      <c r="B481" s="65" t="s">
        <v>80</v>
      </c>
      <c r="C481" s="65" t="s">
        <v>258</v>
      </c>
      <c r="D481" s="65" t="s">
        <v>125</v>
      </c>
      <c r="E481" s="65" t="s">
        <v>141</v>
      </c>
      <c r="F481" s="65" t="b">
        <f>TRUE()</f>
        <v>1</v>
      </c>
      <c r="G481" s="65" t="s">
        <v>167</v>
      </c>
      <c r="H481" s="65" t="s">
        <v>276</v>
      </c>
      <c r="I481" s="66">
        <v>46199</v>
      </c>
      <c r="J481" s="66">
        <v>46210</v>
      </c>
      <c r="K481" s="65">
        <v>11</v>
      </c>
      <c r="L481" s="65" t="s">
        <v>192</v>
      </c>
      <c r="M481" s="65" t="s">
        <v>184</v>
      </c>
      <c r="N481" s="65" t="b">
        <f>FALSE()</f>
        <v>0</v>
      </c>
      <c r="O481" s="65"/>
      <c r="P481" s="65"/>
      <c r="Q481" s="65" t="s">
        <v>236</v>
      </c>
      <c r="R481" s="65" t="s">
        <v>237</v>
      </c>
      <c r="S481" s="65"/>
      <c r="T481" s="65" t="b">
        <f>FALSE()</f>
        <v>0</v>
      </c>
      <c r="U481" s="65" t="b">
        <f>FALSE()</f>
        <v>0</v>
      </c>
      <c r="V481" s="65">
        <v>275</v>
      </c>
      <c r="W481" s="67" t="s">
        <v>259</v>
      </c>
      <c r="X481" s="65">
        <v>429</v>
      </c>
      <c r="Y481" s="68">
        <v>2.66</v>
      </c>
      <c r="Z481" s="65" t="b">
        <f>FALSE()</f>
        <v>0</v>
      </c>
      <c r="AA481" s="65" t="b">
        <f>TRUE()</f>
        <v>1</v>
      </c>
      <c r="AB481" s="65" t="b">
        <f>FALSE()</f>
        <v>0</v>
      </c>
      <c r="AC481" s="65" t="b">
        <f>FALSE()</f>
        <v>0</v>
      </c>
      <c r="AD481" s="65" t="b">
        <f>TRUE()</f>
        <v>1</v>
      </c>
      <c r="AE481" s="65">
        <v>3</v>
      </c>
      <c r="AF481" s="69">
        <v>42.9</v>
      </c>
      <c r="AG481" s="65" t="s">
        <v>73</v>
      </c>
      <c r="AH481" s="65" t="s">
        <v>1727</v>
      </c>
      <c r="AI481">
        <f>IF(AND(OR(Company_Explorer!$B$5="All Companies",$E481=Company_Explorer!$B$5),OR(Company_Explorer!$B$6="All Platforms",$B481=Company_Explorer!$B$6),OR(Company_Explorer!$B$7="All Roles",$D481=Company_Explorer!$B$7),OR(Company_Explorer!$B$8="All Ghost Labels",$AG481=Company_Explorer!$B$8)),1,0)</f>
        <v>0</v>
      </c>
    </row>
    <row r="482" spans="1:35" ht="15" customHeight="1" x14ac:dyDescent="0.3">
      <c r="A482" s="60" t="s">
        <v>1728</v>
      </c>
      <c r="B482" s="60" t="s">
        <v>80</v>
      </c>
      <c r="C482" s="60" t="s">
        <v>258</v>
      </c>
      <c r="D482" s="60" t="s">
        <v>125</v>
      </c>
      <c r="E482" s="60" t="s">
        <v>141</v>
      </c>
      <c r="F482" s="60" t="b">
        <f>TRUE()</f>
        <v>1</v>
      </c>
      <c r="G482" s="60" t="s">
        <v>166</v>
      </c>
      <c r="H482" s="60" t="s">
        <v>235</v>
      </c>
      <c r="I482" s="61">
        <v>46202</v>
      </c>
      <c r="J482" s="61">
        <v>46210</v>
      </c>
      <c r="K482" s="60">
        <v>8</v>
      </c>
      <c r="L482" s="60" t="s">
        <v>192</v>
      </c>
      <c r="M482" s="60" t="s">
        <v>184</v>
      </c>
      <c r="N482" s="60" t="b">
        <f>FALSE()</f>
        <v>0</v>
      </c>
      <c r="O482" s="60"/>
      <c r="P482" s="60"/>
      <c r="Q482" s="60" t="s">
        <v>236</v>
      </c>
      <c r="R482" s="60" t="s">
        <v>237</v>
      </c>
      <c r="S482" s="60"/>
      <c r="T482" s="60" t="b">
        <f>FALSE()</f>
        <v>0</v>
      </c>
      <c r="U482" s="60" t="b">
        <f>FALSE()</f>
        <v>0</v>
      </c>
      <c r="V482" s="60">
        <v>333</v>
      </c>
      <c r="W482" s="62" t="s">
        <v>259</v>
      </c>
      <c r="X482" s="60">
        <v>429</v>
      </c>
      <c r="Y482" s="63">
        <v>2.66</v>
      </c>
      <c r="Z482" s="60" t="b">
        <f>FALSE()</f>
        <v>0</v>
      </c>
      <c r="AA482" s="60" t="b">
        <f>TRUE()</f>
        <v>1</v>
      </c>
      <c r="AB482" s="60" t="b">
        <f>FALSE()</f>
        <v>0</v>
      </c>
      <c r="AC482" s="60" t="b">
        <f>FALSE()</f>
        <v>0</v>
      </c>
      <c r="AD482" s="60" t="b">
        <f>TRUE()</f>
        <v>1</v>
      </c>
      <c r="AE482" s="60">
        <v>3</v>
      </c>
      <c r="AF482" s="64">
        <v>42.9</v>
      </c>
      <c r="AG482" s="60" t="s">
        <v>73</v>
      </c>
      <c r="AH482" s="60" t="s">
        <v>1729</v>
      </c>
      <c r="AI482">
        <f>IF(AND(OR(Company_Explorer!$B$5="All Companies",$E482=Company_Explorer!$B$5),OR(Company_Explorer!$B$6="All Platforms",$B482=Company_Explorer!$B$6),OR(Company_Explorer!$B$7="All Roles",$D482=Company_Explorer!$B$7),OR(Company_Explorer!$B$8="All Ghost Labels",$AG482=Company_Explorer!$B$8)),1,0)</f>
        <v>0</v>
      </c>
    </row>
    <row r="483" spans="1:35" ht="15" customHeight="1" x14ac:dyDescent="0.3">
      <c r="A483" s="65" t="s">
        <v>1730</v>
      </c>
      <c r="B483" s="65" t="s">
        <v>80</v>
      </c>
      <c r="C483" s="65" t="s">
        <v>258</v>
      </c>
      <c r="D483" s="65" t="s">
        <v>125</v>
      </c>
      <c r="E483" s="65" t="s">
        <v>141</v>
      </c>
      <c r="F483" s="65" t="b">
        <f>TRUE()</f>
        <v>1</v>
      </c>
      <c r="G483" s="65" t="s">
        <v>167</v>
      </c>
      <c r="H483" s="65" t="s">
        <v>276</v>
      </c>
      <c r="I483" s="66">
        <v>46198</v>
      </c>
      <c r="J483" s="66">
        <v>46210</v>
      </c>
      <c r="K483" s="65">
        <v>12</v>
      </c>
      <c r="L483" s="65" t="s">
        <v>192</v>
      </c>
      <c r="M483" s="65" t="s">
        <v>184</v>
      </c>
      <c r="N483" s="65" t="b">
        <f>FALSE()</f>
        <v>0</v>
      </c>
      <c r="O483" s="65"/>
      <c r="P483" s="65"/>
      <c r="Q483" s="65" t="s">
        <v>236</v>
      </c>
      <c r="R483" s="65" t="s">
        <v>237</v>
      </c>
      <c r="S483" s="65"/>
      <c r="T483" s="65" t="b">
        <f>FALSE()</f>
        <v>0</v>
      </c>
      <c r="U483" s="65" t="b">
        <f>FALSE()</f>
        <v>0</v>
      </c>
      <c r="V483" s="65">
        <v>274</v>
      </c>
      <c r="W483" s="67" t="s">
        <v>259</v>
      </c>
      <c r="X483" s="65">
        <v>429</v>
      </c>
      <c r="Y483" s="68">
        <v>2.66</v>
      </c>
      <c r="Z483" s="65" t="b">
        <f>FALSE()</f>
        <v>0</v>
      </c>
      <c r="AA483" s="65" t="b">
        <f>TRUE()</f>
        <v>1</v>
      </c>
      <c r="AB483" s="65" t="b">
        <f>FALSE()</f>
        <v>0</v>
      </c>
      <c r="AC483" s="65" t="b">
        <f>FALSE()</f>
        <v>0</v>
      </c>
      <c r="AD483" s="65" t="b">
        <f>TRUE()</f>
        <v>1</v>
      </c>
      <c r="AE483" s="65">
        <v>3</v>
      </c>
      <c r="AF483" s="69">
        <v>42.9</v>
      </c>
      <c r="AG483" s="65" t="s">
        <v>73</v>
      </c>
      <c r="AH483" s="65" t="s">
        <v>1731</v>
      </c>
      <c r="AI483">
        <f>IF(AND(OR(Company_Explorer!$B$5="All Companies",$E483=Company_Explorer!$B$5),OR(Company_Explorer!$B$6="All Platforms",$B483=Company_Explorer!$B$6),OR(Company_Explorer!$B$7="All Roles",$D483=Company_Explorer!$B$7),OR(Company_Explorer!$B$8="All Ghost Labels",$AG483=Company_Explorer!$B$8)),1,0)</f>
        <v>0</v>
      </c>
    </row>
    <row r="484" spans="1:35" ht="15" customHeight="1" x14ac:dyDescent="0.3">
      <c r="A484" s="60" t="s">
        <v>1732</v>
      </c>
      <c r="B484" s="60" t="s">
        <v>80</v>
      </c>
      <c r="C484" s="60" t="s">
        <v>258</v>
      </c>
      <c r="D484" s="60" t="s">
        <v>125</v>
      </c>
      <c r="E484" s="60" t="s">
        <v>141</v>
      </c>
      <c r="F484" s="60" t="b">
        <f>TRUE()</f>
        <v>1</v>
      </c>
      <c r="G484" s="60" t="s">
        <v>174</v>
      </c>
      <c r="H484" s="60" t="s">
        <v>302</v>
      </c>
      <c r="I484" s="61">
        <v>46198</v>
      </c>
      <c r="J484" s="61">
        <v>46210</v>
      </c>
      <c r="K484" s="60">
        <v>12</v>
      </c>
      <c r="L484" s="60" t="s">
        <v>192</v>
      </c>
      <c r="M484" s="60" t="s">
        <v>184</v>
      </c>
      <c r="N484" s="60" t="b">
        <f>FALSE()</f>
        <v>0</v>
      </c>
      <c r="O484" s="60"/>
      <c r="P484" s="60"/>
      <c r="Q484" s="60" t="s">
        <v>236</v>
      </c>
      <c r="R484" s="60" t="s">
        <v>237</v>
      </c>
      <c r="S484" s="60"/>
      <c r="T484" s="60" t="b">
        <f>FALSE()</f>
        <v>0</v>
      </c>
      <c r="U484" s="60" t="b">
        <f>FALSE()</f>
        <v>0</v>
      </c>
      <c r="V484" s="60">
        <v>245</v>
      </c>
      <c r="W484" s="62" t="s">
        <v>259</v>
      </c>
      <c r="X484" s="60">
        <v>429</v>
      </c>
      <c r="Y484" s="63">
        <v>2.66</v>
      </c>
      <c r="Z484" s="60" t="b">
        <f>FALSE()</f>
        <v>0</v>
      </c>
      <c r="AA484" s="60" t="b">
        <f>TRUE()</f>
        <v>1</v>
      </c>
      <c r="AB484" s="60" t="b">
        <f>TRUE()</f>
        <v>1</v>
      </c>
      <c r="AC484" s="60" t="b">
        <f>FALSE()</f>
        <v>0</v>
      </c>
      <c r="AD484" s="60" t="b">
        <f>TRUE()</f>
        <v>1</v>
      </c>
      <c r="AE484" s="60">
        <v>4</v>
      </c>
      <c r="AF484" s="64">
        <v>57.1</v>
      </c>
      <c r="AG484" s="60" t="s">
        <v>72</v>
      </c>
      <c r="AH484" s="60" t="s">
        <v>1733</v>
      </c>
      <c r="AI484">
        <f>IF(AND(OR(Company_Explorer!$B$5="All Companies",$E484=Company_Explorer!$B$5),OR(Company_Explorer!$B$6="All Platforms",$B484=Company_Explorer!$B$6),OR(Company_Explorer!$B$7="All Roles",$D484=Company_Explorer!$B$7),OR(Company_Explorer!$B$8="All Ghost Labels",$AG484=Company_Explorer!$B$8)),1,0)</f>
        <v>0</v>
      </c>
    </row>
    <row r="485" spans="1:35" ht="15" customHeight="1" x14ac:dyDescent="0.3">
      <c r="A485" s="65" t="s">
        <v>1734</v>
      </c>
      <c r="B485" s="65" t="s">
        <v>80</v>
      </c>
      <c r="C485" s="65" t="s">
        <v>258</v>
      </c>
      <c r="D485" s="65" t="s">
        <v>125</v>
      </c>
      <c r="E485" s="65" t="s">
        <v>141</v>
      </c>
      <c r="F485" s="65" t="b">
        <f>TRUE()</f>
        <v>1</v>
      </c>
      <c r="G485" s="65" t="s">
        <v>167</v>
      </c>
      <c r="H485" s="65" t="s">
        <v>276</v>
      </c>
      <c r="I485" s="66">
        <v>46198</v>
      </c>
      <c r="J485" s="66">
        <v>46210</v>
      </c>
      <c r="K485" s="65">
        <v>12</v>
      </c>
      <c r="L485" s="65" t="s">
        <v>192</v>
      </c>
      <c r="M485" s="65" t="s">
        <v>184</v>
      </c>
      <c r="N485" s="65" t="b">
        <f>FALSE()</f>
        <v>0</v>
      </c>
      <c r="O485" s="65"/>
      <c r="P485" s="65"/>
      <c r="Q485" s="65" t="s">
        <v>236</v>
      </c>
      <c r="R485" s="65" t="s">
        <v>237</v>
      </c>
      <c r="S485" s="65"/>
      <c r="T485" s="65" t="b">
        <f>FALSE()</f>
        <v>0</v>
      </c>
      <c r="U485" s="65" t="b">
        <f>FALSE()</f>
        <v>0</v>
      </c>
      <c r="V485" s="65">
        <v>332</v>
      </c>
      <c r="W485" s="67" t="s">
        <v>259</v>
      </c>
      <c r="X485" s="65">
        <v>429</v>
      </c>
      <c r="Y485" s="68">
        <v>2.66</v>
      </c>
      <c r="Z485" s="65" t="b">
        <f>FALSE()</f>
        <v>0</v>
      </c>
      <c r="AA485" s="65" t="b">
        <f>TRUE()</f>
        <v>1</v>
      </c>
      <c r="AB485" s="65" t="b">
        <f>FALSE()</f>
        <v>0</v>
      </c>
      <c r="AC485" s="65" t="b">
        <f>FALSE()</f>
        <v>0</v>
      </c>
      <c r="AD485" s="65" t="b">
        <f>TRUE()</f>
        <v>1</v>
      </c>
      <c r="AE485" s="65">
        <v>3</v>
      </c>
      <c r="AF485" s="69">
        <v>42.9</v>
      </c>
      <c r="AG485" s="65" t="s">
        <v>73</v>
      </c>
      <c r="AH485" s="65" t="s">
        <v>1735</v>
      </c>
      <c r="AI485">
        <f>IF(AND(OR(Company_Explorer!$B$5="All Companies",$E485=Company_Explorer!$B$5),OR(Company_Explorer!$B$6="All Platforms",$B485=Company_Explorer!$B$6),OR(Company_Explorer!$B$7="All Roles",$D485=Company_Explorer!$B$7),OR(Company_Explorer!$B$8="All Ghost Labels",$AG485=Company_Explorer!$B$8)),1,0)</f>
        <v>0</v>
      </c>
    </row>
    <row r="486" spans="1:35" ht="15" customHeight="1" x14ac:dyDescent="0.3">
      <c r="A486" s="60" t="s">
        <v>1736</v>
      </c>
      <c r="B486" s="60" t="s">
        <v>80</v>
      </c>
      <c r="C486" s="60" t="s">
        <v>258</v>
      </c>
      <c r="D486" s="60" t="s">
        <v>125</v>
      </c>
      <c r="E486" s="60" t="s">
        <v>141</v>
      </c>
      <c r="F486" s="60" t="b">
        <f>TRUE()</f>
        <v>1</v>
      </c>
      <c r="G486" s="60" t="s">
        <v>166</v>
      </c>
      <c r="H486" s="60" t="s">
        <v>235</v>
      </c>
      <c r="I486" s="61">
        <v>46202</v>
      </c>
      <c r="J486" s="61">
        <v>46210</v>
      </c>
      <c r="K486" s="60">
        <v>8</v>
      </c>
      <c r="L486" s="60" t="s">
        <v>192</v>
      </c>
      <c r="M486" s="60" t="s">
        <v>184</v>
      </c>
      <c r="N486" s="60" t="b">
        <f>FALSE()</f>
        <v>0</v>
      </c>
      <c r="O486" s="60"/>
      <c r="P486" s="60"/>
      <c r="Q486" s="60" t="s">
        <v>236</v>
      </c>
      <c r="R486" s="60" t="s">
        <v>237</v>
      </c>
      <c r="S486" s="60"/>
      <c r="T486" s="60" t="b">
        <f>FALSE()</f>
        <v>0</v>
      </c>
      <c r="U486" s="60" t="b">
        <f>FALSE()</f>
        <v>0</v>
      </c>
      <c r="V486" s="60">
        <v>333</v>
      </c>
      <c r="W486" s="62" t="s">
        <v>259</v>
      </c>
      <c r="X486" s="60">
        <v>429</v>
      </c>
      <c r="Y486" s="63">
        <v>2.66</v>
      </c>
      <c r="Z486" s="60" t="b">
        <f>FALSE()</f>
        <v>0</v>
      </c>
      <c r="AA486" s="60" t="b">
        <f>TRUE()</f>
        <v>1</v>
      </c>
      <c r="AB486" s="60" t="b">
        <f>FALSE()</f>
        <v>0</v>
      </c>
      <c r="AC486" s="60" t="b">
        <f>FALSE()</f>
        <v>0</v>
      </c>
      <c r="AD486" s="60" t="b">
        <f>TRUE()</f>
        <v>1</v>
      </c>
      <c r="AE486" s="60">
        <v>3</v>
      </c>
      <c r="AF486" s="64">
        <v>42.9</v>
      </c>
      <c r="AG486" s="60" t="s">
        <v>73</v>
      </c>
      <c r="AH486" s="60" t="s">
        <v>1737</v>
      </c>
      <c r="AI486">
        <f>IF(AND(OR(Company_Explorer!$B$5="All Companies",$E486=Company_Explorer!$B$5),OR(Company_Explorer!$B$6="All Platforms",$B486=Company_Explorer!$B$6),OR(Company_Explorer!$B$7="All Roles",$D486=Company_Explorer!$B$7),OR(Company_Explorer!$B$8="All Ghost Labels",$AG486=Company_Explorer!$B$8)),1,0)</f>
        <v>0</v>
      </c>
    </row>
    <row r="487" spans="1:35" ht="15" customHeight="1" x14ac:dyDescent="0.3">
      <c r="A487" s="65" t="s">
        <v>1738</v>
      </c>
      <c r="B487" s="65" t="s">
        <v>80</v>
      </c>
      <c r="C487" s="65" t="s">
        <v>258</v>
      </c>
      <c r="D487" s="65" t="s">
        <v>125</v>
      </c>
      <c r="E487" s="65" t="s">
        <v>141</v>
      </c>
      <c r="F487" s="65" t="b">
        <f>TRUE()</f>
        <v>1</v>
      </c>
      <c r="G487" s="65" t="s">
        <v>169</v>
      </c>
      <c r="H487" s="65" t="s">
        <v>294</v>
      </c>
      <c r="I487" s="66">
        <v>46198</v>
      </c>
      <c r="J487" s="66">
        <v>46210</v>
      </c>
      <c r="K487" s="65">
        <v>12</v>
      </c>
      <c r="L487" s="65" t="s">
        <v>192</v>
      </c>
      <c r="M487" s="65" t="s">
        <v>184</v>
      </c>
      <c r="N487" s="65" t="b">
        <f>FALSE()</f>
        <v>0</v>
      </c>
      <c r="O487" s="65"/>
      <c r="P487" s="65"/>
      <c r="Q487" s="65" t="s">
        <v>236</v>
      </c>
      <c r="R487" s="65" t="s">
        <v>237</v>
      </c>
      <c r="S487" s="65"/>
      <c r="T487" s="65" t="b">
        <f>FALSE()</f>
        <v>0</v>
      </c>
      <c r="U487" s="65" t="b">
        <f>FALSE()</f>
        <v>0</v>
      </c>
      <c r="V487" s="65">
        <v>365</v>
      </c>
      <c r="W487" s="67" t="s">
        <v>259</v>
      </c>
      <c r="X487" s="65">
        <v>429</v>
      </c>
      <c r="Y487" s="68">
        <v>2.66</v>
      </c>
      <c r="Z487" s="65" t="b">
        <f>FALSE()</f>
        <v>0</v>
      </c>
      <c r="AA487" s="65" t="b">
        <f>TRUE()</f>
        <v>1</v>
      </c>
      <c r="AB487" s="65" t="b">
        <f>FALSE()</f>
        <v>0</v>
      </c>
      <c r="AC487" s="65" t="b">
        <f>FALSE()</f>
        <v>0</v>
      </c>
      <c r="AD487" s="65" t="b">
        <f>TRUE()</f>
        <v>1</v>
      </c>
      <c r="AE487" s="65">
        <v>3</v>
      </c>
      <c r="AF487" s="69">
        <v>42.9</v>
      </c>
      <c r="AG487" s="65" t="s">
        <v>73</v>
      </c>
      <c r="AH487" s="65" t="s">
        <v>1739</v>
      </c>
      <c r="AI487">
        <f>IF(AND(OR(Company_Explorer!$B$5="All Companies",$E487=Company_Explorer!$B$5),OR(Company_Explorer!$B$6="All Platforms",$B487=Company_Explorer!$B$6),OR(Company_Explorer!$B$7="All Roles",$D487=Company_Explorer!$B$7),OR(Company_Explorer!$B$8="All Ghost Labels",$AG487=Company_Explorer!$B$8)),1,0)</f>
        <v>0</v>
      </c>
    </row>
    <row r="488" spans="1:35" ht="15" customHeight="1" x14ac:dyDescent="0.3">
      <c r="A488" s="60" t="s">
        <v>1740</v>
      </c>
      <c r="B488" s="60" t="s">
        <v>80</v>
      </c>
      <c r="C488" s="60" t="s">
        <v>258</v>
      </c>
      <c r="D488" s="60" t="s">
        <v>125</v>
      </c>
      <c r="E488" s="60" t="s">
        <v>141</v>
      </c>
      <c r="F488" s="60" t="b">
        <f>TRUE()</f>
        <v>1</v>
      </c>
      <c r="G488" s="60" t="s">
        <v>167</v>
      </c>
      <c r="H488" s="60" t="s">
        <v>276</v>
      </c>
      <c r="I488" s="61">
        <v>46202</v>
      </c>
      <c r="J488" s="61">
        <v>46210</v>
      </c>
      <c r="K488" s="60">
        <v>8</v>
      </c>
      <c r="L488" s="60" t="s">
        <v>192</v>
      </c>
      <c r="M488" s="60" t="s">
        <v>184</v>
      </c>
      <c r="N488" s="60" t="b">
        <f>FALSE()</f>
        <v>0</v>
      </c>
      <c r="O488" s="60"/>
      <c r="P488" s="60"/>
      <c r="Q488" s="60" t="s">
        <v>236</v>
      </c>
      <c r="R488" s="60" t="s">
        <v>237</v>
      </c>
      <c r="S488" s="60"/>
      <c r="T488" s="60" t="b">
        <f>FALSE()</f>
        <v>0</v>
      </c>
      <c r="U488" s="60" t="b">
        <f>FALSE()</f>
        <v>0</v>
      </c>
      <c r="V488" s="60">
        <v>315</v>
      </c>
      <c r="W488" s="62" t="s">
        <v>259</v>
      </c>
      <c r="X488" s="60">
        <v>429</v>
      </c>
      <c r="Y488" s="63">
        <v>2.66</v>
      </c>
      <c r="Z488" s="60" t="b">
        <f>FALSE()</f>
        <v>0</v>
      </c>
      <c r="AA488" s="60" t="b">
        <f>TRUE()</f>
        <v>1</v>
      </c>
      <c r="AB488" s="60" t="b">
        <f>FALSE()</f>
        <v>0</v>
      </c>
      <c r="AC488" s="60" t="b">
        <f>FALSE()</f>
        <v>0</v>
      </c>
      <c r="AD488" s="60" t="b">
        <f>TRUE()</f>
        <v>1</v>
      </c>
      <c r="AE488" s="60">
        <v>3</v>
      </c>
      <c r="AF488" s="64">
        <v>42.9</v>
      </c>
      <c r="AG488" s="60" t="s">
        <v>73</v>
      </c>
      <c r="AH488" s="60" t="s">
        <v>1741</v>
      </c>
      <c r="AI488">
        <f>IF(AND(OR(Company_Explorer!$B$5="All Companies",$E488=Company_Explorer!$B$5),OR(Company_Explorer!$B$6="All Platforms",$B488=Company_Explorer!$B$6),OR(Company_Explorer!$B$7="All Roles",$D488=Company_Explorer!$B$7),OR(Company_Explorer!$B$8="All Ghost Labels",$AG488=Company_Explorer!$B$8)),1,0)</f>
        <v>0</v>
      </c>
    </row>
    <row r="489" spans="1:35" ht="15" customHeight="1" x14ac:dyDescent="0.3">
      <c r="A489" s="65" t="s">
        <v>1742</v>
      </c>
      <c r="B489" s="65" t="s">
        <v>80</v>
      </c>
      <c r="C489" s="65" t="s">
        <v>258</v>
      </c>
      <c r="D489" s="65" t="s">
        <v>125</v>
      </c>
      <c r="E489" s="65" t="s">
        <v>141</v>
      </c>
      <c r="F489" s="65" t="b">
        <f>TRUE()</f>
        <v>1</v>
      </c>
      <c r="G489" s="65" t="s">
        <v>167</v>
      </c>
      <c r="H489" s="65" t="s">
        <v>276</v>
      </c>
      <c r="I489" s="66">
        <v>46198</v>
      </c>
      <c r="J489" s="66">
        <v>46210</v>
      </c>
      <c r="K489" s="65">
        <v>12</v>
      </c>
      <c r="L489" s="65" t="s">
        <v>192</v>
      </c>
      <c r="M489" s="65" t="s">
        <v>184</v>
      </c>
      <c r="N489" s="65" t="b">
        <f>FALSE()</f>
        <v>0</v>
      </c>
      <c r="O489" s="65"/>
      <c r="P489" s="65"/>
      <c r="Q489" s="65" t="s">
        <v>236</v>
      </c>
      <c r="R489" s="65" t="s">
        <v>237</v>
      </c>
      <c r="S489" s="65"/>
      <c r="T489" s="65" t="b">
        <f>FALSE()</f>
        <v>0</v>
      </c>
      <c r="U489" s="65" t="b">
        <f>FALSE()</f>
        <v>0</v>
      </c>
      <c r="V489" s="65">
        <v>271</v>
      </c>
      <c r="W489" s="67" t="s">
        <v>1743</v>
      </c>
      <c r="X489" s="65">
        <v>429</v>
      </c>
      <c r="Y489" s="68">
        <v>2.66</v>
      </c>
      <c r="Z489" s="65" t="b">
        <f>FALSE()</f>
        <v>0</v>
      </c>
      <c r="AA489" s="65" t="b">
        <f>TRUE()</f>
        <v>1</v>
      </c>
      <c r="AB489" s="65" t="b">
        <f>TRUE()</f>
        <v>1</v>
      </c>
      <c r="AC489" s="65" t="b">
        <f>FALSE()</f>
        <v>0</v>
      </c>
      <c r="AD489" s="65" t="b">
        <f>TRUE()</f>
        <v>1</v>
      </c>
      <c r="AE489" s="65">
        <v>4</v>
      </c>
      <c r="AF489" s="69">
        <v>57.1</v>
      </c>
      <c r="AG489" s="65" t="s">
        <v>72</v>
      </c>
      <c r="AH489" s="65" t="s">
        <v>1744</v>
      </c>
      <c r="AI489">
        <f>IF(AND(OR(Company_Explorer!$B$5="All Companies",$E489=Company_Explorer!$B$5),OR(Company_Explorer!$B$6="All Platforms",$B489=Company_Explorer!$B$6),OR(Company_Explorer!$B$7="All Roles",$D489=Company_Explorer!$B$7),OR(Company_Explorer!$B$8="All Ghost Labels",$AG489=Company_Explorer!$B$8)),1,0)</f>
        <v>0</v>
      </c>
    </row>
    <row r="490" spans="1:35" ht="15" customHeight="1" x14ac:dyDescent="0.3">
      <c r="A490" s="60" t="s">
        <v>1745</v>
      </c>
      <c r="B490" s="60" t="s">
        <v>80</v>
      </c>
      <c r="C490" s="60" t="s">
        <v>258</v>
      </c>
      <c r="D490" s="60" t="s">
        <v>125</v>
      </c>
      <c r="E490" s="60" t="s">
        <v>141</v>
      </c>
      <c r="F490" s="60" t="b">
        <f>TRUE()</f>
        <v>1</v>
      </c>
      <c r="G490" s="60" t="s">
        <v>166</v>
      </c>
      <c r="H490" s="60" t="s">
        <v>235</v>
      </c>
      <c r="I490" s="61">
        <v>46198</v>
      </c>
      <c r="J490" s="61">
        <v>46210</v>
      </c>
      <c r="K490" s="60">
        <v>12</v>
      </c>
      <c r="L490" s="60" t="s">
        <v>192</v>
      </c>
      <c r="M490" s="60" t="s">
        <v>184</v>
      </c>
      <c r="N490" s="60" t="b">
        <f>FALSE()</f>
        <v>0</v>
      </c>
      <c r="O490" s="60"/>
      <c r="P490" s="60"/>
      <c r="Q490" s="60" t="s">
        <v>236</v>
      </c>
      <c r="R490" s="60" t="s">
        <v>237</v>
      </c>
      <c r="S490" s="60"/>
      <c r="T490" s="60" t="b">
        <f>FALSE()</f>
        <v>0</v>
      </c>
      <c r="U490" s="60" t="b">
        <f>FALSE()</f>
        <v>0</v>
      </c>
      <c r="V490" s="60">
        <v>282</v>
      </c>
      <c r="W490" s="62" t="s">
        <v>259</v>
      </c>
      <c r="X490" s="60">
        <v>429</v>
      </c>
      <c r="Y490" s="63">
        <v>2.66</v>
      </c>
      <c r="Z490" s="60" t="b">
        <f>FALSE()</f>
        <v>0</v>
      </c>
      <c r="AA490" s="60" t="b">
        <f>TRUE()</f>
        <v>1</v>
      </c>
      <c r="AB490" s="60" t="b">
        <f>FALSE()</f>
        <v>0</v>
      </c>
      <c r="AC490" s="60" t="b">
        <f>FALSE()</f>
        <v>0</v>
      </c>
      <c r="AD490" s="60" t="b">
        <f>TRUE()</f>
        <v>1</v>
      </c>
      <c r="AE490" s="60">
        <v>3</v>
      </c>
      <c r="AF490" s="64">
        <v>42.9</v>
      </c>
      <c r="AG490" s="60" t="s">
        <v>73</v>
      </c>
      <c r="AH490" s="60" t="s">
        <v>1746</v>
      </c>
      <c r="AI490">
        <f>IF(AND(OR(Company_Explorer!$B$5="All Companies",$E490=Company_Explorer!$B$5),OR(Company_Explorer!$B$6="All Platforms",$B490=Company_Explorer!$B$6),OR(Company_Explorer!$B$7="All Roles",$D490=Company_Explorer!$B$7),OR(Company_Explorer!$B$8="All Ghost Labels",$AG490=Company_Explorer!$B$8)),1,0)</f>
        <v>0</v>
      </c>
    </row>
    <row r="491" spans="1:35" ht="15" customHeight="1" x14ac:dyDescent="0.3">
      <c r="A491" s="65" t="s">
        <v>1747</v>
      </c>
      <c r="B491" s="65" t="s">
        <v>80</v>
      </c>
      <c r="C491" s="65" t="s">
        <v>258</v>
      </c>
      <c r="D491" s="65" t="s">
        <v>125</v>
      </c>
      <c r="E491" s="65" t="s">
        <v>141</v>
      </c>
      <c r="F491" s="65" t="b">
        <f>TRUE()</f>
        <v>1</v>
      </c>
      <c r="G491" s="65" t="s">
        <v>167</v>
      </c>
      <c r="H491" s="65" t="s">
        <v>276</v>
      </c>
      <c r="I491" s="66">
        <v>46198</v>
      </c>
      <c r="J491" s="66">
        <v>46210</v>
      </c>
      <c r="K491" s="65">
        <v>12</v>
      </c>
      <c r="L491" s="65" t="s">
        <v>192</v>
      </c>
      <c r="M491" s="65" t="s">
        <v>184</v>
      </c>
      <c r="N491" s="65" t="b">
        <f>FALSE()</f>
        <v>0</v>
      </c>
      <c r="O491" s="65"/>
      <c r="P491" s="65"/>
      <c r="Q491" s="65" t="s">
        <v>236</v>
      </c>
      <c r="R491" s="65" t="s">
        <v>237</v>
      </c>
      <c r="S491" s="65"/>
      <c r="T491" s="65" t="b">
        <f>FALSE()</f>
        <v>0</v>
      </c>
      <c r="U491" s="65" t="b">
        <f>FALSE()</f>
        <v>0</v>
      </c>
      <c r="V491" s="65">
        <v>271</v>
      </c>
      <c r="W491" s="67" t="s">
        <v>1748</v>
      </c>
      <c r="X491" s="65">
        <v>429</v>
      </c>
      <c r="Y491" s="68">
        <v>2.66</v>
      </c>
      <c r="Z491" s="65" t="b">
        <f>FALSE()</f>
        <v>0</v>
      </c>
      <c r="AA491" s="65" t="b">
        <f>TRUE()</f>
        <v>1</v>
      </c>
      <c r="AB491" s="65" t="b">
        <f>TRUE()</f>
        <v>1</v>
      </c>
      <c r="AC491" s="65" t="b">
        <f>FALSE()</f>
        <v>0</v>
      </c>
      <c r="AD491" s="65" t="b">
        <f>TRUE()</f>
        <v>1</v>
      </c>
      <c r="AE491" s="65">
        <v>4</v>
      </c>
      <c r="AF491" s="69">
        <v>57.1</v>
      </c>
      <c r="AG491" s="65" t="s">
        <v>72</v>
      </c>
      <c r="AH491" s="65" t="s">
        <v>1749</v>
      </c>
      <c r="AI491">
        <f>IF(AND(OR(Company_Explorer!$B$5="All Companies",$E491=Company_Explorer!$B$5),OR(Company_Explorer!$B$6="All Platforms",$B491=Company_Explorer!$B$6),OR(Company_Explorer!$B$7="All Roles",$D491=Company_Explorer!$B$7),OR(Company_Explorer!$B$8="All Ghost Labels",$AG491=Company_Explorer!$B$8)),1,0)</f>
        <v>0</v>
      </c>
    </row>
    <row r="492" spans="1:35" ht="15" customHeight="1" x14ac:dyDescent="0.3">
      <c r="A492" s="60" t="s">
        <v>1750</v>
      </c>
      <c r="B492" s="60" t="s">
        <v>80</v>
      </c>
      <c r="C492" s="60" t="s">
        <v>1751</v>
      </c>
      <c r="D492" s="60" t="s">
        <v>126</v>
      </c>
      <c r="E492" s="60" t="s">
        <v>155</v>
      </c>
      <c r="F492" s="60" t="b">
        <f>TRUE()</f>
        <v>1</v>
      </c>
      <c r="G492" s="60" t="s">
        <v>169</v>
      </c>
      <c r="H492" s="60" t="s">
        <v>294</v>
      </c>
      <c r="I492" s="61">
        <v>46195</v>
      </c>
      <c r="J492" s="61">
        <v>46210</v>
      </c>
      <c r="K492" s="60">
        <v>15</v>
      </c>
      <c r="L492" s="60" t="s">
        <v>192</v>
      </c>
      <c r="M492" s="60" t="s">
        <v>184</v>
      </c>
      <c r="N492" s="60" t="b">
        <f>FALSE()</f>
        <v>0</v>
      </c>
      <c r="O492" s="60"/>
      <c r="P492" s="60"/>
      <c r="Q492" s="60" t="s">
        <v>236</v>
      </c>
      <c r="R492" s="60" t="s">
        <v>237</v>
      </c>
      <c r="S492" s="60"/>
      <c r="T492" s="60" t="b">
        <f>FALSE()</f>
        <v>0</v>
      </c>
      <c r="U492" s="60" t="b">
        <f>FALSE()</f>
        <v>0</v>
      </c>
      <c r="V492" s="60">
        <v>350</v>
      </c>
      <c r="W492" s="62" t="s">
        <v>1752</v>
      </c>
      <c r="X492" s="60">
        <v>16</v>
      </c>
      <c r="Y492" s="63">
        <v>0.1</v>
      </c>
      <c r="Z492" s="60" t="b">
        <f>FALSE()</f>
        <v>0</v>
      </c>
      <c r="AA492" s="60" t="b">
        <f>TRUE()</f>
        <v>1</v>
      </c>
      <c r="AB492" s="60" t="b">
        <f>FALSE()</f>
        <v>0</v>
      </c>
      <c r="AC492" s="60" t="b">
        <f>FALSE()</f>
        <v>0</v>
      </c>
      <c r="AD492" s="60" t="b">
        <f>FALSE()</f>
        <v>0</v>
      </c>
      <c r="AE492" s="60">
        <v>1</v>
      </c>
      <c r="AF492" s="64">
        <v>14.3</v>
      </c>
      <c r="AG492" s="60" t="s">
        <v>74</v>
      </c>
      <c r="AH492" s="60" t="s">
        <v>1753</v>
      </c>
      <c r="AI492">
        <f>IF(AND(OR(Company_Explorer!$B$5="All Companies",$E492=Company_Explorer!$B$5),OR(Company_Explorer!$B$6="All Platforms",$B492=Company_Explorer!$B$6),OR(Company_Explorer!$B$7="All Roles",$D492=Company_Explorer!$B$7),OR(Company_Explorer!$B$8="All Ghost Labels",$AG492=Company_Explorer!$B$8)),1,0)</f>
        <v>0</v>
      </c>
    </row>
    <row r="493" spans="1:35" ht="15" customHeight="1" x14ac:dyDescent="0.3">
      <c r="A493" s="65" t="s">
        <v>1754</v>
      </c>
      <c r="B493" s="65" t="s">
        <v>80</v>
      </c>
      <c r="C493" s="65" t="s">
        <v>258</v>
      </c>
      <c r="D493" s="65" t="s">
        <v>125</v>
      </c>
      <c r="E493" s="65" t="s">
        <v>141</v>
      </c>
      <c r="F493" s="65" t="b">
        <f>TRUE()</f>
        <v>1</v>
      </c>
      <c r="G493" s="65" t="s">
        <v>174</v>
      </c>
      <c r="H493" s="65" t="s">
        <v>302</v>
      </c>
      <c r="I493" s="66">
        <v>46199</v>
      </c>
      <c r="J493" s="66">
        <v>46210</v>
      </c>
      <c r="K493" s="65">
        <v>11</v>
      </c>
      <c r="L493" s="65" t="s">
        <v>192</v>
      </c>
      <c r="M493" s="65" t="s">
        <v>184</v>
      </c>
      <c r="N493" s="65" t="b">
        <f>FALSE()</f>
        <v>0</v>
      </c>
      <c r="O493" s="65"/>
      <c r="P493" s="65"/>
      <c r="Q493" s="65" t="s">
        <v>236</v>
      </c>
      <c r="R493" s="65" t="s">
        <v>237</v>
      </c>
      <c r="S493" s="65"/>
      <c r="T493" s="65" t="b">
        <f>FALSE()</f>
        <v>0</v>
      </c>
      <c r="U493" s="65" t="b">
        <f>FALSE()</f>
        <v>0</v>
      </c>
      <c r="V493" s="65">
        <v>323</v>
      </c>
      <c r="W493" s="67" t="s">
        <v>259</v>
      </c>
      <c r="X493" s="65">
        <v>429</v>
      </c>
      <c r="Y493" s="68">
        <v>2.66</v>
      </c>
      <c r="Z493" s="65" t="b">
        <f>FALSE()</f>
        <v>0</v>
      </c>
      <c r="AA493" s="65" t="b">
        <f>TRUE()</f>
        <v>1</v>
      </c>
      <c r="AB493" s="65" t="b">
        <f>FALSE()</f>
        <v>0</v>
      </c>
      <c r="AC493" s="65" t="b">
        <f>FALSE()</f>
        <v>0</v>
      </c>
      <c r="AD493" s="65" t="b">
        <f>TRUE()</f>
        <v>1</v>
      </c>
      <c r="AE493" s="65">
        <v>3</v>
      </c>
      <c r="AF493" s="69">
        <v>42.9</v>
      </c>
      <c r="AG493" s="65" t="s">
        <v>73</v>
      </c>
      <c r="AH493" s="65" t="s">
        <v>1755</v>
      </c>
      <c r="AI493">
        <f>IF(AND(OR(Company_Explorer!$B$5="All Companies",$E493=Company_Explorer!$B$5),OR(Company_Explorer!$B$6="All Platforms",$B493=Company_Explorer!$B$6),OR(Company_Explorer!$B$7="All Roles",$D493=Company_Explorer!$B$7),OR(Company_Explorer!$B$8="All Ghost Labels",$AG493=Company_Explorer!$B$8)),1,0)</f>
        <v>0</v>
      </c>
    </row>
    <row r="494" spans="1:35" ht="15" customHeight="1" x14ac:dyDescent="0.3">
      <c r="A494" s="60" t="s">
        <v>1756</v>
      </c>
      <c r="B494" s="60" t="s">
        <v>80</v>
      </c>
      <c r="C494" s="60" t="s">
        <v>258</v>
      </c>
      <c r="D494" s="60" t="s">
        <v>125</v>
      </c>
      <c r="E494" s="60" t="s">
        <v>141</v>
      </c>
      <c r="F494" s="60" t="b">
        <f>TRUE()</f>
        <v>1</v>
      </c>
      <c r="G494" s="60" t="s">
        <v>169</v>
      </c>
      <c r="H494" s="60" t="s">
        <v>294</v>
      </c>
      <c r="I494" s="61">
        <v>46199</v>
      </c>
      <c r="J494" s="61">
        <v>46210</v>
      </c>
      <c r="K494" s="60">
        <v>11</v>
      </c>
      <c r="L494" s="60" t="s">
        <v>192</v>
      </c>
      <c r="M494" s="60" t="s">
        <v>184</v>
      </c>
      <c r="N494" s="60" t="b">
        <f>FALSE()</f>
        <v>0</v>
      </c>
      <c r="O494" s="60"/>
      <c r="P494" s="60"/>
      <c r="Q494" s="60" t="s">
        <v>236</v>
      </c>
      <c r="R494" s="60" t="s">
        <v>237</v>
      </c>
      <c r="S494" s="60"/>
      <c r="T494" s="60" t="b">
        <f>FALSE()</f>
        <v>0</v>
      </c>
      <c r="U494" s="60" t="b">
        <f>FALSE()</f>
        <v>0</v>
      </c>
      <c r="V494" s="60">
        <v>305</v>
      </c>
      <c r="W494" s="62" t="s">
        <v>259</v>
      </c>
      <c r="X494" s="60">
        <v>429</v>
      </c>
      <c r="Y494" s="63">
        <v>2.66</v>
      </c>
      <c r="Z494" s="60" t="b">
        <f>FALSE()</f>
        <v>0</v>
      </c>
      <c r="AA494" s="60" t="b">
        <f>TRUE()</f>
        <v>1</v>
      </c>
      <c r="AB494" s="60" t="b">
        <f>FALSE()</f>
        <v>0</v>
      </c>
      <c r="AC494" s="60" t="b">
        <f>FALSE()</f>
        <v>0</v>
      </c>
      <c r="AD494" s="60" t="b">
        <f>TRUE()</f>
        <v>1</v>
      </c>
      <c r="AE494" s="60">
        <v>3</v>
      </c>
      <c r="AF494" s="64">
        <v>42.9</v>
      </c>
      <c r="AG494" s="60" t="s">
        <v>73</v>
      </c>
      <c r="AH494" s="60" t="s">
        <v>1757</v>
      </c>
      <c r="AI494">
        <f>IF(AND(OR(Company_Explorer!$B$5="All Companies",$E494=Company_Explorer!$B$5),OR(Company_Explorer!$B$6="All Platforms",$B494=Company_Explorer!$B$6),OR(Company_Explorer!$B$7="All Roles",$D494=Company_Explorer!$B$7),OR(Company_Explorer!$B$8="All Ghost Labels",$AG494=Company_Explorer!$B$8)),1,0)</f>
        <v>0</v>
      </c>
    </row>
    <row r="495" spans="1:35" ht="15" customHeight="1" x14ac:dyDescent="0.3">
      <c r="A495" s="65" t="s">
        <v>1758</v>
      </c>
      <c r="B495" s="65" t="s">
        <v>80</v>
      </c>
      <c r="C495" s="65" t="s">
        <v>130</v>
      </c>
      <c r="D495" s="65" t="s">
        <v>130</v>
      </c>
      <c r="E495" s="65" t="s">
        <v>141</v>
      </c>
      <c r="F495" s="65" t="b">
        <f>TRUE()</f>
        <v>1</v>
      </c>
      <c r="G495" s="65" t="s">
        <v>166</v>
      </c>
      <c r="H495" s="65" t="s">
        <v>235</v>
      </c>
      <c r="I495" s="66">
        <v>46198</v>
      </c>
      <c r="J495" s="66">
        <v>46210</v>
      </c>
      <c r="K495" s="65">
        <v>12</v>
      </c>
      <c r="L495" s="65" t="s">
        <v>192</v>
      </c>
      <c r="M495" s="65" t="s">
        <v>184</v>
      </c>
      <c r="N495" s="65" t="b">
        <f>FALSE()</f>
        <v>0</v>
      </c>
      <c r="O495" s="65"/>
      <c r="P495" s="65"/>
      <c r="Q495" s="65" t="s">
        <v>236</v>
      </c>
      <c r="R495" s="65" t="s">
        <v>237</v>
      </c>
      <c r="S495" s="65"/>
      <c r="T495" s="65" t="b">
        <f>FALSE()</f>
        <v>0</v>
      </c>
      <c r="U495" s="65" t="b">
        <f>FALSE()</f>
        <v>0</v>
      </c>
      <c r="V495" s="65">
        <v>354</v>
      </c>
      <c r="W495" s="67" t="s">
        <v>861</v>
      </c>
      <c r="X495" s="65">
        <v>429</v>
      </c>
      <c r="Y495" s="68">
        <v>2.66</v>
      </c>
      <c r="Z495" s="65" t="b">
        <f>FALSE()</f>
        <v>0</v>
      </c>
      <c r="AA495" s="65" t="b">
        <f>TRUE()</f>
        <v>1</v>
      </c>
      <c r="AB495" s="65" t="b">
        <f>FALSE()</f>
        <v>0</v>
      </c>
      <c r="AC495" s="65" t="b">
        <f>FALSE()</f>
        <v>0</v>
      </c>
      <c r="AD495" s="65" t="b">
        <f>TRUE()</f>
        <v>1</v>
      </c>
      <c r="AE495" s="65">
        <v>3</v>
      </c>
      <c r="AF495" s="69">
        <v>42.9</v>
      </c>
      <c r="AG495" s="65" t="s">
        <v>73</v>
      </c>
      <c r="AH495" s="65" t="s">
        <v>1759</v>
      </c>
      <c r="AI495">
        <f>IF(AND(OR(Company_Explorer!$B$5="All Companies",$E495=Company_Explorer!$B$5),OR(Company_Explorer!$B$6="All Platforms",$B495=Company_Explorer!$B$6),OR(Company_Explorer!$B$7="All Roles",$D495=Company_Explorer!$B$7),OR(Company_Explorer!$B$8="All Ghost Labels",$AG495=Company_Explorer!$B$8)),1,0)</f>
        <v>0</v>
      </c>
    </row>
    <row r="496" spans="1:35" ht="15" customHeight="1" x14ac:dyDescent="0.3">
      <c r="A496" s="60" t="s">
        <v>1760</v>
      </c>
      <c r="B496" s="60" t="s">
        <v>80</v>
      </c>
      <c r="C496" s="60" t="s">
        <v>258</v>
      </c>
      <c r="D496" s="60" t="s">
        <v>125</v>
      </c>
      <c r="E496" s="60" t="s">
        <v>141</v>
      </c>
      <c r="F496" s="60" t="b">
        <f>TRUE()</f>
        <v>1</v>
      </c>
      <c r="G496" s="60" t="s">
        <v>167</v>
      </c>
      <c r="H496" s="60" t="s">
        <v>276</v>
      </c>
      <c r="I496" s="61">
        <v>46198</v>
      </c>
      <c r="J496" s="61">
        <v>46210</v>
      </c>
      <c r="K496" s="60">
        <v>12</v>
      </c>
      <c r="L496" s="60" t="s">
        <v>192</v>
      </c>
      <c r="M496" s="60" t="s">
        <v>184</v>
      </c>
      <c r="N496" s="60" t="b">
        <f>FALSE()</f>
        <v>0</v>
      </c>
      <c r="O496" s="60"/>
      <c r="P496" s="60"/>
      <c r="Q496" s="60" t="s">
        <v>236</v>
      </c>
      <c r="R496" s="60" t="s">
        <v>237</v>
      </c>
      <c r="S496" s="60"/>
      <c r="T496" s="60" t="b">
        <f>FALSE()</f>
        <v>0</v>
      </c>
      <c r="U496" s="60" t="b">
        <f>FALSE()</f>
        <v>0</v>
      </c>
      <c r="V496" s="60">
        <v>334</v>
      </c>
      <c r="W496" s="62" t="s">
        <v>259</v>
      </c>
      <c r="X496" s="60">
        <v>429</v>
      </c>
      <c r="Y496" s="63">
        <v>2.66</v>
      </c>
      <c r="Z496" s="60" t="b">
        <f>FALSE()</f>
        <v>0</v>
      </c>
      <c r="AA496" s="60" t="b">
        <f>TRUE()</f>
        <v>1</v>
      </c>
      <c r="AB496" s="60" t="b">
        <f>FALSE()</f>
        <v>0</v>
      </c>
      <c r="AC496" s="60" t="b">
        <f>FALSE()</f>
        <v>0</v>
      </c>
      <c r="AD496" s="60" t="b">
        <f>TRUE()</f>
        <v>1</v>
      </c>
      <c r="AE496" s="60">
        <v>3</v>
      </c>
      <c r="AF496" s="64">
        <v>42.9</v>
      </c>
      <c r="AG496" s="60" t="s">
        <v>73</v>
      </c>
      <c r="AH496" s="60" t="s">
        <v>1761</v>
      </c>
      <c r="AI496">
        <f>IF(AND(OR(Company_Explorer!$B$5="All Companies",$E496=Company_Explorer!$B$5),OR(Company_Explorer!$B$6="All Platforms",$B496=Company_Explorer!$B$6),OR(Company_Explorer!$B$7="All Roles",$D496=Company_Explorer!$B$7),OR(Company_Explorer!$B$8="All Ghost Labels",$AG496=Company_Explorer!$B$8)),1,0)</f>
        <v>0</v>
      </c>
    </row>
    <row r="497" spans="1:35" ht="15" customHeight="1" x14ac:dyDescent="0.3">
      <c r="A497" s="65" t="s">
        <v>1762</v>
      </c>
      <c r="B497" s="65" t="s">
        <v>80</v>
      </c>
      <c r="C497" s="65" t="s">
        <v>258</v>
      </c>
      <c r="D497" s="65" t="s">
        <v>125</v>
      </c>
      <c r="E497" s="65" t="s">
        <v>141</v>
      </c>
      <c r="F497" s="65" t="b">
        <f>TRUE()</f>
        <v>1</v>
      </c>
      <c r="G497" s="65" t="s">
        <v>169</v>
      </c>
      <c r="H497" s="65" t="s">
        <v>294</v>
      </c>
      <c r="I497" s="66">
        <v>46206</v>
      </c>
      <c r="J497" s="66">
        <v>46210</v>
      </c>
      <c r="K497" s="65">
        <v>4</v>
      </c>
      <c r="L497" s="65" t="s">
        <v>192</v>
      </c>
      <c r="M497" s="65" t="s">
        <v>184</v>
      </c>
      <c r="N497" s="65" t="b">
        <f>FALSE()</f>
        <v>0</v>
      </c>
      <c r="O497" s="65"/>
      <c r="P497" s="65"/>
      <c r="Q497" s="65" t="s">
        <v>236</v>
      </c>
      <c r="R497" s="65" t="s">
        <v>237</v>
      </c>
      <c r="S497" s="65"/>
      <c r="T497" s="65" t="b">
        <f>FALSE()</f>
        <v>0</v>
      </c>
      <c r="U497" s="65" t="b">
        <f>FALSE()</f>
        <v>0</v>
      </c>
      <c r="V497" s="65">
        <v>329</v>
      </c>
      <c r="W497" s="67" t="s">
        <v>259</v>
      </c>
      <c r="X497" s="65">
        <v>429</v>
      </c>
      <c r="Y497" s="68">
        <v>2.66</v>
      </c>
      <c r="Z497" s="65" t="b">
        <f>FALSE()</f>
        <v>0</v>
      </c>
      <c r="AA497" s="65" t="b">
        <f>TRUE()</f>
        <v>1</v>
      </c>
      <c r="AB497" s="65" t="b">
        <f>FALSE()</f>
        <v>0</v>
      </c>
      <c r="AC497" s="65" t="b">
        <f>FALSE()</f>
        <v>0</v>
      </c>
      <c r="AD497" s="65" t="b">
        <f>TRUE()</f>
        <v>1</v>
      </c>
      <c r="AE497" s="65">
        <v>3</v>
      </c>
      <c r="AF497" s="69">
        <v>42.9</v>
      </c>
      <c r="AG497" s="65" t="s">
        <v>73</v>
      </c>
      <c r="AH497" s="65" t="s">
        <v>1763</v>
      </c>
      <c r="AI497">
        <f>IF(AND(OR(Company_Explorer!$B$5="All Companies",$E497=Company_Explorer!$B$5),OR(Company_Explorer!$B$6="All Platforms",$B497=Company_Explorer!$B$6),OR(Company_Explorer!$B$7="All Roles",$D497=Company_Explorer!$B$7),OR(Company_Explorer!$B$8="All Ghost Labels",$AG497=Company_Explorer!$B$8)),1,0)</f>
        <v>0</v>
      </c>
    </row>
    <row r="498" spans="1:35" ht="15" customHeight="1" x14ac:dyDescent="0.3">
      <c r="A498" s="60" t="s">
        <v>1764</v>
      </c>
      <c r="B498" s="60" t="s">
        <v>80</v>
      </c>
      <c r="C498" s="60" t="s">
        <v>258</v>
      </c>
      <c r="D498" s="60" t="s">
        <v>125</v>
      </c>
      <c r="E498" s="60" t="s">
        <v>141</v>
      </c>
      <c r="F498" s="60" t="b">
        <f>TRUE()</f>
        <v>1</v>
      </c>
      <c r="G498" s="60" t="s">
        <v>166</v>
      </c>
      <c r="H498" s="60" t="s">
        <v>235</v>
      </c>
      <c r="I498" s="61">
        <v>46209</v>
      </c>
      <c r="J498" s="61">
        <v>46210</v>
      </c>
      <c r="K498" s="60">
        <v>1</v>
      </c>
      <c r="L498" s="60" t="s">
        <v>192</v>
      </c>
      <c r="M498" s="60" t="s">
        <v>184</v>
      </c>
      <c r="N498" s="60" t="b">
        <f>FALSE()</f>
        <v>0</v>
      </c>
      <c r="O498" s="60"/>
      <c r="P498" s="60"/>
      <c r="Q498" s="60" t="s">
        <v>236</v>
      </c>
      <c r="R498" s="60" t="s">
        <v>237</v>
      </c>
      <c r="S498" s="60"/>
      <c r="T498" s="60" t="b">
        <f>FALSE()</f>
        <v>0</v>
      </c>
      <c r="U498" s="60" t="b">
        <f>FALSE()</f>
        <v>0</v>
      </c>
      <c r="V498" s="60">
        <v>323</v>
      </c>
      <c r="W498" s="62" t="s">
        <v>259</v>
      </c>
      <c r="X498" s="60">
        <v>429</v>
      </c>
      <c r="Y498" s="63">
        <v>2.66</v>
      </c>
      <c r="Z498" s="60" t="b">
        <f>FALSE()</f>
        <v>0</v>
      </c>
      <c r="AA498" s="60" t="b">
        <f>TRUE()</f>
        <v>1</v>
      </c>
      <c r="AB498" s="60" t="b">
        <f>FALSE()</f>
        <v>0</v>
      </c>
      <c r="AC498" s="60" t="b">
        <f>FALSE()</f>
        <v>0</v>
      </c>
      <c r="AD498" s="60" t="b">
        <f>TRUE()</f>
        <v>1</v>
      </c>
      <c r="AE498" s="60">
        <v>3</v>
      </c>
      <c r="AF498" s="64">
        <v>42.9</v>
      </c>
      <c r="AG498" s="60" t="s">
        <v>73</v>
      </c>
      <c r="AH498" s="60" t="s">
        <v>1765</v>
      </c>
      <c r="AI498">
        <f>IF(AND(OR(Company_Explorer!$B$5="All Companies",$E498=Company_Explorer!$B$5),OR(Company_Explorer!$B$6="All Platforms",$B498=Company_Explorer!$B$6),OR(Company_Explorer!$B$7="All Roles",$D498=Company_Explorer!$B$7),OR(Company_Explorer!$B$8="All Ghost Labels",$AG498=Company_Explorer!$B$8)),1,0)</f>
        <v>0</v>
      </c>
    </row>
    <row r="499" spans="1:35" ht="15" customHeight="1" x14ac:dyDescent="0.3">
      <c r="A499" s="65" t="s">
        <v>1766</v>
      </c>
      <c r="B499" s="65" t="s">
        <v>80</v>
      </c>
      <c r="C499" s="65" t="s">
        <v>258</v>
      </c>
      <c r="D499" s="65" t="s">
        <v>125</v>
      </c>
      <c r="E499" s="65" t="s">
        <v>141</v>
      </c>
      <c r="F499" s="65" t="b">
        <f>TRUE()</f>
        <v>1</v>
      </c>
      <c r="G499" s="65" t="s">
        <v>169</v>
      </c>
      <c r="H499" s="65" t="s">
        <v>294</v>
      </c>
      <c r="I499" s="66">
        <v>46198</v>
      </c>
      <c r="J499" s="66">
        <v>46210</v>
      </c>
      <c r="K499" s="65">
        <v>12</v>
      </c>
      <c r="L499" s="65" t="s">
        <v>192</v>
      </c>
      <c r="M499" s="65" t="s">
        <v>184</v>
      </c>
      <c r="N499" s="65" t="b">
        <f>FALSE()</f>
        <v>0</v>
      </c>
      <c r="O499" s="65"/>
      <c r="P499" s="65"/>
      <c r="Q499" s="65" t="s">
        <v>236</v>
      </c>
      <c r="R499" s="65" t="s">
        <v>237</v>
      </c>
      <c r="S499" s="65"/>
      <c r="T499" s="65" t="b">
        <f>FALSE()</f>
        <v>0</v>
      </c>
      <c r="U499" s="65" t="b">
        <f>FALSE()</f>
        <v>0</v>
      </c>
      <c r="V499" s="65">
        <v>318</v>
      </c>
      <c r="W499" s="67" t="s">
        <v>259</v>
      </c>
      <c r="X499" s="65">
        <v>429</v>
      </c>
      <c r="Y499" s="68">
        <v>2.66</v>
      </c>
      <c r="Z499" s="65" t="b">
        <f>FALSE()</f>
        <v>0</v>
      </c>
      <c r="AA499" s="65" t="b">
        <f>TRUE()</f>
        <v>1</v>
      </c>
      <c r="AB499" s="65" t="b">
        <f>FALSE()</f>
        <v>0</v>
      </c>
      <c r="AC499" s="65" t="b">
        <f>FALSE()</f>
        <v>0</v>
      </c>
      <c r="AD499" s="65" t="b">
        <f>TRUE()</f>
        <v>1</v>
      </c>
      <c r="AE499" s="65">
        <v>3</v>
      </c>
      <c r="AF499" s="69">
        <v>42.9</v>
      </c>
      <c r="AG499" s="65" t="s">
        <v>73</v>
      </c>
      <c r="AH499" s="65" t="s">
        <v>1767</v>
      </c>
      <c r="AI499">
        <f>IF(AND(OR(Company_Explorer!$B$5="All Companies",$E499=Company_Explorer!$B$5),OR(Company_Explorer!$B$6="All Platforms",$B499=Company_Explorer!$B$6),OR(Company_Explorer!$B$7="All Roles",$D499=Company_Explorer!$B$7),OR(Company_Explorer!$B$8="All Ghost Labels",$AG499=Company_Explorer!$B$8)),1,0)</f>
        <v>0</v>
      </c>
    </row>
    <row r="500" spans="1:35" ht="15" customHeight="1" x14ac:dyDescent="0.3">
      <c r="A500" s="60" t="s">
        <v>1768</v>
      </c>
      <c r="B500" s="60" t="s">
        <v>80</v>
      </c>
      <c r="C500" s="60" t="s">
        <v>258</v>
      </c>
      <c r="D500" s="60" t="s">
        <v>125</v>
      </c>
      <c r="E500" s="60" t="s">
        <v>141</v>
      </c>
      <c r="F500" s="60" t="b">
        <f>TRUE()</f>
        <v>1</v>
      </c>
      <c r="G500" s="60" t="s">
        <v>169</v>
      </c>
      <c r="H500" s="60" t="s">
        <v>294</v>
      </c>
      <c r="I500" s="61">
        <v>46206</v>
      </c>
      <c r="J500" s="61">
        <v>46210</v>
      </c>
      <c r="K500" s="60">
        <v>4</v>
      </c>
      <c r="L500" s="60" t="s">
        <v>192</v>
      </c>
      <c r="M500" s="60" t="s">
        <v>184</v>
      </c>
      <c r="N500" s="60" t="b">
        <f>FALSE()</f>
        <v>0</v>
      </c>
      <c r="O500" s="60"/>
      <c r="P500" s="60"/>
      <c r="Q500" s="60" t="s">
        <v>236</v>
      </c>
      <c r="R500" s="60" t="s">
        <v>237</v>
      </c>
      <c r="S500" s="60"/>
      <c r="T500" s="60" t="b">
        <f>FALSE()</f>
        <v>0</v>
      </c>
      <c r="U500" s="60" t="b">
        <f>FALSE()</f>
        <v>0</v>
      </c>
      <c r="V500" s="60">
        <v>329</v>
      </c>
      <c r="W500" s="62" t="s">
        <v>259</v>
      </c>
      <c r="X500" s="60">
        <v>429</v>
      </c>
      <c r="Y500" s="63">
        <v>2.66</v>
      </c>
      <c r="Z500" s="60" t="b">
        <f>FALSE()</f>
        <v>0</v>
      </c>
      <c r="AA500" s="60" t="b">
        <f>TRUE()</f>
        <v>1</v>
      </c>
      <c r="AB500" s="60" t="b">
        <f>FALSE()</f>
        <v>0</v>
      </c>
      <c r="AC500" s="60" t="b">
        <f>FALSE()</f>
        <v>0</v>
      </c>
      <c r="AD500" s="60" t="b">
        <f>TRUE()</f>
        <v>1</v>
      </c>
      <c r="AE500" s="60">
        <v>3</v>
      </c>
      <c r="AF500" s="64">
        <v>42.9</v>
      </c>
      <c r="AG500" s="60" t="s">
        <v>73</v>
      </c>
      <c r="AH500" s="60" t="s">
        <v>1769</v>
      </c>
      <c r="AI500">
        <f>IF(AND(OR(Company_Explorer!$B$5="All Companies",$E500=Company_Explorer!$B$5),OR(Company_Explorer!$B$6="All Platforms",$B500=Company_Explorer!$B$6),OR(Company_Explorer!$B$7="All Roles",$D500=Company_Explorer!$B$7),OR(Company_Explorer!$B$8="All Ghost Labels",$AG500=Company_Explorer!$B$8)),1,0)</f>
        <v>0</v>
      </c>
    </row>
    <row r="501" spans="1:35" ht="15" customHeight="1" x14ac:dyDescent="0.3">
      <c r="A501" s="65" t="s">
        <v>1770</v>
      </c>
      <c r="B501" s="65" t="s">
        <v>80</v>
      </c>
      <c r="C501" s="65" t="s">
        <v>258</v>
      </c>
      <c r="D501" s="65" t="s">
        <v>125</v>
      </c>
      <c r="E501" s="65" t="s">
        <v>141</v>
      </c>
      <c r="F501" s="65" t="b">
        <f>TRUE()</f>
        <v>1</v>
      </c>
      <c r="G501" s="65" t="s">
        <v>169</v>
      </c>
      <c r="H501" s="65" t="s">
        <v>294</v>
      </c>
      <c r="I501" s="66">
        <v>46206</v>
      </c>
      <c r="J501" s="66">
        <v>46210</v>
      </c>
      <c r="K501" s="65">
        <v>4</v>
      </c>
      <c r="L501" s="65" t="s">
        <v>192</v>
      </c>
      <c r="M501" s="65" t="s">
        <v>184</v>
      </c>
      <c r="N501" s="65" t="b">
        <f>FALSE()</f>
        <v>0</v>
      </c>
      <c r="O501" s="65"/>
      <c r="P501" s="65"/>
      <c r="Q501" s="65" t="s">
        <v>236</v>
      </c>
      <c r="R501" s="65" t="s">
        <v>237</v>
      </c>
      <c r="S501" s="65"/>
      <c r="T501" s="65" t="b">
        <f>FALSE()</f>
        <v>0</v>
      </c>
      <c r="U501" s="65" t="b">
        <f>FALSE()</f>
        <v>0</v>
      </c>
      <c r="V501" s="65">
        <v>329</v>
      </c>
      <c r="W501" s="67" t="s">
        <v>259</v>
      </c>
      <c r="X501" s="65">
        <v>429</v>
      </c>
      <c r="Y501" s="68">
        <v>2.66</v>
      </c>
      <c r="Z501" s="65" t="b">
        <f>FALSE()</f>
        <v>0</v>
      </c>
      <c r="AA501" s="65" t="b">
        <f>TRUE()</f>
        <v>1</v>
      </c>
      <c r="AB501" s="65" t="b">
        <f>FALSE()</f>
        <v>0</v>
      </c>
      <c r="AC501" s="65" t="b">
        <f>FALSE()</f>
        <v>0</v>
      </c>
      <c r="AD501" s="65" t="b">
        <f>TRUE()</f>
        <v>1</v>
      </c>
      <c r="AE501" s="65">
        <v>3</v>
      </c>
      <c r="AF501" s="69">
        <v>42.9</v>
      </c>
      <c r="AG501" s="65" t="s">
        <v>73</v>
      </c>
      <c r="AH501" s="65" t="s">
        <v>1771</v>
      </c>
      <c r="AI501">
        <f>IF(AND(OR(Company_Explorer!$B$5="All Companies",$E501=Company_Explorer!$B$5),OR(Company_Explorer!$B$6="All Platforms",$B501=Company_Explorer!$B$6),OR(Company_Explorer!$B$7="All Roles",$D501=Company_Explorer!$B$7),OR(Company_Explorer!$B$8="All Ghost Labels",$AG501=Company_Explorer!$B$8)),1,0)</f>
        <v>0</v>
      </c>
    </row>
    <row r="502" spans="1:35" ht="15" customHeight="1" x14ac:dyDescent="0.3">
      <c r="A502" s="60" t="s">
        <v>1772</v>
      </c>
      <c r="B502" s="60" t="s">
        <v>80</v>
      </c>
      <c r="C502" s="60" t="s">
        <v>258</v>
      </c>
      <c r="D502" s="60" t="s">
        <v>125</v>
      </c>
      <c r="E502" s="60" t="s">
        <v>141</v>
      </c>
      <c r="F502" s="60" t="b">
        <f>TRUE()</f>
        <v>1</v>
      </c>
      <c r="G502" s="60" t="s">
        <v>170</v>
      </c>
      <c r="H502" s="60" t="s">
        <v>165</v>
      </c>
      <c r="I502" s="61">
        <v>46198</v>
      </c>
      <c r="J502" s="61">
        <v>46210</v>
      </c>
      <c r="K502" s="60">
        <v>12</v>
      </c>
      <c r="L502" s="60" t="s">
        <v>192</v>
      </c>
      <c r="M502" s="60" t="s">
        <v>184</v>
      </c>
      <c r="N502" s="60" t="b">
        <f>FALSE()</f>
        <v>0</v>
      </c>
      <c r="O502" s="60"/>
      <c r="P502" s="60"/>
      <c r="Q502" s="60" t="s">
        <v>236</v>
      </c>
      <c r="R502" s="60" t="s">
        <v>237</v>
      </c>
      <c r="S502" s="60"/>
      <c r="T502" s="60" t="b">
        <f>FALSE()</f>
        <v>0</v>
      </c>
      <c r="U502" s="60" t="b">
        <f>FALSE()</f>
        <v>0</v>
      </c>
      <c r="V502" s="60">
        <v>212</v>
      </c>
      <c r="W502" s="62" t="s">
        <v>259</v>
      </c>
      <c r="X502" s="60">
        <v>429</v>
      </c>
      <c r="Y502" s="63">
        <v>2.66</v>
      </c>
      <c r="Z502" s="60" t="b">
        <f>FALSE()</f>
        <v>0</v>
      </c>
      <c r="AA502" s="60" t="b">
        <f>TRUE()</f>
        <v>1</v>
      </c>
      <c r="AB502" s="60" t="b">
        <f>TRUE()</f>
        <v>1</v>
      </c>
      <c r="AC502" s="60" t="b">
        <f>FALSE()</f>
        <v>0</v>
      </c>
      <c r="AD502" s="60" t="b">
        <f>TRUE()</f>
        <v>1</v>
      </c>
      <c r="AE502" s="60">
        <v>4</v>
      </c>
      <c r="AF502" s="64">
        <v>57.1</v>
      </c>
      <c r="AG502" s="60" t="s">
        <v>72</v>
      </c>
      <c r="AH502" s="60" t="s">
        <v>1773</v>
      </c>
      <c r="AI502">
        <f>IF(AND(OR(Company_Explorer!$B$5="All Companies",$E502=Company_Explorer!$B$5),OR(Company_Explorer!$B$6="All Platforms",$B502=Company_Explorer!$B$6),OR(Company_Explorer!$B$7="All Roles",$D502=Company_Explorer!$B$7),OR(Company_Explorer!$B$8="All Ghost Labels",$AG502=Company_Explorer!$B$8)),1,0)</f>
        <v>0</v>
      </c>
    </row>
    <row r="503" spans="1:35" ht="15" customHeight="1" x14ac:dyDescent="0.3">
      <c r="A503" s="65" t="s">
        <v>1774</v>
      </c>
      <c r="B503" s="65" t="s">
        <v>80</v>
      </c>
      <c r="C503" s="65" t="s">
        <v>1775</v>
      </c>
      <c r="D503" s="65" t="s">
        <v>126</v>
      </c>
      <c r="E503" s="65" t="s">
        <v>155</v>
      </c>
      <c r="F503" s="65" t="b">
        <f>TRUE()</f>
        <v>1</v>
      </c>
      <c r="G503" s="65" t="s">
        <v>166</v>
      </c>
      <c r="H503" s="65" t="s">
        <v>235</v>
      </c>
      <c r="I503" s="66">
        <v>46207</v>
      </c>
      <c r="J503" s="66">
        <v>46210</v>
      </c>
      <c r="K503" s="65">
        <v>3</v>
      </c>
      <c r="L503" s="65" t="s">
        <v>192</v>
      </c>
      <c r="M503" s="65" t="s">
        <v>184</v>
      </c>
      <c r="N503" s="65" t="b">
        <f>FALSE()</f>
        <v>0</v>
      </c>
      <c r="O503" s="65"/>
      <c r="P503" s="65"/>
      <c r="Q503" s="65" t="s">
        <v>236</v>
      </c>
      <c r="R503" s="65" t="s">
        <v>237</v>
      </c>
      <c r="S503" s="65"/>
      <c r="T503" s="65" t="b">
        <f>FALSE()</f>
        <v>0</v>
      </c>
      <c r="U503" s="65" t="b">
        <f>FALSE()</f>
        <v>0</v>
      </c>
      <c r="V503" s="65">
        <v>387</v>
      </c>
      <c r="W503" s="67" t="s">
        <v>1776</v>
      </c>
      <c r="X503" s="65">
        <v>16</v>
      </c>
      <c r="Y503" s="68">
        <v>0.1</v>
      </c>
      <c r="Z503" s="65" t="b">
        <f>FALSE()</f>
        <v>0</v>
      </c>
      <c r="AA503" s="65" t="b">
        <f>TRUE()</f>
        <v>1</v>
      </c>
      <c r="AB503" s="65" t="b">
        <f>FALSE()</f>
        <v>0</v>
      </c>
      <c r="AC503" s="65" t="b">
        <f>FALSE()</f>
        <v>0</v>
      </c>
      <c r="AD503" s="65" t="b">
        <f>FALSE()</f>
        <v>0</v>
      </c>
      <c r="AE503" s="65">
        <v>1</v>
      </c>
      <c r="AF503" s="69">
        <v>14.3</v>
      </c>
      <c r="AG503" s="65" t="s">
        <v>74</v>
      </c>
      <c r="AH503" s="65" t="s">
        <v>1777</v>
      </c>
      <c r="AI503">
        <f>IF(AND(OR(Company_Explorer!$B$5="All Companies",$E503=Company_Explorer!$B$5),OR(Company_Explorer!$B$6="All Platforms",$B503=Company_Explorer!$B$6),OR(Company_Explorer!$B$7="All Roles",$D503=Company_Explorer!$B$7),OR(Company_Explorer!$B$8="All Ghost Labels",$AG503=Company_Explorer!$B$8)),1,0)</f>
        <v>0</v>
      </c>
    </row>
    <row r="504" spans="1:35" ht="15" customHeight="1" x14ac:dyDescent="0.3">
      <c r="A504" s="60" t="s">
        <v>1778</v>
      </c>
      <c r="B504" s="60" t="s">
        <v>80</v>
      </c>
      <c r="C504" s="60" t="s">
        <v>258</v>
      </c>
      <c r="D504" s="60" t="s">
        <v>125</v>
      </c>
      <c r="E504" s="60" t="s">
        <v>141</v>
      </c>
      <c r="F504" s="60" t="b">
        <f>TRUE()</f>
        <v>1</v>
      </c>
      <c r="G504" s="60" t="s">
        <v>166</v>
      </c>
      <c r="H504" s="60" t="s">
        <v>235</v>
      </c>
      <c r="I504" s="61">
        <v>46202</v>
      </c>
      <c r="J504" s="61">
        <v>46210</v>
      </c>
      <c r="K504" s="60">
        <v>8</v>
      </c>
      <c r="L504" s="60" t="s">
        <v>192</v>
      </c>
      <c r="M504" s="60" t="s">
        <v>184</v>
      </c>
      <c r="N504" s="60" t="b">
        <f>FALSE()</f>
        <v>0</v>
      </c>
      <c r="O504" s="60"/>
      <c r="P504" s="60"/>
      <c r="Q504" s="60" t="s">
        <v>236</v>
      </c>
      <c r="R504" s="60" t="s">
        <v>237</v>
      </c>
      <c r="S504" s="60"/>
      <c r="T504" s="60" t="b">
        <f>FALSE()</f>
        <v>0</v>
      </c>
      <c r="U504" s="60" t="b">
        <f>FALSE()</f>
        <v>0</v>
      </c>
      <c r="V504" s="60">
        <v>333</v>
      </c>
      <c r="W504" s="62" t="s">
        <v>259</v>
      </c>
      <c r="X504" s="60">
        <v>429</v>
      </c>
      <c r="Y504" s="63">
        <v>2.66</v>
      </c>
      <c r="Z504" s="60" t="b">
        <f>FALSE()</f>
        <v>0</v>
      </c>
      <c r="AA504" s="60" t="b">
        <f>TRUE()</f>
        <v>1</v>
      </c>
      <c r="AB504" s="60" t="b">
        <f>FALSE()</f>
        <v>0</v>
      </c>
      <c r="AC504" s="60" t="b">
        <f>FALSE()</f>
        <v>0</v>
      </c>
      <c r="AD504" s="60" t="b">
        <f>TRUE()</f>
        <v>1</v>
      </c>
      <c r="AE504" s="60">
        <v>3</v>
      </c>
      <c r="AF504" s="64">
        <v>42.9</v>
      </c>
      <c r="AG504" s="60" t="s">
        <v>73</v>
      </c>
      <c r="AH504" s="60" t="s">
        <v>1779</v>
      </c>
      <c r="AI504">
        <f>IF(AND(OR(Company_Explorer!$B$5="All Companies",$E504=Company_Explorer!$B$5),OR(Company_Explorer!$B$6="All Platforms",$B504=Company_Explorer!$B$6),OR(Company_Explorer!$B$7="All Roles",$D504=Company_Explorer!$B$7),OR(Company_Explorer!$B$8="All Ghost Labels",$AG504=Company_Explorer!$B$8)),1,0)</f>
        <v>0</v>
      </c>
    </row>
    <row r="505" spans="1:35" ht="15" customHeight="1" x14ac:dyDescent="0.3">
      <c r="A505" s="65" t="s">
        <v>1780</v>
      </c>
      <c r="B505" s="65" t="s">
        <v>80</v>
      </c>
      <c r="C505" s="65" t="s">
        <v>306</v>
      </c>
      <c r="D505" s="65" t="s">
        <v>125</v>
      </c>
      <c r="E505" s="65" t="s">
        <v>141</v>
      </c>
      <c r="F505" s="65" t="b">
        <f>TRUE()</f>
        <v>1</v>
      </c>
      <c r="G505" s="65" t="s">
        <v>168</v>
      </c>
      <c r="H505" s="65" t="s">
        <v>254</v>
      </c>
      <c r="I505" s="66">
        <v>46198</v>
      </c>
      <c r="J505" s="66">
        <v>46210</v>
      </c>
      <c r="K505" s="65">
        <v>12</v>
      </c>
      <c r="L505" s="65" t="s">
        <v>192</v>
      </c>
      <c r="M505" s="65" t="s">
        <v>184</v>
      </c>
      <c r="N505" s="65" t="b">
        <f>FALSE()</f>
        <v>0</v>
      </c>
      <c r="O505" s="65"/>
      <c r="P505" s="65"/>
      <c r="Q505" s="65" t="s">
        <v>236</v>
      </c>
      <c r="R505" s="65" t="s">
        <v>237</v>
      </c>
      <c r="S505" s="65"/>
      <c r="T505" s="65" t="b">
        <f>FALSE()</f>
        <v>0</v>
      </c>
      <c r="U505" s="65" t="b">
        <f>FALSE()</f>
        <v>0</v>
      </c>
      <c r="V505" s="65">
        <v>281</v>
      </c>
      <c r="W505" s="67" t="s">
        <v>1375</v>
      </c>
      <c r="X505" s="65">
        <v>429</v>
      </c>
      <c r="Y505" s="68">
        <v>2.66</v>
      </c>
      <c r="Z505" s="65" t="b">
        <f>FALSE()</f>
        <v>0</v>
      </c>
      <c r="AA505" s="65" t="b">
        <f>TRUE()</f>
        <v>1</v>
      </c>
      <c r="AB505" s="65" t="b">
        <f>FALSE()</f>
        <v>0</v>
      </c>
      <c r="AC505" s="65" t="b">
        <f>FALSE()</f>
        <v>0</v>
      </c>
      <c r="AD505" s="65" t="b">
        <f>TRUE()</f>
        <v>1</v>
      </c>
      <c r="AE505" s="65">
        <v>3</v>
      </c>
      <c r="AF505" s="69">
        <v>42.9</v>
      </c>
      <c r="AG505" s="65" t="s">
        <v>73</v>
      </c>
      <c r="AH505" s="65" t="s">
        <v>1781</v>
      </c>
      <c r="AI505">
        <f>IF(AND(OR(Company_Explorer!$B$5="All Companies",$E505=Company_Explorer!$B$5),OR(Company_Explorer!$B$6="All Platforms",$B505=Company_Explorer!$B$6),OR(Company_Explorer!$B$7="All Roles",$D505=Company_Explorer!$B$7),OR(Company_Explorer!$B$8="All Ghost Labels",$AG505=Company_Explorer!$B$8)),1,0)</f>
        <v>0</v>
      </c>
    </row>
    <row r="506" spans="1:35" ht="15" customHeight="1" x14ac:dyDescent="0.3">
      <c r="A506" s="60" t="s">
        <v>1782</v>
      </c>
      <c r="B506" s="60" t="s">
        <v>80</v>
      </c>
      <c r="C506" s="60" t="s">
        <v>258</v>
      </c>
      <c r="D506" s="60" t="s">
        <v>125</v>
      </c>
      <c r="E506" s="60" t="s">
        <v>141</v>
      </c>
      <c r="F506" s="60" t="b">
        <f>TRUE()</f>
        <v>1</v>
      </c>
      <c r="G506" s="60" t="s">
        <v>166</v>
      </c>
      <c r="H506" s="60" t="s">
        <v>235</v>
      </c>
      <c r="I506" s="61">
        <v>46205</v>
      </c>
      <c r="J506" s="61">
        <v>46210</v>
      </c>
      <c r="K506" s="60">
        <v>5</v>
      </c>
      <c r="L506" s="60" t="s">
        <v>192</v>
      </c>
      <c r="M506" s="60" t="s">
        <v>184</v>
      </c>
      <c r="N506" s="60" t="b">
        <f>FALSE()</f>
        <v>0</v>
      </c>
      <c r="O506" s="60"/>
      <c r="P506" s="60"/>
      <c r="Q506" s="60" t="s">
        <v>236</v>
      </c>
      <c r="R506" s="60" t="s">
        <v>237</v>
      </c>
      <c r="S506" s="60"/>
      <c r="T506" s="60" t="b">
        <f>FALSE()</f>
        <v>0</v>
      </c>
      <c r="U506" s="60" t="b">
        <f>FALSE()</f>
        <v>0</v>
      </c>
      <c r="V506" s="60">
        <v>319</v>
      </c>
      <c r="W506" s="62" t="s">
        <v>259</v>
      </c>
      <c r="X506" s="60">
        <v>429</v>
      </c>
      <c r="Y506" s="63">
        <v>2.66</v>
      </c>
      <c r="Z506" s="60" t="b">
        <f>FALSE()</f>
        <v>0</v>
      </c>
      <c r="AA506" s="60" t="b">
        <f>TRUE()</f>
        <v>1</v>
      </c>
      <c r="AB506" s="60" t="b">
        <f>FALSE()</f>
        <v>0</v>
      </c>
      <c r="AC506" s="60" t="b">
        <f>FALSE()</f>
        <v>0</v>
      </c>
      <c r="AD506" s="60" t="b">
        <f>TRUE()</f>
        <v>1</v>
      </c>
      <c r="AE506" s="60">
        <v>3</v>
      </c>
      <c r="AF506" s="64">
        <v>42.9</v>
      </c>
      <c r="AG506" s="60" t="s">
        <v>73</v>
      </c>
      <c r="AH506" s="60" t="s">
        <v>1783</v>
      </c>
      <c r="AI506">
        <f>IF(AND(OR(Company_Explorer!$B$5="All Companies",$E506=Company_Explorer!$B$5),OR(Company_Explorer!$B$6="All Platforms",$B506=Company_Explorer!$B$6),OR(Company_Explorer!$B$7="All Roles",$D506=Company_Explorer!$B$7),OR(Company_Explorer!$B$8="All Ghost Labels",$AG506=Company_Explorer!$B$8)),1,0)</f>
        <v>0</v>
      </c>
    </row>
    <row r="507" spans="1:35" ht="15" customHeight="1" x14ac:dyDescent="0.3">
      <c r="A507" s="65" t="s">
        <v>1784</v>
      </c>
      <c r="B507" s="65" t="s">
        <v>80</v>
      </c>
      <c r="C507" s="65" t="s">
        <v>1785</v>
      </c>
      <c r="D507" s="65" t="s">
        <v>126</v>
      </c>
      <c r="E507" s="65" t="s">
        <v>1786</v>
      </c>
      <c r="F507" s="65" t="b">
        <f>TRUE()</f>
        <v>1</v>
      </c>
      <c r="G507" s="65" t="s">
        <v>166</v>
      </c>
      <c r="H507" s="65" t="s">
        <v>235</v>
      </c>
      <c r="I507" s="66">
        <v>46189</v>
      </c>
      <c r="J507" s="66">
        <v>46210</v>
      </c>
      <c r="K507" s="65">
        <v>21</v>
      </c>
      <c r="L507" s="65" t="s">
        <v>192</v>
      </c>
      <c r="M507" s="65" t="s">
        <v>184</v>
      </c>
      <c r="N507" s="65" t="b">
        <f>FALSE()</f>
        <v>0</v>
      </c>
      <c r="O507" s="65"/>
      <c r="P507" s="65"/>
      <c r="Q507" s="65" t="s">
        <v>236</v>
      </c>
      <c r="R507" s="65" t="s">
        <v>237</v>
      </c>
      <c r="S507" s="65"/>
      <c r="T507" s="65" t="b">
        <f>FALSE()</f>
        <v>0</v>
      </c>
      <c r="U507" s="65" t="b">
        <f>FALSE()</f>
        <v>0</v>
      </c>
      <c r="V507" s="65">
        <v>522</v>
      </c>
      <c r="W507" s="65" t="s">
        <v>1787</v>
      </c>
      <c r="X507" s="65">
        <v>1</v>
      </c>
      <c r="Y507" s="68">
        <v>0.01</v>
      </c>
      <c r="Z507" s="65" t="b">
        <f>FALSE()</f>
        <v>0</v>
      </c>
      <c r="AA507" s="65" t="b">
        <f>TRUE()</f>
        <v>1</v>
      </c>
      <c r="AB507" s="65" t="b">
        <f>FALSE()</f>
        <v>0</v>
      </c>
      <c r="AC507" s="65" t="b">
        <f>TRUE()</f>
        <v>1</v>
      </c>
      <c r="AD507" s="65" t="b">
        <f>FALSE()</f>
        <v>0</v>
      </c>
      <c r="AE507" s="65">
        <v>2</v>
      </c>
      <c r="AF507" s="69">
        <v>28.6</v>
      </c>
      <c r="AG507" s="65" t="s">
        <v>73</v>
      </c>
      <c r="AH507" s="65" t="s">
        <v>1788</v>
      </c>
      <c r="AI507">
        <f>IF(AND(OR(Company_Explorer!$B$5="All Companies",$E507=Company_Explorer!$B$5),OR(Company_Explorer!$B$6="All Platforms",$B507=Company_Explorer!$B$6),OR(Company_Explorer!$B$7="All Roles",$D507=Company_Explorer!$B$7),OR(Company_Explorer!$B$8="All Ghost Labels",$AG507=Company_Explorer!$B$8)),1,0)</f>
        <v>0</v>
      </c>
    </row>
    <row r="508" spans="1:35" ht="15" customHeight="1" x14ac:dyDescent="0.3">
      <c r="A508" s="60" t="s">
        <v>1789</v>
      </c>
      <c r="B508" s="60" t="s">
        <v>80</v>
      </c>
      <c r="C508" s="60" t="s">
        <v>125</v>
      </c>
      <c r="D508" s="60" t="s">
        <v>125</v>
      </c>
      <c r="E508" s="60" t="s">
        <v>1790</v>
      </c>
      <c r="F508" s="60" t="b">
        <f>TRUE()</f>
        <v>1</v>
      </c>
      <c r="G508" s="60" t="s">
        <v>176</v>
      </c>
      <c r="H508" s="60" t="s">
        <v>302</v>
      </c>
      <c r="I508" s="61">
        <v>46192</v>
      </c>
      <c r="J508" s="61">
        <v>46210</v>
      </c>
      <c r="K508" s="60">
        <v>18</v>
      </c>
      <c r="L508" s="60" t="s">
        <v>192</v>
      </c>
      <c r="M508" s="60" t="s">
        <v>185</v>
      </c>
      <c r="N508" s="60" t="b">
        <f>FALSE()</f>
        <v>0</v>
      </c>
      <c r="O508" s="60"/>
      <c r="P508" s="60"/>
      <c r="Q508" s="60" t="s">
        <v>236</v>
      </c>
      <c r="R508" s="60" t="s">
        <v>237</v>
      </c>
      <c r="S508" s="60"/>
      <c r="T508" s="60" t="b">
        <f>FALSE()</f>
        <v>0</v>
      </c>
      <c r="U508" s="60" t="b">
        <f>FALSE()</f>
        <v>0</v>
      </c>
      <c r="V508" s="60">
        <v>428</v>
      </c>
      <c r="W508" s="62" t="s">
        <v>1791</v>
      </c>
      <c r="X508" s="60">
        <v>1</v>
      </c>
      <c r="Y508" s="63">
        <v>0.01</v>
      </c>
      <c r="Z508" s="60" t="b">
        <f>FALSE()</f>
        <v>0</v>
      </c>
      <c r="AA508" s="60" t="b">
        <f>TRUE()</f>
        <v>1</v>
      </c>
      <c r="AB508" s="60" t="b">
        <f>FALSE()</f>
        <v>0</v>
      </c>
      <c r="AC508" s="60" t="b">
        <f>FALSE()</f>
        <v>0</v>
      </c>
      <c r="AD508" s="60" t="b">
        <f>FALSE()</f>
        <v>0</v>
      </c>
      <c r="AE508" s="60">
        <v>1</v>
      </c>
      <c r="AF508" s="64">
        <v>14.3</v>
      </c>
      <c r="AG508" s="60" t="s">
        <v>74</v>
      </c>
      <c r="AH508" s="60" t="s">
        <v>1792</v>
      </c>
      <c r="AI508">
        <f>IF(AND(OR(Company_Explorer!$B$5="All Companies",$E508=Company_Explorer!$B$5),OR(Company_Explorer!$B$6="All Platforms",$B508=Company_Explorer!$B$6),OR(Company_Explorer!$B$7="All Roles",$D508=Company_Explorer!$B$7),OR(Company_Explorer!$B$8="All Ghost Labels",$AG508=Company_Explorer!$B$8)),1,0)</f>
        <v>0</v>
      </c>
    </row>
    <row r="509" spans="1:35" ht="15" customHeight="1" x14ac:dyDescent="0.3">
      <c r="A509" s="65" t="s">
        <v>1793</v>
      </c>
      <c r="B509" s="65" t="s">
        <v>80</v>
      </c>
      <c r="C509" s="65" t="s">
        <v>125</v>
      </c>
      <c r="D509" s="65" t="s">
        <v>125</v>
      </c>
      <c r="E509" s="65" t="s">
        <v>1794</v>
      </c>
      <c r="F509" s="65" t="b">
        <f>TRUE()</f>
        <v>1</v>
      </c>
      <c r="G509" s="65" t="s">
        <v>166</v>
      </c>
      <c r="H509" s="65" t="s">
        <v>235</v>
      </c>
      <c r="I509" s="66">
        <v>46175</v>
      </c>
      <c r="J509" s="66">
        <v>46210</v>
      </c>
      <c r="K509" s="65">
        <v>35</v>
      </c>
      <c r="L509" s="65" t="s">
        <v>192</v>
      </c>
      <c r="M509" s="65" t="s">
        <v>185</v>
      </c>
      <c r="N509" s="65" t="b">
        <f>FALSE()</f>
        <v>0</v>
      </c>
      <c r="O509" s="65"/>
      <c r="P509" s="65"/>
      <c r="Q509" s="65" t="s">
        <v>236</v>
      </c>
      <c r="R509" s="65" t="s">
        <v>237</v>
      </c>
      <c r="S509" s="65"/>
      <c r="T509" s="65" t="b">
        <f>FALSE()</f>
        <v>0</v>
      </c>
      <c r="U509" s="65" t="b">
        <f>FALSE()</f>
        <v>0</v>
      </c>
      <c r="V509" s="65">
        <v>530</v>
      </c>
      <c r="W509" s="65" t="s">
        <v>1795</v>
      </c>
      <c r="X509" s="65">
        <v>1</v>
      </c>
      <c r="Y509" s="68">
        <v>0.01</v>
      </c>
      <c r="Z509" s="65" t="b">
        <f>FALSE()</f>
        <v>0</v>
      </c>
      <c r="AA509" s="65" t="b">
        <f>TRUE()</f>
        <v>1</v>
      </c>
      <c r="AB509" s="65" t="b">
        <f>FALSE()</f>
        <v>0</v>
      </c>
      <c r="AC509" s="65" t="b">
        <f>TRUE()</f>
        <v>1</v>
      </c>
      <c r="AD509" s="65" t="b">
        <f>FALSE()</f>
        <v>0</v>
      </c>
      <c r="AE509" s="65">
        <v>2</v>
      </c>
      <c r="AF509" s="69">
        <v>28.6</v>
      </c>
      <c r="AG509" s="65" t="s">
        <v>73</v>
      </c>
      <c r="AH509" s="65" t="s">
        <v>1796</v>
      </c>
      <c r="AI509">
        <f>IF(AND(OR(Company_Explorer!$B$5="All Companies",$E509=Company_Explorer!$B$5),OR(Company_Explorer!$B$6="All Platforms",$B509=Company_Explorer!$B$6),OR(Company_Explorer!$B$7="All Roles",$D509=Company_Explorer!$B$7),OR(Company_Explorer!$B$8="All Ghost Labels",$AG509=Company_Explorer!$B$8)),1,0)</f>
        <v>0</v>
      </c>
    </row>
    <row r="510" spans="1:35" ht="15" customHeight="1" x14ac:dyDescent="0.3">
      <c r="A510" s="60" t="s">
        <v>1797</v>
      </c>
      <c r="B510" s="60" t="s">
        <v>80</v>
      </c>
      <c r="C510" s="60" t="s">
        <v>1476</v>
      </c>
      <c r="D510" s="60" t="s">
        <v>125</v>
      </c>
      <c r="E510" s="60" t="s">
        <v>1477</v>
      </c>
      <c r="F510" s="60" t="b">
        <f>TRUE()</f>
        <v>1</v>
      </c>
      <c r="G510" s="60" t="s">
        <v>170</v>
      </c>
      <c r="H510" s="60" t="s">
        <v>165</v>
      </c>
      <c r="I510" s="61">
        <v>46209</v>
      </c>
      <c r="J510" s="61">
        <v>46210</v>
      </c>
      <c r="K510" s="60">
        <v>1</v>
      </c>
      <c r="L510" s="60" t="s">
        <v>196</v>
      </c>
      <c r="M510" s="60" t="s">
        <v>185</v>
      </c>
      <c r="N510" s="60" t="b">
        <f>TRUE()</f>
        <v>1</v>
      </c>
      <c r="O510" s="70">
        <v>35</v>
      </c>
      <c r="P510" s="60"/>
      <c r="Q510" s="60" t="s">
        <v>332</v>
      </c>
      <c r="R510" s="60" t="s">
        <v>237</v>
      </c>
      <c r="S510" s="60"/>
      <c r="T510" s="60" t="b">
        <f>FALSE()</f>
        <v>0</v>
      </c>
      <c r="U510" s="60" t="b">
        <f>FALSE()</f>
        <v>0</v>
      </c>
      <c r="V510" s="60">
        <v>706</v>
      </c>
      <c r="W510" s="60" t="s">
        <v>1478</v>
      </c>
      <c r="X510" s="60">
        <v>3</v>
      </c>
      <c r="Y510" s="63">
        <v>0.02</v>
      </c>
      <c r="Z510" s="60" t="b">
        <f>FALSE()</f>
        <v>0</v>
      </c>
      <c r="AA510" s="60" t="b">
        <f>FALSE()</f>
        <v>0</v>
      </c>
      <c r="AB510" s="60" t="b">
        <f>FALSE()</f>
        <v>0</v>
      </c>
      <c r="AC510" s="60" t="b">
        <f>FALSE()</f>
        <v>0</v>
      </c>
      <c r="AD510" s="60" t="b">
        <f>FALSE()</f>
        <v>0</v>
      </c>
      <c r="AE510" s="60">
        <v>0</v>
      </c>
      <c r="AF510" s="64">
        <v>0</v>
      </c>
      <c r="AG510" s="60" t="s">
        <v>74</v>
      </c>
      <c r="AH510" s="60" t="s">
        <v>1798</v>
      </c>
      <c r="AI510">
        <f>IF(AND(OR(Company_Explorer!$B$5="All Companies",$E510=Company_Explorer!$B$5),OR(Company_Explorer!$B$6="All Platforms",$B510=Company_Explorer!$B$6),OR(Company_Explorer!$B$7="All Roles",$D510=Company_Explorer!$B$7),OR(Company_Explorer!$B$8="All Ghost Labels",$AG510=Company_Explorer!$B$8)),1,0)</f>
        <v>0</v>
      </c>
    </row>
    <row r="511" spans="1:35" ht="15" customHeight="1" x14ac:dyDescent="0.3">
      <c r="A511" s="65" t="s">
        <v>1799</v>
      </c>
      <c r="B511" s="65" t="s">
        <v>80</v>
      </c>
      <c r="C511" s="65" t="s">
        <v>258</v>
      </c>
      <c r="D511" s="65" t="s">
        <v>125</v>
      </c>
      <c r="E511" s="65" t="s">
        <v>141</v>
      </c>
      <c r="F511" s="65" t="b">
        <f>TRUE()</f>
        <v>1</v>
      </c>
      <c r="G511" s="65" t="s">
        <v>169</v>
      </c>
      <c r="H511" s="65" t="s">
        <v>294</v>
      </c>
      <c r="I511" s="66">
        <v>46206</v>
      </c>
      <c r="J511" s="66">
        <v>46210</v>
      </c>
      <c r="K511" s="65">
        <v>4</v>
      </c>
      <c r="L511" s="65" t="s">
        <v>192</v>
      </c>
      <c r="M511" s="65" t="s">
        <v>184</v>
      </c>
      <c r="N511" s="65" t="b">
        <f>FALSE()</f>
        <v>0</v>
      </c>
      <c r="O511" s="65"/>
      <c r="P511" s="65"/>
      <c r="Q511" s="65" t="s">
        <v>236</v>
      </c>
      <c r="R511" s="65" t="s">
        <v>237</v>
      </c>
      <c r="S511" s="65"/>
      <c r="T511" s="65" t="b">
        <f>FALSE()</f>
        <v>0</v>
      </c>
      <c r="U511" s="65" t="b">
        <f>FALSE()</f>
        <v>0</v>
      </c>
      <c r="V511" s="65">
        <v>329</v>
      </c>
      <c r="W511" s="67" t="s">
        <v>259</v>
      </c>
      <c r="X511" s="65">
        <v>429</v>
      </c>
      <c r="Y511" s="68">
        <v>2.66</v>
      </c>
      <c r="Z511" s="65" t="b">
        <f>FALSE()</f>
        <v>0</v>
      </c>
      <c r="AA511" s="65" t="b">
        <f>TRUE()</f>
        <v>1</v>
      </c>
      <c r="AB511" s="65" t="b">
        <f>FALSE()</f>
        <v>0</v>
      </c>
      <c r="AC511" s="65" t="b">
        <f>FALSE()</f>
        <v>0</v>
      </c>
      <c r="AD511" s="65" t="b">
        <f>TRUE()</f>
        <v>1</v>
      </c>
      <c r="AE511" s="65">
        <v>3</v>
      </c>
      <c r="AF511" s="69">
        <v>42.9</v>
      </c>
      <c r="AG511" s="65" t="s">
        <v>73</v>
      </c>
      <c r="AH511" s="65" t="s">
        <v>1800</v>
      </c>
      <c r="AI511">
        <f>IF(AND(OR(Company_Explorer!$B$5="All Companies",$E511=Company_Explorer!$B$5),OR(Company_Explorer!$B$6="All Platforms",$B511=Company_Explorer!$B$6),OR(Company_Explorer!$B$7="All Roles",$D511=Company_Explorer!$B$7),OR(Company_Explorer!$B$8="All Ghost Labels",$AG511=Company_Explorer!$B$8)),1,0)</f>
        <v>0</v>
      </c>
    </row>
    <row r="512" spans="1:35" ht="15" customHeight="1" x14ac:dyDescent="0.3">
      <c r="A512" s="60" t="s">
        <v>1801</v>
      </c>
      <c r="B512" s="60" t="s">
        <v>80</v>
      </c>
      <c r="C512" s="60" t="s">
        <v>1802</v>
      </c>
      <c r="D512" s="60" t="s">
        <v>130</v>
      </c>
      <c r="E512" s="60" t="s">
        <v>1803</v>
      </c>
      <c r="F512" s="60" t="b">
        <f>TRUE()</f>
        <v>1</v>
      </c>
      <c r="G512" s="60" t="s">
        <v>166</v>
      </c>
      <c r="H512" s="60" t="s">
        <v>235</v>
      </c>
      <c r="I512" s="61">
        <v>46126</v>
      </c>
      <c r="J512" s="61">
        <v>46210</v>
      </c>
      <c r="K512" s="60">
        <v>84</v>
      </c>
      <c r="L512" s="60" t="s">
        <v>192</v>
      </c>
      <c r="M512" s="60" t="s">
        <v>187</v>
      </c>
      <c r="N512" s="60" t="b">
        <f>FALSE()</f>
        <v>0</v>
      </c>
      <c r="O512" s="60"/>
      <c r="P512" s="60"/>
      <c r="Q512" s="60" t="s">
        <v>236</v>
      </c>
      <c r="R512" s="60" t="s">
        <v>237</v>
      </c>
      <c r="S512" s="60"/>
      <c r="T512" s="60" t="b">
        <f>FALSE()</f>
        <v>0</v>
      </c>
      <c r="U512" s="60" t="b">
        <f>FALSE()</f>
        <v>0</v>
      </c>
      <c r="V512" s="60">
        <v>97</v>
      </c>
      <c r="W512" s="60" t="s">
        <v>1804</v>
      </c>
      <c r="X512" s="60">
        <v>1</v>
      </c>
      <c r="Y512" s="63">
        <v>0.01</v>
      </c>
      <c r="Z512" s="60" t="b">
        <f>FALSE()</f>
        <v>0</v>
      </c>
      <c r="AA512" s="60" t="b">
        <f>TRUE()</f>
        <v>1</v>
      </c>
      <c r="AB512" s="60" t="b">
        <f>TRUE()</f>
        <v>1</v>
      </c>
      <c r="AC512" s="60" t="b">
        <f>TRUE()</f>
        <v>1</v>
      </c>
      <c r="AD512" s="60" t="b">
        <f>FALSE()</f>
        <v>0</v>
      </c>
      <c r="AE512" s="60">
        <v>3</v>
      </c>
      <c r="AF512" s="64">
        <v>42.9</v>
      </c>
      <c r="AG512" s="60" t="s">
        <v>73</v>
      </c>
      <c r="AH512" s="60" t="s">
        <v>1805</v>
      </c>
      <c r="AI512">
        <f>IF(AND(OR(Company_Explorer!$B$5="All Companies",$E512=Company_Explorer!$B$5),OR(Company_Explorer!$B$6="All Platforms",$B512=Company_Explorer!$B$6),OR(Company_Explorer!$B$7="All Roles",$D512=Company_Explorer!$B$7),OR(Company_Explorer!$B$8="All Ghost Labels",$AG512=Company_Explorer!$B$8)),1,0)</f>
        <v>0</v>
      </c>
    </row>
    <row r="513" spans="1:35" ht="15" customHeight="1" x14ac:dyDescent="0.3">
      <c r="A513" s="65" t="s">
        <v>1806</v>
      </c>
      <c r="B513" s="65" t="s">
        <v>80</v>
      </c>
      <c r="C513" s="65" t="s">
        <v>1807</v>
      </c>
      <c r="D513" s="65" t="s">
        <v>126</v>
      </c>
      <c r="E513" s="65" t="s">
        <v>155</v>
      </c>
      <c r="F513" s="65" t="b">
        <f>TRUE()</f>
        <v>1</v>
      </c>
      <c r="G513" s="65" t="s">
        <v>166</v>
      </c>
      <c r="H513" s="65" t="s">
        <v>235</v>
      </c>
      <c r="I513" s="66">
        <v>46190</v>
      </c>
      <c r="J513" s="66">
        <v>46210</v>
      </c>
      <c r="K513" s="65">
        <v>20</v>
      </c>
      <c r="L513" s="65" t="s">
        <v>192</v>
      </c>
      <c r="M513" s="65" t="s">
        <v>184</v>
      </c>
      <c r="N513" s="65" t="b">
        <f>FALSE()</f>
        <v>0</v>
      </c>
      <c r="O513" s="65"/>
      <c r="P513" s="65"/>
      <c r="Q513" s="65" t="s">
        <v>236</v>
      </c>
      <c r="R513" s="65" t="s">
        <v>237</v>
      </c>
      <c r="S513" s="65"/>
      <c r="T513" s="65" t="b">
        <f>FALSE()</f>
        <v>0</v>
      </c>
      <c r="U513" s="65" t="b">
        <f>FALSE()</f>
        <v>0</v>
      </c>
      <c r="V513" s="65">
        <v>376</v>
      </c>
      <c r="W513" s="67" t="s">
        <v>1808</v>
      </c>
      <c r="X513" s="65">
        <v>16</v>
      </c>
      <c r="Y513" s="68">
        <v>0.1</v>
      </c>
      <c r="Z513" s="65" t="b">
        <f>FALSE()</f>
        <v>0</v>
      </c>
      <c r="AA513" s="65" t="b">
        <f>TRUE()</f>
        <v>1</v>
      </c>
      <c r="AB513" s="65" t="b">
        <f>FALSE()</f>
        <v>0</v>
      </c>
      <c r="AC513" s="65" t="b">
        <f>TRUE()</f>
        <v>1</v>
      </c>
      <c r="AD513" s="65" t="b">
        <f>FALSE()</f>
        <v>0</v>
      </c>
      <c r="AE513" s="65">
        <v>2</v>
      </c>
      <c r="AF513" s="69">
        <v>28.6</v>
      </c>
      <c r="AG513" s="65" t="s">
        <v>73</v>
      </c>
      <c r="AH513" s="65" t="s">
        <v>1809</v>
      </c>
      <c r="AI513">
        <f>IF(AND(OR(Company_Explorer!$B$5="All Companies",$E513=Company_Explorer!$B$5),OR(Company_Explorer!$B$6="All Platforms",$B513=Company_Explorer!$B$6),OR(Company_Explorer!$B$7="All Roles",$D513=Company_Explorer!$B$7),OR(Company_Explorer!$B$8="All Ghost Labels",$AG513=Company_Explorer!$B$8)),1,0)</f>
        <v>0</v>
      </c>
    </row>
    <row r="514" spans="1:35" ht="15" customHeight="1" x14ac:dyDescent="0.3">
      <c r="A514" s="60" t="s">
        <v>1810</v>
      </c>
      <c r="B514" s="60" t="s">
        <v>80</v>
      </c>
      <c r="C514" s="60" t="s">
        <v>1811</v>
      </c>
      <c r="D514" s="60" t="s">
        <v>125</v>
      </c>
      <c r="E514" s="60" t="s">
        <v>1812</v>
      </c>
      <c r="F514" s="60" t="b">
        <f>TRUE()</f>
        <v>1</v>
      </c>
      <c r="G514" s="60" t="s">
        <v>169</v>
      </c>
      <c r="H514" s="60" t="s">
        <v>294</v>
      </c>
      <c r="I514" s="61">
        <v>46209</v>
      </c>
      <c r="J514" s="61">
        <v>46210</v>
      </c>
      <c r="K514" s="60">
        <v>1</v>
      </c>
      <c r="L514" s="60" t="s">
        <v>192</v>
      </c>
      <c r="M514" s="60" t="s">
        <v>185</v>
      </c>
      <c r="N514" s="60" t="b">
        <f>FALSE()</f>
        <v>0</v>
      </c>
      <c r="O514" s="60"/>
      <c r="P514" s="60"/>
      <c r="Q514" s="60" t="s">
        <v>236</v>
      </c>
      <c r="R514" s="60" t="s">
        <v>237</v>
      </c>
      <c r="S514" s="60"/>
      <c r="T514" s="60" t="b">
        <f>FALSE()</f>
        <v>0</v>
      </c>
      <c r="U514" s="60" t="b">
        <f>FALSE()</f>
        <v>0</v>
      </c>
      <c r="V514" s="60">
        <v>529</v>
      </c>
      <c r="W514" s="62" t="s">
        <v>1813</v>
      </c>
      <c r="X514" s="60">
        <v>1</v>
      </c>
      <c r="Y514" s="63">
        <v>0.01</v>
      </c>
      <c r="Z514" s="60" t="b">
        <f>FALSE()</f>
        <v>0</v>
      </c>
      <c r="AA514" s="60" t="b">
        <f>TRUE()</f>
        <v>1</v>
      </c>
      <c r="AB514" s="60" t="b">
        <f>FALSE()</f>
        <v>0</v>
      </c>
      <c r="AC514" s="60" t="b">
        <f>FALSE()</f>
        <v>0</v>
      </c>
      <c r="AD514" s="60" t="b">
        <f>FALSE()</f>
        <v>0</v>
      </c>
      <c r="AE514" s="60">
        <v>1</v>
      </c>
      <c r="AF514" s="64">
        <v>14.3</v>
      </c>
      <c r="AG514" s="60" t="s">
        <v>74</v>
      </c>
      <c r="AH514" s="60" t="s">
        <v>1814</v>
      </c>
      <c r="AI514">
        <f>IF(AND(OR(Company_Explorer!$B$5="All Companies",$E514=Company_Explorer!$B$5),OR(Company_Explorer!$B$6="All Platforms",$B514=Company_Explorer!$B$6),OR(Company_Explorer!$B$7="All Roles",$D514=Company_Explorer!$B$7),OR(Company_Explorer!$B$8="All Ghost Labels",$AG514=Company_Explorer!$B$8)),1,0)</f>
        <v>0</v>
      </c>
    </row>
    <row r="515" spans="1:35" ht="15" customHeight="1" x14ac:dyDescent="0.3">
      <c r="A515" s="65" t="s">
        <v>1815</v>
      </c>
      <c r="B515" s="65" t="s">
        <v>80</v>
      </c>
      <c r="C515" s="65" t="s">
        <v>306</v>
      </c>
      <c r="D515" s="65" t="s">
        <v>125</v>
      </c>
      <c r="E515" s="65" t="s">
        <v>141</v>
      </c>
      <c r="F515" s="65" t="b">
        <f>TRUE()</f>
        <v>1</v>
      </c>
      <c r="G515" s="65" t="s">
        <v>169</v>
      </c>
      <c r="H515" s="65" t="s">
        <v>294</v>
      </c>
      <c r="I515" s="66">
        <v>46194</v>
      </c>
      <c r="J515" s="66">
        <v>46210</v>
      </c>
      <c r="K515" s="65">
        <v>16</v>
      </c>
      <c r="L515" s="65" t="s">
        <v>192</v>
      </c>
      <c r="M515" s="65" t="s">
        <v>184</v>
      </c>
      <c r="N515" s="65" t="b">
        <f>FALSE()</f>
        <v>0</v>
      </c>
      <c r="O515" s="65"/>
      <c r="P515" s="65"/>
      <c r="Q515" s="65" t="s">
        <v>236</v>
      </c>
      <c r="R515" s="65" t="s">
        <v>237</v>
      </c>
      <c r="S515" s="65"/>
      <c r="T515" s="65" t="b">
        <f>FALSE()</f>
        <v>0</v>
      </c>
      <c r="U515" s="65" t="b">
        <f>FALSE()</f>
        <v>0</v>
      </c>
      <c r="V515" s="65">
        <v>282</v>
      </c>
      <c r="W515" s="67" t="s">
        <v>610</v>
      </c>
      <c r="X515" s="65">
        <v>429</v>
      </c>
      <c r="Y515" s="68">
        <v>2.66</v>
      </c>
      <c r="Z515" s="65" t="b">
        <f>FALSE()</f>
        <v>0</v>
      </c>
      <c r="AA515" s="65" t="b">
        <f>TRUE()</f>
        <v>1</v>
      </c>
      <c r="AB515" s="65" t="b">
        <f>FALSE()</f>
        <v>0</v>
      </c>
      <c r="AC515" s="65" t="b">
        <f>FALSE()</f>
        <v>0</v>
      </c>
      <c r="AD515" s="65" t="b">
        <f>TRUE()</f>
        <v>1</v>
      </c>
      <c r="AE515" s="65">
        <v>3</v>
      </c>
      <c r="AF515" s="69">
        <v>42.9</v>
      </c>
      <c r="AG515" s="65" t="s">
        <v>73</v>
      </c>
      <c r="AH515" s="65" t="s">
        <v>1816</v>
      </c>
      <c r="AI515">
        <f>IF(AND(OR(Company_Explorer!$B$5="All Companies",$E515=Company_Explorer!$B$5),OR(Company_Explorer!$B$6="All Platforms",$B515=Company_Explorer!$B$6),OR(Company_Explorer!$B$7="All Roles",$D515=Company_Explorer!$B$7),OR(Company_Explorer!$B$8="All Ghost Labels",$AG515=Company_Explorer!$B$8)),1,0)</f>
        <v>0</v>
      </c>
    </row>
    <row r="516" spans="1:35" ht="15" customHeight="1" x14ac:dyDescent="0.3">
      <c r="A516" s="60" t="s">
        <v>1817</v>
      </c>
      <c r="B516" s="60" t="s">
        <v>80</v>
      </c>
      <c r="C516" s="60" t="s">
        <v>258</v>
      </c>
      <c r="D516" s="60" t="s">
        <v>125</v>
      </c>
      <c r="E516" s="60" t="s">
        <v>141</v>
      </c>
      <c r="F516" s="60" t="b">
        <f>TRUE()</f>
        <v>1</v>
      </c>
      <c r="G516" s="60" t="s">
        <v>171</v>
      </c>
      <c r="H516" s="60" t="s">
        <v>254</v>
      </c>
      <c r="I516" s="61">
        <v>46198</v>
      </c>
      <c r="J516" s="61">
        <v>46210</v>
      </c>
      <c r="K516" s="60">
        <v>12</v>
      </c>
      <c r="L516" s="60" t="s">
        <v>192</v>
      </c>
      <c r="M516" s="60" t="s">
        <v>184</v>
      </c>
      <c r="N516" s="60" t="b">
        <f>FALSE()</f>
        <v>0</v>
      </c>
      <c r="O516" s="60"/>
      <c r="P516" s="60"/>
      <c r="Q516" s="60" t="s">
        <v>236</v>
      </c>
      <c r="R516" s="60" t="s">
        <v>237</v>
      </c>
      <c r="S516" s="60"/>
      <c r="T516" s="60" t="b">
        <f>FALSE()</f>
        <v>0</v>
      </c>
      <c r="U516" s="60" t="b">
        <f>FALSE()</f>
        <v>0</v>
      </c>
      <c r="V516" s="60">
        <v>251</v>
      </c>
      <c r="W516" s="62" t="s">
        <v>259</v>
      </c>
      <c r="X516" s="60">
        <v>429</v>
      </c>
      <c r="Y516" s="63">
        <v>2.66</v>
      </c>
      <c r="Z516" s="60" t="b">
        <f>FALSE()</f>
        <v>0</v>
      </c>
      <c r="AA516" s="60" t="b">
        <f>TRUE()</f>
        <v>1</v>
      </c>
      <c r="AB516" s="60" t="b">
        <f>TRUE()</f>
        <v>1</v>
      </c>
      <c r="AC516" s="60" t="b">
        <f>FALSE()</f>
        <v>0</v>
      </c>
      <c r="AD516" s="60" t="b">
        <f>TRUE()</f>
        <v>1</v>
      </c>
      <c r="AE516" s="60">
        <v>4</v>
      </c>
      <c r="AF516" s="64">
        <v>57.1</v>
      </c>
      <c r="AG516" s="60" t="s">
        <v>72</v>
      </c>
      <c r="AH516" s="60" t="s">
        <v>1818</v>
      </c>
      <c r="AI516">
        <f>IF(AND(OR(Company_Explorer!$B$5="All Companies",$E516=Company_Explorer!$B$5),OR(Company_Explorer!$B$6="All Platforms",$B516=Company_Explorer!$B$6),OR(Company_Explorer!$B$7="All Roles",$D516=Company_Explorer!$B$7),OR(Company_Explorer!$B$8="All Ghost Labels",$AG516=Company_Explorer!$B$8)),1,0)</f>
        <v>0</v>
      </c>
    </row>
    <row r="517" spans="1:35" ht="15" customHeight="1" x14ac:dyDescent="0.3">
      <c r="A517" s="65" t="s">
        <v>1819</v>
      </c>
      <c r="B517" s="65" t="s">
        <v>80</v>
      </c>
      <c r="C517" s="65" t="s">
        <v>258</v>
      </c>
      <c r="D517" s="65" t="s">
        <v>125</v>
      </c>
      <c r="E517" s="65" t="s">
        <v>141</v>
      </c>
      <c r="F517" s="65" t="b">
        <f>TRUE()</f>
        <v>1</v>
      </c>
      <c r="G517" s="65" t="s">
        <v>174</v>
      </c>
      <c r="H517" s="65" t="s">
        <v>302</v>
      </c>
      <c r="I517" s="66">
        <v>46198</v>
      </c>
      <c r="J517" s="66">
        <v>46210</v>
      </c>
      <c r="K517" s="65">
        <v>12</v>
      </c>
      <c r="L517" s="65" t="s">
        <v>192</v>
      </c>
      <c r="M517" s="65" t="s">
        <v>184</v>
      </c>
      <c r="N517" s="65" t="b">
        <f>FALSE()</f>
        <v>0</v>
      </c>
      <c r="O517" s="65"/>
      <c r="P517" s="65"/>
      <c r="Q517" s="65" t="s">
        <v>236</v>
      </c>
      <c r="R517" s="65" t="s">
        <v>237</v>
      </c>
      <c r="S517" s="65"/>
      <c r="T517" s="65" t="b">
        <f>FALSE()</f>
        <v>0</v>
      </c>
      <c r="U517" s="65" t="b">
        <f>FALSE()</f>
        <v>0</v>
      </c>
      <c r="V517" s="65">
        <v>251</v>
      </c>
      <c r="W517" s="67" t="s">
        <v>259</v>
      </c>
      <c r="X517" s="65">
        <v>429</v>
      </c>
      <c r="Y517" s="68">
        <v>2.66</v>
      </c>
      <c r="Z517" s="65" t="b">
        <f>FALSE()</f>
        <v>0</v>
      </c>
      <c r="AA517" s="65" t="b">
        <f>TRUE()</f>
        <v>1</v>
      </c>
      <c r="AB517" s="65" t="b">
        <f>TRUE()</f>
        <v>1</v>
      </c>
      <c r="AC517" s="65" t="b">
        <f>FALSE()</f>
        <v>0</v>
      </c>
      <c r="AD517" s="65" t="b">
        <f>TRUE()</f>
        <v>1</v>
      </c>
      <c r="AE517" s="65">
        <v>4</v>
      </c>
      <c r="AF517" s="69">
        <v>57.1</v>
      </c>
      <c r="AG517" s="65" t="s">
        <v>72</v>
      </c>
      <c r="AH517" s="65" t="s">
        <v>1820</v>
      </c>
      <c r="AI517">
        <f>IF(AND(OR(Company_Explorer!$B$5="All Companies",$E517=Company_Explorer!$B$5),OR(Company_Explorer!$B$6="All Platforms",$B517=Company_Explorer!$B$6),OR(Company_Explorer!$B$7="All Roles",$D517=Company_Explorer!$B$7),OR(Company_Explorer!$B$8="All Ghost Labels",$AG517=Company_Explorer!$B$8)),1,0)</f>
        <v>0</v>
      </c>
    </row>
    <row r="518" spans="1:35" ht="15" customHeight="1" x14ac:dyDescent="0.3">
      <c r="A518" s="60" t="s">
        <v>1821</v>
      </c>
      <c r="B518" s="60" t="s">
        <v>80</v>
      </c>
      <c r="C518" s="60" t="s">
        <v>258</v>
      </c>
      <c r="D518" s="60" t="s">
        <v>125</v>
      </c>
      <c r="E518" s="60" t="s">
        <v>141</v>
      </c>
      <c r="F518" s="60" t="b">
        <f>TRUE()</f>
        <v>1</v>
      </c>
      <c r="G518" s="60" t="s">
        <v>171</v>
      </c>
      <c r="H518" s="60" t="s">
        <v>254</v>
      </c>
      <c r="I518" s="61">
        <v>46198</v>
      </c>
      <c r="J518" s="61">
        <v>46210</v>
      </c>
      <c r="K518" s="60">
        <v>12</v>
      </c>
      <c r="L518" s="60" t="s">
        <v>192</v>
      </c>
      <c r="M518" s="60" t="s">
        <v>184</v>
      </c>
      <c r="N518" s="60" t="b">
        <f>FALSE()</f>
        <v>0</v>
      </c>
      <c r="O518" s="60"/>
      <c r="P518" s="60"/>
      <c r="Q518" s="60" t="s">
        <v>236</v>
      </c>
      <c r="R518" s="60" t="s">
        <v>237</v>
      </c>
      <c r="S518" s="60"/>
      <c r="T518" s="60" t="b">
        <f>FALSE()</f>
        <v>0</v>
      </c>
      <c r="U518" s="60" t="b">
        <f>FALSE()</f>
        <v>0</v>
      </c>
      <c r="V518" s="60">
        <v>251</v>
      </c>
      <c r="W518" s="62" t="s">
        <v>259</v>
      </c>
      <c r="X518" s="60">
        <v>429</v>
      </c>
      <c r="Y518" s="63">
        <v>2.66</v>
      </c>
      <c r="Z518" s="60" t="b">
        <f>FALSE()</f>
        <v>0</v>
      </c>
      <c r="AA518" s="60" t="b">
        <f>TRUE()</f>
        <v>1</v>
      </c>
      <c r="AB518" s="60" t="b">
        <f>TRUE()</f>
        <v>1</v>
      </c>
      <c r="AC518" s="60" t="b">
        <f>FALSE()</f>
        <v>0</v>
      </c>
      <c r="AD518" s="60" t="b">
        <f>TRUE()</f>
        <v>1</v>
      </c>
      <c r="AE518" s="60">
        <v>4</v>
      </c>
      <c r="AF518" s="64">
        <v>57.1</v>
      </c>
      <c r="AG518" s="60" t="s">
        <v>72</v>
      </c>
      <c r="AH518" s="60" t="s">
        <v>1822</v>
      </c>
      <c r="AI518">
        <f>IF(AND(OR(Company_Explorer!$B$5="All Companies",$E518=Company_Explorer!$B$5),OR(Company_Explorer!$B$6="All Platforms",$B518=Company_Explorer!$B$6),OR(Company_Explorer!$B$7="All Roles",$D518=Company_Explorer!$B$7),OR(Company_Explorer!$B$8="All Ghost Labels",$AG518=Company_Explorer!$B$8)),1,0)</f>
        <v>0</v>
      </c>
    </row>
    <row r="519" spans="1:35" ht="15" customHeight="1" x14ac:dyDescent="0.3">
      <c r="A519" s="65" t="s">
        <v>1823</v>
      </c>
      <c r="B519" s="65" t="s">
        <v>80</v>
      </c>
      <c r="C519" s="65" t="s">
        <v>258</v>
      </c>
      <c r="D519" s="65" t="s">
        <v>125</v>
      </c>
      <c r="E519" s="65" t="s">
        <v>141</v>
      </c>
      <c r="F519" s="65" t="b">
        <f>TRUE()</f>
        <v>1</v>
      </c>
      <c r="G519" s="65" t="s">
        <v>167</v>
      </c>
      <c r="H519" s="65" t="s">
        <v>276</v>
      </c>
      <c r="I519" s="66">
        <v>46203</v>
      </c>
      <c r="J519" s="66">
        <v>46210</v>
      </c>
      <c r="K519" s="65">
        <v>7</v>
      </c>
      <c r="L519" s="65" t="s">
        <v>192</v>
      </c>
      <c r="M519" s="65" t="s">
        <v>184</v>
      </c>
      <c r="N519" s="65" t="b">
        <f>FALSE()</f>
        <v>0</v>
      </c>
      <c r="O519" s="65"/>
      <c r="P519" s="65"/>
      <c r="Q519" s="65" t="s">
        <v>236</v>
      </c>
      <c r="R519" s="65" t="s">
        <v>237</v>
      </c>
      <c r="S519" s="65"/>
      <c r="T519" s="65" t="b">
        <f>FALSE()</f>
        <v>0</v>
      </c>
      <c r="U519" s="65" t="b">
        <f>FALSE()</f>
        <v>0</v>
      </c>
      <c r="V519" s="65">
        <v>293</v>
      </c>
      <c r="W519" s="67" t="s">
        <v>259</v>
      </c>
      <c r="X519" s="65">
        <v>429</v>
      </c>
      <c r="Y519" s="68">
        <v>2.66</v>
      </c>
      <c r="Z519" s="65" t="b">
        <f>FALSE()</f>
        <v>0</v>
      </c>
      <c r="AA519" s="65" t="b">
        <f>TRUE()</f>
        <v>1</v>
      </c>
      <c r="AB519" s="65" t="b">
        <f>FALSE()</f>
        <v>0</v>
      </c>
      <c r="AC519" s="65" t="b">
        <f>FALSE()</f>
        <v>0</v>
      </c>
      <c r="AD519" s="65" t="b">
        <f>TRUE()</f>
        <v>1</v>
      </c>
      <c r="AE519" s="65">
        <v>3</v>
      </c>
      <c r="AF519" s="69">
        <v>42.9</v>
      </c>
      <c r="AG519" s="65" t="s">
        <v>73</v>
      </c>
      <c r="AH519" s="65" t="s">
        <v>1824</v>
      </c>
      <c r="AI519">
        <f>IF(AND(OR(Company_Explorer!$B$5="All Companies",$E519=Company_Explorer!$B$5),OR(Company_Explorer!$B$6="All Platforms",$B519=Company_Explorer!$B$6),OR(Company_Explorer!$B$7="All Roles",$D519=Company_Explorer!$B$7),OR(Company_Explorer!$B$8="All Ghost Labels",$AG519=Company_Explorer!$B$8)),1,0)</f>
        <v>0</v>
      </c>
    </row>
    <row r="520" spans="1:35" ht="15" customHeight="1" x14ac:dyDescent="0.3">
      <c r="A520" s="60" t="s">
        <v>1825</v>
      </c>
      <c r="B520" s="60" t="s">
        <v>80</v>
      </c>
      <c r="C520" s="60" t="s">
        <v>258</v>
      </c>
      <c r="D520" s="60" t="s">
        <v>125</v>
      </c>
      <c r="E520" s="60" t="s">
        <v>141</v>
      </c>
      <c r="F520" s="60" t="b">
        <f>TRUE()</f>
        <v>1</v>
      </c>
      <c r="G520" s="60" t="s">
        <v>169</v>
      </c>
      <c r="H520" s="60" t="s">
        <v>294</v>
      </c>
      <c r="I520" s="61">
        <v>46198</v>
      </c>
      <c r="J520" s="61">
        <v>46210</v>
      </c>
      <c r="K520" s="60">
        <v>12</v>
      </c>
      <c r="L520" s="60" t="s">
        <v>192</v>
      </c>
      <c r="M520" s="60" t="s">
        <v>184</v>
      </c>
      <c r="N520" s="60" t="b">
        <f>FALSE()</f>
        <v>0</v>
      </c>
      <c r="O520" s="60"/>
      <c r="P520" s="60"/>
      <c r="Q520" s="60" t="s">
        <v>236</v>
      </c>
      <c r="R520" s="60" t="s">
        <v>237</v>
      </c>
      <c r="S520" s="60"/>
      <c r="T520" s="60" t="b">
        <f>FALSE()</f>
        <v>0</v>
      </c>
      <c r="U520" s="60" t="b">
        <f>FALSE()</f>
        <v>0</v>
      </c>
      <c r="V520" s="60">
        <v>267</v>
      </c>
      <c r="W520" s="62" t="s">
        <v>259</v>
      </c>
      <c r="X520" s="60">
        <v>429</v>
      </c>
      <c r="Y520" s="63">
        <v>2.66</v>
      </c>
      <c r="Z520" s="60" t="b">
        <f>FALSE()</f>
        <v>0</v>
      </c>
      <c r="AA520" s="60" t="b">
        <f>TRUE()</f>
        <v>1</v>
      </c>
      <c r="AB520" s="60" t="b">
        <f>TRUE()</f>
        <v>1</v>
      </c>
      <c r="AC520" s="60" t="b">
        <f>FALSE()</f>
        <v>0</v>
      </c>
      <c r="AD520" s="60" t="b">
        <f>TRUE()</f>
        <v>1</v>
      </c>
      <c r="AE520" s="60">
        <v>4</v>
      </c>
      <c r="AF520" s="64">
        <v>57.1</v>
      </c>
      <c r="AG520" s="60" t="s">
        <v>72</v>
      </c>
      <c r="AH520" s="60" t="s">
        <v>1826</v>
      </c>
      <c r="AI520">
        <f>IF(AND(OR(Company_Explorer!$B$5="All Companies",$E520=Company_Explorer!$B$5),OR(Company_Explorer!$B$6="All Platforms",$B520=Company_Explorer!$B$6),OR(Company_Explorer!$B$7="All Roles",$D520=Company_Explorer!$B$7),OR(Company_Explorer!$B$8="All Ghost Labels",$AG520=Company_Explorer!$B$8)),1,0)</f>
        <v>0</v>
      </c>
    </row>
    <row r="521" spans="1:35" ht="15" customHeight="1" x14ac:dyDescent="0.3">
      <c r="A521" s="65" t="s">
        <v>1827</v>
      </c>
      <c r="B521" s="65" t="s">
        <v>80</v>
      </c>
      <c r="C521" s="65" t="s">
        <v>258</v>
      </c>
      <c r="D521" s="65" t="s">
        <v>125</v>
      </c>
      <c r="E521" s="65" t="s">
        <v>141</v>
      </c>
      <c r="F521" s="65" t="b">
        <f>TRUE()</f>
        <v>1</v>
      </c>
      <c r="G521" s="65" t="s">
        <v>166</v>
      </c>
      <c r="H521" s="65" t="s">
        <v>235</v>
      </c>
      <c r="I521" s="66">
        <v>46198</v>
      </c>
      <c r="J521" s="66">
        <v>46210</v>
      </c>
      <c r="K521" s="65">
        <v>12</v>
      </c>
      <c r="L521" s="65" t="s">
        <v>192</v>
      </c>
      <c r="M521" s="65" t="s">
        <v>184</v>
      </c>
      <c r="N521" s="65" t="b">
        <f>FALSE()</f>
        <v>0</v>
      </c>
      <c r="O521" s="65"/>
      <c r="P521" s="65"/>
      <c r="Q521" s="65" t="s">
        <v>236</v>
      </c>
      <c r="R521" s="65" t="s">
        <v>237</v>
      </c>
      <c r="S521" s="65"/>
      <c r="T521" s="65" t="b">
        <f>FALSE()</f>
        <v>0</v>
      </c>
      <c r="U521" s="65" t="b">
        <f>FALSE()</f>
        <v>0</v>
      </c>
      <c r="V521" s="65">
        <v>272</v>
      </c>
      <c r="W521" s="67" t="s">
        <v>259</v>
      </c>
      <c r="X521" s="65">
        <v>429</v>
      </c>
      <c r="Y521" s="68">
        <v>2.66</v>
      </c>
      <c r="Z521" s="65" t="b">
        <f>FALSE()</f>
        <v>0</v>
      </c>
      <c r="AA521" s="65" t="b">
        <f>TRUE()</f>
        <v>1</v>
      </c>
      <c r="AB521" s="65" t="b">
        <f>TRUE()</f>
        <v>1</v>
      </c>
      <c r="AC521" s="65" t="b">
        <f>FALSE()</f>
        <v>0</v>
      </c>
      <c r="AD521" s="65" t="b">
        <f>TRUE()</f>
        <v>1</v>
      </c>
      <c r="AE521" s="65">
        <v>4</v>
      </c>
      <c r="AF521" s="69">
        <v>57.1</v>
      </c>
      <c r="AG521" s="65" t="s">
        <v>72</v>
      </c>
      <c r="AH521" s="65" t="s">
        <v>1828</v>
      </c>
      <c r="AI521">
        <f>IF(AND(OR(Company_Explorer!$B$5="All Companies",$E521=Company_Explorer!$B$5),OR(Company_Explorer!$B$6="All Platforms",$B521=Company_Explorer!$B$6),OR(Company_Explorer!$B$7="All Roles",$D521=Company_Explorer!$B$7),OR(Company_Explorer!$B$8="All Ghost Labels",$AG521=Company_Explorer!$B$8)),1,0)</f>
        <v>0</v>
      </c>
    </row>
    <row r="522" spans="1:35" ht="15" customHeight="1" x14ac:dyDescent="0.3">
      <c r="A522" s="60" t="s">
        <v>1829</v>
      </c>
      <c r="B522" s="60" t="s">
        <v>80</v>
      </c>
      <c r="C522" s="60" t="s">
        <v>258</v>
      </c>
      <c r="D522" s="60" t="s">
        <v>125</v>
      </c>
      <c r="E522" s="60" t="s">
        <v>141</v>
      </c>
      <c r="F522" s="60" t="b">
        <f>TRUE()</f>
        <v>1</v>
      </c>
      <c r="G522" s="60" t="s">
        <v>166</v>
      </c>
      <c r="H522" s="60" t="s">
        <v>235</v>
      </c>
      <c r="I522" s="61">
        <v>46203</v>
      </c>
      <c r="J522" s="61">
        <v>46210</v>
      </c>
      <c r="K522" s="60">
        <v>7</v>
      </c>
      <c r="L522" s="60" t="s">
        <v>192</v>
      </c>
      <c r="M522" s="60" t="s">
        <v>184</v>
      </c>
      <c r="N522" s="60" t="b">
        <f>FALSE()</f>
        <v>0</v>
      </c>
      <c r="O522" s="60"/>
      <c r="P522" s="60"/>
      <c r="Q522" s="60" t="s">
        <v>236</v>
      </c>
      <c r="R522" s="60" t="s">
        <v>237</v>
      </c>
      <c r="S522" s="60"/>
      <c r="T522" s="60" t="b">
        <f>FALSE()</f>
        <v>0</v>
      </c>
      <c r="U522" s="60" t="b">
        <f>FALSE()</f>
        <v>0</v>
      </c>
      <c r="V522" s="60">
        <v>325</v>
      </c>
      <c r="W522" s="62" t="s">
        <v>259</v>
      </c>
      <c r="X522" s="60">
        <v>429</v>
      </c>
      <c r="Y522" s="63">
        <v>2.66</v>
      </c>
      <c r="Z522" s="60" t="b">
        <f>FALSE()</f>
        <v>0</v>
      </c>
      <c r="AA522" s="60" t="b">
        <f>TRUE()</f>
        <v>1</v>
      </c>
      <c r="AB522" s="60" t="b">
        <f>FALSE()</f>
        <v>0</v>
      </c>
      <c r="AC522" s="60" t="b">
        <f>FALSE()</f>
        <v>0</v>
      </c>
      <c r="AD522" s="60" t="b">
        <f>TRUE()</f>
        <v>1</v>
      </c>
      <c r="AE522" s="60">
        <v>3</v>
      </c>
      <c r="AF522" s="64">
        <v>42.9</v>
      </c>
      <c r="AG522" s="60" t="s">
        <v>73</v>
      </c>
      <c r="AH522" s="60" t="s">
        <v>1830</v>
      </c>
      <c r="AI522">
        <f>IF(AND(OR(Company_Explorer!$B$5="All Companies",$E522=Company_Explorer!$B$5),OR(Company_Explorer!$B$6="All Platforms",$B522=Company_Explorer!$B$6),OR(Company_Explorer!$B$7="All Roles",$D522=Company_Explorer!$B$7),OR(Company_Explorer!$B$8="All Ghost Labels",$AG522=Company_Explorer!$B$8)),1,0)</f>
        <v>0</v>
      </c>
    </row>
    <row r="523" spans="1:35" ht="15" customHeight="1" x14ac:dyDescent="0.3">
      <c r="A523" s="65" t="s">
        <v>1831</v>
      </c>
      <c r="B523" s="65" t="s">
        <v>80</v>
      </c>
      <c r="C523" s="65" t="s">
        <v>315</v>
      </c>
      <c r="D523" s="65" t="s">
        <v>126</v>
      </c>
      <c r="E523" s="65" t="s">
        <v>1832</v>
      </c>
      <c r="F523" s="65" t="b">
        <f>TRUE()</f>
        <v>1</v>
      </c>
      <c r="G523" s="65" t="s">
        <v>166</v>
      </c>
      <c r="H523" s="65" t="s">
        <v>235</v>
      </c>
      <c r="I523" s="66">
        <v>46201</v>
      </c>
      <c r="J523" s="66">
        <v>46210</v>
      </c>
      <c r="K523" s="65">
        <v>9</v>
      </c>
      <c r="L523" s="65" t="s">
        <v>192</v>
      </c>
      <c r="M523" s="65" t="s">
        <v>184</v>
      </c>
      <c r="N523" s="65" t="b">
        <f>FALSE()</f>
        <v>0</v>
      </c>
      <c r="O523" s="65"/>
      <c r="P523" s="65"/>
      <c r="Q523" s="65" t="s">
        <v>236</v>
      </c>
      <c r="R523" s="65" t="s">
        <v>237</v>
      </c>
      <c r="S523" s="65"/>
      <c r="T523" s="65" t="b">
        <f>FALSE()</f>
        <v>0</v>
      </c>
      <c r="U523" s="65" t="b">
        <f>FALSE()</f>
        <v>0</v>
      </c>
      <c r="V523" s="65">
        <v>358</v>
      </c>
      <c r="W523" s="67" t="s">
        <v>1833</v>
      </c>
      <c r="X523" s="65">
        <v>1</v>
      </c>
      <c r="Y523" s="68">
        <v>0.01</v>
      </c>
      <c r="Z523" s="65" t="b">
        <f>FALSE()</f>
        <v>0</v>
      </c>
      <c r="AA523" s="65" t="b">
        <f>TRUE()</f>
        <v>1</v>
      </c>
      <c r="AB523" s="65" t="b">
        <f>FALSE()</f>
        <v>0</v>
      </c>
      <c r="AC523" s="65" t="b">
        <f>FALSE()</f>
        <v>0</v>
      </c>
      <c r="AD523" s="65" t="b">
        <f>FALSE()</f>
        <v>0</v>
      </c>
      <c r="AE523" s="65">
        <v>1</v>
      </c>
      <c r="AF523" s="69">
        <v>14.3</v>
      </c>
      <c r="AG523" s="65" t="s">
        <v>74</v>
      </c>
      <c r="AH523" s="65" t="s">
        <v>1834</v>
      </c>
      <c r="AI523">
        <f>IF(AND(OR(Company_Explorer!$B$5="All Companies",$E523=Company_Explorer!$B$5),OR(Company_Explorer!$B$6="All Platforms",$B523=Company_Explorer!$B$6),OR(Company_Explorer!$B$7="All Roles",$D523=Company_Explorer!$B$7),OR(Company_Explorer!$B$8="All Ghost Labels",$AG523=Company_Explorer!$B$8)),1,0)</f>
        <v>0</v>
      </c>
    </row>
    <row r="524" spans="1:35" ht="15" customHeight="1" x14ac:dyDescent="0.3">
      <c r="A524" s="60" t="s">
        <v>1835</v>
      </c>
      <c r="B524" s="60" t="s">
        <v>80</v>
      </c>
      <c r="C524" s="60" t="s">
        <v>258</v>
      </c>
      <c r="D524" s="60" t="s">
        <v>125</v>
      </c>
      <c r="E524" s="60" t="s">
        <v>141</v>
      </c>
      <c r="F524" s="60" t="b">
        <f>TRUE()</f>
        <v>1</v>
      </c>
      <c r="G524" s="60" t="s">
        <v>166</v>
      </c>
      <c r="H524" s="60" t="s">
        <v>235</v>
      </c>
      <c r="I524" s="61">
        <v>46198</v>
      </c>
      <c r="J524" s="61">
        <v>46210</v>
      </c>
      <c r="K524" s="60">
        <v>12</v>
      </c>
      <c r="L524" s="60" t="s">
        <v>192</v>
      </c>
      <c r="M524" s="60" t="s">
        <v>184</v>
      </c>
      <c r="N524" s="60" t="b">
        <f>FALSE()</f>
        <v>0</v>
      </c>
      <c r="O524" s="60"/>
      <c r="P524" s="60"/>
      <c r="Q524" s="60" t="s">
        <v>236</v>
      </c>
      <c r="R524" s="60" t="s">
        <v>237</v>
      </c>
      <c r="S524" s="60"/>
      <c r="T524" s="60" t="b">
        <f>FALSE()</f>
        <v>0</v>
      </c>
      <c r="U524" s="60" t="b">
        <f>FALSE()</f>
        <v>0</v>
      </c>
      <c r="V524" s="60">
        <v>315</v>
      </c>
      <c r="W524" s="62" t="s">
        <v>259</v>
      </c>
      <c r="X524" s="60">
        <v>429</v>
      </c>
      <c r="Y524" s="63">
        <v>2.66</v>
      </c>
      <c r="Z524" s="60" t="b">
        <f>FALSE()</f>
        <v>0</v>
      </c>
      <c r="AA524" s="60" t="b">
        <f>TRUE()</f>
        <v>1</v>
      </c>
      <c r="AB524" s="60" t="b">
        <f>FALSE()</f>
        <v>0</v>
      </c>
      <c r="AC524" s="60" t="b">
        <f>FALSE()</f>
        <v>0</v>
      </c>
      <c r="AD524" s="60" t="b">
        <f>TRUE()</f>
        <v>1</v>
      </c>
      <c r="AE524" s="60">
        <v>3</v>
      </c>
      <c r="AF524" s="64">
        <v>42.9</v>
      </c>
      <c r="AG524" s="60" t="s">
        <v>73</v>
      </c>
      <c r="AH524" s="60" t="s">
        <v>1836</v>
      </c>
      <c r="AI524">
        <f>IF(AND(OR(Company_Explorer!$B$5="All Companies",$E524=Company_Explorer!$B$5),OR(Company_Explorer!$B$6="All Platforms",$B524=Company_Explorer!$B$6),OR(Company_Explorer!$B$7="All Roles",$D524=Company_Explorer!$B$7),OR(Company_Explorer!$B$8="All Ghost Labels",$AG524=Company_Explorer!$B$8)),1,0)</f>
        <v>0</v>
      </c>
    </row>
    <row r="525" spans="1:35" ht="15" customHeight="1" x14ac:dyDescent="0.3">
      <c r="A525" s="65" t="s">
        <v>1837</v>
      </c>
      <c r="B525" s="65" t="s">
        <v>80</v>
      </c>
      <c r="C525" s="65" t="s">
        <v>1838</v>
      </c>
      <c r="D525" s="65" t="s">
        <v>131</v>
      </c>
      <c r="E525" s="65" t="s">
        <v>1839</v>
      </c>
      <c r="F525" s="65" t="b">
        <f>TRUE()</f>
        <v>1</v>
      </c>
      <c r="G525" s="65" t="s">
        <v>166</v>
      </c>
      <c r="H525" s="65" t="s">
        <v>235</v>
      </c>
      <c r="I525" s="66">
        <v>46153</v>
      </c>
      <c r="J525" s="66">
        <v>46210</v>
      </c>
      <c r="K525" s="65">
        <v>57</v>
      </c>
      <c r="L525" s="65" t="s">
        <v>192</v>
      </c>
      <c r="M525" s="65" t="s">
        <v>185</v>
      </c>
      <c r="N525" s="65" t="b">
        <f>FALSE()</f>
        <v>0</v>
      </c>
      <c r="O525" s="65"/>
      <c r="P525" s="65"/>
      <c r="Q525" s="65" t="s">
        <v>236</v>
      </c>
      <c r="R525" s="65" t="s">
        <v>237</v>
      </c>
      <c r="S525" s="65"/>
      <c r="T525" s="65" t="b">
        <f>FALSE()</f>
        <v>0</v>
      </c>
      <c r="U525" s="65" t="b">
        <f>FALSE()</f>
        <v>0</v>
      </c>
      <c r="V525" s="65">
        <v>1647</v>
      </c>
      <c r="W525" s="67" t="s">
        <v>1840</v>
      </c>
      <c r="X525" s="65">
        <v>2</v>
      </c>
      <c r="Y525" s="68">
        <v>0.01</v>
      </c>
      <c r="Z525" s="65" t="b">
        <f>FALSE()</f>
        <v>0</v>
      </c>
      <c r="AA525" s="65" t="b">
        <f>TRUE()</f>
        <v>1</v>
      </c>
      <c r="AB525" s="65" t="b">
        <f>FALSE()</f>
        <v>0</v>
      </c>
      <c r="AC525" s="65" t="b">
        <f>TRUE()</f>
        <v>1</v>
      </c>
      <c r="AD525" s="65" t="b">
        <f>FALSE()</f>
        <v>0</v>
      </c>
      <c r="AE525" s="65">
        <v>2</v>
      </c>
      <c r="AF525" s="69">
        <v>28.6</v>
      </c>
      <c r="AG525" s="65" t="s">
        <v>73</v>
      </c>
      <c r="AH525" s="65" t="s">
        <v>1841</v>
      </c>
      <c r="AI525">
        <f>IF(AND(OR(Company_Explorer!$B$5="All Companies",$E525=Company_Explorer!$B$5),OR(Company_Explorer!$B$6="All Platforms",$B525=Company_Explorer!$B$6),OR(Company_Explorer!$B$7="All Roles",$D525=Company_Explorer!$B$7),OR(Company_Explorer!$B$8="All Ghost Labels",$AG525=Company_Explorer!$B$8)),1,0)</f>
        <v>0</v>
      </c>
    </row>
    <row r="526" spans="1:35" ht="15" customHeight="1" x14ac:dyDescent="0.3">
      <c r="A526" s="60" t="s">
        <v>1842</v>
      </c>
      <c r="B526" s="60" t="s">
        <v>80</v>
      </c>
      <c r="C526" s="60" t="s">
        <v>258</v>
      </c>
      <c r="D526" s="60" t="s">
        <v>125</v>
      </c>
      <c r="E526" s="60" t="s">
        <v>141</v>
      </c>
      <c r="F526" s="60" t="b">
        <f>TRUE()</f>
        <v>1</v>
      </c>
      <c r="G526" s="60" t="s">
        <v>172</v>
      </c>
      <c r="H526" s="60" t="s">
        <v>276</v>
      </c>
      <c r="I526" s="61">
        <v>46198</v>
      </c>
      <c r="J526" s="61">
        <v>46210</v>
      </c>
      <c r="K526" s="60">
        <v>12</v>
      </c>
      <c r="L526" s="60" t="s">
        <v>192</v>
      </c>
      <c r="M526" s="60" t="s">
        <v>184</v>
      </c>
      <c r="N526" s="60" t="b">
        <f>FALSE()</f>
        <v>0</v>
      </c>
      <c r="O526" s="60"/>
      <c r="P526" s="60"/>
      <c r="Q526" s="60" t="s">
        <v>236</v>
      </c>
      <c r="R526" s="60" t="s">
        <v>237</v>
      </c>
      <c r="S526" s="60"/>
      <c r="T526" s="60" t="b">
        <f>FALSE()</f>
        <v>0</v>
      </c>
      <c r="U526" s="60" t="b">
        <f>FALSE()</f>
        <v>0</v>
      </c>
      <c r="V526" s="60">
        <v>282</v>
      </c>
      <c r="W526" s="62" t="s">
        <v>259</v>
      </c>
      <c r="X526" s="60">
        <v>429</v>
      </c>
      <c r="Y526" s="63">
        <v>2.66</v>
      </c>
      <c r="Z526" s="60" t="b">
        <f>FALSE()</f>
        <v>0</v>
      </c>
      <c r="AA526" s="60" t="b">
        <f>TRUE()</f>
        <v>1</v>
      </c>
      <c r="AB526" s="60" t="b">
        <f>FALSE()</f>
        <v>0</v>
      </c>
      <c r="AC526" s="60" t="b">
        <f>FALSE()</f>
        <v>0</v>
      </c>
      <c r="AD526" s="60" t="b">
        <f>TRUE()</f>
        <v>1</v>
      </c>
      <c r="AE526" s="60">
        <v>3</v>
      </c>
      <c r="AF526" s="64">
        <v>42.9</v>
      </c>
      <c r="AG526" s="60" t="s">
        <v>73</v>
      </c>
      <c r="AH526" s="60" t="s">
        <v>1843</v>
      </c>
      <c r="AI526">
        <f>IF(AND(OR(Company_Explorer!$B$5="All Companies",$E526=Company_Explorer!$B$5),OR(Company_Explorer!$B$6="All Platforms",$B526=Company_Explorer!$B$6),OR(Company_Explorer!$B$7="All Roles",$D526=Company_Explorer!$B$7),OR(Company_Explorer!$B$8="All Ghost Labels",$AG526=Company_Explorer!$B$8)),1,0)</f>
        <v>0</v>
      </c>
    </row>
    <row r="527" spans="1:35" ht="15" customHeight="1" x14ac:dyDescent="0.3">
      <c r="A527" s="65" t="s">
        <v>1844</v>
      </c>
      <c r="B527" s="65" t="s">
        <v>80</v>
      </c>
      <c r="C527" s="65" t="s">
        <v>516</v>
      </c>
      <c r="D527" s="65" t="s">
        <v>126</v>
      </c>
      <c r="E527" s="65" t="s">
        <v>155</v>
      </c>
      <c r="F527" s="65" t="b">
        <f>TRUE()</f>
        <v>1</v>
      </c>
      <c r="G527" s="65" t="s">
        <v>169</v>
      </c>
      <c r="H527" s="65" t="s">
        <v>294</v>
      </c>
      <c r="I527" s="66">
        <v>46205</v>
      </c>
      <c r="J527" s="66">
        <v>46210</v>
      </c>
      <c r="K527" s="65">
        <v>5</v>
      </c>
      <c r="L527" s="65" t="s">
        <v>192</v>
      </c>
      <c r="M527" s="65" t="s">
        <v>184</v>
      </c>
      <c r="N527" s="65" t="b">
        <f>FALSE()</f>
        <v>0</v>
      </c>
      <c r="O527" s="65"/>
      <c r="P527" s="65"/>
      <c r="Q527" s="65" t="s">
        <v>236</v>
      </c>
      <c r="R527" s="65" t="s">
        <v>237</v>
      </c>
      <c r="S527" s="65"/>
      <c r="T527" s="65" t="b">
        <f>FALSE()</f>
        <v>0</v>
      </c>
      <c r="U527" s="65" t="b">
        <f>FALSE()</f>
        <v>0</v>
      </c>
      <c r="V527" s="65">
        <v>677</v>
      </c>
      <c r="W527" s="67" t="s">
        <v>517</v>
      </c>
      <c r="X527" s="65">
        <v>16</v>
      </c>
      <c r="Y527" s="68">
        <v>0.1</v>
      </c>
      <c r="Z527" s="65" t="b">
        <f>FALSE()</f>
        <v>0</v>
      </c>
      <c r="AA527" s="65" t="b">
        <f>TRUE()</f>
        <v>1</v>
      </c>
      <c r="AB527" s="65" t="b">
        <f>FALSE()</f>
        <v>0</v>
      </c>
      <c r="AC527" s="65" t="b">
        <f>FALSE()</f>
        <v>0</v>
      </c>
      <c r="AD527" s="65" t="b">
        <f>FALSE()</f>
        <v>0</v>
      </c>
      <c r="AE527" s="65">
        <v>1</v>
      </c>
      <c r="AF527" s="69">
        <v>14.3</v>
      </c>
      <c r="AG527" s="65" t="s">
        <v>74</v>
      </c>
      <c r="AH527" s="65" t="s">
        <v>1845</v>
      </c>
      <c r="AI527">
        <f>IF(AND(OR(Company_Explorer!$B$5="All Companies",$E527=Company_Explorer!$B$5),OR(Company_Explorer!$B$6="All Platforms",$B527=Company_Explorer!$B$6),OR(Company_Explorer!$B$7="All Roles",$D527=Company_Explorer!$B$7),OR(Company_Explorer!$B$8="All Ghost Labels",$AG527=Company_Explorer!$B$8)),1,0)</f>
        <v>0</v>
      </c>
    </row>
    <row r="528" spans="1:35" ht="15" customHeight="1" x14ac:dyDescent="0.3">
      <c r="A528" s="60" t="s">
        <v>1846</v>
      </c>
      <c r="B528" s="60" t="s">
        <v>80</v>
      </c>
      <c r="C528" s="60" t="s">
        <v>258</v>
      </c>
      <c r="D528" s="60" t="s">
        <v>125</v>
      </c>
      <c r="E528" s="60" t="s">
        <v>141</v>
      </c>
      <c r="F528" s="60" t="b">
        <f>TRUE()</f>
        <v>1</v>
      </c>
      <c r="G528" s="60" t="s">
        <v>173</v>
      </c>
      <c r="H528" s="60" t="s">
        <v>827</v>
      </c>
      <c r="I528" s="61">
        <v>46199</v>
      </c>
      <c r="J528" s="61">
        <v>46210</v>
      </c>
      <c r="K528" s="60">
        <v>11</v>
      </c>
      <c r="L528" s="60" t="s">
        <v>192</v>
      </c>
      <c r="M528" s="60" t="s">
        <v>184</v>
      </c>
      <c r="N528" s="60" t="b">
        <f>FALSE()</f>
        <v>0</v>
      </c>
      <c r="O528" s="60"/>
      <c r="P528" s="60"/>
      <c r="Q528" s="60" t="s">
        <v>236</v>
      </c>
      <c r="R528" s="60" t="s">
        <v>237</v>
      </c>
      <c r="S528" s="60"/>
      <c r="T528" s="60" t="b">
        <f>FALSE()</f>
        <v>0</v>
      </c>
      <c r="U528" s="60" t="b">
        <f>FALSE()</f>
        <v>0</v>
      </c>
      <c r="V528" s="60">
        <v>284</v>
      </c>
      <c r="W528" s="62" t="s">
        <v>259</v>
      </c>
      <c r="X528" s="60">
        <v>429</v>
      </c>
      <c r="Y528" s="63">
        <v>2.66</v>
      </c>
      <c r="Z528" s="60" t="b">
        <f>FALSE()</f>
        <v>0</v>
      </c>
      <c r="AA528" s="60" t="b">
        <f>TRUE()</f>
        <v>1</v>
      </c>
      <c r="AB528" s="60" t="b">
        <f>FALSE()</f>
        <v>0</v>
      </c>
      <c r="AC528" s="60" t="b">
        <f>FALSE()</f>
        <v>0</v>
      </c>
      <c r="AD528" s="60" t="b">
        <f>TRUE()</f>
        <v>1</v>
      </c>
      <c r="AE528" s="60">
        <v>3</v>
      </c>
      <c r="AF528" s="64">
        <v>42.9</v>
      </c>
      <c r="AG528" s="60" t="s">
        <v>73</v>
      </c>
      <c r="AH528" s="60" t="s">
        <v>1847</v>
      </c>
      <c r="AI528">
        <f>IF(AND(OR(Company_Explorer!$B$5="All Companies",$E528=Company_Explorer!$B$5),OR(Company_Explorer!$B$6="All Platforms",$B528=Company_Explorer!$B$6),OR(Company_Explorer!$B$7="All Roles",$D528=Company_Explorer!$B$7),OR(Company_Explorer!$B$8="All Ghost Labels",$AG528=Company_Explorer!$B$8)),1,0)</f>
        <v>0</v>
      </c>
    </row>
    <row r="529" spans="1:35" ht="15" customHeight="1" x14ac:dyDescent="0.3">
      <c r="A529" s="65" t="s">
        <v>1848</v>
      </c>
      <c r="B529" s="65" t="s">
        <v>80</v>
      </c>
      <c r="C529" s="65" t="s">
        <v>258</v>
      </c>
      <c r="D529" s="65" t="s">
        <v>125</v>
      </c>
      <c r="E529" s="65" t="s">
        <v>141</v>
      </c>
      <c r="F529" s="65" t="b">
        <f>TRUE()</f>
        <v>1</v>
      </c>
      <c r="G529" s="65" t="s">
        <v>169</v>
      </c>
      <c r="H529" s="65" t="s">
        <v>294</v>
      </c>
      <c r="I529" s="66">
        <v>46199</v>
      </c>
      <c r="J529" s="66">
        <v>46210</v>
      </c>
      <c r="K529" s="65">
        <v>11</v>
      </c>
      <c r="L529" s="65" t="s">
        <v>192</v>
      </c>
      <c r="M529" s="65" t="s">
        <v>184</v>
      </c>
      <c r="N529" s="65" t="b">
        <f>FALSE()</f>
        <v>0</v>
      </c>
      <c r="O529" s="65"/>
      <c r="P529" s="65"/>
      <c r="Q529" s="65" t="s">
        <v>236</v>
      </c>
      <c r="R529" s="65" t="s">
        <v>237</v>
      </c>
      <c r="S529" s="65"/>
      <c r="T529" s="65" t="b">
        <f>FALSE()</f>
        <v>0</v>
      </c>
      <c r="U529" s="65" t="b">
        <f>FALSE()</f>
        <v>0</v>
      </c>
      <c r="V529" s="65">
        <v>310</v>
      </c>
      <c r="W529" s="67" t="s">
        <v>259</v>
      </c>
      <c r="X529" s="65">
        <v>429</v>
      </c>
      <c r="Y529" s="68">
        <v>2.66</v>
      </c>
      <c r="Z529" s="65" t="b">
        <f>FALSE()</f>
        <v>0</v>
      </c>
      <c r="AA529" s="65" t="b">
        <f>TRUE()</f>
        <v>1</v>
      </c>
      <c r="AB529" s="65" t="b">
        <f>FALSE()</f>
        <v>0</v>
      </c>
      <c r="AC529" s="65" t="b">
        <f>FALSE()</f>
        <v>0</v>
      </c>
      <c r="AD529" s="65" t="b">
        <f>TRUE()</f>
        <v>1</v>
      </c>
      <c r="AE529" s="65">
        <v>3</v>
      </c>
      <c r="AF529" s="69">
        <v>42.9</v>
      </c>
      <c r="AG529" s="65" t="s">
        <v>73</v>
      </c>
      <c r="AH529" s="65" t="s">
        <v>1849</v>
      </c>
      <c r="AI529">
        <f>IF(AND(OR(Company_Explorer!$B$5="All Companies",$E529=Company_Explorer!$B$5),OR(Company_Explorer!$B$6="All Platforms",$B529=Company_Explorer!$B$6),OR(Company_Explorer!$B$7="All Roles",$D529=Company_Explorer!$B$7),OR(Company_Explorer!$B$8="All Ghost Labels",$AG529=Company_Explorer!$B$8)),1,0)</f>
        <v>0</v>
      </c>
    </row>
    <row r="530" spans="1:35" ht="15" customHeight="1" x14ac:dyDescent="0.3">
      <c r="A530" s="60" t="s">
        <v>1850</v>
      </c>
      <c r="B530" s="60" t="s">
        <v>80</v>
      </c>
      <c r="C530" s="60" t="s">
        <v>258</v>
      </c>
      <c r="D530" s="60" t="s">
        <v>125</v>
      </c>
      <c r="E530" s="60" t="s">
        <v>141</v>
      </c>
      <c r="F530" s="60" t="b">
        <f>TRUE()</f>
        <v>1</v>
      </c>
      <c r="G530" s="60" t="s">
        <v>171</v>
      </c>
      <c r="H530" s="60" t="s">
        <v>254</v>
      </c>
      <c r="I530" s="61">
        <v>46198</v>
      </c>
      <c r="J530" s="61">
        <v>46210</v>
      </c>
      <c r="K530" s="60">
        <v>12</v>
      </c>
      <c r="L530" s="60" t="s">
        <v>192</v>
      </c>
      <c r="M530" s="60" t="s">
        <v>184</v>
      </c>
      <c r="N530" s="60" t="b">
        <f>FALSE()</f>
        <v>0</v>
      </c>
      <c r="O530" s="60"/>
      <c r="P530" s="60"/>
      <c r="Q530" s="60" t="s">
        <v>236</v>
      </c>
      <c r="R530" s="60" t="s">
        <v>237</v>
      </c>
      <c r="S530" s="60"/>
      <c r="T530" s="60" t="b">
        <f>FALSE()</f>
        <v>0</v>
      </c>
      <c r="U530" s="60" t="b">
        <f>FALSE()</f>
        <v>0</v>
      </c>
      <c r="V530" s="60">
        <v>251</v>
      </c>
      <c r="W530" s="62" t="s">
        <v>259</v>
      </c>
      <c r="X530" s="60">
        <v>429</v>
      </c>
      <c r="Y530" s="63">
        <v>2.66</v>
      </c>
      <c r="Z530" s="60" t="b">
        <f>FALSE()</f>
        <v>0</v>
      </c>
      <c r="AA530" s="60" t="b">
        <f>TRUE()</f>
        <v>1</v>
      </c>
      <c r="AB530" s="60" t="b">
        <f>TRUE()</f>
        <v>1</v>
      </c>
      <c r="AC530" s="60" t="b">
        <f>FALSE()</f>
        <v>0</v>
      </c>
      <c r="AD530" s="60" t="b">
        <f>TRUE()</f>
        <v>1</v>
      </c>
      <c r="AE530" s="60">
        <v>4</v>
      </c>
      <c r="AF530" s="64">
        <v>57.1</v>
      </c>
      <c r="AG530" s="60" t="s">
        <v>72</v>
      </c>
      <c r="AH530" s="60" t="s">
        <v>1851</v>
      </c>
      <c r="AI530">
        <f>IF(AND(OR(Company_Explorer!$B$5="All Companies",$E530=Company_Explorer!$B$5),OR(Company_Explorer!$B$6="All Platforms",$B530=Company_Explorer!$B$6),OR(Company_Explorer!$B$7="All Roles",$D530=Company_Explorer!$B$7),OR(Company_Explorer!$B$8="All Ghost Labels",$AG530=Company_Explorer!$B$8)),1,0)</f>
        <v>0</v>
      </c>
    </row>
    <row r="531" spans="1:35" ht="15" customHeight="1" x14ac:dyDescent="0.3">
      <c r="A531" s="65" t="s">
        <v>1852</v>
      </c>
      <c r="B531" s="65" t="s">
        <v>80</v>
      </c>
      <c r="C531" s="65" t="s">
        <v>258</v>
      </c>
      <c r="D531" s="65" t="s">
        <v>125</v>
      </c>
      <c r="E531" s="65" t="s">
        <v>141</v>
      </c>
      <c r="F531" s="65" t="b">
        <f>TRUE()</f>
        <v>1</v>
      </c>
      <c r="G531" s="65" t="s">
        <v>169</v>
      </c>
      <c r="H531" s="65" t="s">
        <v>294</v>
      </c>
      <c r="I531" s="66">
        <v>46199</v>
      </c>
      <c r="J531" s="66">
        <v>46210</v>
      </c>
      <c r="K531" s="65">
        <v>11</v>
      </c>
      <c r="L531" s="65" t="s">
        <v>192</v>
      </c>
      <c r="M531" s="65" t="s">
        <v>184</v>
      </c>
      <c r="N531" s="65" t="b">
        <f>FALSE()</f>
        <v>0</v>
      </c>
      <c r="O531" s="65"/>
      <c r="P531" s="65"/>
      <c r="Q531" s="65" t="s">
        <v>236</v>
      </c>
      <c r="R531" s="65" t="s">
        <v>237</v>
      </c>
      <c r="S531" s="65"/>
      <c r="T531" s="65" t="b">
        <f>FALSE()</f>
        <v>0</v>
      </c>
      <c r="U531" s="65" t="b">
        <f>FALSE()</f>
        <v>0</v>
      </c>
      <c r="V531" s="65">
        <v>310</v>
      </c>
      <c r="W531" s="67" t="s">
        <v>259</v>
      </c>
      <c r="X531" s="65">
        <v>429</v>
      </c>
      <c r="Y531" s="68">
        <v>2.66</v>
      </c>
      <c r="Z531" s="65" t="b">
        <f>FALSE()</f>
        <v>0</v>
      </c>
      <c r="AA531" s="65" t="b">
        <f>TRUE()</f>
        <v>1</v>
      </c>
      <c r="AB531" s="65" t="b">
        <f>FALSE()</f>
        <v>0</v>
      </c>
      <c r="AC531" s="65" t="b">
        <f>FALSE()</f>
        <v>0</v>
      </c>
      <c r="AD531" s="65" t="b">
        <f>TRUE()</f>
        <v>1</v>
      </c>
      <c r="AE531" s="65">
        <v>3</v>
      </c>
      <c r="AF531" s="69">
        <v>42.9</v>
      </c>
      <c r="AG531" s="65" t="s">
        <v>73</v>
      </c>
      <c r="AH531" s="65" t="s">
        <v>1853</v>
      </c>
      <c r="AI531">
        <f>IF(AND(OR(Company_Explorer!$B$5="All Companies",$E531=Company_Explorer!$B$5),OR(Company_Explorer!$B$6="All Platforms",$B531=Company_Explorer!$B$6),OR(Company_Explorer!$B$7="All Roles",$D531=Company_Explorer!$B$7),OR(Company_Explorer!$B$8="All Ghost Labels",$AG531=Company_Explorer!$B$8)),1,0)</f>
        <v>0</v>
      </c>
    </row>
    <row r="532" spans="1:35" ht="15" customHeight="1" x14ac:dyDescent="0.3">
      <c r="A532" s="60" t="s">
        <v>1854</v>
      </c>
      <c r="B532" s="60" t="s">
        <v>80</v>
      </c>
      <c r="C532" s="60" t="s">
        <v>258</v>
      </c>
      <c r="D532" s="60" t="s">
        <v>125</v>
      </c>
      <c r="E532" s="60" t="s">
        <v>141</v>
      </c>
      <c r="F532" s="60" t="b">
        <f>TRUE()</f>
        <v>1</v>
      </c>
      <c r="G532" s="60" t="s">
        <v>166</v>
      </c>
      <c r="H532" s="60" t="s">
        <v>235</v>
      </c>
      <c r="I532" s="61">
        <v>46198</v>
      </c>
      <c r="J532" s="61">
        <v>46210</v>
      </c>
      <c r="K532" s="60">
        <v>12</v>
      </c>
      <c r="L532" s="60" t="s">
        <v>192</v>
      </c>
      <c r="M532" s="60" t="s">
        <v>184</v>
      </c>
      <c r="N532" s="60" t="b">
        <f>FALSE()</f>
        <v>0</v>
      </c>
      <c r="O532" s="60"/>
      <c r="P532" s="60"/>
      <c r="Q532" s="60" t="s">
        <v>236</v>
      </c>
      <c r="R532" s="60" t="s">
        <v>237</v>
      </c>
      <c r="S532" s="60"/>
      <c r="T532" s="60" t="b">
        <f>FALSE()</f>
        <v>0</v>
      </c>
      <c r="U532" s="60" t="b">
        <f>FALSE()</f>
        <v>0</v>
      </c>
      <c r="V532" s="60">
        <v>311</v>
      </c>
      <c r="W532" s="62" t="s">
        <v>259</v>
      </c>
      <c r="X532" s="60">
        <v>429</v>
      </c>
      <c r="Y532" s="63">
        <v>2.66</v>
      </c>
      <c r="Z532" s="60" t="b">
        <f>FALSE()</f>
        <v>0</v>
      </c>
      <c r="AA532" s="60" t="b">
        <f>TRUE()</f>
        <v>1</v>
      </c>
      <c r="AB532" s="60" t="b">
        <f>FALSE()</f>
        <v>0</v>
      </c>
      <c r="AC532" s="60" t="b">
        <f>FALSE()</f>
        <v>0</v>
      </c>
      <c r="AD532" s="60" t="b">
        <f>TRUE()</f>
        <v>1</v>
      </c>
      <c r="AE532" s="60">
        <v>3</v>
      </c>
      <c r="AF532" s="64">
        <v>42.9</v>
      </c>
      <c r="AG532" s="60" t="s">
        <v>73</v>
      </c>
      <c r="AH532" s="60" t="s">
        <v>1855</v>
      </c>
      <c r="AI532">
        <f>IF(AND(OR(Company_Explorer!$B$5="All Companies",$E532=Company_Explorer!$B$5),OR(Company_Explorer!$B$6="All Platforms",$B532=Company_Explorer!$B$6),OR(Company_Explorer!$B$7="All Roles",$D532=Company_Explorer!$B$7),OR(Company_Explorer!$B$8="All Ghost Labels",$AG532=Company_Explorer!$B$8)),1,0)</f>
        <v>0</v>
      </c>
    </row>
    <row r="533" spans="1:35" ht="15" customHeight="1" x14ac:dyDescent="0.3">
      <c r="A533" s="65" t="s">
        <v>1856</v>
      </c>
      <c r="B533" s="65" t="s">
        <v>80</v>
      </c>
      <c r="C533" s="65" t="s">
        <v>258</v>
      </c>
      <c r="D533" s="65" t="s">
        <v>125</v>
      </c>
      <c r="E533" s="65" t="s">
        <v>141</v>
      </c>
      <c r="F533" s="65" t="b">
        <f>TRUE()</f>
        <v>1</v>
      </c>
      <c r="G533" s="65" t="s">
        <v>166</v>
      </c>
      <c r="H533" s="65" t="s">
        <v>235</v>
      </c>
      <c r="I533" s="66">
        <v>46199</v>
      </c>
      <c r="J533" s="66">
        <v>46210</v>
      </c>
      <c r="K533" s="65">
        <v>11</v>
      </c>
      <c r="L533" s="65" t="s">
        <v>192</v>
      </c>
      <c r="M533" s="65" t="s">
        <v>184</v>
      </c>
      <c r="N533" s="65" t="b">
        <f>FALSE()</f>
        <v>0</v>
      </c>
      <c r="O533" s="65"/>
      <c r="P533" s="65"/>
      <c r="Q533" s="65" t="s">
        <v>236</v>
      </c>
      <c r="R533" s="65" t="s">
        <v>237</v>
      </c>
      <c r="S533" s="65"/>
      <c r="T533" s="65" t="b">
        <f>FALSE()</f>
        <v>0</v>
      </c>
      <c r="U533" s="65" t="b">
        <f>FALSE()</f>
        <v>0</v>
      </c>
      <c r="V533" s="65">
        <v>311</v>
      </c>
      <c r="W533" s="67" t="s">
        <v>259</v>
      </c>
      <c r="X533" s="65">
        <v>429</v>
      </c>
      <c r="Y533" s="68">
        <v>2.66</v>
      </c>
      <c r="Z533" s="65" t="b">
        <f>FALSE()</f>
        <v>0</v>
      </c>
      <c r="AA533" s="65" t="b">
        <f>TRUE()</f>
        <v>1</v>
      </c>
      <c r="AB533" s="65" t="b">
        <f>FALSE()</f>
        <v>0</v>
      </c>
      <c r="AC533" s="65" t="b">
        <f>FALSE()</f>
        <v>0</v>
      </c>
      <c r="AD533" s="65" t="b">
        <f>TRUE()</f>
        <v>1</v>
      </c>
      <c r="AE533" s="65">
        <v>3</v>
      </c>
      <c r="AF533" s="69">
        <v>42.9</v>
      </c>
      <c r="AG533" s="65" t="s">
        <v>73</v>
      </c>
      <c r="AH533" s="65" t="s">
        <v>1857</v>
      </c>
      <c r="AI533">
        <f>IF(AND(OR(Company_Explorer!$B$5="All Companies",$E533=Company_Explorer!$B$5),OR(Company_Explorer!$B$6="All Platforms",$B533=Company_Explorer!$B$6),OR(Company_Explorer!$B$7="All Roles",$D533=Company_Explorer!$B$7),OR(Company_Explorer!$B$8="All Ghost Labels",$AG533=Company_Explorer!$B$8)),1,0)</f>
        <v>0</v>
      </c>
    </row>
    <row r="534" spans="1:35" ht="15" customHeight="1" x14ac:dyDescent="0.3">
      <c r="A534" s="60" t="s">
        <v>1858</v>
      </c>
      <c r="B534" s="60" t="s">
        <v>80</v>
      </c>
      <c r="C534" s="60" t="s">
        <v>258</v>
      </c>
      <c r="D534" s="60" t="s">
        <v>125</v>
      </c>
      <c r="E534" s="60" t="s">
        <v>141</v>
      </c>
      <c r="F534" s="60" t="b">
        <f>TRUE()</f>
        <v>1</v>
      </c>
      <c r="G534" s="60" t="s">
        <v>166</v>
      </c>
      <c r="H534" s="60" t="s">
        <v>235</v>
      </c>
      <c r="I534" s="61">
        <v>46199</v>
      </c>
      <c r="J534" s="61">
        <v>46210</v>
      </c>
      <c r="K534" s="60">
        <v>11</v>
      </c>
      <c r="L534" s="60" t="s">
        <v>192</v>
      </c>
      <c r="M534" s="60" t="s">
        <v>184</v>
      </c>
      <c r="N534" s="60" t="b">
        <f>FALSE()</f>
        <v>0</v>
      </c>
      <c r="O534" s="60"/>
      <c r="P534" s="60"/>
      <c r="Q534" s="60" t="s">
        <v>236</v>
      </c>
      <c r="R534" s="60" t="s">
        <v>237</v>
      </c>
      <c r="S534" s="60"/>
      <c r="T534" s="60" t="b">
        <f>FALSE()</f>
        <v>0</v>
      </c>
      <c r="U534" s="60" t="b">
        <f>FALSE()</f>
        <v>0</v>
      </c>
      <c r="V534" s="60">
        <v>311</v>
      </c>
      <c r="W534" s="62" t="s">
        <v>259</v>
      </c>
      <c r="X534" s="60">
        <v>429</v>
      </c>
      <c r="Y534" s="63">
        <v>2.66</v>
      </c>
      <c r="Z534" s="60" t="b">
        <f>FALSE()</f>
        <v>0</v>
      </c>
      <c r="AA534" s="60" t="b">
        <f>TRUE()</f>
        <v>1</v>
      </c>
      <c r="AB534" s="60" t="b">
        <f>FALSE()</f>
        <v>0</v>
      </c>
      <c r="AC534" s="60" t="b">
        <f>FALSE()</f>
        <v>0</v>
      </c>
      <c r="AD534" s="60" t="b">
        <f>TRUE()</f>
        <v>1</v>
      </c>
      <c r="AE534" s="60">
        <v>3</v>
      </c>
      <c r="AF534" s="64">
        <v>42.9</v>
      </c>
      <c r="AG534" s="60" t="s">
        <v>73</v>
      </c>
      <c r="AH534" s="60" t="s">
        <v>1859</v>
      </c>
      <c r="AI534">
        <f>IF(AND(OR(Company_Explorer!$B$5="All Companies",$E534=Company_Explorer!$B$5),OR(Company_Explorer!$B$6="All Platforms",$B534=Company_Explorer!$B$6),OR(Company_Explorer!$B$7="All Roles",$D534=Company_Explorer!$B$7),OR(Company_Explorer!$B$8="All Ghost Labels",$AG534=Company_Explorer!$B$8)),1,0)</f>
        <v>0</v>
      </c>
    </row>
    <row r="535" spans="1:35" ht="15" customHeight="1" x14ac:dyDescent="0.3">
      <c r="A535" s="65" t="s">
        <v>1860</v>
      </c>
      <c r="B535" s="65" t="s">
        <v>80</v>
      </c>
      <c r="C535" s="65" t="s">
        <v>623</v>
      </c>
      <c r="D535" s="65" t="s">
        <v>125</v>
      </c>
      <c r="E535" s="65" t="s">
        <v>624</v>
      </c>
      <c r="F535" s="65" t="b">
        <f>TRUE()</f>
        <v>1</v>
      </c>
      <c r="G535" s="65" t="s">
        <v>235</v>
      </c>
      <c r="H535" s="65" t="s">
        <v>178</v>
      </c>
      <c r="I535" s="66">
        <v>46181</v>
      </c>
      <c r="J535" s="66">
        <v>46210</v>
      </c>
      <c r="K535" s="65">
        <v>29</v>
      </c>
      <c r="L535" s="65" t="s">
        <v>192</v>
      </c>
      <c r="M535" s="65" t="s">
        <v>185</v>
      </c>
      <c r="N535" s="65" t="b">
        <f>FALSE()</f>
        <v>0</v>
      </c>
      <c r="O535" s="65"/>
      <c r="P535" s="65"/>
      <c r="Q535" s="65" t="s">
        <v>236</v>
      </c>
      <c r="R535" s="65" t="s">
        <v>237</v>
      </c>
      <c r="S535" s="65"/>
      <c r="T535" s="65" t="b">
        <f>FALSE()</f>
        <v>0</v>
      </c>
      <c r="U535" s="65" t="b">
        <f>FALSE()</f>
        <v>0</v>
      </c>
      <c r="V535" s="65">
        <v>532</v>
      </c>
      <c r="W535" s="67" t="s">
        <v>1861</v>
      </c>
      <c r="X535" s="65">
        <v>4</v>
      </c>
      <c r="Y535" s="68">
        <v>0.02</v>
      </c>
      <c r="Z535" s="65" t="b">
        <f>FALSE()</f>
        <v>0</v>
      </c>
      <c r="AA535" s="65" t="b">
        <f>TRUE()</f>
        <v>1</v>
      </c>
      <c r="AB535" s="65" t="b">
        <f>FALSE()</f>
        <v>0</v>
      </c>
      <c r="AC535" s="65" t="b">
        <f>TRUE()</f>
        <v>1</v>
      </c>
      <c r="AD535" s="65" t="b">
        <f>FALSE()</f>
        <v>0</v>
      </c>
      <c r="AE535" s="65">
        <v>2</v>
      </c>
      <c r="AF535" s="69">
        <v>28.6</v>
      </c>
      <c r="AG535" s="65" t="s">
        <v>73</v>
      </c>
      <c r="AH535" s="65" t="s">
        <v>1862</v>
      </c>
      <c r="AI535">
        <f>IF(AND(OR(Company_Explorer!$B$5="All Companies",$E535=Company_Explorer!$B$5),OR(Company_Explorer!$B$6="All Platforms",$B535=Company_Explorer!$B$6),OR(Company_Explorer!$B$7="All Roles",$D535=Company_Explorer!$B$7),OR(Company_Explorer!$B$8="All Ghost Labels",$AG535=Company_Explorer!$B$8)),1,0)</f>
        <v>0</v>
      </c>
    </row>
    <row r="536" spans="1:35" ht="15" customHeight="1" x14ac:dyDescent="0.3">
      <c r="A536" s="60" t="s">
        <v>1863</v>
      </c>
      <c r="B536" s="60" t="s">
        <v>80</v>
      </c>
      <c r="C536" s="60" t="s">
        <v>345</v>
      </c>
      <c r="D536" s="60" t="s">
        <v>125</v>
      </c>
      <c r="E536" s="60" t="s">
        <v>1864</v>
      </c>
      <c r="F536" s="60" t="b">
        <f>TRUE()</f>
        <v>1</v>
      </c>
      <c r="G536" s="60" t="s">
        <v>1865</v>
      </c>
      <c r="H536" s="60" t="s">
        <v>165</v>
      </c>
      <c r="I536" s="61">
        <v>46184</v>
      </c>
      <c r="J536" s="61">
        <v>46210</v>
      </c>
      <c r="K536" s="60">
        <v>26</v>
      </c>
      <c r="L536" s="60" t="s">
        <v>192</v>
      </c>
      <c r="M536" s="60" t="s">
        <v>184</v>
      </c>
      <c r="N536" s="60" t="b">
        <f>FALSE()</f>
        <v>0</v>
      </c>
      <c r="O536" s="60"/>
      <c r="P536" s="60"/>
      <c r="Q536" s="60" t="s">
        <v>236</v>
      </c>
      <c r="R536" s="60" t="s">
        <v>237</v>
      </c>
      <c r="S536" s="60"/>
      <c r="T536" s="60" t="b">
        <f>FALSE()</f>
        <v>0</v>
      </c>
      <c r="U536" s="60" t="b">
        <f>FALSE()</f>
        <v>0</v>
      </c>
      <c r="V536" s="60">
        <v>152</v>
      </c>
      <c r="W536" s="62" t="s">
        <v>1866</v>
      </c>
      <c r="X536" s="60">
        <v>1</v>
      </c>
      <c r="Y536" s="63">
        <v>0.01</v>
      </c>
      <c r="Z536" s="60" t="b">
        <f>FALSE()</f>
        <v>0</v>
      </c>
      <c r="AA536" s="60" t="b">
        <f>TRUE()</f>
        <v>1</v>
      </c>
      <c r="AB536" s="60" t="b">
        <f>TRUE()</f>
        <v>1</v>
      </c>
      <c r="AC536" s="60" t="b">
        <f>TRUE()</f>
        <v>1</v>
      </c>
      <c r="AD536" s="60" t="b">
        <f>FALSE()</f>
        <v>0</v>
      </c>
      <c r="AE536" s="60">
        <v>3</v>
      </c>
      <c r="AF536" s="64">
        <v>42.9</v>
      </c>
      <c r="AG536" s="60" t="s">
        <v>73</v>
      </c>
      <c r="AH536" s="60" t="s">
        <v>1867</v>
      </c>
      <c r="AI536">
        <f>IF(AND(OR(Company_Explorer!$B$5="All Companies",$E536=Company_Explorer!$B$5),OR(Company_Explorer!$B$6="All Platforms",$B536=Company_Explorer!$B$6),OR(Company_Explorer!$B$7="All Roles",$D536=Company_Explorer!$B$7),OR(Company_Explorer!$B$8="All Ghost Labels",$AG536=Company_Explorer!$B$8)),1,0)</f>
        <v>0</v>
      </c>
    </row>
    <row r="537" spans="1:35" ht="15" customHeight="1" x14ac:dyDescent="0.3">
      <c r="A537" s="65" t="s">
        <v>1868</v>
      </c>
      <c r="B537" s="65" t="s">
        <v>80</v>
      </c>
      <c r="C537" s="65" t="s">
        <v>675</v>
      </c>
      <c r="D537" s="65" t="s">
        <v>125</v>
      </c>
      <c r="E537" s="65" t="s">
        <v>676</v>
      </c>
      <c r="F537" s="65" t="b">
        <f>TRUE()</f>
        <v>1</v>
      </c>
      <c r="G537" s="65" t="s">
        <v>174</v>
      </c>
      <c r="H537" s="65" t="s">
        <v>302</v>
      </c>
      <c r="I537" s="66">
        <v>46197</v>
      </c>
      <c r="J537" s="66">
        <v>46210</v>
      </c>
      <c r="K537" s="65">
        <v>13</v>
      </c>
      <c r="L537" s="65" t="s">
        <v>194</v>
      </c>
      <c r="M537" s="65" t="s">
        <v>186</v>
      </c>
      <c r="N537" s="65" t="b">
        <f>FALSE()</f>
        <v>0</v>
      </c>
      <c r="O537" s="65"/>
      <c r="P537" s="65"/>
      <c r="Q537" s="65" t="s">
        <v>236</v>
      </c>
      <c r="R537" s="65" t="s">
        <v>237</v>
      </c>
      <c r="S537" s="65"/>
      <c r="T537" s="65" t="b">
        <f>FALSE()</f>
        <v>0</v>
      </c>
      <c r="U537" s="65" t="b">
        <f>FALSE()</f>
        <v>0</v>
      </c>
      <c r="V537" s="65">
        <v>408</v>
      </c>
      <c r="W537" s="65" t="s">
        <v>677</v>
      </c>
      <c r="X537" s="65">
        <v>3</v>
      </c>
      <c r="Y537" s="68">
        <v>0.02</v>
      </c>
      <c r="Z537" s="65" t="b">
        <f>FALSE()</f>
        <v>0</v>
      </c>
      <c r="AA537" s="65" t="b">
        <f>TRUE()</f>
        <v>1</v>
      </c>
      <c r="AB537" s="65" t="b">
        <f>FALSE()</f>
        <v>0</v>
      </c>
      <c r="AC537" s="65" t="b">
        <f>FALSE()</f>
        <v>0</v>
      </c>
      <c r="AD537" s="65" t="b">
        <f>FALSE()</f>
        <v>0</v>
      </c>
      <c r="AE537" s="65">
        <v>1</v>
      </c>
      <c r="AF537" s="69">
        <v>14.3</v>
      </c>
      <c r="AG537" s="65" t="s">
        <v>74</v>
      </c>
      <c r="AH537" s="65" t="s">
        <v>1869</v>
      </c>
      <c r="AI537">
        <f>IF(AND(OR(Company_Explorer!$B$5="All Companies",$E537=Company_Explorer!$B$5),OR(Company_Explorer!$B$6="All Platforms",$B537=Company_Explorer!$B$6),OR(Company_Explorer!$B$7="All Roles",$D537=Company_Explorer!$B$7),OR(Company_Explorer!$B$8="All Ghost Labels",$AG537=Company_Explorer!$B$8)),1,0)</f>
        <v>0</v>
      </c>
    </row>
    <row r="538" spans="1:35" ht="15" customHeight="1" x14ac:dyDescent="0.3">
      <c r="A538" s="60" t="s">
        <v>1870</v>
      </c>
      <c r="B538" s="60" t="s">
        <v>80</v>
      </c>
      <c r="C538" s="60" t="s">
        <v>258</v>
      </c>
      <c r="D538" s="60" t="s">
        <v>125</v>
      </c>
      <c r="E538" s="60" t="s">
        <v>141</v>
      </c>
      <c r="F538" s="60" t="b">
        <f>TRUE()</f>
        <v>1</v>
      </c>
      <c r="G538" s="60" t="s">
        <v>166</v>
      </c>
      <c r="H538" s="60" t="s">
        <v>235</v>
      </c>
      <c r="I538" s="61">
        <v>46198</v>
      </c>
      <c r="J538" s="61">
        <v>46210</v>
      </c>
      <c r="K538" s="60">
        <v>12</v>
      </c>
      <c r="L538" s="60" t="s">
        <v>192</v>
      </c>
      <c r="M538" s="60" t="s">
        <v>184</v>
      </c>
      <c r="N538" s="60" t="b">
        <f>FALSE()</f>
        <v>0</v>
      </c>
      <c r="O538" s="60"/>
      <c r="P538" s="60"/>
      <c r="Q538" s="60" t="s">
        <v>236</v>
      </c>
      <c r="R538" s="60" t="s">
        <v>237</v>
      </c>
      <c r="S538" s="60"/>
      <c r="T538" s="60" t="b">
        <f>FALSE()</f>
        <v>0</v>
      </c>
      <c r="U538" s="60" t="b">
        <f>FALSE()</f>
        <v>0</v>
      </c>
      <c r="V538" s="60">
        <v>274</v>
      </c>
      <c r="W538" s="62" t="s">
        <v>259</v>
      </c>
      <c r="X538" s="60">
        <v>429</v>
      </c>
      <c r="Y538" s="63">
        <v>2.66</v>
      </c>
      <c r="Z538" s="60" t="b">
        <f>FALSE()</f>
        <v>0</v>
      </c>
      <c r="AA538" s="60" t="b">
        <f>TRUE()</f>
        <v>1</v>
      </c>
      <c r="AB538" s="60" t="b">
        <f>FALSE()</f>
        <v>0</v>
      </c>
      <c r="AC538" s="60" t="b">
        <f>FALSE()</f>
        <v>0</v>
      </c>
      <c r="AD538" s="60" t="b">
        <f>TRUE()</f>
        <v>1</v>
      </c>
      <c r="AE538" s="60">
        <v>3</v>
      </c>
      <c r="AF538" s="64">
        <v>42.9</v>
      </c>
      <c r="AG538" s="60" t="s">
        <v>73</v>
      </c>
      <c r="AH538" s="60" t="s">
        <v>1871</v>
      </c>
      <c r="AI538">
        <f>IF(AND(OR(Company_Explorer!$B$5="All Companies",$E538=Company_Explorer!$B$5),OR(Company_Explorer!$B$6="All Platforms",$B538=Company_Explorer!$B$6),OR(Company_Explorer!$B$7="All Roles",$D538=Company_Explorer!$B$7),OR(Company_Explorer!$B$8="All Ghost Labels",$AG538=Company_Explorer!$B$8)),1,0)</f>
        <v>0</v>
      </c>
    </row>
    <row r="539" spans="1:35" ht="15" customHeight="1" x14ac:dyDescent="0.3">
      <c r="A539" s="65" t="s">
        <v>1872</v>
      </c>
      <c r="B539" s="65" t="s">
        <v>80</v>
      </c>
      <c r="C539" s="65" t="s">
        <v>306</v>
      </c>
      <c r="D539" s="65" t="s">
        <v>125</v>
      </c>
      <c r="E539" s="65" t="s">
        <v>141</v>
      </c>
      <c r="F539" s="65" t="b">
        <f>TRUE()</f>
        <v>1</v>
      </c>
      <c r="G539" s="65" t="s">
        <v>166</v>
      </c>
      <c r="H539" s="65" t="s">
        <v>235</v>
      </c>
      <c r="I539" s="66">
        <v>46192</v>
      </c>
      <c r="J539" s="66">
        <v>46210</v>
      </c>
      <c r="K539" s="65">
        <v>18</v>
      </c>
      <c r="L539" s="65" t="s">
        <v>192</v>
      </c>
      <c r="M539" s="65" t="s">
        <v>184</v>
      </c>
      <c r="N539" s="65" t="b">
        <f>FALSE()</f>
        <v>0</v>
      </c>
      <c r="O539" s="65"/>
      <c r="P539" s="65"/>
      <c r="Q539" s="65" t="s">
        <v>236</v>
      </c>
      <c r="R539" s="65" t="s">
        <v>237</v>
      </c>
      <c r="S539" s="65"/>
      <c r="T539" s="65" t="b">
        <f>FALSE()</f>
        <v>0</v>
      </c>
      <c r="U539" s="65" t="b">
        <f>FALSE()</f>
        <v>0</v>
      </c>
      <c r="V539" s="65">
        <v>327</v>
      </c>
      <c r="W539" s="67" t="s">
        <v>307</v>
      </c>
      <c r="X539" s="65">
        <v>429</v>
      </c>
      <c r="Y539" s="68">
        <v>2.66</v>
      </c>
      <c r="Z539" s="65" t="b">
        <f>FALSE()</f>
        <v>0</v>
      </c>
      <c r="AA539" s="65" t="b">
        <f>TRUE()</f>
        <v>1</v>
      </c>
      <c r="AB539" s="65" t="b">
        <f>FALSE()</f>
        <v>0</v>
      </c>
      <c r="AC539" s="65" t="b">
        <f>FALSE()</f>
        <v>0</v>
      </c>
      <c r="AD539" s="65" t="b">
        <f>TRUE()</f>
        <v>1</v>
      </c>
      <c r="AE539" s="65">
        <v>3</v>
      </c>
      <c r="AF539" s="69">
        <v>42.9</v>
      </c>
      <c r="AG539" s="65" t="s">
        <v>73</v>
      </c>
      <c r="AH539" s="65" t="s">
        <v>1873</v>
      </c>
      <c r="AI539">
        <f>IF(AND(OR(Company_Explorer!$B$5="All Companies",$E539=Company_Explorer!$B$5),OR(Company_Explorer!$B$6="All Platforms",$B539=Company_Explorer!$B$6),OR(Company_Explorer!$B$7="All Roles",$D539=Company_Explorer!$B$7),OR(Company_Explorer!$B$8="All Ghost Labels",$AG539=Company_Explorer!$B$8)),1,0)</f>
        <v>0</v>
      </c>
    </row>
    <row r="540" spans="1:35" ht="15" customHeight="1" x14ac:dyDescent="0.3">
      <c r="A540" s="60" t="s">
        <v>1874</v>
      </c>
      <c r="B540" s="60" t="s">
        <v>80</v>
      </c>
      <c r="C540" s="60" t="s">
        <v>1875</v>
      </c>
      <c r="D540" s="60" t="s">
        <v>130</v>
      </c>
      <c r="E540" s="60" t="s">
        <v>1496</v>
      </c>
      <c r="F540" s="60" t="b">
        <f>TRUE()</f>
        <v>1</v>
      </c>
      <c r="G540" s="60" t="s">
        <v>166</v>
      </c>
      <c r="H540" s="60" t="s">
        <v>235</v>
      </c>
      <c r="I540" s="61">
        <v>46188</v>
      </c>
      <c r="J540" s="61">
        <v>46210</v>
      </c>
      <c r="K540" s="60">
        <v>22</v>
      </c>
      <c r="L540" s="60" t="s">
        <v>192</v>
      </c>
      <c r="M540" s="60" t="s">
        <v>185</v>
      </c>
      <c r="N540" s="60" t="b">
        <f>FALSE()</f>
        <v>0</v>
      </c>
      <c r="O540" s="60"/>
      <c r="P540" s="60"/>
      <c r="Q540" s="60" t="s">
        <v>236</v>
      </c>
      <c r="R540" s="60" t="s">
        <v>237</v>
      </c>
      <c r="S540" s="60"/>
      <c r="T540" s="60" t="b">
        <f>FALSE()</f>
        <v>0</v>
      </c>
      <c r="U540" s="60" t="b">
        <f>FALSE()</f>
        <v>0</v>
      </c>
      <c r="V540" s="60">
        <v>141</v>
      </c>
      <c r="W540" s="62" t="s">
        <v>1876</v>
      </c>
      <c r="X540" s="60">
        <v>2</v>
      </c>
      <c r="Y540" s="63">
        <v>0.01</v>
      </c>
      <c r="Z540" s="60" t="b">
        <f>FALSE()</f>
        <v>0</v>
      </c>
      <c r="AA540" s="60" t="b">
        <f>TRUE()</f>
        <v>1</v>
      </c>
      <c r="AB540" s="60" t="b">
        <f>TRUE()</f>
        <v>1</v>
      </c>
      <c r="AC540" s="60" t="b">
        <f>TRUE()</f>
        <v>1</v>
      </c>
      <c r="AD540" s="60" t="b">
        <f>FALSE()</f>
        <v>0</v>
      </c>
      <c r="AE540" s="60">
        <v>3</v>
      </c>
      <c r="AF540" s="64">
        <v>42.9</v>
      </c>
      <c r="AG540" s="60" t="s">
        <v>73</v>
      </c>
      <c r="AH540" s="60" t="s">
        <v>1877</v>
      </c>
      <c r="AI540">
        <f>IF(AND(OR(Company_Explorer!$B$5="All Companies",$E540=Company_Explorer!$B$5),OR(Company_Explorer!$B$6="All Platforms",$B540=Company_Explorer!$B$6),OR(Company_Explorer!$B$7="All Roles",$D540=Company_Explorer!$B$7),OR(Company_Explorer!$B$8="All Ghost Labels",$AG540=Company_Explorer!$B$8)),1,0)</f>
        <v>0</v>
      </c>
    </row>
    <row r="541" spans="1:35" ht="15" customHeight="1" x14ac:dyDescent="0.3">
      <c r="A541" s="65" t="s">
        <v>1878</v>
      </c>
      <c r="B541" s="65" t="s">
        <v>80</v>
      </c>
      <c r="C541" s="65" t="s">
        <v>1879</v>
      </c>
      <c r="D541" s="65" t="s">
        <v>126</v>
      </c>
      <c r="E541" s="65" t="s">
        <v>1880</v>
      </c>
      <c r="F541" s="65" t="b">
        <f>TRUE()</f>
        <v>1</v>
      </c>
      <c r="G541" s="65" t="s">
        <v>166</v>
      </c>
      <c r="H541" s="65" t="s">
        <v>235</v>
      </c>
      <c r="I541" s="66">
        <v>46192</v>
      </c>
      <c r="J541" s="66">
        <v>46210</v>
      </c>
      <c r="K541" s="65">
        <v>18</v>
      </c>
      <c r="L541" s="65" t="s">
        <v>192</v>
      </c>
      <c r="M541" s="65" t="s">
        <v>186</v>
      </c>
      <c r="N541" s="65" t="b">
        <f>FALSE()</f>
        <v>0</v>
      </c>
      <c r="O541" s="65"/>
      <c r="P541" s="65"/>
      <c r="Q541" s="65" t="s">
        <v>236</v>
      </c>
      <c r="R541" s="65" t="s">
        <v>237</v>
      </c>
      <c r="S541" s="65"/>
      <c r="T541" s="65" t="b">
        <f>FALSE()</f>
        <v>0</v>
      </c>
      <c r="U541" s="65" t="b">
        <f>FALSE()</f>
        <v>0</v>
      </c>
      <c r="V541" s="65">
        <v>494</v>
      </c>
      <c r="W541" s="65" t="s">
        <v>1881</v>
      </c>
      <c r="X541" s="65">
        <v>1</v>
      </c>
      <c r="Y541" s="68">
        <v>0.01</v>
      </c>
      <c r="Z541" s="65" t="b">
        <f>FALSE()</f>
        <v>0</v>
      </c>
      <c r="AA541" s="65" t="b">
        <f>TRUE()</f>
        <v>1</v>
      </c>
      <c r="AB541" s="65" t="b">
        <f>FALSE()</f>
        <v>0</v>
      </c>
      <c r="AC541" s="65" t="b">
        <f>FALSE()</f>
        <v>0</v>
      </c>
      <c r="AD541" s="65" t="b">
        <f>FALSE()</f>
        <v>0</v>
      </c>
      <c r="AE541" s="65">
        <v>1</v>
      </c>
      <c r="AF541" s="69">
        <v>14.3</v>
      </c>
      <c r="AG541" s="65" t="s">
        <v>74</v>
      </c>
      <c r="AH541" s="65" t="s">
        <v>1882</v>
      </c>
      <c r="AI541">
        <f>IF(AND(OR(Company_Explorer!$B$5="All Companies",$E541=Company_Explorer!$B$5),OR(Company_Explorer!$B$6="All Platforms",$B541=Company_Explorer!$B$6),OR(Company_Explorer!$B$7="All Roles",$D541=Company_Explorer!$B$7),OR(Company_Explorer!$B$8="All Ghost Labels",$AG541=Company_Explorer!$B$8)),1,0)</f>
        <v>0</v>
      </c>
    </row>
    <row r="542" spans="1:35" ht="15" customHeight="1" x14ac:dyDescent="0.3">
      <c r="A542" s="60" t="s">
        <v>1883</v>
      </c>
      <c r="B542" s="60" t="s">
        <v>80</v>
      </c>
      <c r="C542" s="60" t="s">
        <v>1884</v>
      </c>
      <c r="D542" s="60" t="s">
        <v>131</v>
      </c>
      <c r="E542" s="60" t="s">
        <v>1885</v>
      </c>
      <c r="F542" s="60" t="b">
        <f>TRUE()</f>
        <v>1</v>
      </c>
      <c r="G542" s="60" t="s">
        <v>753</v>
      </c>
      <c r="H542" s="60" t="s">
        <v>754</v>
      </c>
      <c r="I542" s="61">
        <v>46111</v>
      </c>
      <c r="J542" s="61">
        <v>46210</v>
      </c>
      <c r="K542" s="60">
        <v>99</v>
      </c>
      <c r="L542" s="60" t="s">
        <v>192</v>
      </c>
      <c r="M542" s="60" t="s">
        <v>184</v>
      </c>
      <c r="N542" s="60" t="b">
        <f>FALSE()</f>
        <v>0</v>
      </c>
      <c r="O542" s="60"/>
      <c r="P542" s="60"/>
      <c r="Q542" s="60" t="s">
        <v>236</v>
      </c>
      <c r="R542" s="60" t="s">
        <v>237</v>
      </c>
      <c r="S542" s="60"/>
      <c r="T542" s="60" t="b">
        <f>FALSE()</f>
        <v>0</v>
      </c>
      <c r="U542" s="60" t="b">
        <f>FALSE()</f>
        <v>0</v>
      </c>
      <c r="V542" s="60">
        <v>352</v>
      </c>
      <c r="W542" s="62" t="s">
        <v>1886</v>
      </c>
      <c r="X542" s="60">
        <v>1</v>
      </c>
      <c r="Y542" s="63">
        <v>0.01</v>
      </c>
      <c r="Z542" s="60" t="b">
        <f>FALSE()</f>
        <v>0</v>
      </c>
      <c r="AA542" s="60" t="b">
        <f>TRUE()</f>
        <v>1</v>
      </c>
      <c r="AB542" s="60" t="b">
        <f>FALSE()</f>
        <v>0</v>
      </c>
      <c r="AC542" s="60" t="b">
        <f>TRUE()</f>
        <v>1</v>
      </c>
      <c r="AD542" s="60" t="b">
        <f>FALSE()</f>
        <v>0</v>
      </c>
      <c r="AE542" s="60">
        <v>2</v>
      </c>
      <c r="AF542" s="64">
        <v>28.6</v>
      </c>
      <c r="AG542" s="60" t="s">
        <v>73</v>
      </c>
      <c r="AH542" s="60" t="s">
        <v>1887</v>
      </c>
      <c r="AI542">
        <f>IF(AND(OR(Company_Explorer!$B$5="All Companies",$E542=Company_Explorer!$B$5),OR(Company_Explorer!$B$6="All Platforms",$B542=Company_Explorer!$B$6),OR(Company_Explorer!$B$7="All Roles",$D542=Company_Explorer!$B$7),OR(Company_Explorer!$B$8="All Ghost Labels",$AG542=Company_Explorer!$B$8)),1,0)</f>
        <v>0</v>
      </c>
    </row>
    <row r="543" spans="1:35" ht="15" customHeight="1" x14ac:dyDescent="0.3">
      <c r="A543" s="65" t="s">
        <v>1888</v>
      </c>
      <c r="B543" s="65" t="s">
        <v>80</v>
      </c>
      <c r="C543" s="65" t="s">
        <v>258</v>
      </c>
      <c r="D543" s="65" t="s">
        <v>125</v>
      </c>
      <c r="E543" s="65" t="s">
        <v>141</v>
      </c>
      <c r="F543" s="65" t="b">
        <f>TRUE()</f>
        <v>1</v>
      </c>
      <c r="G543" s="65" t="s">
        <v>166</v>
      </c>
      <c r="H543" s="65" t="s">
        <v>235</v>
      </c>
      <c r="I543" s="66">
        <v>46200</v>
      </c>
      <c r="J543" s="66">
        <v>46210</v>
      </c>
      <c r="K543" s="65">
        <v>10</v>
      </c>
      <c r="L543" s="65" t="s">
        <v>192</v>
      </c>
      <c r="M543" s="65" t="s">
        <v>184</v>
      </c>
      <c r="N543" s="65" t="b">
        <f>FALSE()</f>
        <v>0</v>
      </c>
      <c r="O543" s="65"/>
      <c r="P543" s="65"/>
      <c r="Q543" s="65" t="s">
        <v>236</v>
      </c>
      <c r="R543" s="65" t="s">
        <v>237</v>
      </c>
      <c r="S543" s="65"/>
      <c r="T543" s="65" t="b">
        <f>FALSE()</f>
        <v>0</v>
      </c>
      <c r="U543" s="65" t="b">
        <f>FALSE()</f>
        <v>0</v>
      </c>
      <c r="V543" s="65">
        <v>314</v>
      </c>
      <c r="W543" s="67" t="s">
        <v>259</v>
      </c>
      <c r="X543" s="65">
        <v>429</v>
      </c>
      <c r="Y543" s="68">
        <v>2.66</v>
      </c>
      <c r="Z543" s="65" t="b">
        <f>FALSE()</f>
        <v>0</v>
      </c>
      <c r="AA543" s="65" t="b">
        <f>TRUE()</f>
        <v>1</v>
      </c>
      <c r="AB543" s="65" t="b">
        <f>FALSE()</f>
        <v>0</v>
      </c>
      <c r="AC543" s="65" t="b">
        <f>FALSE()</f>
        <v>0</v>
      </c>
      <c r="AD543" s="65" t="b">
        <f>TRUE()</f>
        <v>1</v>
      </c>
      <c r="AE543" s="65">
        <v>3</v>
      </c>
      <c r="AF543" s="69">
        <v>42.9</v>
      </c>
      <c r="AG543" s="65" t="s">
        <v>73</v>
      </c>
      <c r="AH543" s="65" t="s">
        <v>1889</v>
      </c>
      <c r="AI543">
        <f>IF(AND(OR(Company_Explorer!$B$5="All Companies",$E543=Company_Explorer!$B$5),OR(Company_Explorer!$B$6="All Platforms",$B543=Company_Explorer!$B$6),OR(Company_Explorer!$B$7="All Roles",$D543=Company_Explorer!$B$7),OR(Company_Explorer!$B$8="All Ghost Labels",$AG543=Company_Explorer!$B$8)),1,0)</f>
        <v>0</v>
      </c>
    </row>
    <row r="544" spans="1:35" ht="15" customHeight="1" x14ac:dyDescent="0.3">
      <c r="A544" s="60" t="s">
        <v>1890</v>
      </c>
      <c r="B544" s="60" t="s">
        <v>80</v>
      </c>
      <c r="C544" s="60" t="s">
        <v>1891</v>
      </c>
      <c r="D544" s="60" t="s">
        <v>125</v>
      </c>
      <c r="E544" s="60" t="s">
        <v>1892</v>
      </c>
      <c r="F544" s="60" t="b">
        <f>TRUE()</f>
        <v>1</v>
      </c>
      <c r="G544" s="60" t="s">
        <v>167</v>
      </c>
      <c r="H544" s="60" t="s">
        <v>276</v>
      </c>
      <c r="I544" s="61">
        <v>46206</v>
      </c>
      <c r="J544" s="61">
        <v>46210</v>
      </c>
      <c r="K544" s="60">
        <v>4</v>
      </c>
      <c r="L544" s="60" t="s">
        <v>192</v>
      </c>
      <c r="M544" s="60" t="s">
        <v>184</v>
      </c>
      <c r="N544" s="60" t="b">
        <f>FALSE()</f>
        <v>0</v>
      </c>
      <c r="O544" s="60"/>
      <c r="P544" s="60"/>
      <c r="Q544" s="60" t="s">
        <v>236</v>
      </c>
      <c r="R544" s="60" t="s">
        <v>237</v>
      </c>
      <c r="S544" s="60"/>
      <c r="T544" s="60" t="b">
        <f>FALSE()</f>
        <v>0</v>
      </c>
      <c r="U544" s="60" t="b">
        <f>FALSE()</f>
        <v>0</v>
      </c>
      <c r="V544" s="60">
        <v>461</v>
      </c>
      <c r="W544" s="62" t="s">
        <v>1893</v>
      </c>
      <c r="X544" s="60">
        <v>1</v>
      </c>
      <c r="Y544" s="63">
        <v>0.01</v>
      </c>
      <c r="Z544" s="60" t="b">
        <f>FALSE()</f>
        <v>0</v>
      </c>
      <c r="AA544" s="60" t="b">
        <f>TRUE()</f>
        <v>1</v>
      </c>
      <c r="AB544" s="60" t="b">
        <f>FALSE()</f>
        <v>0</v>
      </c>
      <c r="AC544" s="60" t="b">
        <f>FALSE()</f>
        <v>0</v>
      </c>
      <c r="AD544" s="60" t="b">
        <f>FALSE()</f>
        <v>0</v>
      </c>
      <c r="AE544" s="60">
        <v>1</v>
      </c>
      <c r="AF544" s="64">
        <v>14.3</v>
      </c>
      <c r="AG544" s="60" t="s">
        <v>74</v>
      </c>
      <c r="AH544" s="60" t="s">
        <v>1894</v>
      </c>
      <c r="AI544">
        <f>IF(AND(OR(Company_Explorer!$B$5="All Companies",$E544=Company_Explorer!$B$5),OR(Company_Explorer!$B$6="All Platforms",$B544=Company_Explorer!$B$6),OR(Company_Explorer!$B$7="All Roles",$D544=Company_Explorer!$B$7),OR(Company_Explorer!$B$8="All Ghost Labels",$AG544=Company_Explorer!$B$8)),1,0)</f>
        <v>0</v>
      </c>
    </row>
    <row r="545" spans="1:35" ht="15" customHeight="1" x14ac:dyDescent="0.3">
      <c r="A545" s="65" t="s">
        <v>1895</v>
      </c>
      <c r="B545" s="65" t="s">
        <v>80</v>
      </c>
      <c r="C545" s="65" t="s">
        <v>125</v>
      </c>
      <c r="D545" s="65" t="s">
        <v>125</v>
      </c>
      <c r="E545" s="65" t="s">
        <v>1896</v>
      </c>
      <c r="F545" s="65" t="b">
        <f>TRUE()</f>
        <v>1</v>
      </c>
      <c r="G545" s="65" t="s">
        <v>166</v>
      </c>
      <c r="H545" s="65" t="s">
        <v>235</v>
      </c>
      <c r="I545" s="66">
        <v>46200</v>
      </c>
      <c r="J545" s="66">
        <v>46210</v>
      </c>
      <c r="K545" s="65">
        <v>10</v>
      </c>
      <c r="L545" s="65" t="s">
        <v>192</v>
      </c>
      <c r="M545" s="65" t="s">
        <v>185</v>
      </c>
      <c r="N545" s="65" t="b">
        <f>FALSE()</f>
        <v>0</v>
      </c>
      <c r="O545" s="65"/>
      <c r="P545" s="65"/>
      <c r="Q545" s="65" t="s">
        <v>236</v>
      </c>
      <c r="R545" s="65" t="s">
        <v>237</v>
      </c>
      <c r="S545" s="65"/>
      <c r="T545" s="65" t="b">
        <f>FALSE()</f>
        <v>0</v>
      </c>
      <c r="U545" s="65" t="b">
        <f>FALSE()</f>
        <v>0</v>
      </c>
      <c r="V545" s="65">
        <v>592</v>
      </c>
      <c r="W545" s="67" t="s">
        <v>1897</v>
      </c>
      <c r="X545" s="65">
        <v>1</v>
      </c>
      <c r="Y545" s="68">
        <v>0.01</v>
      </c>
      <c r="Z545" s="65" t="b">
        <f>FALSE()</f>
        <v>0</v>
      </c>
      <c r="AA545" s="65" t="b">
        <f>TRUE()</f>
        <v>1</v>
      </c>
      <c r="AB545" s="65" t="b">
        <f>FALSE()</f>
        <v>0</v>
      </c>
      <c r="AC545" s="65" t="b">
        <f>FALSE()</f>
        <v>0</v>
      </c>
      <c r="AD545" s="65" t="b">
        <f>FALSE()</f>
        <v>0</v>
      </c>
      <c r="AE545" s="65">
        <v>1</v>
      </c>
      <c r="AF545" s="69">
        <v>14.3</v>
      </c>
      <c r="AG545" s="65" t="s">
        <v>74</v>
      </c>
      <c r="AH545" s="65" t="s">
        <v>1898</v>
      </c>
      <c r="AI545">
        <f>IF(AND(OR(Company_Explorer!$B$5="All Companies",$E545=Company_Explorer!$B$5),OR(Company_Explorer!$B$6="All Platforms",$B545=Company_Explorer!$B$6),OR(Company_Explorer!$B$7="All Roles",$D545=Company_Explorer!$B$7),OR(Company_Explorer!$B$8="All Ghost Labels",$AG545=Company_Explorer!$B$8)),1,0)</f>
        <v>0</v>
      </c>
    </row>
    <row r="546" spans="1:35" ht="15" customHeight="1" x14ac:dyDescent="0.3">
      <c r="A546" s="60" t="s">
        <v>1899</v>
      </c>
      <c r="B546" s="60" t="s">
        <v>80</v>
      </c>
      <c r="C546" s="60" t="s">
        <v>1900</v>
      </c>
      <c r="D546" s="60" t="s">
        <v>130</v>
      </c>
      <c r="E546" s="60" t="s">
        <v>412</v>
      </c>
      <c r="F546" s="60" t="b">
        <f>TRUE()</f>
        <v>1</v>
      </c>
      <c r="G546" s="60" t="s">
        <v>174</v>
      </c>
      <c r="H546" s="60" t="s">
        <v>302</v>
      </c>
      <c r="I546" s="61">
        <v>46209</v>
      </c>
      <c r="J546" s="61">
        <v>46210</v>
      </c>
      <c r="K546" s="60">
        <v>1</v>
      </c>
      <c r="L546" s="60" t="s">
        <v>192</v>
      </c>
      <c r="M546" s="60" t="s">
        <v>187</v>
      </c>
      <c r="N546" s="60" t="b">
        <f>FALSE()</f>
        <v>0</v>
      </c>
      <c r="O546" s="60"/>
      <c r="P546" s="60"/>
      <c r="Q546" s="60" t="s">
        <v>236</v>
      </c>
      <c r="R546" s="60" t="s">
        <v>237</v>
      </c>
      <c r="S546" s="60"/>
      <c r="T546" s="60" t="b">
        <f>FALSE()</f>
        <v>0</v>
      </c>
      <c r="U546" s="60" t="b">
        <f>FALSE()</f>
        <v>0</v>
      </c>
      <c r="V546" s="60">
        <v>269</v>
      </c>
      <c r="W546" s="62" t="s">
        <v>1901</v>
      </c>
      <c r="X546" s="60">
        <v>3</v>
      </c>
      <c r="Y546" s="63">
        <v>0.02</v>
      </c>
      <c r="Z546" s="60" t="b">
        <f>FALSE()</f>
        <v>0</v>
      </c>
      <c r="AA546" s="60" t="b">
        <f>TRUE()</f>
        <v>1</v>
      </c>
      <c r="AB546" s="60" t="b">
        <f>TRUE()</f>
        <v>1</v>
      </c>
      <c r="AC546" s="60" t="b">
        <f>FALSE()</f>
        <v>0</v>
      </c>
      <c r="AD546" s="60" t="b">
        <f>FALSE()</f>
        <v>0</v>
      </c>
      <c r="AE546" s="60">
        <v>2</v>
      </c>
      <c r="AF546" s="64">
        <v>28.6</v>
      </c>
      <c r="AG546" s="60" t="s">
        <v>73</v>
      </c>
      <c r="AH546" s="60" t="s">
        <v>1902</v>
      </c>
      <c r="AI546">
        <f>IF(AND(OR(Company_Explorer!$B$5="All Companies",$E546=Company_Explorer!$B$5),OR(Company_Explorer!$B$6="All Platforms",$B546=Company_Explorer!$B$6),OR(Company_Explorer!$B$7="All Roles",$D546=Company_Explorer!$B$7),OR(Company_Explorer!$B$8="All Ghost Labels",$AG546=Company_Explorer!$B$8)),1,0)</f>
        <v>0</v>
      </c>
    </row>
    <row r="547" spans="1:35" ht="15" customHeight="1" x14ac:dyDescent="0.3">
      <c r="A547" s="65" t="s">
        <v>1903</v>
      </c>
      <c r="B547" s="65" t="s">
        <v>80</v>
      </c>
      <c r="C547" s="65" t="s">
        <v>1904</v>
      </c>
      <c r="D547" s="65" t="s">
        <v>125</v>
      </c>
      <c r="E547" s="65" t="s">
        <v>1352</v>
      </c>
      <c r="F547" s="65" t="b">
        <f>TRUE()</f>
        <v>1</v>
      </c>
      <c r="G547" s="65" t="s">
        <v>169</v>
      </c>
      <c r="H547" s="65" t="s">
        <v>294</v>
      </c>
      <c r="I547" s="66">
        <v>46181</v>
      </c>
      <c r="J547" s="66">
        <v>46210</v>
      </c>
      <c r="K547" s="65">
        <v>29</v>
      </c>
      <c r="L547" s="65" t="s">
        <v>192</v>
      </c>
      <c r="M547" s="65" t="s">
        <v>186</v>
      </c>
      <c r="N547" s="65" t="b">
        <f>TRUE()</f>
        <v>1</v>
      </c>
      <c r="O547" s="71">
        <v>2000000</v>
      </c>
      <c r="P547" s="71">
        <v>3000000</v>
      </c>
      <c r="Q547" s="65" t="s">
        <v>332</v>
      </c>
      <c r="R547" s="65" t="s">
        <v>237</v>
      </c>
      <c r="S547" s="65"/>
      <c r="T547" s="65" t="b">
        <f>FALSE()</f>
        <v>0</v>
      </c>
      <c r="U547" s="65" t="b">
        <f>FALSE()</f>
        <v>0</v>
      </c>
      <c r="V547" s="65">
        <v>455</v>
      </c>
      <c r="W547" s="67" t="s">
        <v>1905</v>
      </c>
      <c r="X547" s="65">
        <v>2</v>
      </c>
      <c r="Y547" s="68">
        <v>0.01</v>
      </c>
      <c r="Z547" s="65" t="b">
        <f>FALSE()</f>
        <v>0</v>
      </c>
      <c r="AA547" s="65" t="b">
        <f>FALSE()</f>
        <v>0</v>
      </c>
      <c r="AB547" s="65" t="b">
        <f>FALSE()</f>
        <v>0</v>
      </c>
      <c r="AC547" s="65" t="b">
        <f>TRUE()</f>
        <v>1</v>
      </c>
      <c r="AD547" s="65" t="b">
        <f>FALSE()</f>
        <v>0</v>
      </c>
      <c r="AE547" s="65">
        <v>1</v>
      </c>
      <c r="AF547" s="69">
        <v>14.3</v>
      </c>
      <c r="AG547" s="65" t="s">
        <v>74</v>
      </c>
      <c r="AH547" s="65" t="s">
        <v>1906</v>
      </c>
      <c r="AI547">
        <f>IF(AND(OR(Company_Explorer!$B$5="All Companies",$E547=Company_Explorer!$B$5),OR(Company_Explorer!$B$6="All Platforms",$B547=Company_Explorer!$B$6),OR(Company_Explorer!$B$7="All Roles",$D547=Company_Explorer!$B$7),OR(Company_Explorer!$B$8="All Ghost Labels",$AG547=Company_Explorer!$B$8)),1,0)</f>
        <v>0</v>
      </c>
    </row>
    <row r="548" spans="1:35" ht="15" customHeight="1" x14ac:dyDescent="0.3">
      <c r="A548" s="60" t="s">
        <v>1907</v>
      </c>
      <c r="B548" s="60" t="s">
        <v>80</v>
      </c>
      <c r="C548" s="60" t="s">
        <v>1908</v>
      </c>
      <c r="D548" s="60" t="s">
        <v>125</v>
      </c>
      <c r="E548" s="60" t="s">
        <v>1909</v>
      </c>
      <c r="F548" s="60" t="b">
        <f>TRUE()</f>
        <v>1</v>
      </c>
      <c r="G548" s="60" t="s">
        <v>166</v>
      </c>
      <c r="H548" s="60" t="s">
        <v>235</v>
      </c>
      <c r="I548" s="61">
        <v>46197</v>
      </c>
      <c r="J548" s="61">
        <v>46210</v>
      </c>
      <c r="K548" s="60">
        <v>13</v>
      </c>
      <c r="L548" s="60" t="s">
        <v>192</v>
      </c>
      <c r="M548" s="60" t="s">
        <v>185</v>
      </c>
      <c r="N548" s="60" t="b">
        <f>FALSE()</f>
        <v>0</v>
      </c>
      <c r="O548" s="60"/>
      <c r="P548" s="60"/>
      <c r="Q548" s="60" t="s">
        <v>236</v>
      </c>
      <c r="R548" s="60" t="s">
        <v>237</v>
      </c>
      <c r="S548" s="60"/>
      <c r="T548" s="60" t="b">
        <f>FALSE()</f>
        <v>0</v>
      </c>
      <c r="U548" s="60" t="b">
        <f>FALSE()</f>
        <v>0</v>
      </c>
      <c r="V548" s="60">
        <v>780</v>
      </c>
      <c r="W548" s="62" t="s">
        <v>1910</v>
      </c>
      <c r="X548" s="60">
        <v>1</v>
      </c>
      <c r="Y548" s="63">
        <v>0.01</v>
      </c>
      <c r="Z548" s="60" t="b">
        <f>FALSE()</f>
        <v>0</v>
      </c>
      <c r="AA548" s="60" t="b">
        <f>TRUE()</f>
        <v>1</v>
      </c>
      <c r="AB548" s="60" t="b">
        <f>FALSE()</f>
        <v>0</v>
      </c>
      <c r="AC548" s="60" t="b">
        <f>FALSE()</f>
        <v>0</v>
      </c>
      <c r="AD548" s="60" t="b">
        <f>FALSE()</f>
        <v>0</v>
      </c>
      <c r="AE548" s="60">
        <v>1</v>
      </c>
      <c r="AF548" s="64">
        <v>14.3</v>
      </c>
      <c r="AG548" s="60" t="s">
        <v>74</v>
      </c>
      <c r="AH548" s="60" t="s">
        <v>1911</v>
      </c>
      <c r="AI548">
        <f>IF(AND(OR(Company_Explorer!$B$5="All Companies",$E548=Company_Explorer!$B$5),OR(Company_Explorer!$B$6="All Platforms",$B548=Company_Explorer!$B$6),OR(Company_Explorer!$B$7="All Roles",$D548=Company_Explorer!$B$7),OR(Company_Explorer!$B$8="All Ghost Labels",$AG548=Company_Explorer!$B$8)),1,0)</f>
        <v>0</v>
      </c>
    </row>
    <row r="549" spans="1:35" ht="15" customHeight="1" x14ac:dyDescent="0.3">
      <c r="A549" s="65" t="s">
        <v>1912</v>
      </c>
      <c r="B549" s="65" t="s">
        <v>80</v>
      </c>
      <c r="C549" s="65" t="s">
        <v>1913</v>
      </c>
      <c r="D549" s="65" t="s">
        <v>125</v>
      </c>
      <c r="E549" s="65" t="s">
        <v>159</v>
      </c>
      <c r="F549" s="65" t="b">
        <f>TRUE()</f>
        <v>1</v>
      </c>
      <c r="G549" s="65" t="s">
        <v>609</v>
      </c>
      <c r="H549" s="65" t="s">
        <v>165</v>
      </c>
      <c r="I549" s="66">
        <v>46196</v>
      </c>
      <c r="J549" s="66">
        <v>46210</v>
      </c>
      <c r="K549" s="65">
        <v>14</v>
      </c>
      <c r="L549" s="65" t="s">
        <v>192</v>
      </c>
      <c r="M549" s="65" t="s">
        <v>185</v>
      </c>
      <c r="N549" s="65" t="b">
        <f>FALSE()</f>
        <v>0</v>
      </c>
      <c r="O549" s="65"/>
      <c r="P549" s="65"/>
      <c r="Q549" s="65" t="s">
        <v>236</v>
      </c>
      <c r="R549" s="65" t="s">
        <v>237</v>
      </c>
      <c r="S549" s="65"/>
      <c r="T549" s="65" t="b">
        <f>FALSE()</f>
        <v>0</v>
      </c>
      <c r="U549" s="65" t="b">
        <f>FALSE()</f>
        <v>0</v>
      </c>
      <c r="V549" s="65">
        <v>533</v>
      </c>
      <c r="W549" s="67" t="s">
        <v>1914</v>
      </c>
      <c r="X549" s="65">
        <v>11</v>
      </c>
      <c r="Y549" s="68">
        <v>7.0000000000000007E-2</v>
      </c>
      <c r="Z549" s="65" t="b">
        <f>FALSE()</f>
        <v>0</v>
      </c>
      <c r="AA549" s="65" t="b">
        <f>TRUE()</f>
        <v>1</v>
      </c>
      <c r="AB549" s="65" t="b">
        <f>FALSE()</f>
        <v>0</v>
      </c>
      <c r="AC549" s="65" t="b">
        <f>FALSE()</f>
        <v>0</v>
      </c>
      <c r="AD549" s="65" t="b">
        <f>FALSE()</f>
        <v>0</v>
      </c>
      <c r="AE549" s="65">
        <v>1</v>
      </c>
      <c r="AF549" s="69">
        <v>14.3</v>
      </c>
      <c r="AG549" s="65" t="s">
        <v>74</v>
      </c>
      <c r="AH549" s="65" t="s">
        <v>1915</v>
      </c>
      <c r="AI549">
        <f>IF(AND(OR(Company_Explorer!$B$5="All Companies",$E549=Company_Explorer!$B$5),OR(Company_Explorer!$B$6="All Platforms",$B549=Company_Explorer!$B$6),OR(Company_Explorer!$B$7="All Roles",$D549=Company_Explorer!$B$7),OR(Company_Explorer!$B$8="All Ghost Labels",$AG549=Company_Explorer!$B$8)),1,0)</f>
        <v>0</v>
      </c>
    </row>
    <row r="550" spans="1:35" ht="15" customHeight="1" x14ac:dyDescent="0.3">
      <c r="A550" s="60" t="s">
        <v>1916</v>
      </c>
      <c r="B550" s="60" t="s">
        <v>80</v>
      </c>
      <c r="C550" s="60" t="s">
        <v>306</v>
      </c>
      <c r="D550" s="60" t="s">
        <v>125</v>
      </c>
      <c r="E550" s="60" t="s">
        <v>141</v>
      </c>
      <c r="F550" s="60" t="b">
        <f>TRUE()</f>
        <v>1</v>
      </c>
      <c r="G550" s="60" t="s">
        <v>166</v>
      </c>
      <c r="H550" s="60" t="s">
        <v>235</v>
      </c>
      <c r="I550" s="61">
        <v>46197</v>
      </c>
      <c r="J550" s="61">
        <v>46210</v>
      </c>
      <c r="K550" s="60">
        <v>13</v>
      </c>
      <c r="L550" s="60" t="s">
        <v>192</v>
      </c>
      <c r="M550" s="60" t="s">
        <v>184</v>
      </c>
      <c r="N550" s="60" t="b">
        <f>FALSE()</f>
        <v>0</v>
      </c>
      <c r="O550" s="60"/>
      <c r="P550" s="60"/>
      <c r="Q550" s="60" t="s">
        <v>236</v>
      </c>
      <c r="R550" s="60" t="s">
        <v>237</v>
      </c>
      <c r="S550" s="60"/>
      <c r="T550" s="60" t="b">
        <f>FALSE()</f>
        <v>0</v>
      </c>
      <c r="U550" s="60" t="b">
        <f>FALSE()</f>
        <v>0</v>
      </c>
      <c r="V550" s="60">
        <v>457</v>
      </c>
      <c r="W550" s="62" t="s">
        <v>1917</v>
      </c>
      <c r="X550" s="60">
        <v>429</v>
      </c>
      <c r="Y550" s="63">
        <v>2.66</v>
      </c>
      <c r="Z550" s="60" t="b">
        <f>FALSE()</f>
        <v>0</v>
      </c>
      <c r="AA550" s="60" t="b">
        <f>TRUE()</f>
        <v>1</v>
      </c>
      <c r="AB550" s="60" t="b">
        <f>FALSE()</f>
        <v>0</v>
      </c>
      <c r="AC550" s="60" t="b">
        <f>FALSE()</f>
        <v>0</v>
      </c>
      <c r="AD550" s="60" t="b">
        <f>TRUE()</f>
        <v>1</v>
      </c>
      <c r="AE550" s="60">
        <v>3</v>
      </c>
      <c r="AF550" s="64">
        <v>42.9</v>
      </c>
      <c r="AG550" s="60" t="s">
        <v>73</v>
      </c>
      <c r="AH550" s="60" t="s">
        <v>1918</v>
      </c>
      <c r="AI550">
        <f>IF(AND(OR(Company_Explorer!$B$5="All Companies",$E550=Company_Explorer!$B$5),OR(Company_Explorer!$B$6="All Platforms",$B550=Company_Explorer!$B$6),OR(Company_Explorer!$B$7="All Roles",$D550=Company_Explorer!$B$7),OR(Company_Explorer!$B$8="All Ghost Labels",$AG550=Company_Explorer!$B$8)),1,0)</f>
        <v>0</v>
      </c>
    </row>
    <row r="551" spans="1:35" ht="15" customHeight="1" x14ac:dyDescent="0.3">
      <c r="A551" s="65" t="s">
        <v>1919</v>
      </c>
      <c r="B551" s="65" t="s">
        <v>80</v>
      </c>
      <c r="C551" s="65" t="s">
        <v>1920</v>
      </c>
      <c r="D551" s="65" t="s">
        <v>129</v>
      </c>
      <c r="E551" s="65" t="s">
        <v>247</v>
      </c>
      <c r="F551" s="65" t="b">
        <f>TRUE()</f>
        <v>1</v>
      </c>
      <c r="G551" s="65" t="s">
        <v>166</v>
      </c>
      <c r="H551" s="65" t="s">
        <v>235</v>
      </c>
      <c r="I551" s="66">
        <v>46189</v>
      </c>
      <c r="J551" s="66">
        <v>46210</v>
      </c>
      <c r="K551" s="65">
        <v>21</v>
      </c>
      <c r="L551" s="65" t="s">
        <v>192</v>
      </c>
      <c r="M551" s="65" t="s">
        <v>184</v>
      </c>
      <c r="N551" s="65" t="b">
        <f>FALSE()</f>
        <v>0</v>
      </c>
      <c r="O551" s="65"/>
      <c r="P551" s="65"/>
      <c r="Q551" s="65" t="s">
        <v>236</v>
      </c>
      <c r="R551" s="65" t="s">
        <v>237</v>
      </c>
      <c r="S551" s="65"/>
      <c r="T551" s="65" t="b">
        <f>FALSE()</f>
        <v>0</v>
      </c>
      <c r="U551" s="65" t="b">
        <f>FALSE()</f>
        <v>0</v>
      </c>
      <c r="V551" s="65">
        <v>876</v>
      </c>
      <c r="W551" s="67" t="s">
        <v>1921</v>
      </c>
      <c r="X551" s="65">
        <v>9</v>
      </c>
      <c r="Y551" s="68">
        <v>0.06</v>
      </c>
      <c r="Z551" s="65" t="b">
        <f>FALSE()</f>
        <v>0</v>
      </c>
      <c r="AA551" s="65" t="b">
        <f>TRUE()</f>
        <v>1</v>
      </c>
      <c r="AB551" s="65" t="b">
        <f>FALSE()</f>
        <v>0</v>
      </c>
      <c r="AC551" s="65" t="b">
        <f>TRUE()</f>
        <v>1</v>
      </c>
      <c r="AD551" s="65" t="b">
        <f>FALSE()</f>
        <v>0</v>
      </c>
      <c r="AE551" s="65">
        <v>2</v>
      </c>
      <c r="AF551" s="69">
        <v>28.6</v>
      </c>
      <c r="AG551" s="65" t="s">
        <v>73</v>
      </c>
      <c r="AH551" s="65" t="s">
        <v>1922</v>
      </c>
      <c r="AI551">
        <f>IF(AND(OR(Company_Explorer!$B$5="All Companies",$E551=Company_Explorer!$B$5),OR(Company_Explorer!$B$6="All Platforms",$B551=Company_Explorer!$B$6),OR(Company_Explorer!$B$7="All Roles",$D551=Company_Explorer!$B$7),OR(Company_Explorer!$B$8="All Ghost Labels",$AG551=Company_Explorer!$B$8)),1,0)</f>
        <v>0</v>
      </c>
    </row>
    <row r="552" spans="1:35" ht="15" customHeight="1" x14ac:dyDescent="0.3">
      <c r="A552" s="60" t="s">
        <v>1923</v>
      </c>
      <c r="B552" s="60" t="s">
        <v>80</v>
      </c>
      <c r="C552" s="60" t="s">
        <v>125</v>
      </c>
      <c r="D552" s="60" t="s">
        <v>125</v>
      </c>
      <c r="E552" s="60" t="s">
        <v>1522</v>
      </c>
      <c r="F552" s="60" t="b">
        <f>TRUE()</f>
        <v>1</v>
      </c>
      <c r="G552" s="60" t="s">
        <v>166</v>
      </c>
      <c r="H552" s="60" t="s">
        <v>235</v>
      </c>
      <c r="I552" s="61">
        <v>46201</v>
      </c>
      <c r="J552" s="61">
        <v>46210</v>
      </c>
      <c r="K552" s="60">
        <v>9</v>
      </c>
      <c r="L552" s="60" t="s">
        <v>192</v>
      </c>
      <c r="M552" s="60" t="s">
        <v>185</v>
      </c>
      <c r="N552" s="60" t="b">
        <f>FALSE()</f>
        <v>0</v>
      </c>
      <c r="O552" s="60"/>
      <c r="P552" s="60"/>
      <c r="Q552" s="60" t="s">
        <v>236</v>
      </c>
      <c r="R552" s="60" t="s">
        <v>237</v>
      </c>
      <c r="S552" s="60"/>
      <c r="T552" s="60" t="b">
        <f>FALSE()</f>
        <v>0</v>
      </c>
      <c r="U552" s="60" t="b">
        <f>FALSE()</f>
        <v>0</v>
      </c>
      <c r="V552" s="60">
        <v>511</v>
      </c>
      <c r="W552" s="62" t="s">
        <v>1924</v>
      </c>
      <c r="X552" s="60">
        <v>2</v>
      </c>
      <c r="Y552" s="63">
        <v>0.01</v>
      </c>
      <c r="Z552" s="60" t="b">
        <f>FALSE()</f>
        <v>0</v>
      </c>
      <c r="AA552" s="60" t="b">
        <f>TRUE()</f>
        <v>1</v>
      </c>
      <c r="AB552" s="60" t="b">
        <f>FALSE()</f>
        <v>0</v>
      </c>
      <c r="AC552" s="60" t="b">
        <f>FALSE()</f>
        <v>0</v>
      </c>
      <c r="AD552" s="60" t="b">
        <f>FALSE()</f>
        <v>0</v>
      </c>
      <c r="AE552" s="60">
        <v>1</v>
      </c>
      <c r="AF552" s="64">
        <v>14.3</v>
      </c>
      <c r="AG552" s="60" t="s">
        <v>74</v>
      </c>
      <c r="AH552" s="60" t="s">
        <v>1925</v>
      </c>
      <c r="AI552">
        <f>IF(AND(OR(Company_Explorer!$B$5="All Companies",$E552=Company_Explorer!$B$5),OR(Company_Explorer!$B$6="All Platforms",$B552=Company_Explorer!$B$6),OR(Company_Explorer!$B$7="All Roles",$D552=Company_Explorer!$B$7),OR(Company_Explorer!$B$8="All Ghost Labels",$AG552=Company_Explorer!$B$8)),1,0)</f>
        <v>0</v>
      </c>
    </row>
    <row r="553" spans="1:35" ht="15" customHeight="1" x14ac:dyDescent="0.3">
      <c r="A553" s="65" t="s">
        <v>1926</v>
      </c>
      <c r="B553" s="65" t="s">
        <v>80</v>
      </c>
      <c r="C553" s="65" t="s">
        <v>125</v>
      </c>
      <c r="D553" s="65" t="s">
        <v>125</v>
      </c>
      <c r="E553" s="65" t="s">
        <v>351</v>
      </c>
      <c r="F553" s="65" t="b">
        <f>TRUE()</f>
        <v>1</v>
      </c>
      <c r="G553" s="65" t="s">
        <v>166</v>
      </c>
      <c r="H553" s="65" t="s">
        <v>235</v>
      </c>
      <c r="I553" s="66">
        <v>46205</v>
      </c>
      <c r="J553" s="66">
        <v>46210</v>
      </c>
      <c r="K553" s="65">
        <v>5</v>
      </c>
      <c r="L553" s="65" t="s">
        <v>192</v>
      </c>
      <c r="M553" s="65" t="s">
        <v>186</v>
      </c>
      <c r="N553" s="65" t="b">
        <f>FALSE()</f>
        <v>0</v>
      </c>
      <c r="O553" s="65"/>
      <c r="P553" s="65"/>
      <c r="Q553" s="65" t="s">
        <v>236</v>
      </c>
      <c r="R553" s="65" t="s">
        <v>237</v>
      </c>
      <c r="S553" s="65"/>
      <c r="T553" s="65" t="b">
        <f>FALSE()</f>
        <v>0</v>
      </c>
      <c r="U553" s="65" t="b">
        <f>FALSE()</f>
        <v>0</v>
      </c>
      <c r="V553" s="65">
        <v>239</v>
      </c>
      <c r="W553" s="67" t="s">
        <v>691</v>
      </c>
      <c r="X553" s="65">
        <v>10</v>
      </c>
      <c r="Y553" s="68">
        <v>0.06</v>
      </c>
      <c r="Z553" s="65" t="b">
        <f>FALSE()</f>
        <v>0</v>
      </c>
      <c r="AA553" s="65" t="b">
        <f>TRUE()</f>
        <v>1</v>
      </c>
      <c r="AB553" s="65" t="b">
        <f>TRUE()</f>
        <v>1</v>
      </c>
      <c r="AC553" s="65" t="b">
        <f>FALSE()</f>
        <v>0</v>
      </c>
      <c r="AD553" s="65" t="b">
        <f>FALSE()</f>
        <v>0</v>
      </c>
      <c r="AE553" s="65">
        <v>2</v>
      </c>
      <c r="AF553" s="69">
        <v>28.6</v>
      </c>
      <c r="AG553" s="65" t="s">
        <v>73</v>
      </c>
      <c r="AH553" s="65" t="s">
        <v>1927</v>
      </c>
      <c r="AI553">
        <f>IF(AND(OR(Company_Explorer!$B$5="All Companies",$E553=Company_Explorer!$B$5),OR(Company_Explorer!$B$6="All Platforms",$B553=Company_Explorer!$B$6),OR(Company_Explorer!$B$7="All Roles",$D553=Company_Explorer!$B$7),OR(Company_Explorer!$B$8="All Ghost Labels",$AG553=Company_Explorer!$B$8)),1,0)</f>
        <v>0</v>
      </c>
    </row>
    <row r="554" spans="1:35" ht="15" customHeight="1" x14ac:dyDescent="0.3">
      <c r="A554" s="60" t="s">
        <v>1928</v>
      </c>
      <c r="B554" s="60" t="s">
        <v>80</v>
      </c>
      <c r="C554" s="60" t="s">
        <v>1929</v>
      </c>
      <c r="D554" s="60" t="s">
        <v>129</v>
      </c>
      <c r="E554" s="60" t="s">
        <v>1930</v>
      </c>
      <c r="F554" s="60" t="b">
        <f>TRUE()</f>
        <v>1</v>
      </c>
      <c r="G554" s="60" t="s">
        <v>166</v>
      </c>
      <c r="H554" s="60" t="s">
        <v>235</v>
      </c>
      <c r="I554" s="61">
        <v>46132</v>
      </c>
      <c r="J554" s="61">
        <v>46210</v>
      </c>
      <c r="K554" s="60">
        <v>78</v>
      </c>
      <c r="L554" s="60" t="s">
        <v>192</v>
      </c>
      <c r="M554" s="60" t="s">
        <v>185</v>
      </c>
      <c r="N554" s="60" t="b">
        <f>FALSE()</f>
        <v>0</v>
      </c>
      <c r="O554" s="60"/>
      <c r="P554" s="60"/>
      <c r="Q554" s="60" t="s">
        <v>236</v>
      </c>
      <c r="R554" s="60" t="s">
        <v>237</v>
      </c>
      <c r="S554" s="60"/>
      <c r="T554" s="60" t="b">
        <f>FALSE()</f>
        <v>0</v>
      </c>
      <c r="U554" s="60" t="b">
        <f>FALSE()</f>
        <v>0</v>
      </c>
      <c r="V554" s="60">
        <v>127</v>
      </c>
      <c r="W554" s="62" t="s">
        <v>1931</v>
      </c>
      <c r="X554" s="60">
        <v>1</v>
      </c>
      <c r="Y554" s="63">
        <v>0.01</v>
      </c>
      <c r="Z554" s="60" t="b">
        <f>FALSE()</f>
        <v>0</v>
      </c>
      <c r="AA554" s="60" t="b">
        <f>TRUE()</f>
        <v>1</v>
      </c>
      <c r="AB554" s="60" t="b">
        <f>TRUE()</f>
        <v>1</v>
      </c>
      <c r="AC554" s="60" t="b">
        <f>TRUE()</f>
        <v>1</v>
      </c>
      <c r="AD554" s="60" t="b">
        <f>FALSE()</f>
        <v>0</v>
      </c>
      <c r="AE554" s="60">
        <v>3</v>
      </c>
      <c r="AF554" s="64">
        <v>42.9</v>
      </c>
      <c r="AG554" s="60" t="s">
        <v>73</v>
      </c>
      <c r="AH554" s="60" t="s">
        <v>1932</v>
      </c>
      <c r="AI554">
        <f>IF(AND(OR(Company_Explorer!$B$5="All Companies",$E554=Company_Explorer!$B$5),OR(Company_Explorer!$B$6="All Platforms",$B554=Company_Explorer!$B$6),OR(Company_Explorer!$B$7="All Roles",$D554=Company_Explorer!$B$7),OR(Company_Explorer!$B$8="All Ghost Labels",$AG554=Company_Explorer!$B$8)),1,0)</f>
        <v>0</v>
      </c>
    </row>
    <row r="555" spans="1:35" ht="15" customHeight="1" x14ac:dyDescent="0.3">
      <c r="A555" s="65" t="s">
        <v>1933</v>
      </c>
      <c r="B555" s="65" t="s">
        <v>80</v>
      </c>
      <c r="C555" s="65" t="s">
        <v>1934</v>
      </c>
      <c r="D555" s="65" t="s">
        <v>125</v>
      </c>
      <c r="E555" s="65" t="s">
        <v>1935</v>
      </c>
      <c r="F555" s="65" t="b">
        <f>TRUE()</f>
        <v>1</v>
      </c>
      <c r="G555" s="65" t="s">
        <v>462</v>
      </c>
      <c r="H555" s="65" t="s">
        <v>254</v>
      </c>
      <c r="I555" s="66">
        <v>46191</v>
      </c>
      <c r="J555" s="66">
        <v>46210</v>
      </c>
      <c r="K555" s="65">
        <v>19</v>
      </c>
      <c r="L555" s="65" t="s">
        <v>192</v>
      </c>
      <c r="M555" s="65" t="s">
        <v>185</v>
      </c>
      <c r="N555" s="65" t="b">
        <f>FALSE()</f>
        <v>0</v>
      </c>
      <c r="O555" s="65"/>
      <c r="P555" s="65"/>
      <c r="Q555" s="65" t="s">
        <v>236</v>
      </c>
      <c r="R555" s="65" t="s">
        <v>237</v>
      </c>
      <c r="S555" s="65"/>
      <c r="T555" s="65" t="b">
        <f>FALSE()</f>
        <v>0</v>
      </c>
      <c r="U555" s="65" t="b">
        <f>FALSE()</f>
        <v>0</v>
      </c>
      <c r="V555" s="65">
        <v>655</v>
      </c>
      <c r="W555" s="65" t="s">
        <v>1936</v>
      </c>
      <c r="X555" s="65">
        <v>1</v>
      </c>
      <c r="Y555" s="68">
        <v>0.01</v>
      </c>
      <c r="Z555" s="65" t="b">
        <f>FALSE()</f>
        <v>0</v>
      </c>
      <c r="AA555" s="65" t="b">
        <f>TRUE()</f>
        <v>1</v>
      </c>
      <c r="AB555" s="65" t="b">
        <f>FALSE()</f>
        <v>0</v>
      </c>
      <c r="AC555" s="65" t="b">
        <f>TRUE()</f>
        <v>1</v>
      </c>
      <c r="AD555" s="65" t="b">
        <f>FALSE()</f>
        <v>0</v>
      </c>
      <c r="AE555" s="65">
        <v>2</v>
      </c>
      <c r="AF555" s="69">
        <v>28.6</v>
      </c>
      <c r="AG555" s="65" t="s">
        <v>73</v>
      </c>
      <c r="AH555" s="65" t="s">
        <v>1937</v>
      </c>
      <c r="AI555">
        <f>IF(AND(OR(Company_Explorer!$B$5="All Companies",$E555=Company_Explorer!$B$5),OR(Company_Explorer!$B$6="All Platforms",$B555=Company_Explorer!$B$6),OR(Company_Explorer!$B$7="All Roles",$D555=Company_Explorer!$B$7),OR(Company_Explorer!$B$8="All Ghost Labels",$AG555=Company_Explorer!$B$8)),1,0)</f>
        <v>0</v>
      </c>
    </row>
    <row r="556" spans="1:35" ht="15" customHeight="1" x14ac:dyDescent="0.3">
      <c r="A556" s="60" t="s">
        <v>1938</v>
      </c>
      <c r="B556" s="60" t="s">
        <v>80</v>
      </c>
      <c r="C556" s="60" t="s">
        <v>1939</v>
      </c>
      <c r="D556" s="60" t="s">
        <v>126</v>
      </c>
      <c r="E556" s="60" t="s">
        <v>1182</v>
      </c>
      <c r="F556" s="60" t="b">
        <f>TRUE()</f>
        <v>1</v>
      </c>
      <c r="G556" s="60" t="s">
        <v>753</v>
      </c>
      <c r="H556" s="60" t="s">
        <v>754</v>
      </c>
      <c r="I556" s="61">
        <v>46196</v>
      </c>
      <c r="J556" s="61">
        <v>46210</v>
      </c>
      <c r="K556" s="60">
        <v>14</v>
      </c>
      <c r="L556" s="60" t="s">
        <v>192</v>
      </c>
      <c r="M556" s="60" t="s">
        <v>185</v>
      </c>
      <c r="N556" s="60" t="b">
        <f>FALSE()</f>
        <v>0</v>
      </c>
      <c r="O556" s="60"/>
      <c r="P556" s="60"/>
      <c r="Q556" s="60" t="s">
        <v>236</v>
      </c>
      <c r="R556" s="60" t="s">
        <v>237</v>
      </c>
      <c r="S556" s="60"/>
      <c r="T556" s="60" t="b">
        <f>FALSE()</f>
        <v>0</v>
      </c>
      <c r="U556" s="60" t="b">
        <f>FALSE()</f>
        <v>0</v>
      </c>
      <c r="V556" s="60">
        <v>724</v>
      </c>
      <c r="W556" s="60" t="s">
        <v>1940</v>
      </c>
      <c r="X556" s="60">
        <v>4</v>
      </c>
      <c r="Y556" s="63">
        <v>0.02</v>
      </c>
      <c r="Z556" s="60" t="b">
        <f>FALSE()</f>
        <v>0</v>
      </c>
      <c r="AA556" s="60" t="b">
        <f>TRUE()</f>
        <v>1</v>
      </c>
      <c r="AB556" s="60" t="b">
        <f>FALSE()</f>
        <v>0</v>
      </c>
      <c r="AC556" s="60" t="b">
        <f>FALSE()</f>
        <v>0</v>
      </c>
      <c r="AD556" s="60" t="b">
        <f>FALSE()</f>
        <v>0</v>
      </c>
      <c r="AE556" s="60">
        <v>1</v>
      </c>
      <c r="AF556" s="64">
        <v>14.3</v>
      </c>
      <c r="AG556" s="60" t="s">
        <v>74</v>
      </c>
      <c r="AH556" s="60" t="s">
        <v>1941</v>
      </c>
      <c r="AI556">
        <f>IF(AND(OR(Company_Explorer!$B$5="All Companies",$E556=Company_Explorer!$B$5),OR(Company_Explorer!$B$6="All Platforms",$B556=Company_Explorer!$B$6),OR(Company_Explorer!$B$7="All Roles",$D556=Company_Explorer!$B$7),OR(Company_Explorer!$B$8="All Ghost Labels",$AG556=Company_Explorer!$B$8)),1,0)</f>
        <v>0</v>
      </c>
    </row>
    <row r="557" spans="1:35" ht="15" customHeight="1" x14ac:dyDescent="0.3">
      <c r="A557" s="65" t="s">
        <v>1942</v>
      </c>
      <c r="B557" s="65" t="s">
        <v>80</v>
      </c>
      <c r="C557" s="65" t="s">
        <v>1943</v>
      </c>
      <c r="D557" s="65" t="s">
        <v>125</v>
      </c>
      <c r="E557" s="65" t="s">
        <v>1944</v>
      </c>
      <c r="F557" s="65" t="b">
        <f>TRUE()</f>
        <v>1</v>
      </c>
      <c r="G557" s="65" t="s">
        <v>166</v>
      </c>
      <c r="H557" s="65" t="s">
        <v>235</v>
      </c>
      <c r="I557" s="66">
        <v>46197</v>
      </c>
      <c r="J557" s="66">
        <v>46210</v>
      </c>
      <c r="K557" s="65">
        <v>13</v>
      </c>
      <c r="L557" s="65" t="s">
        <v>192</v>
      </c>
      <c r="M557" s="65" t="s">
        <v>185</v>
      </c>
      <c r="N557" s="65" t="b">
        <f>FALSE()</f>
        <v>0</v>
      </c>
      <c r="O557" s="65"/>
      <c r="P557" s="65"/>
      <c r="Q557" s="65" t="s">
        <v>236</v>
      </c>
      <c r="R557" s="65" t="s">
        <v>237</v>
      </c>
      <c r="S557" s="65"/>
      <c r="T557" s="65" t="b">
        <f>FALSE()</f>
        <v>0</v>
      </c>
      <c r="U557" s="65" t="b">
        <f>FALSE()</f>
        <v>0</v>
      </c>
      <c r="V557" s="65">
        <v>321</v>
      </c>
      <c r="W557" s="67" t="s">
        <v>1945</v>
      </c>
      <c r="X557" s="65">
        <v>2</v>
      </c>
      <c r="Y557" s="68">
        <v>0.01</v>
      </c>
      <c r="Z557" s="65" t="b">
        <f>FALSE()</f>
        <v>0</v>
      </c>
      <c r="AA557" s="65" t="b">
        <f>TRUE()</f>
        <v>1</v>
      </c>
      <c r="AB557" s="65" t="b">
        <f>FALSE()</f>
        <v>0</v>
      </c>
      <c r="AC557" s="65" t="b">
        <f>FALSE()</f>
        <v>0</v>
      </c>
      <c r="AD557" s="65" t="b">
        <f>FALSE()</f>
        <v>0</v>
      </c>
      <c r="AE557" s="65">
        <v>1</v>
      </c>
      <c r="AF557" s="69">
        <v>14.3</v>
      </c>
      <c r="AG557" s="65" t="s">
        <v>74</v>
      </c>
      <c r="AH557" s="65" t="s">
        <v>1946</v>
      </c>
      <c r="AI557">
        <f>IF(AND(OR(Company_Explorer!$B$5="All Companies",$E557=Company_Explorer!$B$5),OR(Company_Explorer!$B$6="All Platforms",$B557=Company_Explorer!$B$6),OR(Company_Explorer!$B$7="All Roles",$D557=Company_Explorer!$B$7),OR(Company_Explorer!$B$8="All Ghost Labels",$AG557=Company_Explorer!$B$8)),1,0)</f>
        <v>0</v>
      </c>
    </row>
    <row r="558" spans="1:35" ht="15" customHeight="1" x14ac:dyDescent="0.3">
      <c r="A558" s="60" t="s">
        <v>1947</v>
      </c>
      <c r="B558" s="60" t="s">
        <v>80</v>
      </c>
      <c r="C558" s="60" t="s">
        <v>1948</v>
      </c>
      <c r="D558" s="60" t="s">
        <v>125</v>
      </c>
      <c r="E558" s="60" t="s">
        <v>1949</v>
      </c>
      <c r="F558" s="60" t="b">
        <f>TRUE()</f>
        <v>1</v>
      </c>
      <c r="G558" s="60" t="s">
        <v>169</v>
      </c>
      <c r="H558" s="60" t="s">
        <v>294</v>
      </c>
      <c r="I558" s="61">
        <v>46203</v>
      </c>
      <c r="J558" s="61">
        <v>46210</v>
      </c>
      <c r="K558" s="60">
        <v>7</v>
      </c>
      <c r="L558" s="60" t="s">
        <v>192</v>
      </c>
      <c r="M558" s="60" t="s">
        <v>187</v>
      </c>
      <c r="N558" s="60" t="b">
        <f>FALSE()</f>
        <v>0</v>
      </c>
      <c r="O558" s="60"/>
      <c r="P558" s="60"/>
      <c r="Q558" s="60" t="s">
        <v>236</v>
      </c>
      <c r="R558" s="60" t="s">
        <v>237</v>
      </c>
      <c r="S558" s="60"/>
      <c r="T558" s="60" t="b">
        <f>FALSE()</f>
        <v>0</v>
      </c>
      <c r="U558" s="60" t="b">
        <f>FALSE()</f>
        <v>0</v>
      </c>
      <c r="V558" s="60">
        <v>542</v>
      </c>
      <c r="W558" s="62" t="s">
        <v>1950</v>
      </c>
      <c r="X558" s="60">
        <v>1</v>
      </c>
      <c r="Y558" s="63">
        <v>0.01</v>
      </c>
      <c r="Z558" s="60" t="b">
        <f>FALSE()</f>
        <v>0</v>
      </c>
      <c r="AA558" s="60" t="b">
        <f>TRUE()</f>
        <v>1</v>
      </c>
      <c r="AB558" s="60" t="b">
        <f>FALSE()</f>
        <v>0</v>
      </c>
      <c r="AC558" s="60" t="b">
        <f>FALSE()</f>
        <v>0</v>
      </c>
      <c r="AD558" s="60" t="b">
        <f>FALSE()</f>
        <v>0</v>
      </c>
      <c r="AE558" s="60">
        <v>1</v>
      </c>
      <c r="AF558" s="64">
        <v>14.3</v>
      </c>
      <c r="AG558" s="60" t="s">
        <v>74</v>
      </c>
      <c r="AH558" s="60" t="s">
        <v>1951</v>
      </c>
      <c r="AI558">
        <f>IF(AND(OR(Company_Explorer!$B$5="All Companies",$E558=Company_Explorer!$B$5),OR(Company_Explorer!$B$6="All Platforms",$B558=Company_Explorer!$B$6),OR(Company_Explorer!$B$7="All Roles",$D558=Company_Explorer!$B$7),OR(Company_Explorer!$B$8="All Ghost Labels",$AG558=Company_Explorer!$B$8)),1,0)</f>
        <v>0</v>
      </c>
    </row>
    <row r="559" spans="1:35" ht="15" customHeight="1" x14ac:dyDescent="0.3">
      <c r="A559" s="65" t="s">
        <v>1952</v>
      </c>
      <c r="B559" s="65" t="s">
        <v>80</v>
      </c>
      <c r="C559" s="65" t="s">
        <v>1953</v>
      </c>
      <c r="D559" s="65" t="s">
        <v>126</v>
      </c>
      <c r="E559" s="65" t="s">
        <v>155</v>
      </c>
      <c r="F559" s="65" t="b">
        <f>TRUE()</f>
        <v>1</v>
      </c>
      <c r="G559" s="65" t="s">
        <v>166</v>
      </c>
      <c r="H559" s="65" t="s">
        <v>235</v>
      </c>
      <c r="I559" s="66">
        <v>46193</v>
      </c>
      <c r="J559" s="66">
        <v>46210</v>
      </c>
      <c r="K559" s="65">
        <v>17</v>
      </c>
      <c r="L559" s="65" t="s">
        <v>192</v>
      </c>
      <c r="M559" s="65" t="s">
        <v>184</v>
      </c>
      <c r="N559" s="65" t="b">
        <f>FALSE()</f>
        <v>0</v>
      </c>
      <c r="O559" s="65"/>
      <c r="P559" s="65"/>
      <c r="Q559" s="65" t="s">
        <v>236</v>
      </c>
      <c r="R559" s="65" t="s">
        <v>237</v>
      </c>
      <c r="S559" s="65"/>
      <c r="T559" s="65" t="b">
        <f>FALSE()</f>
        <v>0</v>
      </c>
      <c r="U559" s="65" t="b">
        <f>FALSE()</f>
        <v>0</v>
      </c>
      <c r="V559" s="65">
        <v>438</v>
      </c>
      <c r="W559" s="67" t="s">
        <v>1954</v>
      </c>
      <c r="X559" s="65">
        <v>16</v>
      </c>
      <c r="Y559" s="68">
        <v>0.1</v>
      </c>
      <c r="Z559" s="65" t="b">
        <f>FALSE()</f>
        <v>0</v>
      </c>
      <c r="AA559" s="65" t="b">
        <f>TRUE()</f>
        <v>1</v>
      </c>
      <c r="AB559" s="65" t="b">
        <f>FALSE()</f>
        <v>0</v>
      </c>
      <c r="AC559" s="65" t="b">
        <f>FALSE()</f>
        <v>0</v>
      </c>
      <c r="AD559" s="65" t="b">
        <f>FALSE()</f>
        <v>0</v>
      </c>
      <c r="AE559" s="65">
        <v>1</v>
      </c>
      <c r="AF559" s="69">
        <v>14.3</v>
      </c>
      <c r="AG559" s="65" t="s">
        <v>74</v>
      </c>
      <c r="AH559" s="65" t="s">
        <v>1955</v>
      </c>
      <c r="AI559">
        <f>IF(AND(OR(Company_Explorer!$B$5="All Companies",$E559=Company_Explorer!$B$5),OR(Company_Explorer!$B$6="All Platforms",$B559=Company_Explorer!$B$6),OR(Company_Explorer!$B$7="All Roles",$D559=Company_Explorer!$B$7),OR(Company_Explorer!$B$8="All Ghost Labels",$AG559=Company_Explorer!$B$8)),1,0)</f>
        <v>0</v>
      </c>
    </row>
    <row r="560" spans="1:35" ht="15" customHeight="1" x14ac:dyDescent="0.3">
      <c r="A560" s="60" t="s">
        <v>1956</v>
      </c>
      <c r="B560" s="60" t="s">
        <v>80</v>
      </c>
      <c r="C560" s="60" t="s">
        <v>1957</v>
      </c>
      <c r="D560" s="60" t="s">
        <v>125</v>
      </c>
      <c r="E560" s="60" t="s">
        <v>1958</v>
      </c>
      <c r="F560" s="60" t="b">
        <f>TRUE()</f>
        <v>1</v>
      </c>
      <c r="G560" s="60" t="s">
        <v>1865</v>
      </c>
      <c r="H560" s="60" t="s">
        <v>165</v>
      </c>
      <c r="I560" s="61">
        <v>46191</v>
      </c>
      <c r="J560" s="61">
        <v>46210</v>
      </c>
      <c r="K560" s="60">
        <v>19</v>
      </c>
      <c r="L560" s="60" t="s">
        <v>192</v>
      </c>
      <c r="M560" s="60" t="s">
        <v>185</v>
      </c>
      <c r="N560" s="60" t="b">
        <f>FALSE()</f>
        <v>0</v>
      </c>
      <c r="O560" s="60"/>
      <c r="P560" s="60"/>
      <c r="Q560" s="60" t="s">
        <v>236</v>
      </c>
      <c r="R560" s="60" t="s">
        <v>237</v>
      </c>
      <c r="S560" s="60"/>
      <c r="T560" s="60" t="b">
        <f>FALSE()</f>
        <v>0</v>
      </c>
      <c r="U560" s="60" t="b">
        <f>FALSE()</f>
        <v>0</v>
      </c>
      <c r="V560" s="60">
        <v>540</v>
      </c>
      <c r="W560" s="62" t="s">
        <v>1959</v>
      </c>
      <c r="X560" s="60">
        <v>1</v>
      </c>
      <c r="Y560" s="63">
        <v>0.01</v>
      </c>
      <c r="Z560" s="60" t="b">
        <f>FALSE()</f>
        <v>0</v>
      </c>
      <c r="AA560" s="60" t="b">
        <f>TRUE()</f>
        <v>1</v>
      </c>
      <c r="AB560" s="60" t="b">
        <f>FALSE()</f>
        <v>0</v>
      </c>
      <c r="AC560" s="60" t="b">
        <f>TRUE()</f>
        <v>1</v>
      </c>
      <c r="AD560" s="60" t="b">
        <f>FALSE()</f>
        <v>0</v>
      </c>
      <c r="AE560" s="60">
        <v>2</v>
      </c>
      <c r="AF560" s="64">
        <v>28.6</v>
      </c>
      <c r="AG560" s="60" t="s">
        <v>73</v>
      </c>
      <c r="AH560" s="60" t="s">
        <v>1960</v>
      </c>
      <c r="AI560">
        <f>IF(AND(OR(Company_Explorer!$B$5="All Companies",$E560=Company_Explorer!$B$5),OR(Company_Explorer!$B$6="All Platforms",$B560=Company_Explorer!$B$6),OR(Company_Explorer!$B$7="All Roles",$D560=Company_Explorer!$B$7),OR(Company_Explorer!$B$8="All Ghost Labels",$AG560=Company_Explorer!$B$8)),1,0)</f>
        <v>0</v>
      </c>
    </row>
    <row r="561" spans="1:35" ht="15" customHeight="1" x14ac:dyDescent="0.3">
      <c r="A561" s="65" t="s">
        <v>1961</v>
      </c>
      <c r="B561" s="65" t="s">
        <v>80</v>
      </c>
      <c r="C561" s="65" t="s">
        <v>1962</v>
      </c>
      <c r="D561" s="65" t="s">
        <v>131</v>
      </c>
      <c r="E561" s="65" t="s">
        <v>1963</v>
      </c>
      <c r="F561" s="65" t="b">
        <f>TRUE()</f>
        <v>1</v>
      </c>
      <c r="G561" s="65" t="s">
        <v>168</v>
      </c>
      <c r="H561" s="65" t="s">
        <v>254</v>
      </c>
      <c r="I561" s="66">
        <v>46056</v>
      </c>
      <c r="J561" s="66">
        <v>46210</v>
      </c>
      <c r="K561" s="65">
        <v>154</v>
      </c>
      <c r="L561" s="65" t="s">
        <v>192</v>
      </c>
      <c r="M561" s="65" t="s">
        <v>184</v>
      </c>
      <c r="N561" s="65" t="b">
        <f>FALSE()</f>
        <v>0</v>
      </c>
      <c r="O561" s="65"/>
      <c r="P561" s="65"/>
      <c r="Q561" s="65" t="s">
        <v>236</v>
      </c>
      <c r="R561" s="65" t="s">
        <v>237</v>
      </c>
      <c r="S561" s="65"/>
      <c r="T561" s="65" t="b">
        <f>FALSE()</f>
        <v>0</v>
      </c>
      <c r="U561" s="65" t="b">
        <f>FALSE()</f>
        <v>0</v>
      </c>
      <c r="V561" s="65">
        <v>444</v>
      </c>
      <c r="W561" s="67" t="s">
        <v>1964</v>
      </c>
      <c r="X561" s="65">
        <v>1</v>
      </c>
      <c r="Y561" s="68">
        <v>0.01</v>
      </c>
      <c r="Z561" s="65" t="b">
        <f>FALSE()</f>
        <v>0</v>
      </c>
      <c r="AA561" s="65" t="b">
        <f>TRUE()</f>
        <v>1</v>
      </c>
      <c r="AB561" s="65" t="b">
        <f>FALSE()</f>
        <v>0</v>
      </c>
      <c r="AC561" s="65" t="b">
        <f>TRUE()</f>
        <v>1</v>
      </c>
      <c r="AD561" s="65" t="b">
        <f>FALSE()</f>
        <v>0</v>
      </c>
      <c r="AE561" s="65">
        <v>2</v>
      </c>
      <c r="AF561" s="69">
        <v>28.6</v>
      </c>
      <c r="AG561" s="65" t="s">
        <v>73</v>
      </c>
      <c r="AH561" s="65" t="s">
        <v>1965</v>
      </c>
      <c r="AI561">
        <f>IF(AND(OR(Company_Explorer!$B$5="All Companies",$E561=Company_Explorer!$B$5),OR(Company_Explorer!$B$6="All Platforms",$B561=Company_Explorer!$B$6),OR(Company_Explorer!$B$7="All Roles",$D561=Company_Explorer!$B$7),OR(Company_Explorer!$B$8="All Ghost Labels",$AG561=Company_Explorer!$B$8)),1,0)</f>
        <v>0</v>
      </c>
    </row>
    <row r="562" spans="1:35" ht="15" customHeight="1" x14ac:dyDescent="0.3">
      <c r="A562" s="60" t="s">
        <v>1966</v>
      </c>
      <c r="B562" s="60" t="s">
        <v>80</v>
      </c>
      <c r="C562" s="60" t="s">
        <v>675</v>
      </c>
      <c r="D562" s="60" t="s">
        <v>125</v>
      </c>
      <c r="E562" s="60" t="s">
        <v>676</v>
      </c>
      <c r="F562" s="60" t="b">
        <f>TRUE()</f>
        <v>1</v>
      </c>
      <c r="G562" s="60" t="s">
        <v>169</v>
      </c>
      <c r="H562" s="60" t="s">
        <v>294</v>
      </c>
      <c r="I562" s="61">
        <v>46197</v>
      </c>
      <c r="J562" s="61">
        <v>46210</v>
      </c>
      <c r="K562" s="60">
        <v>13</v>
      </c>
      <c r="L562" s="60" t="s">
        <v>194</v>
      </c>
      <c r="M562" s="60" t="s">
        <v>186</v>
      </c>
      <c r="N562" s="60" t="b">
        <f>FALSE()</f>
        <v>0</v>
      </c>
      <c r="O562" s="60"/>
      <c r="P562" s="60"/>
      <c r="Q562" s="60" t="s">
        <v>236</v>
      </c>
      <c r="R562" s="60" t="s">
        <v>237</v>
      </c>
      <c r="S562" s="60"/>
      <c r="T562" s="60" t="b">
        <f>FALSE()</f>
        <v>0</v>
      </c>
      <c r="U562" s="60" t="b">
        <f>FALSE()</f>
        <v>0</v>
      </c>
      <c r="V562" s="60">
        <v>408</v>
      </c>
      <c r="W562" s="60" t="s">
        <v>677</v>
      </c>
      <c r="X562" s="60">
        <v>3</v>
      </c>
      <c r="Y562" s="63">
        <v>0.02</v>
      </c>
      <c r="Z562" s="60" t="b">
        <f>FALSE()</f>
        <v>0</v>
      </c>
      <c r="AA562" s="60" t="b">
        <f>TRUE()</f>
        <v>1</v>
      </c>
      <c r="AB562" s="60" t="b">
        <f>FALSE()</f>
        <v>0</v>
      </c>
      <c r="AC562" s="60" t="b">
        <f>FALSE()</f>
        <v>0</v>
      </c>
      <c r="AD562" s="60" t="b">
        <f>FALSE()</f>
        <v>0</v>
      </c>
      <c r="AE562" s="60">
        <v>1</v>
      </c>
      <c r="AF562" s="64">
        <v>14.3</v>
      </c>
      <c r="AG562" s="60" t="s">
        <v>74</v>
      </c>
      <c r="AH562" s="60" t="s">
        <v>1967</v>
      </c>
      <c r="AI562">
        <f>IF(AND(OR(Company_Explorer!$B$5="All Companies",$E562=Company_Explorer!$B$5),OR(Company_Explorer!$B$6="All Platforms",$B562=Company_Explorer!$B$6),OR(Company_Explorer!$B$7="All Roles",$D562=Company_Explorer!$B$7),OR(Company_Explorer!$B$8="All Ghost Labels",$AG562=Company_Explorer!$B$8)),1,0)</f>
        <v>0</v>
      </c>
    </row>
    <row r="563" spans="1:35" ht="15" customHeight="1" x14ac:dyDescent="0.3">
      <c r="A563" s="65" t="s">
        <v>1968</v>
      </c>
      <c r="B563" s="65" t="s">
        <v>80</v>
      </c>
      <c r="C563" s="65" t="s">
        <v>1969</v>
      </c>
      <c r="D563" s="65" t="s">
        <v>131</v>
      </c>
      <c r="E563" s="65" t="s">
        <v>159</v>
      </c>
      <c r="F563" s="65" t="b">
        <f>TRUE()</f>
        <v>1</v>
      </c>
      <c r="G563" s="65" t="s">
        <v>166</v>
      </c>
      <c r="H563" s="65" t="s">
        <v>235</v>
      </c>
      <c r="I563" s="66">
        <v>46202</v>
      </c>
      <c r="J563" s="66">
        <v>46210</v>
      </c>
      <c r="K563" s="65">
        <v>8</v>
      </c>
      <c r="L563" s="65" t="s">
        <v>192</v>
      </c>
      <c r="M563" s="65" t="s">
        <v>185</v>
      </c>
      <c r="N563" s="65" t="b">
        <f>FALSE()</f>
        <v>0</v>
      </c>
      <c r="O563" s="65"/>
      <c r="P563" s="65"/>
      <c r="Q563" s="65" t="s">
        <v>236</v>
      </c>
      <c r="R563" s="65" t="s">
        <v>237</v>
      </c>
      <c r="S563" s="65"/>
      <c r="T563" s="65" t="b">
        <f>FALSE()</f>
        <v>0</v>
      </c>
      <c r="U563" s="65" t="b">
        <f>FALSE()</f>
        <v>0</v>
      </c>
      <c r="V563" s="65">
        <v>442</v>
      </c>
      <c r="W563" s="67" t="s">
        <v>785</v>
      </c>
      <c r="X563" s="65">
        <v>11</v>
      </c>
      <c r="Y563" s="68">
        <v>7.0000000000000007E-2</v>
      </c>
      <c r="Z563" s="65" t="b">
        <f>FALSE()</f>
        <v>0</v>
      </c>
      <c r="AA563" s="65" t="b">
        <f>TRUE()</f>
        <v>1</v>
      </c>
      <c r="AB563" s="65" t="b">
        <f>FALSE()</f>
        <v>0</v>
      </c>
      <c r="AC563" s="65" t="b">
        <f>FALSE()</f>
        <v>0</v>
      </c>
      <c r="AD563" s="65" t="b">
        <f>FALSE()</f>
        <v>0</v>
      </c>
      <c r="AE563" s="65">
        <v>1</v>
      </c>
      <c r="AF563" s="69">
        <v>14.3</v>
      </c>
      <c r="AG563" s="65" t="s">
        <v>74</v>
      </c>
      <c r="AH563" s="65" t="s">
        <v>1970</v>
      </c>
      <c r="AI563">
        <f>IF(AND(OR(Company_Explorer!$B$5="All Companies",$E563=Company_Explorer!$B$5),OR(Company_Explorer!$B$6="All Platforms",$B563=Company_Explorer!$B$6),OR(Company_Explorer!$B$7="All Roles",$D563=Company_Explorer!$B$7),OR(Company_Explorer!$B$8="All Ghost Labels",$AG563=Company_Explorer!$B$8)),1,0)</f>
        <v>0</v>
      </c>
    </row>
    <row r="564" spans="1:35" ht="15" customHeight="1" x14ac:dyDescent="0.3">
      <c r="A564" s="60" t="s">
        <v>1971</v>
      </c>
      <c r="B564" s="60" t="s">
        <v>80</v>
      </c>
      <c r="C564" s="60" t="s">
        <v>258</v>
      </c>
      <c r="D564" s="60" t="s">
        <v>125</v>
      </c>
      <c r="E564" s="60" t="s">
        <v>141</v>
      </c>
      <c r="F564" s="60" t="b">
        <f>TRUE()</f>
        <v>1</v>
      </c>
      <c r="G564" s="60" t="s">
        <v>166</v>
      </c>
      <c r="H564" s="60" t="s">
        <v>235</v>
      </c>
      <c r="I564" s="61">
        <v>46198</v>
      </c>
      <c r="J564" s="61">
        <v>46210</v>
      </c>
      <c r="K564" s="60">
        <v>12</v>
      </c>
      <c r="L564" s="60" t="s">
        <v>192</v>
      </c>
      <c r="M564" s="60" t="s">
        <v>184</v>
      </c>
      <c r="N564" s="60" t="b">
        <f>FALSE()</f>
        <v>0</v>
      </c>
      <c r="O564" s="60"/>
      <c r="P564" s="60"/>
      <c r="Q564" s="60" t="s">
        <v>236</v>
      </c>
      <c r="R564" s="60" t="s">
        <v>237</v>
      </c>
      <c r="S564" s="60"/>
      <c r="T564" s="60" t="b">
        <f>FALSE()</f>
        <v>0</v>
      </c>
      <c r="U564" s="60" t="b">
        <f>FALSE()</f>
        <v>0</v>
      </c>
      <c r="V564" s="60">
        <v>304</v>
      </c>
      <c r="W564" s="62" t="s">
        <v>259</v>
      </c>
      <c r="X564" s="60">
        <v>429</v>
      </c>
      <c r="Y564" s="63">
        <v>2.66</v>
      </c>
      <c r="Z564" s="60" t="b">
        <f>FALSE()</f>
        <v>0</v>
      </c>
      <c r="AA564" s="60" t="b">
        <f>TRUE()</f>
        <v>1</v>
      </c>
      <c r="AB564" s="60" t="b">
        <f>FALSE()</f>
        <v>0</v>
      </c>
      <c r="AC564" s="60" t="b">
        <f>FALSE()</f>
        <v>0</v>
      </c>
      <c r="AD564" s="60" t="b">
        <f>TRUE()</f>
        <v>1</v>
      </c>
      <c r="AE564" s="60">
        <v>3</v>
      </c>
      <c r="AF564" s="64">
        <v>42.9</v>
      </c>
      <c r="AG564" s="60" t="s">
        <v>73</v>
      </c>
      <c r="AH564" s="60" t="s">
        <v>1972</v>
      </c>
      <c r="AI564">
        <f>IF(AND(OR(Company_Explorer!$B$5="All Companies",$E564=Company_Explorer!$B$5),OR(Company_Explorer!$B$6="All Platforms",$B564=Company_Explorer!$B$6),OR(Company_Explorer!$B$7="All Roles",$D564=Company_Explorer!$B$7),OR(Company_Explorer!$B$8="All Ghost Labels",$AG564=Company_Explorer!$B$8)),1,0)</f>
        <v>0</v>
      </c>
    </row>
    <row r="565" spans="1:35" ht="15" customHeight="1" x14ac:dyDescent="0.3">
      <c r="A565" s="65" t="s">
        <v>1973</v>
      </c>
      <c r="B565" s="65" t="s">
        <v>80</v>
      </c>
      <c r="C565" s="65" t="s">
        <v>258</v>
      </c>
      <c r="D565" s="65" t="s">
        <v>125</v>
      </c>
      <c r="E565" s="65" t="s">
        <v>141</v>
      </c>
      <c r="F565" s="65" t="b">
        <f>TRUE()</f>
        <v>1</v>
      </c>
      <c r="G565" s="65" t="s">
        <v>166</v>
      </c>
      <c r="H565" s="65" t="s">
        <v>235</v>
      </c>
      <c r="I565" s="66">
        <v>46198</v>
      </c>
      <c r="J565" s="66">
        <v>46210</v>
      </c>
      <c r="K565" s="65">
        <v>12</v>
      </c>
      <c r="L565" s="65" t="s">
        <v>192</v>
      </c>
      <c r="M565" s="65" t="s">
        <v>184</v>
      </c>
      <c r="N565" s="65" t="b">
        <f>FALSE()</f>
        <v>0</v>
      </c>
      <c r="O565" s="65"/>
      <c r="P565" s="65"/>
      <c r="Q565" s="65" t="s">
        <v>236</v>
      </c>
      <c r="R565" s="65" t="s">
        <v>237</v>
      </c>
      <c r="S565" s="65"/>
      <c r="T565" s="65" t="b">
        <f>FALSE()</f>
        <v>0</v>
      </c>
      <c r="U565" s="65" t="b">
        <f>FALSE()</f>
        <v>0</v>
      </c>
      <c r="V565" s="65">
        <v>304</v>
      </c>
      <c r="W565" s="67" t="s">
        <v>259</v>
      </c>
      <c r="X565" s="65">
        <v>429</v>
      </c>
      <c r="Y565" s="68">
        <v>2.66</v>
      </c>
      <c r="Z565" s="65" t="b">
        <f>FALSE()</f>
        <v>0</v>
      </c>
      <c r="AA565" s="65" t="b">
        <f>TRUE()</f>
        <v>1</v>
      </c>
      <c r="AB565" s="65" t="b">
        <f>FALSE()</f>
        <v>0</v>
      </c>
      <c r="AC565" s="65" t="b">
        <f>FALSE()</f>
        <v>0</v>
      </c>
      <c r="AD565" s="65" t="b">
        <f>TRUE()</f>
        <v>1</v>
      </c>
      <c r="AE565" s="65">
        <v>3</v>
      </c>
      <c r="AF565" s="69">
        <v>42.9</v>
      </c>
      <c r="AG565" s="65" t="s">
        <v>73</v>
      </c>
      <c r="AH565" s="65" t="s">
        <v>1974</v>
      </c>
      <c r="AI565">
        <f>IF(AND(OR(Company_Explorer!$B$5="All Companies",$E565=Company_Explorer!$B$5),OR(Company_Explorer!$B$6="All Platforms",$B565=Company_Explorer!$B$6),OR(Company_Explorer!$B$7="All Roles",$D565=Company_Explorer!$B$7),OR(Company_Explorer!$B$8="All Ghost Labels",$AG565=Company_Explorer!$B$8)),1,0)</f>
        <v>0</v>
      </c>
    </row>
    <row r="566" spans="1:35" ht="15" customHeight="1" x14ac:dyDescent="0.3">
      <c r="A566" s="60" t="s">
        <v>1975</v>
      </c>
      <c r="B566" s="60" t="s">
        <v>80</v>
      </c>
      <c r="C566" s="60" t="s">
        <v>258</v>
      </c>
      <c r="D566" s="60" t="s">
        <v>125</v>
      </c>
      <c r="E566" s="60" t="s">
        <v>141</v>
      </c>
      <c r="F566" s="60" t="b">
        <f>TRUE()</f>
        <v>1</v>
      </c>
      <c r="G566" s="60" t="s">
        <v>166</v>
      </c>
      <c r="H566" s="60" t="s">
        <v>235</v>
      </c>
      <c r="I566" s="61">
        <v>46198</v>
      </c>
      <c r="J566" s="61">
        <v>46210</v>
      </c>
      <c r="K566" s="60">
        <v>12</v>
      </c>
      <c r="L566" s="60" t="s">
        <v>192</v>
      </c>
      <c r="M566" s="60" t="s">
        <v>184</v>
      </c>
      <c r="N566" s="60" t="b">
        <f>FALSE()</f>
        <v>0</v>
      </c>
      <c r="O566" s="60"/>
      <c r="P566" s="60"/>
      <c r="Q566" s="60" t="s">
        <v>236</v>
      </c>
      <c r="R566" s="60" t="s">
        <v>237</v>
      </c>
      <c r="S566" s="60"/>
      <c r="T566" s="60" t="b">
        <f>FALSE()</f>
        <v>0</v>
      </c>
      <c r="U566" s="60" t="b">
        <f>FALSE()</f>
        <v>0</v>
      </c>
      <c r="V566" s="60">
        <v>304</v>
      </c>
      <c r="W566" s="62" t="s">
        <v>259</v>
      </c>
      <c r="X566" s="60">
        <v>429</v>
      </c>
      <c r="Y566" s="63">
        <v>2.66</v>
      </c>
      <c r="Z566" s="60" t="b">
        <f>FALSE()</f>
        <v>0</v>
      </c>
      <c r="AA566" s="60" t="b">
        <f>TRUE()</f>
        <v>1</v>
      </c>
      <c r="AB566" s="60" t="b">
        <f>FALSE()</f>
        <v>0</v>
      </c>
      <c r="AC566" s="60" t="b">
        <f>FALSE()</f>
        <v>0</v>
      </c>
      <c r="AD566" s="60" t="b">
        <f>TRUE()</f>
        <v>1</v>
      </c>
      <c r="AE566" s="60">
        <v>3</v>
      </c>
      <c r="AF566" s="64">
        <v>42.9</v>
      </c>
      <c r="AG566" s="60" t="s">
        <v>73</v>
      </c>
      <c r="AH566" s="60" t="s">
        <v>1976</v>
      </c>
      <c r="AI566">
        <f>IF(AND(OR(Company_Explorer!$B$5="All Companies",$E566=Company_Explorer!$B$5),OR(Company_Explorer!$B$6="All Platforms",$B566=Company_Explorer!$B$6),OR(Company_Explorer!$B$7="All Roles",$D566=Company_Explorer!$B$7),OR(Company_Explorer!$B$8="All Ghost Labels",$AG566=Company_Explorer!$B$8)),1,0)</f>
        <v>0</v>
      </c>
    </row>
    <row r="567" spans="1:35" ht="15" customHeight="1" x14ac:dyDescent="0.3">
      <c r="A567" s="65" t="s">
        <v>1977</v>
      </c>
      <c r="B567" s="65" t="s">
        <v>80</v>
      </c>
      <c r="C567" s="65" t="s">
        <v>258</v>
      </c>
      <c r="D567" s="65" t="s">
        <v>125</v>
      </c>
      <c r="E567" s="65" t="s">
        <v>141</v>
      </c>
      <c r="F567" s="65" t="b">
        <f>TRUE()</f>
        <v>1</v>
      </c>
      <c r="G567" s="65" t="s">
        <v>166</v>
      </c>
      <c r="H567" s="65" t="s">
        <v>235</v>
      </c>
      <c r="I567" s="66">
        <v>46198</v>
      </c>
      <c r="J567" s="66">
        <v>46210</v>
      </c>
      <c r="K567" s="65">
        <v>12</v>
      </c>
      <c r="L567" s="65" t="s">
        <v>192</v>
      </c>
      <c r="M567" s="65" t="s">
        <v>184</v>
      </c>
      <c r="N567" s="65" t="b">
        <f>FALSE()</f>
        <v>0</v>
      </c>
      <c r="O567" s="65"/>
      <c r="P567" s="65"/>
      <c r="Q567" s="65" t="s">
        <v>236</v>
      </c>
      <c r="R567" s="65" t="s">
        <v>237</v>
      </c>
      <c r="S567" s="65"/>
      <c r="T567" s="65" t="b">
        <f>FALSE()</f>
        <v>0</v>
      </c>
      <c r="U567" s="65" t="b">
        <f>FALSE()</f>
        <v>0</v>
      </c>
      <c r="V567" s="65">
        <v>275</v>
      </c>
      <c r="W567" s="67" t="s">
        <v>1311</v>
      </c>
      <c r="X567" s="65">
        <v>429</v>
      </c>
      <c r="Y567" s="68">
        <v>2.66</v>
      </c>
      <c r="Z567" s="65" t="b">
        <f>FALSE()</f>
        <v>0</v>
      </c>
      <c r="AA567" s="65" t="b">
        <f>TRUE()</f>
        <v>1</v>
      </c>
      <c r="AB567" s="65" t="b">
        <f>FALSE()</f>
        <v>0</v>
      </c>
      <c r="AC567" s="65" t="b">
        <f>FALSE()</f>
        <v>0</v>
      </c>
      <c r="AD567" s="65" t="b">
        <f>TRUE()</f>
        <v>1</v>
      </c>
      <c r="AE567" s="65">
        <v>3</v>
      </c>
      <c r="AF567" s="69">
        <v>42.9</v>
      </c>
      <c r="AG567" s="65" t="s">
        <v>73</v>
      </c>
      <c r="AH567" s="65" t="s">
        <v>1978</v>
      </c>
      <c r="AI567">
        <f>IF(AND(OR(Company_Explorer!$B$5="All Companies",$E567=Company_Explorer!$B$5),OR(Company_Explorer!$B$6="All Platforms",$B567=Company_Explorer!$B$6),OR(Company_Explorer!$B$7="All Roles",$D567=Company_Explorer!$B$7),OR(Company_Explorer!$B$8="All Ghost Labels",$AG567=Company_Explorer!$B$8)),1,0)</f>
        <v>0</v>
      </c>
    </row>
    <row r="568" spans="1:35" ht="15" customHeight="1" x14ac:dyDescent="0.3">
      <c r="A568" s="60" t="s">
        <v>1979</v>
      </c>
      <c r="B568" s="60" t="s">
        <v>80</v>
      </c>
      <c r="C568" s="60" t="s">
        <v>258</v>
      </c>
      <c r="D568" s="60" t="s">
        <v>125</v>
      </c>
      <c r="E568" s="60" t="s">
        <v>141</v>
      </c>
      <c r="F568" s="60" t="b">
        <f>TRUE()</f>
        <v>1</v>
      </c>
      <c r="G568" s="60" t="s">
        <v>166</v>
      </c>
      <c r="H568" s="60" t="s">
        <v>235</v>
      </c>
      <c r="I568" s="61">
        <v>46198</v>
      </c>
      <c r="J568" s="61">
        <v>46210</v>
      </c>
      <c r="K568" s="60">
        <v>12</v>
      </c>
      <c r="L568" s="60" t="s">
        <v>192</v>
      </c>
      <c r="M568" s="60" t="s">
        <v>184</v>
      </c>
      <c r="N568" s="60" t="b">
        <f>FALSE()</f>
        <v>0</v>
      </c>
      <c r="O568" s="60"/>
      <c r="P568" s="60"/>
      <c r="Q568" s="60" t="s">
        <v>236</v>
      </c>
      <c r="R568" s="60" t="s">
        <v>237</v>
      </c>
      <c r="S568" s="60"/>
      <c r="T568" s="60" t="b">
        <f>FALSE()</f>
        <v>0</v>
      </c>
      <c r="U568" s="60" t="b">
        <f>FALSE()</f>
        <v>0</v>
      </c>
      <c r="V568" s="60">
        <v>275</v>
      </c>
      <c r="W568" s="62" t="s">
        <v>1311</v>
      </c>
      <c r="X568" s="60">
        <v>429</v>
      </c>
      <c r="Y568" s="63">
        <v>2.66</v>
      </c>
      <c r="Z568" s="60" t="b">
        <f>FALSE()</f>
        <v>0</v>
      </c>
      <c r="AA568" s="60" t="b">
        <f>TRUE()</f>
        <v>1</v>
      </c>
      <c r="AB568" s="60" t="b">
        <f>FALSE()</f>
        <v>0</v>
      </c>
      <c r="AC568" s="60" t="b">
        <f>FALSE()</f>
        <v>0</v>
      </c>
      <c r="AD568" s="60" t="b">
        <f>TRUE()</f>
        <v>1</v>
      </c>
      <c r="AE568" s="60">
        <v>3</v>
      </c>
      <c r="AF568" s="64">
        <v>42.9</v>
      </c>
      <c r="AG568" s="60" t="s">
        <v>73</v>
      </c>
      <c r="AH568" s="60" t="s">
        <v>1980</v>
      </c>
      <c r="AI568">
        <f>IF(AND(OR(Company_Explorer!$B$5="All Companies",$E568=Company_Explorer!$B$5),OR(Company_Explorer!$B$6="All Platforms",$B568=Company_Explorer!$B$6),OR(Company_Explorer!$B$7="All Roles",$D568=Company_Explorer!$B$7),OR(Company_Explorer!$B$8="All Ghost Labels",$AG568=Company_Explorer!$B$8)),1,0)</f>
        <v>0</v>
      </c>
    </row>
    <row r="569" spans="1:35" ht="15" customHeight="1" x14ac:dyDescent="0.3">
      <c r="A569" s="65" t="s">
        <v>1981</v>
      </c>
      <c r="B569" s="65" t="s">
        <v>80</v>
      </c>
      <c r="C569" s="65" t="s">
        <v>258</v>
      </c>
      <c r="D569" s="65" t="s">
        <v>125</v>
      </c>
      <c r="E569" s="65" t="s">
        <v>141</v>
      </c>
      <c r="F569" s="65" t="b">
        <f>TRUE()</f>
        <v>1</v>
      </c>
      <c r="G569" s="65" t="s">
        <v>169</v>
      </c>
      <c r="H569" s="65" t="s">
        <v>294</v>
      </c>
      <c r="I569" s="66">
        <v>46199</v>
      </c>
      <c r="J569" s="66">
        <v>46210</v>
      </c>
      <c r="K569" s="65">
        <v>11</v>
      </c>
      <c r="L569" s="65" t="s">
        <v>192</v>
      </c>
      <c r="M569" s="65" t="s">
        <v>184</v>
      </c>
      <c r="N569" s="65" t="b">
        <f>FALSE()</f>
        <v>0</v>
      </c>
      <c r="O569" s="65"/>
      <c r="P569" s="65"/>
      <c r="Q569" s="65" t="s">
        <v>236</v>
      </c>
      <c r="R569" s="65" t="s">
        <v>237</v>
      </c>
      <c r="S569" s="65"/>
      <c r="T569" s="65" t="b">
        <f>FALSE()</f>
        <v>0</v>
      </c>
      <c r="U569" s="65" t="b">
        <f>FALSE()</f>
        <v>0</v>
      </c>
      <c r="V569" s="65">
        <v>294</v>
      </c>
      <c r="W569" s="67" t="s">
        <v>259</v>
      </c>
      <c r="X569" s="65">
        <v>429</v>
      </c>
      <c r="Y569" s="68">
        <v>2.66</v>
      </c>
      <c r="Z569" s="65" t="b">
        <f>FALSE()</f>
        <v>0</v>
      </c>
      <c r="AA569" s="65" t="b">
        <f>TRUE()</f>
        <v>1</v>
      </c>
      <c r="AB569" s="65" t="b">
        <f>FALSE()</f>
        <v>0</v>
      </c>
      <c r="AC569" s="65" t="b">
        <f>FALSE()</f>
        <v>0</v>
      </c>
      <c r="AD569" s="65" t="b">
        <f>TRUE()</f>
        <v>1</v>
      </c>
      <c r="AE569" s="65">
        <v>3</v>
      </c>
      <c r="AF569" s="69">
        <v>42.9</v>
      </c>
      <c r="AG569" s="65" t="s">
        <v>73</v>
      </c>
      <c r="AH569" s="65" t="s">
        <v>1982</v>
      </c>
      <c r="AI569">
        <f>IF(AND(OR(Company_Explorer!$B$5="All Companies",$E569=Company_Explorer!$B$5),OR(Company_Explorer!$B$6="All Platforms",$B569=Company_Explorer!$B$6),OR(Company_Explorer!$B$7="All Roles",$D569=Company_Explorer!$B$7),OR(Company_Explorer!$B$8="All Ghost Labels",$AG569=Company_Explorer!$B$8)),1,0)</f>
        <v>0</v>
      </c>
    </row>
    <row r="570" spans="1:35" ht="15" customHeight="1" x14ac:dyDescent="0.3">
      <c r="A570" s="60" t="s">
        <v>1983</v>
      </c>
      <c r="B570" s="60" t="s">
        <v>80</v>
      </c>
      <c r="C570" s="60" t="s">
        <v>258</v>
      </c>
      <c r="D570" s="60" t="s">
        <v>125</v>
      </c>
      <c r="E570" s="60" t="s">
        <v>141</v>
      </c>
      <c r="F570" s="60" t="b">
        <f>TRUE()</f>
        <v>1</v>
      </c>
      <c r="G570" s="60" t="s">
        <v>169</v>
      </c>
      <c r="H570" s="60" t="s">
        <v>294</v>
      </c>
      <c r="I570" s="61">
        <v>46199</v>
      </c>
      <c r="J570" s="61">
        <v>46210</v>
      </c>
      <c r="K570" s="60">
        <v>11</v>
      </c>
      <c r="L570" s="60" t="s">
        <v>192</v>
      </c>
      <c r="M570" s="60" t="s">
        <v>184</v>
      </c>
      <c r="N570" s="60" t="b">
        <f>FALSE()</f>
        <v>0</v>
      </c>
      <c r="O570" s="60"/>
      <c r="P570" s="60"/>
      <c r="Q570" s="60" t="s">
        <v>236</v>
      </c>
      <c r="R570" s="60" t="s">
        <v>237</v>
      </c>
      <c r="S570" s="60"/>
      <c r="T570" s="60" t="b">
        <f>FALSE()</f>
        <v>0</v>
      </c>
      <c r="U570" s="60" t="b">
        <f>FALSE()</f>
        <v>0</v>
      </c>
      <c r="V570" s="60">
        <v>294</v>
      </c>
      <c r="W570" s="62" t="s">
        <v>259</v>
      </c>
      <c r="X570" s="60">
        <v>429</v>
      </c>
      <c r="Y570" s="63">
        <v>2.66</v>
      </c>
      <c r="Z570" s="60" t="b">
        <f>FALSE()</f>
        <v>0</v>
      </c>
      <c r="AA570" s="60" t="b">
        <f>TRUE()</f>
        <v>1</v>
      </c>
      <c r="AB570" s="60" t="b">
        <f>FALSE()</f>
        <v>0</v>
      </c>
      <c r="AC570" s="60" t="b">
        <f>FALSE()</f>
        <v>0</v>
      </c>
      <c r="AD570" s="60" t="b">
        <f>TRUE()</f>
        <v>1</v>
      </c>
      <c r="AE570" s="60">
        <v>3</v>
      </c>
      <c r="AF570" s="64">
        <v>42.9</v>
      </c>
      <c r="AG570" s="60" t="s">
        <v>73</v>
      </c>
      <c r="AH570" s="60" t="s">
        <v>1984</v>
      </c>
      <c r="AI570">
        <f>IF(AND(OR(Company_Explorer!$B$5="All Companies",$E570=Company_Explorer!$B$5),OR(Company_Explorer!$B$6="All Platforms",$B570=Company_Explorer!$B$6),OR(Company_Explorer!$B$7="All Roles",$D570=Company_Explorer!$B$7),OR(Company_Explorer!$B$8="All Ghost Labels",$AG570=Company_Explorer!$B$8)),1,0)</f>
        <v>0</v>
      </c>
    </row>
    <row r="571" spans="1:35" ht="15" customHeight="1" x14ac:dyDescent="0.3">
      <c r="A571" s="65" t="s">
        <v>1985</v>
      </c>
      <c r="B571" s="65" t="s">
        <v>80</v>
      </c>
      <c r="C571" s="65" t="s">
        <v>258</v>
      </c>
      <c r="D571" s="65" t="s">
        <v>125</v>
      </c>
      <c r="E571" s="65" t="s">
        <v>141</v>
      </c>
      <c r="F571" s="65" t="b">
        <f>TRUE()</f>
        <v>1</v>
      </c>
      <c r="G571" s="65" t="s">
        <v>169</v>
      </c>
      <c r="H571" s="65" t="s">
        <v>294</v>
      </c>
      <c r="I571" s="66">
        <v>46199</v>
      </c>
      <c r="J571" s="66">
        <v>46210</v>
      </c>
      <c r="K571" s="65">
        <v>11</v>
      </c>
      <c r="L571" s="65" t="s">
        <v>192</v>
      </c>
      <c r="M571" s="65" t="s">
        <v>184</v>
      </c>
      <c r="N571" s="65" t="b">
        <f>FALSE()</f>
        <v>0</v>
      </c>
      <c r="O571" s="65"/>
      <c r="P571" s="65"/>
      <c r="Q571" s="65" t="s">
        <v>236</v>
      </c>
      <c r="R571" s="65" t="s">
        <v>237</v>
      </c>
      <c r="S571" s="65"/>
      <c r="T571" s="65" t="b">
        <f>FALSE()</f>
        <v>0</v>
      </c>
      <c r="U571" s="65" t="b">
        <f>FALSE()</f>
        <v>0</v>
      </c>
      <c r="V571" s="65">
        <v>294</v>
      </c>
      <c r="W571" s="67" t="s">
        <v>259</v>
      </c>
      <c r="X571" s="65">
        <v>429</v>
      </c>
      <c r="Y571" s="68">
        <v>2.66</v>
      </c>
      <c r="Z571" s="65" t="b">
        <f>FALSE()</f>
        <v>0</v>
      </c>
      <c r="AA571" s="65" t="b">
        <f>TRUE()</f>
        <v>1</v>
      </c>
      <c r="AB571" s="65" t="b">
        <f>FALSE()</f>
        <v>0</v>
      </c>
      <c r="AC571" s="65" t="b">
        <f>FALSE()</f>
        <v>0</v>
      </c>
      <c r="AD571" s="65" t="b">
        <f>TRUE()</f>
        <v>1</v>
      </c>
      <c r="AE571" s="65">
        <v>3</v>
      </c>
      <c r="AF571" s="69">
        <v>42.9</v>
      </c>
      <c r="AG571" s="65" t="s">
        <v>73</v>
      </c>
      <c r="AH571" s="65" t="s">
        <v>1986</v>
      </c>
      <c r="AI571">
        <f>IF(AND(OR(Company_Explorer!$B$5="All Companies",$E571=Company_Explorer!$B$5),OR(Company_Explorer!$B$6="All Platforms",$B571=Company_Explorer!$B$6),OR(Company_Explorer!$B$7="All Roles",$D571=Company_Explorer!$B$7),OR(Company_Explorer!$B$8="All Ghost Labels",$AG571=Company_Explorer!$B$8)),1,0)</f>
        <v>0</v>
      </c>
    </row>
    <row r="572" spans="1:35" ht="15" customHeight="1" x14ac:dyDescent="0.3">
      <c r="A572" s="60" t="s">
        <v>1987</v>
      </c>
      <c r="B572" s="60" t="s">
        <v>80</v>
      </c>
      <c r="C572" s="60" t="s">
        <v>258</v>
      </c>
      <c r="D572" s="60" t="s">
        <v>125</v>
      </c>
      <c r="E572" s="60" t="s">
        <v>141</v>
      </c>
      <c r="F572" s="60" t="b">
        <f>TRUE()</f>
        <v>1</v>
      </c>
      <c r="G572" s="60" t="s">
        <v>167</v>
      </c>
      <c r="H572" s="60" t="s">
        <v>276</v>
      </c>
      <c r="I572" s="61">
        <v>46198</v>
      </c>
      <c r="J572" s="61">
        <v>46210</v>
      </c>
      <c r="K572" s="60">
        <v>12</v>
      </c>
      <c r="L572" s="60" t="s">
        <v>192</v>
      </c>
      <c r="M572" s="60" t="s">
        <v>184</v>
      </c>
      <c r="N572" s="60" t="b">
        <f>FALSE()</f>
        <v>0</v>
      </c>
      <c r="O572" s="60"/>
      <c r="P572" s="60"/>
      <c r="Q572" s="60" t="s">
        <v>236</v>
      </c>
      <c r="R572" s="60" t="s">
        <v>237</v>
      </c>
      <c r="S572" s="60"/>
      <c r="T572" s="60" t="b">
        <f>FALSE()</f>
        <v>0</v>
      </c>
      <c r="U572" s="60" t="b">
        <f>FALSE()</f>
        <v>0</v>
      </c>
      <c r="V572" s="60">
        <v>311</v>
      </c>
      <c r="W572" s="62" t="s">
        <v>259</v>
      </c>
      <c r="X572" s="60">
        <v>429</v>
      </c>
      <c r="Y572" s="63">
        <v>2.66</v>
      </c>
      <c r="Z572" s="60" t="b">
        <f>FALSE()</f>
        <v>0</v>
      </c>
      <c r="AA572" s="60" t="b">
        <f>TRUE()</f>
        <v>1</v>
      </c>
      <c r="AB572" s="60" t="b">
        <f>FALSE()</f>
        <v>0</v>
      </c>
      <c r="AC572" s="60" t="b">
        <f>FALSE()</f>
        <v>0</v>
      </c>
      <c r="AD572" s="60" t="b">
        <f>TRUE()</f>
        <v>1</v>
      </c>
      <c r="AE572" s="60">
        <v>3</v>
      </c>
      <c r="AF572" s="64">
        <v>42.9</v>
      </c>
      <c r="AG572" s="60" t="s">
        <v>73</v>
      </c>
      <c r="AH572" s="60" t="s">
        <v>1988</v>
      </c>
      <c r="AI572">
        <f>IF(AND(OR(Company_Explorer!$B$5="All Companies",$E572=Company_Explorer!$B$5),OR(Company_Explorer!$B$6="All Platforms",$B572=Company_Explorer!$B$6),OR(Company_Explorer!$B$7="All Roles",$D572=Company_Explorer!$B$7),OR(Company_Explorer!$B$8="All Ghost Labels",$AG572=Company_Explorer!$B$8)),1,0)</f>
        <v>0</v>
      </c>
    </row>
    <row r="573" spans="1:35" ht="15" customHeight="1" x14ac:dyDescent="0.3">
      <c r="A573" s="65" t="s">
        <v>1989</v>
      </c>
      <c r="B573" s="65" t="s">
        <v>80</v>
      </c>
      <c r="C573" s="65" t="s">
        <v>1613</v>
      </c>
      <c r="D573" s="65" t="s">
        <v>125</v>
      </c>
      <c r="E573" s="65" t="s">
        <v>1990</v>
      </c>
      <c r="F573" s="65" t="b">
        <f>TRUE()</f>
        <v>1</v>
      </c>
      <c r="G573" s="65" t="s">
        <v>169</v>
      </c>
      <c r="H573" s="65" t="s">
        <v>294</v>
      </c>
      <c r="I573" s="66">
        <v>46125</v>
      </c>
      <c r="J573" s="66">
        <v>46210</v>
      </c>
      <c r="K573" s="65">
        <v>85</v>
      </c>
      <c r="L573" s="65" t="s">
        <v>192</v>
      </c>
      <c r="M573" s="65" t="s">
        <v>185</v>
      </c>
      <c r="N573" s="65" t="b">
        <f>FALSE()</f>
        <v>0</v>
      </c>
      <c r="O573" s="65"/>
      <c r="P573" s="65"/>
      <c r="Q573" s="65" t="s">
        <v>236</v>
      </c>
      <c r="R573" s="65" t="s">
        <v>237</v>
      </c>
      <c r="S573" s="65"/>
      <c r="T573" s="65" t="b">
        <f>FALSE()</f>
        <v>0</v>
      </c>
      <c r="U573" s="65" t="b">
        <f>FALSE()</f>
        <v>0</v>
      </c>
      <c r="V573" s="65">
        <v>460</v>
      </c>
      <c r="W573" s="65" t="s">
        <v>1991</v>
      </c>
      <c r="X573" s="65">
        <v>1</v>
      </c>
      <c r="Y573" s="68">
        <v>0.01</v>
      </c>
      <c r="Z573" s="65" t="b">
        <f>FALSE()</f>
        <v>0</v>
      </c>
      <c r="AA573" s="65" t="b">
        <f>TRUE()</f>
        <v>1</v>
      </c>
      <c r="AB573" s="65" t="b">
        <f>FALSE()</f>
        <v>0</v>
      </c>
      <c r="AC573" s="65" t="b">
        <f>TRUE()</f>
        <v>1</v>
      </c>
      <c r="AD573" s="65" t="b">
        <f>FALSE()</f>
        <v>0</v>
      </c>
      <c r="AE573" s="65">
        <v>2</v>
      </c>
      <c r="AF573" s="69">
        <v>28.6</v>
      </c>
      <c r="AG573" s="65" t="s">
        <v>73</v>
      </c>
      <c r="AH573" s="65" t="s">
        <v>1992</v>
      </c>
      <c r="AI573">
        <f>IF(AND(OR(Company_Explorer!$B$5="All Companies",$E573=Company_Explorer!$B$5),OR(Company_Explorer!$B$6="All Platforms",$B573=Company_Explorer!$B$6),OR(Company_Explorer!$B$7="All Roles",$D573=Company_Explorer!$B$7),OR(Company_Explorer!$B$8="All Ghost Labels",$AG573=Company_Explorer!$B$8)),1,0)</f>
        <v>0</v>
      </c>
    </row>
    <row r="574" spans="1:35" ht="15" customHeight="1" x14ac:dyDescent="0.3">
      <c r="A574" s="60" t="s">
        <v>1993</v>
      </c>
      <c r="B574" s="60" t="s">
        <v>80</v>
      </c>
      <c r="C574" s="60" t="s">
        <v>1994</v>
      </c>
      <c r="D574" s="60" t="s">
        <v>131</v>
      </c>
      <c r="E574" s="60" t="s">
        <v>1995</v>
      </c>
      <c r="F574" s="60" t="b">
        <f>TRUE()</f>
        <v>1</v>
      </c>
      <c r="G574" s="60" t="s">
        <v>166</v>
      </c>
      <c r="H574" s="60" t="s">
        <v>235</v>
      </c>
      <c r="I574" s="61">
        <v>46191</v>
      </c>
      <c r="J574" s="61">
        <v>46210</v>
      </c>
      <c r="K574" s="60">
        <v>19</v>
      </c>
      <c r="L574" s="60" t="s">
        <v>192</v>
      </c>
      <c r="M574" s="60" t="s">
        <v>185</v>
      </c>
      <c r="N574" s="60" t="b">
        <f>FALSE()</f>
        <v>0</v>
      </c>
      <c r="O574" s="60"/>
      <c r="P574" s="60"/>
      <c r="Q574" s="60" t="s">
        <v>236</v>
      </c>
      <c r="R574" s="60" t="s">
        <v>237</v>
      </c>
      <c r="S574" s="60"/>
      <c r="T574" s="60" t="b">
        <f>FALSE()</f>
        <v>0</v>
      </c>
      <c r="U574" s="60" t="b">
        <f>FALSE()</f>
        <v>0</v>
      </c>
      <c r="V574" s="60">
        <v>499</v>
      </c>
      <c r="W574" s="60" t="s">
        <v>1996</v>
      </c>
      <c r="X574" s="60">
        <v>1</v>
      </c>
      <c r="Y574" s="63">
        <v>0.01</v>
      </c>
      <c r="Z574" s="60" t="b">
        <f>FALSE()</f>
        <v>0</v>
      </c>
      <c r="AA574" s="60" t="b">
        <f>TRUE()</f>
        <v>1</v>
      </c>
      <c r="AB574" s="60" t="b">
        <f>FALSE()</f>
        <v>0</v>
      </c>
      <c r="AC574" s="60" t="b">
        <f>TRUE()</f>
        <v>1</v>
      </c>
      <c r="AD574" s="60" t="b">
        <f>FALSE()</f>
        <v>0</v>
      </c>
      <c r="AE574" s="60">
        <v>2</v>
      </c>
      <c r="AF574" s="64">
        <v>28.6</v>
      </c>
      <c r="AG574" s="60" t="s">
        <v>73</v>
      </c>
      <c r="AH574" s="60" t="s">
        <v>1997</v>
      </c>
      <c r="AI574">
        <f>IF(AND(OR(Company_Explorer!$B$5="All Companies",$E574=Company_Explorer!$B$5),OR(Company_Explorer!$B$6="All Platforms",$B574=Company_Explorer!$B$6),OR(Company_Explorer!$B$7="All Roles",$D574=Company_Explorer!$B$7),OR(Company_Explorer!$B$8="All Ghost Labels",$AG574=Company_Explorer!$B$8)),1,0)</f>
        <v>0</v>
      </c>
    </row>
    <row r="575" spans="1:35" ht="15" customHeight="1" x14ac:dyDescent="0.3">
      <c r="A575" s="65" t="s">
        <v>1998</v>
      </c>
      <c r="B575" s="65" t="s">
        <v>80</v>
      </c>
      <c r="C575" s="65" t="s">
        <v>258</v>
      </c>
      <c r="D575" s="65" t="s">
        <v>125</v>
      </c>
      <c r="E575" s="65" t="s">
        <v>141</v>
      </c>
      <c r="F575" s="65" t="b">
        <f>TRUE()</f>
        <v>1</v>
      </c>
      <c r="G575" s="65" t="s">
        <v>166</v>
      </c>
      <c r="H575" s="65" t="s">
        <v>235</v>
      </c>
      <c r="I575" s="66">
        <v>46198</v>
      </c>
      <c r="J575" s="66">
        <v>46210</v>
      </c>
      <c r="K575" s="65">
        <v>12</v>
      </c>
      <c r="L575" s="65" t="s">
        <v>192</v>
      </c>
      <c r="M575" s="65" t="s">
        <v>184</v>
      </c>
      <c r="N575" s="65" t="b">
        <f>FALSE()</f>
        <v>0</v>
      </c>
      <c r="O575" s="65"/>
      <c r="P575" s="65"/>
      <c r="Q575" s="65" t="s">
        <v>236</v>
      </c>
      <c r="R575" s="65" t="s">
        <v>237</v>
      </c>
      <c r="S575" s="65"/>
      <c r="T575" s="65" t="b">
        <f>FALSE()</f>
        <v>0</v>
      </c>
      <c r="U575" s="65" t="b">
        <f>FALSE()</f>
        <v>0</v>
      </c>
      <c r="V575" s="65">
        <v>304</v>
      </c>
      <c r="W575" s="67" t="s">
        <v>259</v>
      </c>
      <c r="X575" s="65">
        <v>429</v>
      </c>
      <c r="Y575" s="68">
        <v>2.66</v>
      </c>
      <c r="Z575" s="65" t="b">
        <f>FALSE()</f>
        <v>0</v>
      </c>
      <c r="AA575" s="65" t="b">
        <f>TRUE()</f>
        <v>1</v>
      </c>
      <c r="AB575" s="65" t="b">
        <f>FALSE()</f>
        <v>0</v>
      </c>
      <c r="AC575" s="65" t="b">
        <f>FALSE()</f>
        <v>0</v>
      </c>
      <c r="AD575" s="65" t="b">
        <f>TRUE()</f>
        <v>1</v>
      </c>
      <c r="AE575" s="65">
        <v>3</v>
      </c>
      <c r="AF575" s="69">
        <v>42.9</v>
      </c>
      <c r="AG575" s="65" t="s">
        <v>73</v>
      </c>
      <c r="AH575" s="65" t="s">
        <v>1999</v>
      </c>
      <c r="AI575">
        <f>IF(AND(OR(Company_Explorer!$B$5="All Companies",$E575=Company_Explorer!$B$5),OR(Company_Explorer!$B$6="All Platforms",$B575=Company_Explorer!$B$6),OR(Company_Explorer!$B$7="All Roles",$D575=Company_Explorer!$B$7),OR(Company_Explorer!$B$8="All Ghost Labels",$AG575=Company_Explorer!$B$8)),1,0)</f>
        <v>0</v>
      </c>
    </row>
    <row r="576" spans="1:35" ht="15" customHeight="1" x14ac:dyDescent="0.3">
      <c r="A576" s="60" t="s">
        <v>2000</v>
      </c>
      <c r="B576" s="60" t="s">
        <v>80</v>
      </c>
      <c r="C576" s="60" t="s">
        <v>306</v>
      </c>
      <c r="D576" s="60" t="s">
        <v>125</v>
      </c>
      <c r="E576" s="60" t="s">
        <v>141</v>
      </c>
      <c r="F576" s="60" t="b">
        <f>TRUE()</f>
        <v>1</v>
      </c>
      <c r="G576" s="60" t="s">
        <v>166</v>
      </c>
      <c r="H576" s="60" t="s">
        <v>235</v>
      </c>
      <c r="I576" s="61">
        <v>46192</v>
      </c>
      <c r="J576" s="61">
        <v>46210</v>
      </c>
      <c r="K576" s="60">
        <v>18</v>
      </c>
      <c r="L576" s="60" t="s">
        <v>192</v>
      </c>
      <c r="M576" s="60" t="s">
        <v>184</v>
      </c>
      <c r="N576" s="60" t="b">
        <f>FALSE()</f>
        <v>0</v>
      </c>
      <c r="O576" s="60"/>
      <c r="P576" s="60"/>
      <c r="Q576" s="60" t="s">
        <v>236</v>
      </c>
      <c r="R576" s="60" t="s">
        <v>237</v>
      </c>
      <c r="S576" s="60"/>
      <c r="T576" s="60" t="b">
        <f>FALSE()</f>
        <v>0</v>
      </c>
      <c r="U576" s="60" t="b">
        <f>FALSE()</f>
        <v>0</v>
      </c>
      <c r="V576" s="60">
        <v>324</v>
      </c>
      <c r="W576" s="62" t="s">
        <v>2001</v>
      </c>
      <c r="X576" s="60">
        <v>429</v>
      </c>
      <c r="Y576" s="63">
        <v>2.66</v>
      </c>
      <c r="Z576" s="60" t="b">
        <f>FALSE()</f>
        <v>0</v>
      </c>
      <c r="AA576" s="60" t="b">
        <f>TRUE()</f>
        <v>1</v>
      </c>
      <c r="AB576" s="60" t="b">
        <f>FALSE()</f>
        <v>0</v>
      </c>
      <c r="AC576" s="60" t="b">
        <f>FALSE()</f>
        <v>0</v>
      </c>
      <c r="AD576" s="60" t="b">
        <f>TRUE()</f>
        <v>1</v>
      </c>
      <c r="AE576" s="60">
        <v>3</v>
      </c>
      <c r="AF576" s="64">
        <v>42.9</v>
      </c>
      <c r="AG576" s="60" t="s">
        <v>73</v>
      </c>
      <c r="AH576" s="60" t="s">
        <v>2002</v>
      </c>
      <c r="AI576">
        <f>IF(AND(OR(Company_Explorer!$B$5="All Companies",$E576=Company_Explorer!$B$5),OR(Company_Explorer!$B$6="All Platforms",$B576=Company_Explorer!$B$6),OR(Company_Explorer!$B$7="All Roles",$D576=Company_Explorer!$B$7),OR(Company_Explorer!$B$8="All Ghost Labels",$AG576=Company_Explorer!$B$8)),1,0)</f>
        <v>0</v>
      </c>
    </row>
    <row r="577" spans="1:35" ht="15" customHeight="1" x14ac:dyDescent="0.3">
      <c r="A577" s="65" t="s">
        <v>2003</v>
      </c>
      <c r="B577" s="65" t="s">
        <v>80</v>
      </c>
      <c r="C577" s="65" t="s">
        <v>258</v>
      </c>
      <c r="D577" s="65" t="s">
        <v>125</v>
      </c>
      <c r="E577" s="65" t="s">
        <v>141</v>
      </c>
      <c r="F577" s="65" t="b">
        <f>TRUE()</f>
        <v>1</v>
      </c>
      <c r="G577" s="65" t="s">
        <v>166</v>
      </c>
      <c r="H577" s="65" t="s">
        <v>235</v>
      </c>
      <c r="I577" s="66">
        <v>46198</v>
      </c>
      <c r="J577" s="66">
        <v>46210</v>
      </c>
      <c r="K577" s="65">
        <v>12</v>
      </c>
      <c r="L577" s="65" t="s">
        <v>192</v>
      </c>
      <c r="M577" s="65" t="s">
        <v>184</v>
      </c>
      <c r="N577" s="65" t="b">
        <f>FALSE()</f>
        <v>0</v>
      </c>
      <c r="O577" s="65"/>
      <c r="P577" s="65"/>
      <c r="Q577" s="65" t="s">
        <v>236</v>
      </c>
      <c r="R577" s="65" t="s">
        <v>237</v>
      </c>
      <c r="S577" s="65"/>
      <c r="T577" s="65" t="b">
        <f>FALSE()</f>
        <v>0</v>
      </c>
      <c r="U577" s="65" t="b">
        <f>FALSE()</f>
        <v>0</v>
      </c>
      <c r="V577" s="65">
        <v>304</v>
      </c>
      <c r="W577" s="67" t="s">
        <v>259</v>
      </c>
      <c r="X577" s="65">
        <v>429</v>
      </c>
      <c r="Y577" s="68">
        <v>2.66</v>
      </c>
      <c r="Z577" s="65" t="b">
        <f>FALSE()</f>
        <v>0</v>
      </c>
      <c r="AA577" s="65" t="b">
        <f>TRUE()</f>
        <v>1</v>
      </c>
      <c r="AB577" s="65" t="b">
        <f>FALSE()</f>
        <v>0</v>
      </c>
      <c r="AC577" s="65" t="b">
        <f>FALSE()</f>
        <v>0</v>
      </c>
      <c r="AD577" s="65" t="b">
        <f>TRUE()</f>
        <v>1</v>
      </c>
      <c r="AE577" s="65">
        <v>3</v>
      </c>
      <c r="AF577" s="69">
        <v>42.9</v>
      </c>
      <c r="AG577" s="65" t="s">
        <v>73</v>
      </c>
      <c r="AH577" s="65" t="s">
        <v>2004</v>
      </c>
      <c r="AI577">
        <f>IF(AND(OR(Company_Explorer!$B$5="All Companies",$E577=Company_Explorer!$B$5),OR(Company_Explorer!$B$6="All Platforms",$B577=Company_Explorer!$B$6),OR(Company_Explorer!$B$7="All Roles",$D577=Company_Explorer!$B$7),OR(Company_Explorer!$B$8="All Ghost Labels",$AG577=Company_Explorer!$B$8)),1,0)</f>
        <v>0</v>
      </c>
    </row>
    <row r="578" spans="1:35" ht="15" customHeight="1" x14ac:dyDescent="0.3">
      <c r="A578" s="60" t="s">
        <v>2005</v>
      </c>
      <c r="B578" s="60" t="s">
        <v>80</v>
      </c>
      <c r="C578" s="60" t="s">
        <v>258</v>
      </c>
      <c r="D578" s="60" t="s">
        <v>125</v>
      </c>
      <c r="E578" s="60" t="s">
        <v>141</v>
      </c>
      <c r="F578" s="60" t="b">
        <f>TRUE()</f>
        <v>1</v>
      </c>
      <c r="G578" s="60" t="s">
        <v>1246</v>
      </c>
      <c r="H578" s="60" t="s">
        <v>165</v>
      </c>
      <c r="I578" s="61">
        <v>46198</v>
      </c>
      <c r="J578" s="61">
        <v>46210</v>
      </c>
      <c r="K578" s="60">
        <v>12</v>
      </c>
      <c r="L578" s="60" t="s">
        <v>192</v>
      </c>
      <c r="M578" s="60" t="s">
        <v>184</v>
      </c>
      <c r="N578" s="60" t="b">
        <f>FALSE()</f>
        <v>0</v>
      </c>
      <c r="O578" s="60"/>
      <c r="P578" s="60"/>
      <c r="Q578" s="60" t="s">
        <v>236</v>
      </c>
      <c r="R578" s="60" t="s">
        <v>237</v>
      </c>
      <c r="S578" s="60"/>
      <c r="T578" s="60" t="b">
        <f>FALSE()</f>
        <v>0</v>
      </c>
      <c r="U578" s="60" t="b">
        <f>FALSE()</f>
        <v>0</v>
      </c>
      <c r="V578" s="60">
        <v>268</v>
      </c>
      <c r="W578" s="62" t="s">
        <v>259</v>
      </c>
      <c r="X578" s="60">
        <v>429</v>
      </c>
      <c r="Y578" s="63">
        <v>2.66</v>
      </c>
      <c r="Z578" s="60" t="b">
        <f>FALSE()</f>
        <v>0</v>
      </c>
      <c r="AA578" s="60" t="b">
        <f>TRUE()</f>
        <v>1</v>
      </c>
      <c r="AB578" s="60" t="b">
        <f>TRUE()</f>
        <v>1</v>
      </c>
      <c r="AC578" s="60" t="b">
        <f>FALSE()</f>
        <v>0</v>
      </c>
      <c r="AD578" s="60" t="b">
        <f>TRUE()</f>
        <v>1</v>
      </c>
      <c r="AE578" s="60">
        <v>4</v>
      </c>
      <c r="AF578" s="64">
        <v>57.1</v>
      </c>
      <c r="AG578" s="60" t="s">
        <v>72</v>
      </c>
      <c r="AH578" s="60" t="s">
        <v>2006</v>
      </c>
      <c r="AI578">
        <f>IF(AND(OR(Company_Explorer!$B$5="All Companies",$E578=Company_Explorer!$B$5),OR(Company_Explorer!$B$6="All Platforms",$B578=Company_Explorer!$B$6),OR(Company_Explorer!$B$7="All Roles",$D578=Company_Explorer!$B$7),OR(Company_Explorer!$B$8="All Ghost Labels",$AG578=Company_Explorer!$B$8)),1,0)</f>
        <v>0</v>
      </c>
    </row>
    <row r="579" spans="1:35" ht="15" customHeight="1" x14ac:dyDescent="0.3">
      <c r="A579" s="65" t="s">
        <v>2007</v>
      </c>
      <c r="B579" s="65" t="s">
        <v>80</v>
      </c>
      <c r="C579" s="65" t="s">
        <v>258</v>
      </c>
      <c r="D579" s="65" t="s">
        <v>125</v>
      </c>
      <c r="E579" s="65" t="s">
        <v>141</v>
      </c>
      <c r="F579" s="65" t="b">
        <f>TRUE()</f>
        <v>1</v>
      </c>
      <c r="G579" s="65" t="s">
        <v>166</v>
      </c>
      <c r="H579" s="65" t="s">
        <v>235</v>
      </c>
      <c r="I579" s="66">
        <v>46198</v>
      </c>
      <c r="J579" s="66">
        <v>46210</v>
      </c>
      <c r="K579" s="65">
        <v>12</v>
      </c>
      <c r="L579" s="65" t="s">
        <v>192</v>
      </c>
      <c r="M579" s="65" t="s">
        <v>184</v>
      </c>
      <c r="N579" s="65" t="b">
        <f>FALSE()</f>
        <v>0</v>
      </c>
      <c r="O579" s="65"/>
      <c r="P579" s="65"/>
      <c r="Q579" s="65" t="s">
        <v>236</v>
      </c>
      <c r="R579" s="65" t="s">
        <v>237</v>
      </c>
      <c r="S579" s="65"/>
      <c r="T579" s="65" t="b">
        <f>FALSE()</f>
        <v>0</v>
      </c>
      <c r="U579" s="65" t="b">
        <f>FALSE()</f>
        <v>0</v>
      </c>
      <c r="V579" s="65">
        <v>304</v>
      </c>
      <c r="W579" s="67" t="s">
        <v>259</v>
      </c>
      <c r="X579" s="65">
        <v>429</v>
      </c>
      <c r="Y579" s="68">
        <v>2.66</v>
      </c>
      <c r="Z579" s="65" t="b">
        <f>FALSE()</f>
        <v>0</v>
      </c>
      <c r="AA579" s="65" t="b">
        <f>TRUE()</f>
        <v>1</v>
      </c>
      <c r="AB579" s="65" t="b">
        <f>FALSE()</f>
        <v>0</v>
      </c>
      <c r="AC579" s="65" t="b">
        <f>FALSE()</f>
        <v>0</v>
      </c>
      <c r="AD579" s="65" t="b">
        <f>TRUE()</f>
        <v>1</v>
      </c>
      <c r="AE579" s="65">
        <v>3</v>
      </c>
      <c r="AF579" s="69">
        <v>42.9</v>
      </c>
      <c r="AG579" s="65" t="s">
        <v>73</v>
      </c>
      <c r="AH579" s="65" t="s">
        <v>2008</v>
      </c>
      <c r="AI579">
        <f>IF(AND(OR(Company_Explorer!$B$5="All Companies",$E579=Company_Explorer!$B$5),OR(Company_Explorer!$B$6="All Platforms",$B579=Company_Explorer!$B$6),OR(Company_Explorer!$B$7="All Roles",$D579=Company_Explorer!$B$7),OR(Company_Explorer!$B$8="All Ghost Labels",$AG579=Company_Explorer!$B$8)),1,0)</f>
        <v>0</v>
      </c>
    </row>
    <row r="580" spans="1:35" ht="15" customHeight="1" x14ac:dyDescent="0.3">
      <c r="A580" s="60" t="s">
        <v>2009</v>
      </c>
      <c r="B580" s="60" t="s">
        <v>80</v>
      </c>
      <c r="C580" s="60" t="s">
        <v>2010</v>
      </c>
      <c r="D580" s="60" t="s">
        <v>131</v>
      </c>
      <c r="E580" s="60" t="s">
        <v>2011</v>
      </c>
      <c r="F580" s="60" t="b">
        <f>TRUE()</f>
        <v>1</v>
      </c>
      <c r="G580" s="60" t="s">
        <v>370</v>
      </c>
      <c r="H580" s="60" t="s">
        <v>165</v>
      </c>
      <c r="I580" s="61">
        <v>45799</v>
      </c>
      <c r="J580" s="61">
        <v>46210</v>
      </c>
      <c r="K580" s="60">
        <v>411</v>
      </c>
      <c r="L580" s="60" t="s">
        <v>192</v>
      </c>
      <c r="M580" s="60" t="s">
        <v>187</v>
      </c>
      <c r="N580" s="60" t="b">
        <f>FALSE()</f>
        <v>0</v>
      </c>
      <c r="O580" s="60"/>
      <c r="P580" s="60"/>
      <c r="Q580" s="60" t="s">
        <v>236</v>
      </c>
      <c r="R580" s="60" t="s">
        <v>237</v>
      </c>
      <c r="S580" s="60"/>
      <c r="T580" s="60" t="b">
        <f>FALSE()</f>
        <v>0</v>
      </c>
      <c r="U580" s="60" t="b">
        <f>FALSE()</f>
        <v>0</v>
      </c>
      <c r="V580" s="60">
        <v>236</v>
      </c>
      <c r="W580" s="62" t="s">
        <v>2012</v>
      </c>
      <c r="X580" s="60">
        <v>1</v>
      </c>
      <c r="Y580" s="63">
        <v>0.01</v>
      </c>
      <c r="Z580" s="60" t="b">
        <f>FALSE()</f>
        <v>0</v>
      </c>
      <c r="AA580" s="60" t="b">
        <f>TRUE()</f>
        <v>1</v>
      </c>
      <c r="AB580" s="60" t="b">
        <f>TRUE()</f>
        <v>1</v>
      </c>
      <c r="AC580" s="60" t="b">
        <f>TRUE()</f>
        <v>1</v>
      </c>
      <c r="AD580" s="60" t="b">
        <f>FALSE()</f>
        <v>0</v>
      </c>
      <c r="AE580" s="60">
        <v>3</v>
      </c>
      <c r="AF580" s="64">
        <v>42.9</v>
      </c>
      <c r="AG580" s="60" t="s">
        <v>73</v>
      </c>
      <c r="AH580" s="60" t="s">
        <v>2013</v>
      </c>
      <c r="AI580">
        <f>IF(AND(OR(Company_Explorer!$B$5="All Companies",$E580=Company_Explorer!$B$5),OR(Company_Explorer!$B$6="All Platforms",$B580=Company_Explorer!$B$6),OR(Company_Explorer!$B$7="All Roles",$D580=Company_Explorer!$B$7),OR(Company_Explorer!$B$8="All Ghost Labels",$AG580=Company_Explorer!$B$8)),1,0)</f>
        <v>0</v>
      </c>
    </row>
    <row r="581" spans="1:35" ht="15" customHeight="1" x14ac:dyDescent="0.3">
      <c r="A581" s="65" t="s">
        <v>2014</v>
      </c>
      <c r="B581" s="65" t="s">
        <v>80</v>
      </c>
      <c r="C581" s="65" t="s">
        <v>258</v>
      </c>
      <c r="D581" s="65" t="s">
        <v>125</v>
      </c>
      <c r="E581" s="65" t="s">
        <v>141</v>
      </c>
      <c r="F581" s="65" t="b">
        <f>TRUE()</f>
        <v>1</v>
      </c>
      <c r="G581" s="65" t="s">
        <v>1246</v>
      </c>
      <c r="H581" s="65" t="s">
        <v>165</v>
      </c>
      <c r="I581" s="66">
        <v>46198</v>
      </c>
      <c r="J581" s="66">
        <v>46210</v>
      </c>
      <c r="K581" s="65">
        <v>12</v>
      </c>
      <c r="L581" s="65" t="s">
        <v>192</v>
      </c>
      <c r="M581" s="65" t="s">
        <v>184</v>
      </c>
      <c r="N581" s="65" t="b">
        <f>FALSE()</f>
        <v>0</v>
      </c>
      <c r="O581" s="65"/>
      <c r="P581" s="65"/>
      <c r="Q581" s="65" t="s">
        <v>236</v>
      </c>
      <c r="R581" s="65" t="s">
        <v>237</v>
      </c>
      <c r="S581" s="65"/>
      <c r="T581" s="65" t="b">
        <f>FALSE()</f>
        <v>0</v>
      </c>
      <c r="U581" s="65" t="b">
        <f>FALSE()</f>
        <v>0</v>
      </c>
      <c r="V581" s="65">
        <v>268</v>
      </c>
      <c r="W581" s="67" t="s">
        <v>259</v>
      </c>
      <c r="X581" s="65">
        <v>429</v>
      </c>
      <c r="Y581" s="68">
        <v>2.66</v>
      </c>
      <c r="Z581" s="65" t="b">
        <f>FALSE()</f>
        <v>0</v>
      </c>
      <c r="AA581" s="65" t="b">
        <f>TRUE()</f>
        <v>1</v>
      </c>
      <c r="AB581" s="65" t="b">
        <f>TRUE()</f>
        <v>1</v>
      </c>
      <c r="AC581" s="65" t="b">
        <f>FALSE()</f>
        <v>0</v>
      </c>
      <c r="AD581" s="65" t="b">
        <f>TRUE()</f>
        <v>1</v>
      </c>
      <c r="AE581" s="65">
        <v>4</v>
      </c>
      <c r="AF581" s="69">
        <v>57.1</v>
      </c>
      <c r="AG581" s="65" t="s">
        <v>72</v>
      </c>
      <c r="AH581" s="65" t="s">
        <v>2015</v>
      </c>
      <c r="AI581">
        <f>IF(AND(OR(Company_Explorer!$B$5="All Companies",$E581=Company_Explorer!$B$5),OR(Company_Explorer!$B$6="All Platforms",$B581=Company_Explorer!$B$6),OR(Company_Explorer!$B$7="All Roles",$D581=Company_Explorer!$B$7),OR(Company_Explorer!$B$8="All Ghost Labels",$AG581=Company_Explorer!$B$8)),1,0)</f>
        <v>0</v>
      </c>
    </row>
    <row r="582" spans="1:35" ht="15" customHeight="1" x14ac:dyDescent="0.3">
      <c r="A582" s="60" t="s">
        <v>2016</v>
      </c>
      <c r="B582" s="60" t="s">
        <v>80</v>
      </c>
      <c r="C582" s="60" t="s">
        <v>2017</v>
      </c>
      <c r="D582" s="60" t="s">
        <v>125</v>
      </c>
      <c r="E582" s="60" t="s">
        <v>2018</v>
      </c>
      <c r="F582" s="60" t="b">
        <f>TRUE()</f>
        <v>1</v>
      </c>
      <c r="G582" s="60" t="s">
        <v>1198</v>
      </c>
      <c r="H582" s="60" t="s">
        <v>165</v>
      </c>
      <c r="I582" s="61">
        <v>46191</v>
      </c>
      <c r="J582" s="61">
        <v>46210</v>
      </c>
      <c r="K582" s="60">
        <v>19</v>
      </c>
      <c r="L582" s="60" t="s">
        <v>192</v>
      </c>
      <c r="M582" s="60" t="s">
        <v>186</v>
      </c>
      <c r="N582" s="60" t="b">
        <f>FALSE()</f>
        <v>0</v>
      </c>
      <c r="O582" s="60"/>
      <c r="P582" s="60"/>
      <c r="Q582" s="60" t="s">
        <v>236</v>
      </c>
      <c r="R582" s="60" t="s">
        <v>237</v>
      </c>
      <c r="S582" s="60"/>
      <c r="T582" s="60" t="b">
        <f>FALSE()</f>
        <v>0</v>
      </c>
      <c r="U582" s="60" t="b">
        <f>FALSE()</f>
        <v>0</v>
      </c>
      <c r="V582" s="60">
        <v>807</v>
      </c>
      <c r="W582" s="62" t="s">
        <v>2019</v>
      </c>
      <c r="X582" s="60">
        <v>1</v>
      </c>
      <c r="Y582" s="63">
        <v>0.01</v>
      </c>
      <c r="Z582" s="60" t="b">
        <f>FALSE()</f>
        <v>0</v>
      </c>
      <c r="AA582" s="60" t="b">
        <f>TRUE()</f>
        <v>1</v>
      </c>
      <c r="AB582" s="60" t="b">
        <f>FALSE()</f>
        <v>0</v>
      </c>
      <c r="AC582" s="60" t="b">
        <f>TRUE()</f>
        <v>1</v>
      </c>
      <c r="AD582" s="60" t="b">
        <f>FALSE()</f>
        <v>0</v>
      </c>
      <c r="AE582" s="60">
        <v>2</v>
      </c>
      <c r="AF582" s="64">
        <v>28.6</v>
      </c>
      <c r="AG582" s="60" t="s">
        <v>73</v>
      </c>
      <c r="AH582" s="60" t="s">
        <v>2020</v>
      </c>
      <c r="AI582">
        <f>IF(AND(OR(Company_Explorer!$B$5="All Companies",$E582=Company_Explorer!$B$5),OR(Company_Explorer!$B$6="All Platforms",$B582=Company_Explorer!$B$6),OR(Company_Explorer!$B$7="All Roles",$D582=Company_Explorer!$B$7),OR(Company_Explorer!$B$8="All Ghost Labels",$AG582=Company_Explorer!$B$8)),1,0)</f>
        <v>0</v>
      </c>
    </row>
    <row r="583" spans="1:35" ht="15" customHeight="1" x14ac:dyDescent="0.3">
      <c r="A583" s="65" t="s">
        <v>2021</v>
      </c>
      <c r="B583" s="65" t="s">
        <v>80</v>
      </c>
      <c r="C583" s="65" t="s">
        <v>131</v>
      </c>
      <c r="D583" s="65" t="s">
        <v>131</v>
      </c>
      <c r="E583" s="65" t="s">
        <v>2022</v>
      </c>
      <c r="F583" s="65" t="b">
        <f>TRUE()</f>
        <v>1</v>
      </c>
      <c r="G583" s="65" t="s">
        <v>171</v>
      </c>
      <c r="H583" s="65" t="s">
        <v>254</v>
      </c>
      <c r="I583" s="66">
        <v>46192</v>
      </c>
      <c r="J583" s="66">
        <v>46210</v>
      </c>
      <c r="K583" s="65">
        <v>18</v>
      </c>
      <c r="L583" s="65" t="s">
        <v>192</v>
      </c>
      <c r="M583" s="65" t="s">
        <v>185</v>
      </c>
      <c r="N583" s="65" t="b">
        <f>FALSE()</f>
        <v>0</v>
      </c>
      <c r="O583" s="65"/>
      <c r="P583" s="65"/>
      <c r="Q583" s="65" t="s">
        <v>236</v>
      </c>
      <c r="R583" s="65" t="s">
        <v>237</v>
      </c>
      <c r="S583" s="65"/>
      <c r="T583" s="65" t="b">
        <f>FALSE()</f>
        <v>0</v>
      </c>
      <c r="U583" s="65" t="b">
        <f>FALSE()</f>
        <v>0</v>
      </c>
      <c r="V583" s="65">
        <v>466</v>
      </c>
      <c r="W583" s="67" t="s">
        <v>2023</v>
      </c>
      <c r="X583" s="65">
        <v>1</v>
      </c>
      <c r="Y583" s="68">
        <v>0.01</v>
      </c>
      <c r="Z583" s="65" t="b">
        <f>FALSE()</f>
        <v>0</v>
      </c>
      <c r="AA583" s="65" t="b">
        <f>TRUE()</f>
        <v>1</v>
      </c>
      <c r="AB583" s="65" t="b">
        <f>FALSE()</f>
        <v>0</v>
      </c>
      <c r="AC583" s="65" t="b">
        <f>FALSE()</f>
        <v>0</v>
      </c>
      <c r="AD583" s="65" t="b">
        <f>FALSE()</f>
        <v>0</v>
      </c>
      <c r="AE583" s="65">
        <v>1</v>
      </c>
      <c r="AF583" s="69">
        <v>14.3</v>
      </c>
      <c r="AG583" s="65" t="s">
        <v>74</v>
      </c>
      <c r="AH583" s="65" t="s">
        <v>2024</v>
      </c>
      <c r="AI583">
        <f>IF(AND(OR(Company_Explorer!$B$5="All Companies",$E583=Company_Explorer!$B$5),OR(Company_Explorer!$B$6="All Platforms",$B583=Company_Explorer!$B$6),OR(Company_Explorer!$B$7="All Roles",$D583=Company_Explorer!$B$7),OR(Company_Explorer!$B$8="All Ghost Labels",$AG583=Company_Explorer!$B$8)),1,0)</f>
        <v>0</v>
      </c>
    </row>
    <row r="584" spans="1:35" ht="15" customHeight="1" x14ac:dyDescent="0.3">
      <c r="A584" s="60" t="s">
        <v>2025</v>
      </c>
      <c r="B584" s="60" t="s">
        <v>80</v>
      </c>
      <c r="C584" s="60" t="s">
        <v>258</v>
      </c>
      <c r="D584" s="60" t="s">
        <v>125</v>
      </c>
      <c r="E584" s="60" t="s">
        <v>141</v>
      </c>
      <c r="F584" s="60" t="b">
        <f>TRUE()</f>
        <v>1</v>
      </c>
      <c r="G584" s="60" t="s">
        <v>172</v>
      </c>
      <c r="H584" s="60" t="s">
        <v>276</v>
      </c>
      <c r="I584" s="61">
        <v>46198</v>
      </c>
      <c r="J584" s="61">
        <v>46210</v>
      </c>
      <c r="K584" s="60">
        <v>12</v>
      </c>
      <c r="L584" s="60" t="s">
        <v>192</v>
      </c>
      <c r="M584" s="60" t="s">
        <v>184</v>
      </c>
      <c r="N584" s="60" t="b">
        <f>FALSE()</f>
        <v>0</v>
      </c>
      <c r="O584" s="60"/>
      <c r="P584" s="60"/>
      <c r="Q584" s="60" t="s">
        <v>236</v>
      </c>
      <c r="R584" s="60" t="s">
        <v>237</v>
      </c>
      <c r="S584" s="60"/>
      <c r="T584" s="60" t="b">
        <f>FALSE()</f>
        <v>0</v>
      </c>
      <c r="U584" s="60" t="b">
        <f>FALSE()</f>
        <v>0</v>
      </c>
      <c r="V584" s="60">
        <v>281</v>
      </c>
      <c r="W584" s="62" t="s">
        <v>1311</v>
      </c>
      <c r="X584" s="60">
        <v>429</v>
      </c>
      <c r="Y584" s="63">
        <v>2.66</v>
      </c>
      <c r="Z584" s="60" t="b">
        <f>FALSE()</f>
        <v>0</v>
      </c>
      <c r="AA584" s="60" t="b">
        <f>TRUE()</f>
        <v>1</v>
      </c>
      <c r="AB584" s="60" t="b">
        <f>FALSE()</f>
        <v>0</v>
      </c>
      <c r="AC584" s="60" t="b">
        <f>FALSE()</f>
        <v>0</v>
      </c>
      <c r="AD584" s="60" t="b">
        <f>TRUE()</f>
        <v>1</v>
      </c>
      <c r="AE584" s="60">
        <v>3</v>
      </c>
      <c r="AF584" s="64">
        <v>42.9</v>
      </c>
      <c r="AG584" s="60" t="s">
        <v>73</v>
      </c>
      <c r="AH584" s="60" t="s">
        <v>2026</v>
      </c>
      <c r="AI584">
        <f>IF(AND(OR(Company_Explorer!$B$5="All Companies",$E584=Company_Explorer!$B$5),OR(Company_Explorer!$B$6="All Platforms",$B584=Company_Explorer!$B$6),OR(Company_Explorer!$B$7="All Roles",$D584=Company_Explorer!$B$7),OR(Company_Explorer!$B$8="All Ghost Labels",$AG584=Company_Explorer!$B$8)),1,0)</f>
        <v>0</v>
      </c>
    </row>
    <row r="585" spans="1:35" ht="15" customHeight="1" x14ac:dyDescent="0.3">
      <c r="A585" s="65" t="s">
        <v>2027</v>
      </c>
      <c r="B585" s="65" t="s">
        <v>80</v>
      </c>
      <c r="C585" s="65" t="s">
        <v>2028</v>
      </c>
      <c r="D585" s="65" t="s">
        <v>125</v>
      </c>
      <c r="E585" s="65" t="s">
        <v>2029</v>
      </c>
      <c r="F585" s="65" t="b">
        <f>TRUE()</f>
        <v>1</v>
      </c>
      <c r="G585" s="65" t="s">
        <v>2030</v>
      </c>
      <c r="H585" s="65" t="s">
        <v>235</v>
      </c>
      <c r="I585" s="66">
        <v>46056</v>
      </c>
      <c r="J585" s="66">
        <v>46210</v>
      </c>
      <c r="K585" s="65">
        <v>154</v>
      </c>
      <c r="L585" s="65" t="s">
        <v>192</v>
      </c>
      <c r="M585" s="65" t="s">
        <v>187</v>
      </c>
      <c r="N585" s="65" t="b">
        <f>FALSE()</f>
        <v>0</v>
      </c>
      <c r="O585" s="65"/>
      <c r="P585" s="65"/>
      <c r="Q585" s="65" t="s">
        <v>236</v>
      </c>
      <c r="R585" s="65" t="s">
        <v>237</v>
      </c>
      <c r="S585" s="65"/>
      <c r="T585" s="65" t="b">
        <f>FALSE()</f>
        <v>0</v>
      </c>
      <c r="U585" s="65" t="b">
        <f>FALSE()</f>
        <v>0</v>
      </c>
      <c r="V585" s="65">
        <v>133</v>
      </c>
      <c r="W585" s="67" t="s">
        <v>2031</v>
      </c>
      <c r="X585" s="65">
        <v>3</v>
      </c>
      <c r="Y585" s="68">
        <v>0.02</v>
      </c>
      <c r="Z585" s="65" t="b">
        <f>FALSE()</f>
        <v>0</v>
      </c>
      <c r="AA585" s="65" t="b">
        <f>TRUE()</f>
        <v>1</v>
      </c>
      <c r="AB585" s="65" t="b">
        <f>TRUE()</f>
        <v>1</v>
      </c>
      <c r="AC585" s="65" t="b">
        <f>TRUE()</f>
        <v>1</v>
      </c>
      <c r="AD585" s="65" t="b">
        <f>FALSE()</f>
        <v>0</v>
      </c>
      <c r="AE585" s="65">
        <v>3</v>
      </c>
      <c r="AF585" s="69">
        <v>42.9</v>
      </c>
      <c r="AG585" s="65" t="s">
        <v>73</v>
      </c>
      <c r="AH585" s="65" t="s">
        <v>2032</v>
      </c>
      <c r="AI585">
        <f>IF(AND(OR(Company_Explorer!$B$5="All Companies",$E585=Company_Explorer!$B$5),OR(Company_Explorer!$B$6="All Platforms",$B585=Company_Explorer!$B$6),OR(Company_Explorer!$B$7="All Roles",$D585=Company_Explorer!$B$7),OR(Company_Explorer!$B$8="All Ghost Labels",$AG585=Company_Explorer!$B$8)),1,0)</f>
        <v>0</v>
      </c>
    </row>
    <row r="586" spans="1:35" ht="15" customHeight="1" x14ac:dyDescent="0.3">
      <c r="A586" s="60" t="s">
        <v>2033</v>
      </c>
      <c r="B586" s="60" t="s">
        <v>80</v>
      </c>
      <c r="C586" s="60" t="s">
        <v>2034</v>
      </c>
      <c r="D586" s="60" t="s">
        <v>130</v>
      </c>
      <c r="E586" s="60" t="s">
        <v>2035</v>
      </c>
      <c r="F586" s="60" t="b">
        <f>TRUE()</f>
        <v>1</v>
      </c>
      <c r="G586" s="60" t="s">
        <v>168</v>
      </c>
      <c r="H586" s="60" t="s">
        <v>254</v>
      </c>
      <c r="I586" s="61">
        <v>46069</v>
      </c>
      <c r="J586" s="61">
        <v>46210</v>
      </c>
      <c r="K586" s="60">
        <v>141</v>
      </c>
      <c r="L586" s="60" t="s">
        <v>192</v>
      </c>
      <c r="M586" s="60" t="s">
        <v>185</v>
      </c>
      <c r="N586" s="60" t="b">
        <f>FALSE()</f>
        <v>0</v>
      </c>
      <c r="O586" s="60"/>
      <c r="P586" s="60"/>
      <c r="Q586" s="60" t="s">
        <v>236</v>
      </c>
      <c r="R586" s="60" t="s">
        <v>237</v>
      </c>
      <c r="S586" s="60"/>
      <c r="T586" s="60" t="b">
        <f>FALSE()</f>
        <v>0</v>
      </c>
      <c r="U586" s="60" t="b">
        <f>FALSE()</f>
        <v>0</v>
      </c>
      <c r="V586" s="60">
        <v>539</v>
      </c>
      <c r="W586" s="62" t="s">
        <v>2036</v>
      </c>
      <c r="X586" s="60">
        <v>1</v>
      </c>
      <c r="Y586" s="63">
        <v>0.01</v>
      </c>
      <c r="Z586" s="60" t="b">
        <f>FALSE()</f>
        <v>0</v>
      </c>
      <c r="AA586" s="60" t="b">
        <f>TRUE()</f>
        <v>1</v>
      </c>
      <c r="AB586" s="60" t="b">
        <f>FALSE()</f>
        <v>0</v>
      </c>
      <c r="AC586" s="60" t="b">
        <f>TRUE()</f>
        <v>1</v>
      </c>
      <c r="AD586" s="60" t="b">
        <f>FALSE()</f>
        <v>0</v>
      </c>
      <c r="AE586" s="60">
        <v>2</v>
      </c>
      <c r="AF586" s="64">
        <v>28.6</v>
      </c>
      <c r="AG586" s="60" t="s">
        <v>73</v>
      </c>
      <c r="AH586" s="60" t="s">
        <v>2037</v>
      </c>
      <c r="AI586">
        <f>IF(AND(OR(Company_Explorer!$B$5="All Companies",$E586=Company_Explorer!$B$5),OR(Company_Explorer!$B$6="All Platforms",$B586=Company_Explorer!$B$6),OR(Company_Explorer!$B$7="All Roles",$D586=Company_Explorer!$B$7),OR(Company_Explorer!$B$8="All Ghost Labels",$AG586=Company_Explorer!$B$8)),1,0)</f>
        <v>0</v>
      </c>
    </row>
    <row r="587" spans="1:35" ht="15" customHeight="1" x14ac:dyDescent="0.3">
      <c r="A587" s="65" t="s">
        <v>2038</v>
      </c>
      <c r="B587" s="65" t="s">
        <v>80</v>
      </c>
      <c r="C587" s="65" t="s">
        <v>130</v>
      </c>
      <c r="D587" s="65" t="s">
        <v>130</v>
      </c>
      <c r="E587" s="65" t="s">
        <v>153</v>
      </c>
      <c r="F587" s="65" t="b">
        <f>TRUE()</f>
        <v>1</v>
      </c>
      <c r="G587" s="65" t="s">
        <v>462</v>
      </c>
      <c r="H587" s="65" t="s">
        <v>254</v>
      </c>
      <c r="I587" s="66">
        <v>46205</v>
      </c>
      <c r="J587" s="66">
        <v>46210</v>
      </c>
      <c r="K587" s="65">
        <v>5</v>
      </c>
      <c r="L587" s="65" t="s">
        <v>192</v>
      </c>
      <c r="M587" s="65" t="s">
        <v>184</v>
      </c>
      <c r="N587" s="65" t="b">
        <f>FALSE()</f>
        <v>0</v>
      </c>
      <c r="O587" s="65"/>
      <c r="P587" s="65"/>
      <c r="Q587" s="65" t="s">
        <v>236</v>
      </c>
      <c r="R587" s="65" t="s">
        <v>237</v>
      </c>
      <c r="S587" s="65"/>
      <c r="T587" s="65" t="b">
        <f>FALSE()</f>
        <v>0</v>
      </c>
      <c r="U587" s="65" t="b">
        <f>FALSE()</f>
        <v>0</v>
      </c>
      <c r="V587" s="65">
        <v>261</v>
      </c>
      <c r="W587" s="67" t="s">
        <v>2039</v>
      </c>
      <c r="X587" s="65">
        <v>4</v>
      </c>
      <c r="Y587" s="68">
        <v>0.02</v>
      </c>
      <c r="Z587" s="65" t="b">
        <f>FALSE()</f>
        <v>0</v>
      </c>
      <c r="AA587" s="65" t="b">
        <f>TRUE()</f>
        <v>1</v>
      </c>
      <c r="AB587" s="65" t="b">
        <f>TRUE()</f>
        <v>1</v>
      </c>
      <c r="AC587" s="65" t="b">
        <f>FALSE()</f>
        <v>0</v>
      </c>
      <c r="AD587" s="65" t="b">
        <f>FALSE()</f>
        <v>0</v>
      </c>
      <c r="AE587" s="65">
        <v>2</v>
      </c>
      <c r="AF587" s="69">
        <v>28.6</v>
      </c>
      <c r="AG587" s="65" t="s">
        <v>73</v>
      </c>
      <c r="AH587" s="65" t="s">
        <v>2040</v>
      </c>
      <c r="AI587">
        <f>IF(AND(OR(Company_Explorer!$B$5="All Companies",$E587=Company_Explorer!$B$5),OR(Company_Explorer!$B$6="All Platforms",$B587=Company_Explorer!$B$6),OR(Company_Explorer!$B$7="All Roles",$D587=Company_Explorer!$B$7),OR(Company_Explorer!$B$8="All Ghost Labels",$AG587=Company_Explorer!$B$8)),1,0)</f>
        <v>0</v>
      </c>
    </row>
    <row r="588" spans="1:35" ht="15" customHeight="1" x14ac:dyDescent="0.3">
      <c r="A588" s="60" t="s">
        <v>2041</v>
      </c>
      <c r="B588" s="60" t="s">
        <v>80</v>
      </c>
      <c r="C588" s="60" t="s">
        <v>2042</v>
      </c>
      <c r="D588" s="60" t="s">
        <v>130</v>
      </c>
      <c r="E588" s="60" t="s">
        <v>2043</v>
      </c>
      <c r="F588" s="60" t="b">
        <f>TRUE()</f>
        <v>1</v>
      </c>
      <c r="G588" s="60" t="s">
        <v>166</v>
      </c>
      <c r="H588" s="60" t="s">
        <v>235</v>
      </c>
      <c r="I588" s="61">
        <v>46183</v>
      </c>
      <c r="J588" s="61">
        <v>46210</v>
      </c>
      <c r="K588" s="60">
        <v>27</v>
      </c>
      <c r="L588" s="60" t="s">
        <v>192</v>
      </c>
      <c r="M588" s="60" t="s">
        <v>184</v>
      </c>
      <c r="N588" s="60" t="b">
        <f>FALSE()</f>
        <v>0</v>
      </c>
      <c r="O588" s="60"/>
      <c r="P588" s="60"/>
      <c r="Q588" s="60" t="s">
        <v>236</v>
      </c>
      <c r="R588" s="60" t="s">
        <v>237</v>
      </c>
      <c r="S588" s="60"/>
      <c r="T588" s="60" t="b">
        <f>FALSE()</f>
        <v>0</v>
      </c>
      <c r="U588" s="60" t="b">
        <f>FALSE()</f>
        <v>0</v>
      </c>
      <c r="V588" s="60">
        <v>118</v>
      </c>
      <c r="W588" s="60" t="s">
        <v>2044</v>
      </c>
      <c r="X588" s="60">
        <v>1</v>
      </c>
      <c r="Y588" s="63">
        <v>0.01</v>
      </c>
      <c r="Z588" s="60" t="b">
        <f>FALSE()</f>
        <v>0</v>
      </c>
      <c r="AA588" s="60" t="b">
        <f>TRUE()</f>
        <v>1</v>
      </c>
      <c r="AB588" s="60" t="b">
        <f>TRUE()</f>
        <v>1</v>
      </c>
      <c r="AC588" s="60" t="b">
        <f>TRUE()</f>
        <v>1</v>
      </c>
      <c r="AD588" s="60" t="b">
        <f>FALSE()</f>
        <v>0</v>
      </c>
      <c r="AE588" s="60">
        <v>3</v>
      </c>
      <c r="AF588" s="64">
        <v>42.9</v>
      </c>
      <c r="AG588" s="60" t="s">
        <v>73</v>
      </c>
      <c r="AH588" s="60" t="s">
        <v>2045</v>
      </c>
      <c r="AI588">
        <f>IF(AND(OR(Company_Explorer!$B$5="All Companies",$E588=Company_Explorer!$B$5),OR(Company_Explorer!$B$6="All Platforms",$B588=Company_Explorer!$B$6),OR(Company_Explorer!$B$7="All Roles",$D588=Company_Explorer!$B$7),OR(Company_Explorer!$B$8="All Ghost Labels",$AG588=Company_Explorer!$B$8)),1,0)</f>
        <v>0</v>
      </c>
    </row>
    <row r="589" spans="1:35" ht="15" customHeight="1" x14ac:dyDescent="0.3">
      <c r="A589" s="65" t="s">
        <v>2046</v>
      </c>
      <c r="B589" s="65" t="s">
        <v>80</v>
      </c>
      <c r="C589" s="65" t="s">
        <v>1454</v>
      </c>
      <c r="D589" s="65" t="s">
        <v>131</v>
      </c>
      <c r="E589" s="65" t="s">
        <v>1455</v>
      </c>
      <c r="F589" s="65" t="b">
        <f>TRUE()</f>
        <v>1</v>
      </c>
      <c r="G589" s="65" t="s">
        <v>168</v>
      </c>
      <c r="H589" s="65" t="s">
        <v>254</v>
      </c>
      <c r="I589" s="66">
        <v>46206</v>
      </c>
      <c r="J589" s="66">
        <v>46210</v>
      </c>
      <c r="K589" s="65">
        <v>4</v>
      </c>
      <c r="L589" s="65" t="s">
        <v>192</v>
      </c>
      <c r="M589" s="65" t="s">
        <v>185</v>
      </c>
      <c r="N589" s="65" t="b">
        <f>FALSE()</f>
        <v>0</v>
      </c>
      <c r="O589" s="65"/>
      <c r="P589" s="65"/>
      <c r="Q589" s="65" t="s">
        <v>236</v>
      </c>
      <c r="R589" s="65" t="s">
        <v>237</v>
      </c>
      <c r="S589" s="65"/>
      <c r="T589" s="65" t="b">
        <f>FALSE()</f>
        <v>0</v>
      </c>
      <c r="U589" s="65" t="b">
        <f>FALSE()</f>
        <v>0</v>
      </c>
      <c r="V589" s="65">
        <v>222</v>
      </c>
      <c r="W589" s="65" t="s">
        <v>2047</v>
      </c>
      <c r="X589" s="65">
        <v>2</v>
      </c>
      <c r="Y589" s="68">
        <v>0.01</v>
      </c>
      <c r="Z589" s="65" t="b">
        <f>FALSE()</f>
        <v>0</v>
      </c>
      <c r="AA589" s="65" t="b">
        <f>TRUE()</f>
        <v>1</v>
      </c>
      <c r="AB589" s="65" t="b">
        <f>TRUE()</f>
        <v>1</v>
      </c>
      <c r="AC589" s="65" t="b">
        <f>FALSE()</f>
        <v>0</v>
      </c>
      <c r="AD589" s="65" t="b">
        <f>FALSE()</f>
        <v>0</v>
      </c>
      <c r="AE589" s="65">
        <v>2</v>
      </c>
      <c r="AF589" s="69">
        <v>28.6</v>
      </c>
      <c r="AG589" s="65" t="s">
        <v>73</v>
      </c>
      <c r="AH589" s="65" t="s">
        <v>2048</v>
      </c>
      <c r="AI589">
        <f>IF(AND(OR(Company_Explorer!$B$5="All Companies",$E589=Company_Explorer!$B$5),OR(Company_Explorer!$B$6="All Platforms",$B589=Company_Explorer!$B$6),OR(Company_Explorer!$B$7="All Roles",$D589=Company_Explorer!$B$7),OR(Company_Explorer!$B$8="All Ghost Labels",$AG589=Company_Explorer!$B$8)),1,0)</f>
        <v>0</v>
      </c>
    </row>
    <row r="590" spans="1:35" ht="15" customHeight="1" x14ac:dyDescent="0.3">
      <c r="A590" s="60" t="s">
        <v>2049</v>
      </c>
      <c r="B590" s="60" t="s">
        <v>80</v>
      </c>
      <c r="C590" s="60" t="s">
        <v>2050</v>
      </c>
      <c r="D590" s="60" t="s">
        <v>125</v>
      </c>
      <c r="E590" s="60" t="s">
        <v>2051</v>
      </c>
      <c r="F590" s="60" t="b">
        <f>TRUE()</f>
        <v>1</v>
      </c>
      <c r="G590" s="60" t="s">
        <v>166</v>
      </c>
      <c r="H590" s="60" t="s">
        <v>235</v>
      </c>
      <c r="I590" s="61">
        <v>46203</v>
      </c>
      <c r="J590" s="61">
        <v>46210</v>
      </c>
      <c r="K590" s="60">
        <v>7</v>
      </c>
      <c r="L590" s="60" t="s">
        <v>192</v>
      </c>
      <c r="M590" s="60" t="s">
        <v>188</v>
      </c>
      <c r="N590" s="60" t="b">
        <f>FALSE()</f>
        <v>0</v>
      </c>
      <c r="O590" s="60"/>
      <c r="P590" s="60"/>
      <c r="Q590" s="60" t="s">
        <v>236</v>
      </c>
      <c r="R590" s="60" t="s">
        <v>237</v>
      </c>
      <c r="S590" s="60"/>
      <c r="T590" s="60" t="b">
        <f>FALSE()</f>
        <v>0</v>
      </c>
      <c r="U590" s="60" t="b">
        <f>FALSE()</f>
        <v>0</v>
      </c>
      <c r="V590" s="60">
        <v>334</v>
      </c>
      <c r="W590" s="62" t="s">
        <v>2052</v>
      </c>
      <c r="X590" s="60">
        <v>4</v>
      </c>
      <c r="Y590" s="63">
        <v>0.02</v>
      </c>
      <c r="Z590" s="60" t="b">
        <f>FALSE()</f>
        <v>0</v>
      </c>
      <c r="AA590" s="60" t="b">
        <f>TRUE()</f>
        <v>1</v>
      </c>
      <c r="AB590" s="60" t="b">
        <f>FALSE()</f>
        <v>0</v>
      </c>
      <c r="AC590" s="60" t="b">
        <f>FALSE()</f>
        <v>0</v>
      </c>
      <c r="AD590" s="60" t="b">
        <f>FALSE()</f>
        <v>0</v>
      </c>
      <c r="AE590" s="60">
        <v>1</v>
      </c>
      <c r="AF590" s="64">
        <v>14.3</v>
      </c>
      <c r="AG590" s="60" t="s">
        <v>74</v>
      </c>
      <c r="AH590" s="60" t="s">
        <v>2053</v>
      </c>
      <c r="AI590">
        <f>IF(AND(OR(Company_Explorer!$B$5="All Companies",$E590=Company_Explorer!$B$5),OR(Company_Explorer!$B$6="All Platforms",$B590=Company_Explorer!$B$6),OR(Company_Explorer!$B$7="All Roles",$D590=Company_Explorer!$B$7),OR(Company_Explorer!$B$8="All Ghost Labels",$AG590=Company_Explorer!$B$8)),1,0)</f>
        <v>0</v>
      </c>
    </row>
    <row r="591" spans="1:35" ht="15" customHeight="1" x14ac:dyDescent="0.3">
      <c r="A591" s="65" t="s">
        <v>2054</v>
      </c>
      <c r="B591" s="65" t="s">
        <v>80</v>
      </c>
      <c r="C591" s="65" t="s">
        <v>2055</v>
      </c>
      <c r="D591" s="65" t="s">
        <v>125</v>
      </c>
      <c r="E591" s="65" t="s">
        <v>2051</v>
      </c>
      <c r="F591" s="65" t="b">
        <f>TRUE()</f>
        <v>1</v>
      </c>
      <c r="G591" s="65" t="s">
        <v>347</v>
      </c>
      <c r="H591" s="65" t="s">
        <v>235</v>
      </c>
      <c r="I591" s="66">
        <v>46203</v>
      </c>
      <c r="J591" s="66">
        <v>46210</v>
      </c>
      <c r="K591" s="65">
        <v>7</v>
      </c>
      <c r="L591" s="65" t="s">
        <v>192</v>
      </c>
      <c r="M591" s="65" t="s">
        <v>188</v>
      </c>
      <c r="N591" s="65" t="b">
        <f>FALSE()</f>
        <v>0</v>
      </c>
      <c r="O591" s="65"/>
      <c r="P591" s="65"/>
      <c r="Q591" s="65" t="s">
        <v>236</v>
      </c>
      <c r="R591" s="65" t="s">
        <v>237</v>
      </c>
      <c r="S591" s="65"/>
      <c r="T591" s="65" t="b">
        <f>FALSE()</f>
        <v>0</v>
      </c>
      <c r="U591" s="65" t="b">
        <f>FALSE()</f>
        <v>0</v>
      </c>
      <c r="V591" s="65">
        <v>334</v>
      </c>
      <c r="W591" s="67" t="s">
        <v>2052</v>
      </c>
      <c r="X591" s="65">
        <v>4</v>
      </c>
      <c r="Y591" s="68">
        <v>0.02</v>
      </c>
      <c r="Z591" s="65" t="b">
        <f>FALSE()</f>
        <v>0</v>
      </c>
      <c r="AA591" s="65" t="b">
        <f>TRUE()</f>
        <v>1</v>
      </c>
      <c r="AB591" s="65" t="b">
        <f>FALSE()</f>
        <v>0</v>
      </c>
      <c r="AC591" s="65" t="b">
        <f>FALSE()</f>
        <v>0</v>
      </c>
      <c r="AD591" s="65" t="b">
        <f>FALSE()</f>
        <v>0</v>
      </c>
      <c r="AE591" s="65">
        <v>1</v>
      </c>
      <c r="AF591" s="69">
        <v>14.3</v>
      </c>
      <c r="AG591" s="65" t="s">
        <v>74</v>
      </c>
      <c r="AH591" s="65" t="s">
        <v>2056</v>
      </c>
      <c r="AI591">
        <f>IF(AND(OR(Company_Explorer!$B$5="All Companies",$E591=Company_Explorer!$B$5),OR(Company_Explorer!$B$6="All Platforms",$B591=Company_Explorer!$B$6),OR(Company_Explorer!$B$7="All Roles",$D591=Company_Explorer!$B$7),OR(Company_Explorer!$B$8="All Ghost Labels",$AG591=Company_Explorer!$B$8)),1,0)</f>
        <v>0</v>
      </c>
    </row>
    <row r="592" spans="1:35" ht="15" customHeight="1" x14ac:dyDescent="0.3">
      <c r="A592" s="60" t="s">
        <v>2057</v>
      </c>
      <c r="B592" s="60" t="s">
        <v>80</v>
      </c>
      <c r="C592" s="60" t="s">
        <v>2058</v>
      </c>
      <c r="D592" s="60" t="s">
        <v>131</v>
      </c>
      <c r="E592" s="60" t="s">
        <v>2059</v>
      </c>
      <c r="F592" s="60" t="b">
        <f>TRUE()</f>
        <v>1</v>
      </c>
      <c r="G592" s="60" t="s">
        <v>174</v>
      </c>
      <c r="H592" s="60" t="s">
        <v>302</v>
      </c>
      <c r="I592" s="61">
        <v>46180</v>
      </c>
      <c r="J592" s="61">
        <v>46210</v>
      </c>
      <c r="K592" s="60">
        <v>30</v>
      </c>
      <c r="L592" s="60" t="s">
        <v>192</v>
      </c>
      <c r="M592" s="60" t="s">
        <v>186</v>
      </c>
      <c r="N592" s="60" t="b">
        <f>FALSE()</f>
        <v>0</v>
      </c>
      <c r="O592" s="60"/>
      <c r="P592" s="60"/>
      <c r="Q592" s="60" t="s">
        <v>236</v>
      </c>
      <c r="R592" s="60" t="s">
        <v>237</v>
      </c>
      <c r="S592" s="60"/>
      <c r="T592" s="60" t="b">
        <f>FALSE()</f>
        <v>0</v>
      </c>
      <c r="U592" s="60" t="b">
        <f>FALSE()</f>
        <v>0</v>
      </c>
      <c r="V592" s="60">
        <v>322</v>
      </c>
      <c r="W592" s="62" t="s">
        <v>2060</v>
      </c>
      <c r="X592" s="60">
        <v>1</v>
      </c>
      <c r="Y592" s="63">
        <v>0.01</v>
      </c>
      <c r="Z592" s="60" t="b">
        <f>FALSE()</f>
        <v>0</v>
      </c>
      <c r="AA592" s="60" t="b">
        <f>TRUE()</f>
        <v>1</v>
      </c>
      <c r="AB592" s="60" t="b">
        <f>FALSE()</f>
        <v>0</v>
      </c>
      <c r="AC592" s="60" t="b">
        <f>TRUE()</f>
        <v>1</v>
      </c>
      <c r="AD592" s="60" t="b">
        <f>FALSE()</f>
        <v>0</v>
      </c>
      <c r="AE592" s="60">
        <v>2</v>
      </c>
      <c r="AF592" s="64">
        <v>28.6</v>
      </c>
      <c r="AG592" s="60" t="s">
        <v>73</v>
      </c>
      <c r="AH592" s="60" t="s">
        <v>2061</v>
      </c>
      <c r="AI592">
        <f>IF(AND(OR(Company_Explorer!$B$5="All Companies",$E592=Company_Explorer!$B$5),OR(Company_Explorer!$B$6="All Platforms",$B592=Company_Explorer!$B$6),OR(Company_Explorer!$B$7="All Roles",$D592=Company_Explorer!$B$7),OR(Company_Explorer!$B$8="All Ghost Labels",$AG592=Company_Explorer!$B$8)),1,0)</f>
        <v>0</v>
      </c>
    </row>
    <row r="593" spans="1:35" ht="15" customHeight="1" x14ac:dyDescent="0.3">
      <c r="A593" s="65" t="s">
        <v>2062</v>
      </c>
      <c r="B593" s="65" t="s">
        <v>80</v>
      </c>
      <c r="C593" s="65" t="s">
        <v>2063</v>
      </c>
      <c r="D593" s="65" t="s">
        <v>125</v>
      </c>
      <c r="E593" s="65" t="s">
        <v>2064</v>
      </c>
      <c r="F593" s="65" t="b">
        <f>TRUE()</f>
        <v>1</v>
      </c>
      <c r="G593" s="65" t="s">
        <v>2065</v>
      </c>
      <c r="H593" s="65" t="s">
        <v>2066</v>
      </c>
      <c r="I593" s="66">
        <v>45930</v>
      </c>
      <c r="J593" s="66">
        <v>46210</v>
      </c>
      <c r="K593" s="65">
        <v>280</v>
      </c>
      <c r="L593" s="65" t="s">
        <v>192</v>
      </c>
      <c r="M593" s="65" t="s">
        <v>184</v>
      </c>
      <c r="N593" s="65" t="b">
        <f>TRUE()</f>
        <v>1</v>
      </c>
      <c r="O593" s="71">
        <v>600000</v>
      </c>
      <c r="P593" s="71">
        <v>1500000</v>
      </c>
      <c r="Q593" s="65" t="s">
        <v>332</v>
      </c>
      <c r="R593" s="65" t="s">
        <v>237</v>
      </c>
      <c r="S593" s="65"/>
      <c r="T593" s="65" t="b">
        <f>FALSE()</f>
        <v>0</v>
      </c>
      <c r="U593" s="65" t="b">
        <f>FALSE()</f>
        <v>0</v>
      </c>
      <c r="V593" s="65">
        <v>290</v>
      </c>
      <c r="W593" s="65" t="s">
        <v>2067</v>
      </c>
      <c r="X593" s="65">
        <v>1</v>
      </c>
      <c r="Y593" s="68">
        <v>0.01</v>
      </c>
      <c r="Z593" s="65" t="b">
        <f>FALSE()</f>
        <v>0</v>
      </c>
      <c r="AA593" s="65" t="b">
        <f>FALSE()</f>
        <v>0</v>
      </c>
      <c r="AB593" s="65" t="b">
        <f>FALSE()</f>
        <v>0</v>
      </c>
      <c r="AC593" s="65" t="b">
        <f>TRUE()</f>
        <v>1</v>
      </c>
      <c r="AD593" s="65" t="b">
        <f>FALSE()</f>
        <v>0</v>
      </c>
      <c r="AE593" s="65">
        <v>1</v>
      </c>
      <c r="AF593" s="69">
        <v>14.3</v>
      </c>
      <c r="AG593" s="65" t="s">
        <v>74</v>
      </c>
      <c r="AH593" s="65" t="s">
        <v>2068</v>
      </c>
      <c r="AI593">
        <f>IF(AND(OR(Company_Explorer!$B$5="All Companies",$E593=Company_Explorer!$B$5),OR(Company_Explorer!$B$6="All Platforms",$B593=Company_Explorer!$B$6),OR(Company_Explorer!$B$7="All Roles",$D593=Company_Explorer!$B$7),OR(Company_Explorer!$B$8="All Ghost Labels",$AG593=Company_Explorer!$B$8)),1,0)</f>
        <v>0</v>
      </c>
    </row>
    <row r="594" spans="1:35" ht="15" customHeight="1" x14ac:dyDescent="0.3">
      <c r="A594" s="60" t="s">
        <v>2069</v>
      </c>
      <c r="B594" s="60" t="s">
        <v>80</v>
      </c>
      <c r="C594" s="60" t="s">
        <v>258</v>
      </c>
      <c r="D594" s="60" t="s">
        <v>125</v>
      </c>
      <c r="E594" s="60" t="s">
        <v>141</v>
      </c>
      <c r="F594" s="60" t="b">
        <f>TRUE()</f>
        <v>1</v>
      </c>
      <c r="G594" s="60" t="s">
        <v>168</v>
      </c>
      <c r="H594" s="60" t="s">
        <v>254</v>
      </c>
      <c r="I594" s="61">
        <v>46198</v>
      </c>
      <c r="J594" s="61">
        <v>46210</v>
      </c>
      <c r="K594" s="60">
        <v>12</v>
      </c>
      <c r="L594" s="60" t="s">
        <v>192</v>
      </c>
      <c r="M594" s="60" t="s">
        <v>184</v>
      </c>
      <c r="N594" s="60" t="b">
        <f>FALSE()</f>
        <v>0</v>
      </c>
      <c r="O594" s="60"/>
      <c r="P594" s="60"/>
      <c r="Q594" s="60" t="s">
        <v>236</v>
      </c>
      <c r="R594" s="60" t="s">
        <v>237</v>
      </c>
      <c r="S594" s="60"/>
      <c r="T594" s="60" t="b">
        <f>FALSE()</f>
        <v>0</v>
      </c>
      <c r="U594" s="60" t="b">
        <f>FALSE()</f>
        <v>0</v>
      </c>
      <c r="V594" s="60">
        <v>314</v>
      </c>
      <c r="W594" s="62" t="s">
        <v>259</v>
      </c>
      <c r="X594" s="60">
        <v>429</v>
      </c>
      <c r="Y594" s="63">
        <v>2.66</v>
      </c>
      <c r="Z594" s="60" t="b">
        <f>FALSE()</f>
        <v>0</v>
      </c>
      <c r="AA594" s="60" t="b">
        <f>TRUE()</f>
        <v>1</v>
      </c>
      <c r="AB594" s="60" t="b">
        <f>FALSE()</f>
        <v>0</v>
      </c>
      <c r="AC594" s="60" t="b">
        <f>FALSE()</f>
        <v>0</v>
      </c>
      <c r="AD594" s="60" t="b">
        <f>TRUE()</f>
        <v>1</v>
      </c>
      <c r="AE594" s="60">
        <v>3</v>
      </c>
      <c r="AF594" s="64">
        <v>42.9</v>
      </c>
      <c r="AG594" s="60" t="s">
        <v>73</v>
      </c>
      <c r="AH594" s="60" t="s">
        <v>2070</v>
      </c>
      <c r="AI594">
        <f>IF(AND(OR(Company_Explorer!$B$5="All Companies",$E594=Company_Explorer!$B$5),OR(Company_Explorer!$B$6="All Platforms",$B594=Company_Explorer!$B$6),OR(Company_Explorer!$B$7="All Roles",$D594=Company_Explorer!$B$7),OR(Company_Explorer!$B$8="All Ghost Labels",$AG594=Company_Explorer!$B$8)),1,0)</f>
        <v>0</v>
      </c>
    </row>
    <row r="595" spans="1:35" ht="15" customHeight="1" x14ac:dyDescent="0.3">
      <c r="A595" s="65" t="s">
        <v>2071</v>
      </c>
      <c r="B595" s="65" t="s">
        <v>80</v>
      </c>
      <c r="C595" s="65" t="s">
        <v>258</v>
      </c>
      <c r="D595" s="65" t="s">
        <v>125</v>
      </c>
      <c r="E595" s="65" t="s">
        <v>141</v>
      </c>
      <c r="F595" s="65" t="b">
        <f>TRUE()</f>
        <v>1</v>
      </c>
      <c r="G595" s="65" t="s">
        <v>166</v>
      </c>
      <c r="H595" s="65" t="s">
        <v>235</v>
      </c>
      <c r="I595" s="66">
        <v>46198</v>
      </c>
      <c r="J595" s="66">
        <v>46210</v>
      </c>
      <c r="K595" s="65">
        <v>12</v>
      </c>
      <c r="L595" s="65" t="s">
        <v>192</v>
      </c>
      <c r="M595" s="65" t="s">
        <v>184</v>
      </c>
      <c r="N595" s="65" t="b">
        <f>FALSE()</f>
        <v>0</v>
      </c>
      <c r="O595" s="65"/>
      <c r="P595" s="65"/>
      <c r="Q595" s="65" t="s">
        <v>236</v>
      </c>
      <c r="R595" s="65" t="s">
        <v>237</v>
      </c>
      <c r="S595" s="65"/>
      <c r="T595" s="65" t="b">
        <f>FALSE()</f>
        <v>0</v>
      </c>
      <c r="U595" s="65" t="b">
        <f>FALSE()</f>
        <v>0</v>
      </c>
      <c r="V595" s="65">
        <v>334</v>
      </c>
      <c r="W595" s="67" t="s">
        <v>259</v>
      </c>
      <c r="X595" s="65">
        <v>429</v>
      </c>
      <c r="Y595" s="68">
        <v>2.66</v>
      </c>
      <c r="Z595" s="65" t="b">
        <f>FALSE()</f>
        <v>0</v>
      </c>
      <c r="AA595" s="65" t="b">
        <f>TRUE()</f>
        <v>1</v>
      </c>
      <c r="AB595" s="65" t="b">
        <f>FALSE()</f>
        <v>0</v>
      </c>
      <c r="AC595" s="65" t="b">
        <f>FALSE()</f>
        <v>0</v>
      </c>
      <c r="AD595" s="65" t="b">
        <f>TRUE()</f>
        <v>1</v>
      </c>
      <c r="AE595" s="65">
        <v>3</v>
      </c>
      <c r="AF595" s="69">
        <v>42.9</v>
      </c>
      <c r="AG595" s="65" t="s">
        <v>73</v>
      </c>
      <c r="AH595" s="65" t="s">
        <v>2072</v>
      </c>
      <c r="AI595">
        <f>IF(AND(OR(Company_Explorer!$B$5="All Companies",$E595=Company_Explorer!$B$5),OR(Company_Explorer!$B$6="All Platforms",$B595=Company_Explorer!$B$6),OR(Company_Explorer!$B$7="All Roles",$D595=Company_Explorer!$B$7),OR(Company_Explorer!$B$8="All Ghost Labels",$AG595=Company_Explorer!$B$8)),1,0)</f>
        <v>0</v>
      </c>
    </row>
    <row r="596" spans="1:35" ht="15" customHeight="1" x14ac:dyDescent="0.3">
      <c r="A596" s="60" t="s">
        <v>2073</v>
      </c>
      <c r="B596" s="60" t="s">
        <v>80</v>
      </c>
      <c r="C596" s="60" t="s">
        <v>2074</v>
      </c>
      <c r="D596" s="60" t="s">
        <v>125</v>
      </c>
      <c r="E596" s="60" t="s">
        <v>2075</v>
      </c>
      <c r="F596" s="60" t="b">
        <f>TRUE()</f>
        <v>1</v>
      </c>
      <c r="G596" s="60" t="s">
        <v>598</v>
      </c>
      <c r="H596" s="60" t="s">
        <v>598</v>
      </c>
      <c r="I596" s="61">
        <v>46158</v>
      </c>
      <c r="J596" s="61">
        <v>46210</v>
      </c>
      <c r="K596" s="60">
        <v>52</v>
      </c>
      <c r="L596" s="60" t="s">
        <v>192</v>
      </c>
      <c r="M596" s="60" t="s">
        <v>184</v>
      </c>
      <c r="N596" s="60" t="b">
        <f>TRUE()</f>
        <v>1</v>
      </c>
      <c r="O596" s="70">
        <v>500000</v>
      </c>
      <c r="P596" s="70">
        <v>1000000</v>
      </c>
      <c r="Q596" s="60" t="s">
        <v>332</v>
      </c>
      <c r="R596" s="60" t="s">
        <v>237</v>
      </c>
      <c r="S596" s="60"/>
      <c r="T596" s="60" t="b">
        <f>FALSE()</f>
        <v>0</v>
      </c>
      <c r="U596" s="60" t="b">
        <f>FALSE()</f>
        <v>0</v>
      </c>
      <c r="V596" s="60">
        <v>230</v>
      </c>
      <c r="W596" s="62" t="s">
        <v>2076</v>
      </c>
      <c r="X596" s="60">
        <v>2</v>
      </c>
      <c r="Y596" s="63">
        <v>0.01</v>
      </c>
      <c r="Z596" s="60" t="b">
        <f>FALSE()</f>
        <v>0</v>
      </c>
      <c r="AA596" s="60" t="b">
        <f>FALSE()</f>
        <v>0</v>
      </c>
      <c r="AB596" s="60" t="b">
        <f>TRUE()</f>
        <v>1</v>
      </c>
      <c r="AC596" s="60" t="b">
        <f>TRUE()</f>
        <v>1</v>
      </c>
      <c r="AD596" s="60" t="b">
        <f>FALSE()</f>
        <v>0</v>
      </c>
      <c r="AE596" s="60">
        <v>2</v>
      </c>
      <c r="AF596" s="64">
        <v>28.6</v>
      </c>
      <c r="AG596" s="60" t="s">
        <v>73</v>
      </c>
      <c r="AH596" s="60" t="s">
        <v>2077</v>
      </c>
      <c r="AI596">
        <f>IF(AND(OR(Company_Explorer!$B$5="All Companies",$E596=Company_Explorer!$B$5),OR(Company_Explorer!$B$6="All Platforms",$B596=Company_Explorer!$B$6),OR(Company_Explorer!$B$7="All Roles",$D596=Company_Explorer!$B$7),OR(Company_Explorer!$B$8="All Ghost Labels",$AG596=Company_Explorer!$B$8)),1,0)</f>
        <v>0</v>
      </c>
    </row>
    <row r="597" spans="1:35" ht="15" customHeight="1" x14ac:dyDescent="0.3">
      <c r="A597" s="65" t="s">
        <v>2078</v>
      </c>
      <c r="B597" s="65" t="s">
        <v>80</v>
      </c>
      <c r="C597" s="65" t="s">
        <v>258</v>
      </c>
      <c r="D597" s="65" t="s">
        <v>125</v>
      </c>
      <c r="E597" s="65" t="s">
        <v>141</v>
      </c>
      <c r="F597" s="65" t="b">
        <f>TRUE()</f>
        <v>1</v>
      </c>
      <c r="G597" s="65" t="s">
        <v>166</v>
      </c>
      <c r="H597" s="65" t="s">
        <v>235</v>
      </c>
      <c r="I597" s="66">
        <v>46206</v>
      </c>
      <c r="J597" s="66">
        <v>46210</v>
      </c>
      <c r="K597" s="65">
        <v>4</v>
      </c>
      <c r="L597" s="65" t="s">
        <v>192</v>
      </c>
      <c r="M597" s="65" t="s">
        <v>184</v>
      </c>
      <c r="N597" s="65" t="b">
        <f>FALSE()</f>
        <v>0</v>
      </c>
      <c r="O597" s="65"/>
      <c r="P597" s="65"/>
      <c r="Q597" s="65" t="s">
        <v>236</v>
      </c>
      <c r="R597" s="65" t="s">
        <v>237</v>
      </c>
      <c r="S597" s="65"/>
      <c r="T597" s="65" t="b">
        <f>FALSE()</f>
        <v>0</v>
      </c>
      <c r="U597" s="65" t="b">
        <f>FALSE()</f>
        <v>0</v>
      </c>
      <c r="V597" s="65">
        <v>329</v>
      </c>
      <c r="W597" s="67" t="s">
        <v>259</v>
      </c>
      <c r="X597" s="65">
        <v>429</v>
      </c>
      <c r="Y597" s="68">
        <v>2.66</v>
      </c>
      <c r="Z597" s="65" t="b">
        <f>FALSE()</f>
        <v>0</v>
      </c>
      <c r="AA597" s="65" t="b">
        <f>TRUE()</f>
        <v>1</v>
      </c>
      <c r="AB597" s="65" t="b">
        <f>FALSE()</f>
        <v>0</v>
      </c>
      <c r="AC597" s="65" t="b">
        <f>FALSE()</f>
        <v>0</v>
      </c>
      <c r="AD597" s="65" t="b">
        <f>TRUE()</f>
        <v>1</v>
      </c>
      <c r="AE597" s="65">
        <v>3</v>
      </c>
      <c r="AF597" s="69">
        <v>42.9</v>
      </c>
      <c r="AG597" s="65" t="s">
        <v>73</v>
      </c>
      <c r="AH597" s="65" t="s">
        <v>2079</v>
      </c>
      <c r="AI597">
        <f>IF(AND(OR(Company_Explorer!$B$5="All Companies",$E597=Company_Explorer!$B$5),OR(Company_Explorer!$B$6="All Platforms",$B597=Company_Explorer!$B$6),OR(Company_Explorer!$B$7="All Roles",$D597=Company_Explorer!$B$7),OR(Company_Explorer!$B$8="All Ghost Labels",$AG597=Company_Explorer!$B$8)),1,0)</f>
        <v>0</v>
      </c>
    </row>
    <row r="598" spans="1:35" ht="15" customHeight="1" x14ac:dyDescent="0.3">
      <c r="A598" s="60" t="s">
        <v>2080</v>
      </c>
      <c r="B598" s="60" t="s">
        <v>80</v>
      </c>
      <c r="C598" s="60" t="s">
        <v>258</v>
      </c>
      <c r="D598" s="60" t="s">
        <v>125</v>
      </c>
      <c r="E598" s="60" t="s">
        <v>141</v>
      </c>
      <c r="F598" s="60" t="b">
        <f>TRUE()</f>
        <v>1</v>
      </c>
      <c r="G598" s="60" t="s">
        <v>166</v>
      </c>
      <c r="H598" s="60" t="s">
        <v>235</v>
      </c>
      <c r="I598" s="61">
        <v>46198</v>
      </c>
      <c r="J598" s="61">
        <v>46210</v>
      </c>
      <c r="K598" s="60">
        <v>12</v>
      </c>
      <c r="L598" s="60" t="s">
        <v>192</v>
      </c>
      <c r="M598" s="60" t="s">
        <v>184</v>
      </c>
      <c r="N598" s="60" t="b">
        <f>FALSE()</f>
        <v>0</v>
      </c>
      <c r="O598" s="60"/>
      <c r="P598" s="60"/>
      <c r="Q598" s="60" t="s">
        <v>236</v>
      </c>
      <c r="R598" s="60" t="s">
        <v>237</v>
      </c>
      <c r="S598" s="60"/>
      <c r="T598" s="60" t="b">
        <f>FALSE()</f>
        <v>0</v>
      </c>
      <c r="U598" s="60" t="b">
        <f>FALSE()</f>
        <v>0</v>
      </c>
      <c r="V598" s="60">
        <v>302</v>
      </c>
      <c r="W598" s="62" t="s">
        <v>259</v>
      </c>
      <c r="X598" s="60">
        <v>429</v>
      </c>
      <c r="Y598" s="63">
        <v>2.66</v>
      </c>
      <c r="Z598" s="60" t="b">
        <f>FALSE()</f>
        <v>0</v>
      </c>
      <c r="AA598" s="60" t="b">
        <f>TRUE()</f>
        <v>1</v>
      </c>
      <c r="AB598" s="60" t="b">
        <f>FALSE()</f>
        <v>0</v>
      </c>
      <c r="AC598" s="60" t="b">
        <f>FALSE()</f>
        <v>0</v>
      </c>
      <c r="AD598" s="60" t="b">
        <f>TRUE()</f>
        <v>1</v>
      </c>
      <c r="AE598" s="60">
        <v>3</v>
      </c>
      <c r="AF598" s="64">
        <v>42.9</v>
      </c>
      <c r="AG598" s="60" t="s">
        <v>73</v>
      </c>
      <c r="AH598" s="60" t="s">
        <v>2081</v>
      </c>
      <c r="AI598">
        <f>IF(AND(OR(Company_Explorer!$B$5="All Companies",$E598=Company_Explorer!$B$5),OR(Company_Explorer!$B$6="All Platforms",$B598=Company_Explorer!$B$6),OR(Company_Explorer!$B$7="All Roles",$D598=Company_Explorer!$B$7),OR(Company_Explorer!$B$8="All Ghost Labels",$AG598=Company_Explorer!$B$8)),1,0)</f>
        <v>0</v>
      </c>
    </row>
    <row r="599" spans="1:35" ht="15" customHeight="1" x14ac:dyDescent="0.3">
      <c r="A599" s="65" t="s">
        <v>2082</v>
      </c>
      <c r="B599" s="65" t="s">
        <v>80</v>
      </c>
      <c r="C599" s="65" t="s">
        <v>2058</v>
      </c>
      <c r="D599" s="65" t="s">
        <v>131</v>
      </c>
      <c r="E599" s="65" t="s">
        <v>2083</v>
      </c>
      <c r="F599" s="65" t="b">
        <f>TRUE()</f>
        <v>1</v>
      </c>
      <c r="G599" s="65" t="s">
        <v>166</v>
      </c>
      <c r="H599" s="65" t="s">
        <v>235</v>
      </c>
      <c r="I599" s="66">
        <v>46205</v>
      </c>
      <c r="J599" s="66">
        <v>46210</v>
      </c>
      <c r="K599" s="65">
        <v>5</v>
      </c>
      <c r="L599" s="65" t="s">
        <v>192</v>
      </c>
      <c r="M599" s="65" t="s">
        <v>184</v>
      </c>
      <c r="N599" s="65" t="b">
        <f>FALSE()</f>
        <v>0</v>
      </c>
      <c r="O599" s="65"/>
      <c r="P599" s="65"/>
      <c r="Q599" s="65" t="s">
        <v>236</v>
      </c>
      <c r="R599" s="65" t="s">
        <v>237</v>
      </c>
      <c r="S599" s="65"/>
      <c r="T599" s="65" t="b">
        <f>FALSE()</f>
        <v>0</v>
      </c>
      <c r="U599" s="65" t="b">
        <f>FALSE()</f>
        <v>0</v>
      </c>
      <c r="V599" s="65">
        <v>465</v>
      </c>
      <c r="W599" s="67" t="s">
        <v>2084</v>
      </c>
      <c r="X599" s="65">
        <v>1</v>
      </c>
      <c r="Y599" s="68">
        <v>0.01</v>
      </c>
      <c r="Z599" s="65" t="b">
        <f>FALSE()</f>
        <v>0</v>
      </c>
      <c r="AA599" s="65" t="b">
        <f>TRUE()</f>
        <v>1</v>
      </c>
      <c r="AB599" s="65" t="b">
        <f>FALSE()</f>
        <v>0</v>
      </c>
      <c r="AC599" s="65" t="b">
        <f>FALSE()</f>
        <v>0</v>
      </c>
      <c r="AD599" s="65" t="b">
        <f>FALSE()</f>
        <v>0</v>
      </c>
      <c r="AE599" s="65">
        <v>1</v>
      </c>
      <c r="AF599" s="69">
        <v>14.3</v>
      </c>
      <c r="AG599" s="65" t="s">
        <v>74</v>
      </c>
      <c r="AH599" s="65" t="s">
        <v>2085</v>
      </c>
      <c r="AI599">
        <f>IF(AND(OR(Company_Explorer!$B$5="All Companies",$E599=Company_Explorer!$B$5),OR(Company_Explorer!$B$6="All Platforms",$B599=Company_Explorer!$B$6),OR(Company_Explorer!$B$7="All Roles",$D599=Company_Explorer!$B$7),OR(Company_Explorer!$B$8="All Ghost Labels",$AG599=Company_Explorer!$B$8)),1,0)</f>
        <v>0</v>
      </c>
    </row>
    <row r="600" spans="1:35" ht="15" customHeight="1" x14ac:dyDescent="0.3">
      <c r="A600" s="60" t="s">
        <v>2086</v>
      </c>
      <c r="B600" s="60" t="s">
        <v>80</v>
      </c>
      <c r="C600" s="60" t="s">
        <v>258</v>
      </c>
      <c r="D600" s="60" t="s">
        <v>125</v>
      </c>
      <c r="E600" s="60" t="s">
        <v>141</v>
      </c>
      <c r="F600" s="60" t="b">
        <f>TRUE()</f>
        <v>1</v>
      </c>
      <c r="G600" s="60" t="s">
        <v>166</v>
      </c>
      <c r="H600" s="60" t="s">
        <v>235</v>
      </c>
      <c r="I600" s="61">
        <v>46198</v>
      </c>
      <c r="J600" s="61">
        <v>46210</v>
      </c>
      <c r="K600" s="60">
        <v>12</v>
      </c>
      <c r="L600" s="60" t="s">
        <v>192</v>
      </c>
      <c r="M600" s="60" t="s">
        <v>184</v>
      </c>
      <c r="N600" s="60" t="b">
        <f>FALSE()</f>
        <v>0</v>
      </c>
      <c r="O600" s="60"/>
      <c r="P600" s="60"/>
      <c r="Q600" s="60" t="s">
        <v>236</v>
      </c>
      <c r="R600" s="60" t="s">
        <v>237</v>
      </c>
      <c r="S600" s="60"/>
      <c r="T600" s="60" t="b">
        <f>FALSE()</f>
        <v>0</v>
      </c>
      <c r="U600" s="60" t="b">
        <f>FALSE()</f>
        <v>0</v>
      </c>
      <c r="V600" s="60">
        <v>324</v>
      </c>
      <c r="W600" s="62" t="s">
        <v>259</v>
      </c>
      <c r="X600" s="60">
        <v>429</v>
      </c>
      <c r="Y600" s="63">
        <v>2.66</v>
      </c>
      <c r="Z600" s="60" t="b">
        <f>FALSE()</f>
        <v>0</v>
      </c>
      <c r="AA600" s="60" t="b">
        <f>TRUE()</f>
        <v>1</v>
      </c>
      <c r="AB600" s="60" t="b">
        <f>FALSE()</f>
        <v>0</v>
      </c>
      <c r="AC600" s="60" t="b">
        <f>FALSE()</f>
        <v>0</v>
      </c>
      <c r="AD600" s="60" t="b">
        <f>TRUE()</f>
        <v>1</v>
      </c>
      <c r="AE600" s="60">
        <v>3</v>
      </c>
      <c r="AF600" s="64">
        <v>42.9</v>
      </c>
      <c r="AG600" s="60" t="s">
        <v>73</v>
      </c>
      <c r="AH600" s="60" t="s">
        <v>2087</v>
      </c>
      <c r="AI600">
        <f>IF(AND(OR(Company_Explorer!$B$5="All Companies",$E600=Company_Explorer!$B$5),OR(Company_Explorer!$B$6="All Platforms",$B600=Company_Explorer!$B$6),OR(Company_Explorer!$B$7="All Roles",$D600=Company_Explorer!$B$7),OR(Company_Explorer!$B$8="All Ghost Labels",$AG600=Company_Explorer!$B$8)),1,0)</f>
        <v>0</v>
      </c>
    </row>
    <row r="601" spans="1:35" ht="15" customHeight="1" x14ac:dyDescent="0.3">
      <c r="A601" s="65" t="s">
        <v>2088</v>
      </c>
      <c r="B601" s="65" t="s">
        <v>80</v>
      </c>
      <c r="C601" s="65" t="s">
        <v>2089</v>
      </c>
      <c r="D601" s="65" t="s">
        <v>130</v>
      </c>
      <c r="E601" s="65" t="s">
        <v>2090</v>
      </c>
      <c r="F601" s="65" t="b">
        <f>TRUE()</f>
        <v>1</v>
      </c>
      <c r="G601" s="65" t="s">
        <v>178</v>
      </c>
      <c r="H601" s="65" t="s">
        <v>165</v>
      </c>
      <c r="I601" s="66">
        <v>46205</v>
      </c>
      <c r="J601" s="66">
        <v>46210</v>
      </c>
      <c r="K601" s="65">
        <v>5</v>
      </c>
      <c r="L601" s="65" t="s">
        <v>194</v>
      </c>
      <c r="M601" s="65" t="s">
        <v>184</v>
      </c>
      <c r="N601" s="65" t="b">
        <f>FALSE()</f>
        <v>0</v>
      </c>
      <c r="O601" s="65"/>
      <c r="P601" s="65"/>
      <c r="Q601" s="65" t="s">
        <v>236</v>
      </c>
      <c r="R601" s="65" t="s">
        <v>237</v>
      </c>
      <c r="S601" s="65"/>
      <c r="T601" s="65" t="b">
        <f>FALSE()</f>
        <v>0</v>
      </c>
      <c r="U601" s="65" t="b">
        <f>FALSE()</f>
        <v>0</v>
      </c>
      <c r="V601" s="65">
        <v>335</v>
      </c>
      <c r="W601" s="67" t="s">
        <v>2091</v>
      </c>
      <c r="X601" s="65">
        <v>1</v>
      </c>
      <c r="Y601" s="68">
        <v>0.01</v>
      </c>
      <c r="Z601" s="65" t="b">
        <f>FALSE()</f>
        <v>0</v>
      </c>
      <c r="AA601" s="65" t="b">
        <f>TRUE()</f>
        <v>1</v>
      </c>
      <c r="AB601" s="65" t="b">
        <f>FALSE()</f>
        <v>0</v>
      </c>
      <c r="AC601" s="65" t="b">
        <f>FALSE()</f>
        <v>0</v>
      </c>
      <c r="AD601" s="65" t="b">
        <f>FALSE()</f>
        <v>0</v>
      </c>
      <c r="AE601" s="65">
        <v>1</v>
      </c>
      <c r="AF601" s="69">
        <v>14.3</v>
      </c>
      <c r="AG601" s="65" t="s">
        <v>74</v>
      </c>
      <c r="AH601" s="65" t="s">
        <v>2092</v>
      </c>
      <c r="AI601">
        <f>IF(AND(OR(Company_Explorer!$B$5="All Companies",$E601=Company_Explorer!$B$5),OR(Company_Explorer!$B$6="All Platforms",$B601=Company_Explorer!$B$6),OR(Company_Explorer!$B$7="All Roles",$D601=Company_Explorer!$B$7),OR(Company_Explorer!$B$8="All Ghost Labels",$AG601=Company_Explorer!$B$8)),1,0)</f>
        <v>0</v>
      </c>
    </row>
    <row r="602" spans="1:35" ht="15" customHeight="1" x14ac:dyDescent="0.3">
      <c r="A602" s="60" t="s">
        <v>2093</v>
      </c>
      <c r="B602" s="60" t="s">
        <v>80</v>
      </c>
      <c r="C602" s="60" t="s">
        <v>258</v>
      </c>
      <c r="D602" s="60" t="s">
        <v>125</v>
      </c>
      <c r="E602" s="60" t="s">
        <v>141</v>
      </c>
      <c r="F602" s="60" t="b">
        <f>TRUE()</f>
        <v>1</v>
      </c>
      <c r="G602" s="60" t="s">
        <v>166</v>
      </c>
      <c r="H602" s="60" t="s">
        <v>235</v>
      </c>
      <c r="I602" s="61">
        <v>46198</v>
      </c>
      <c r="J602" s="61">
        <v>46210</v>
      </c>
      <c r="K602" s="60">
        <v>12</v>
      </c>
      <c r="L602" s="60" t="s">
        <v>192</v>
      </c>
      <c r="M602" s="60" t="s">
        <v>184</v>
      </c>
      <c r="N602" s="60" t="b">
        <f>FALSE()</f>
        <v>0</v>
      </c>
      <c r="O602" s="60"/>
      <c r="P602" s="60"/>
      <c r="Q602" s="60" t="s">
        <v>236</v>
      </c>
      <c r="R602" s="60" t="s">
        <v>237</v>
      </c>
      <c r="S602" s="60"/>
      <c r="T602" s="60" t="b">
        <f>FALSE()</f>
        <v>0</v>
      </c>
      <c r="U602" s="60" t="b">
        <f>FALSE()</f>
        <v>0</v>
      </c>
      <c r="V602" s="60">
        <v>259</v>
      </c>
      <c r="W602" s="62" t="s">
        <v>1680</v>
      </c>
      <c r="X602" s="60">
        <v>429</v>
      </c>
      <c r="Y602" s="63">
        <v>2.66</v>
      </c>
      <c r="Z602" s="60" t="b">
        <f>FALSE()</f>
        <v>0</v>
      </c>
      <c r="AA602" s="60" t="b">
        <f>TRUE()</f>
        <v>1</v>
      </c>
      <c r="AB602" s="60" t="b">
        <f>TRUE()</f>
        <v>1</v>
      </c>
      <c r="AC602" s="60" t="b">
        <f>FALSE()</f>
        <v>0</v>
      </c>
      <c r="AD602" s="60" t="b">
        <f>TRUE()</f>
        <v>1</v>
      </c>
      <c r="AE602" s="60">
        <v>4</v>
      </c>
      <c r="AF602" s="64">
        <v>57.1</v>
      </c>
      <c r="AG602" s="60" t="s">
        <v>72</v>
      </c>
      <c r="AH602" s="60" t="s">
        <v>2094</v>
      </c>
      <c r="AI602">
        <f>IF(AND(OR(Company_Explorer!$B$5="All Companies",$E602=Company_Explorer!$B$5),OR(Company_Explorer!$B$6="All Platforms",$B602=Company_Explorer!$B$6),OR(Company_Explorer!$B$7="All Roles",$D602=Company_Explorer!$B$7),OR(Company_Explorer!$B$8="All Ghost Labels",$AG602=Company_Explorer!$B$8)),1,0)</f>
        <v>0</v>
      </c>
    </row>
    <row r="603" spans="1:35" ht="15" customHeight="1" x14ac:dyDescent="0.3">
      <c r="A603" s="65" t="s">
        <v>2095</v>
      </c>
      <c r="B603" s="65" t="s">
        <v>80</v>
      </c>
      <c r="C603" s="65" t="s">
        <v>2096</v>
      </c>
      <c r="D603" s="65" t="s">
        <v>125</v>
      </c>
      <c r="E603" s="65" t="s">
        <v>2097</v>
      </c>
      <c r="F603" s="65" t="b">
        <f>TRUE()</f>
        <v>1</v>
      </c>
      <c r="G603" s="65" t="s">
        <v>166</v>
      </c>
      <c r="H603" s="65" t="s">
        <v>235</v>
      </c>
      <c r="I603" s="66">
        <v>46205</v>
      </c>
      <c r="J603" s="66">
        <v>46210</v>
      </c>
      <c r="K603" s="65">
        <v>5</v>
      </c>
      <c r="L603" s="65" t="s">
        <v>192</v>
      </c>
      <c r="M603" s="65" t="s">
        <v>184</v>
      </c>
      <c r="N603" s="65" t="b">
        <f>FALSE()</f>
        <v>0</v>
      </c>
      <c r="O603" s="65"/>
      <c r="P603" s="65"/>
      <c r="Q603" s="65" t="s">
        <v>236</v>
      </c>
      <c r="R603" s="65" t="s">
        <v>237</v>
      </c>
      <c r="S603" s="65"/>
      <c r="T603" s="65" t="b">
        <f>FALSE()</f>
        <v>0</v>
      </c>
      <c r="U603" s="65" t="b">
        <f>FALSE()</f>
        <v>0</v>
      </c>
      <c r="V603" s="65">
        <v>339</v>
      </c>
      <c r="W603" s="67" t="s">
        <v>2098</v>
      </c>
      <c r="X603" s="65">
        <v>1</v>
      </c>
      <c r="Y603" s="68">
        <v>0.01</v>
      </c>
      <c r="Z603" s="65" t="b">
        <f>FALSE()</f>
        <v>0</v>
      </c>
      <c r="AA603" s="65" t="b">
        <f>TRUE()</f>
        <v>1</v>
      </c>
      <c r="AB603" s="65" t="b">
        <f>FALSE()</f>
        <v>0</v>
      </c>
      <c r="AC603" s="65" t="b">
        <f>FALSE()</f>
        <v>0</v>
      </c>
      <c r="AD603" s="65" t="b">
        <f>FALSE()</f>
        <v>0</v>
      </c>
      <c r="AE603" s="65">
        <v>1</v>
      </c>
      <c r="AF603" s="69">
        <v>14.3</v>
      </c>
      <c r="AG603" s="65" t="s">
        <v>74</v>
      </c>
      <c r="AH603" s="65" t="s">
        <v>2099</v>
      </c>
      <c r="AI603">
        <f>IF(AND(OR(Company_Explorer!$B$5="All Companies",$E603=Company_Explorer!$B$5),OR(Company_Explorer!$B$6="All Platforms",$B603=Company_Explorer!$B$6),OR(Company_Explorer!$B$7="All Roles",$D603=Company_Explorer!$B$7),OR(Company_Explorer!$B$8="All Ghost Labels",$AG603=Company_Explorer!$B$8)),1,0)</f>
        <v>0</v>
      </c>
    </row>
    <row r="604" spans="1:35" ht="15" customHeight="1" x14ac:dyDescent="0.3">
      <c r="A604" s="60" t="s">
        <v>2100</v>
      </c>
      <c r="B604" s="60" t="s">
        <v>80</v>
      </c>
      <c r="C604" s="60" t="s">
        <v>1622</v>
      </c>
      <c r="D604" s="60" t="s">
        <v>126</v>
      </c>
      <c r="E604" s="60" t="s">
        <v>2101</v>
      </c>
      <c r="F604" s="60" t="b">
        <f>TRUE()</f>
        <v>1</v>
      </c>
      <c r="G604" s="60" t="s">
        <v>1865</v>
      </c>
      <c r="H604" s="60" t="s">
        <v>165</v>
      </c>
      <c r="I604" s="61">
        <v>46189</v>
      </c>
      <c r="J604" s="61">
        <v>46210</v>
      </c>
      <c r="K604" s="60">
        <v>21</v>
      </c>
      <c r="L604" s="60" t="s">
        <v>192</v>
      </c>
      <c r="M604" s="60" t="s">
        <v>185</v>
      </c>
      <c r="N604" s="60" t="b">
        <f>FALSE()</f>
        <v>0</v>
      </c>
      <c r="O604" s="60"/>
      <c r="P604" s="60"/>
      <c r="Q604" s="60" t="s">
        <v>236</v>
      </c>
      <c r="R604" s="60" t="s">
        <v>237</v>
      </c>
      <c r="S604" s="60"/>
      <c r="T604" s="60" t="b">
        <f>FALSE()</f>
        <v>0</v>
      </c>
      <c r="U604" s="60" t="b">
        <f>FALSE()</f>
        <v>0</v>
      </c>
      <c r="V604" s="60">
        <v>513</v>
      </c>
      <c r="W604" s="62" t="s">
        <v>2102</v>
      </c>
      <c r="X604" s="60">
        <v>2</v>
      </c>
      <c r="Y604" s="63">
        <v>0.01</v>
      </c>
      <c r="Z604" s="60" t="b">
        <f>FALSE()</f>
        <v>0</v>
      </c>
      <c r="AA604" s="60" t="b">
        <f>TRUE()</f>
        <v>1</v>
      </c>
      <c r="AB604" s="60" t="b">
        <f>FALSE()</f>
        <v>0</v>
      </c>
      <c r="AC604" s="60" t="b">
        <f>TRUE()</f>
        <v>1</v>
      </c>
      <c r="AD604" s="60" t="b">
        <f>FALSE()</f>
        <v>0</v>
      </c>
      <c r="AE604" s="60">
        <v>2</v>
      </c>
      <c r="AF604" s="64">
        <v>28.6</v>
      </c>
      <c r="AG604" s="60" t="s">
        <v>73</v>
      </c>
      <c r="AH604" s="60" t="s">
        <v>2103</v>
      </c>
      <c r="AI604">
        <f>IF(AND(OR(Company_Explorer!$B$5="All Companies",$E604=Company_Explorer!$B$5),OR(Company_Explorer!$B$6="All Platforms",$B604=Company_Explorer!$B$6),OR(Company_Explorer!$B$7="All Roles",$D604=Company_Explorer!$B$7),OR(Company_Explorer!$B$8="All Ghost Labels",$AG604=Company_Explorer!$B$8)),1,0)</f>
        <v>0</v>
      </c>
    </row>
    <row r="605" spans="1:35" ht="15" customHeight="1" x14ac:dyDescent="0.3">
      <c r="A605" s="65" t="s">
        <v>2104</v>
      </c>
      <c r="B605" s="65" t="s">
        <v>80</v>
      </c>
      <c r="C605" s="65" t="s">
        <v>2105</v>
      </c>
      <c r="D605" s="65" t="s">
        <v>126</v>
      </c>
      <c r="E605" s="65" t="s">
        <v>1182</v>
      </c>
      <c r="F605" s="65" t="b">
        <f>TRUE()</f>
        <v>1</v>
      </c>
      <c r="G605" s="65" t="s">
        <v>753</v>
      </c>
      <c r="H605" s="65" t="s">
        <v>754</v>
      </c>
      <c r="I605" s="66">
        <v>46205</v>
      </c>
      <c r="J605" s="66">
        <v>46210</v>
      </c>
      <c r="K605" s="65">
        <v>5</v>
      </c>
      <c r="L605" s="65" t="s">
        <v>192</v>
      </c>
      <c r="M605" s="65" t="s">
        <v>185</v>
      </c>
      <c r="N605" s="65" t="b">
        <f>FALSE()</f>
        <v>0</v>
      </c>
      <c r="O605" s="65"/>
      <c r="P605" s="65"/>
      <c r="Q605" s="65" t="s">
        <v>236</v>
      </c>
      <c r="R605" s="65" t="s">
        <v>237</v>
      </c>
      <c r="S605" s="65"/>
      <c r="T605" s="65" t="b">
        <f>FALSE()</f>
        <v>0</v>
      </c>
      <c r="U605" s="65" t="b">
        <f>FALSE()</f>
        <v>0</v>
      </c>
      <c r="V605" s="65">
        <v>753</v>
      </c>
      <c r="W605" s="67" t="s">
        <v>2106</v>
      </c>
      <c r="X605" s="65">
        <v>4</v>
      </c>
      <c r="Y605" s="68">
        <v>0.02</v>
      </c>
      <c r="Z605" s="65" t="b">
        <f>FALSE()</f>
        <v>0</v>
      </c>
      <c r="AA605" s="65" t="b">
        <f>TRUE()</f>
        <v>1</v>
      </c>
      <c r="AB605" s="65" t="b">
        <f>FALSE()</f>
        <v>0</v>
      </c>
      <c r="AC605" s="65" t="b">
        <f>FALSE()</f>
        <v>0</v>
      </c>
      <c r="AD605" s="65" t="b">
        <f>FALSE()</f>
        <v>0</v>
      </c>
      <c r="AE605" s="65">
        <v>1</v>
      </c>
      <c r="AF605" s="69">
        <v>14.3</v>
      </c>
      <c r="AG605" s="65" t="s">
        <v>74</v>
      </c>
      <c r="AH605" s="65" t="s">
        <v>2107</v>
      </c>
      <c r="AI605">
        <f>IF(AND(OR(Company_Explorer!$B$5="All Companies",$E605=Company_Explorer!$B$5),OR(Company_Explorer!$B$6="All Platforms",$B605=Company_Explorer!$B$6),OR(Company_Explorer!$B$7="All Roles",$D605=Company_Explorer!$B$7),OR(Company_Explorer!$B$8="All Ghost Labels",$AG605=Company_Explorer!$B$8)),1,0)</f>
        <v>0</v>
      </c>
    </row>
    <row r="606" spans="1:35" ht="15" customHeight="1" x14ac:dyDescent="0.3">
      <c r="A606" s="60" t="s">
        <v>2108</v>
      </c>
      <c r="B606" s="60" t="s">
        <v>80</v>
      </c>
      <c r="C606" s="60" t="s">
        <v>1714</v>
      </c>
      <c r="D606" s="60" t="s">
        <v>126</v>
      </c>
      <c r="E606" s="60" t="s">
        <v>159</v>
      </c>
      <c r="F606" s="60" t="b">
        <f>TRUE()</f>
        <v>1</v>
      </c>
      <c r="G606" s="60" t="s">
        <v>2109</v>
      </c>
      <c r="H606" s="60" t="s">
        <v>254</v>
      </c>
      <c r="I606" s="61">
        <v>46199</v>
      </c>
      <c r="J606" s="61">
        <v>46210</v>
      </c>
      <c r="K606" s="60">
        <v>11</v>
      </c>
      <c r="L606" s="60" t="s">
        <v>192</v>
      </c>
      <c r="M606" s="60" t="s">
        <v>185</v>
      </c>
      <c r="N606" s="60" t="b">
        <f>FALSE()</f>
        <v>0</v>
      </c>
      <c r="O606" s="60"/>
      <c r="P606" s="60"/>
      <c r="Q606" s="60" t="s">
        <v>236</v>
      </c>
      <c r="R606" s="60" t="s">
        <v>237</v>
      </c>
      <c r="S606" s="60"/>
      <c r="T606" s="60" t="b">
        <f>FALSE()</f>
        <v>0</v>
      </c>
      <c r="U606" s="60" t="b">
        <f>FALSE()</f>
        <v>0</v>
      </c>
      <c r="V606" s="60">
        <v>485</v>
      </c>
      <c r="W606" s="62" t="s">
        <v>1715</v>
      </c>
      <c r="X606" s="60">
        <v>11</v>
      </c>
      <c r="Y606" s="63">
        <v>7.0000000000000007E-2</v>
      </c>
      <c r="Z606" s="60" t="b">
        <f>FALSE()</f>
        <v>0</v>
      </c>
      <c r="AA606" s="60" t="b">
        <f>TRUE()</f>
        <v>1</v>
      </c>
      <c r="AB606" s="60" t="b">
        <f>FALSE()</f>
        <v>0</v>
      </c>
      <c r="AC606" s="60" t="b">
        <f>FALSE()</f>
        <v>0</v>
      </c>
      <c r="AD606" s="60" t="b">
        <f>FALSE()</f>
        <v>0</v>
      </c>
      <c r="AE606" s="60">
        <v>1</v>
      </c>
      <c r="AF606" s="64">
        <v>14.3</v>
      </c>
      <c r="AG606" s="60" t="s">
        <v>74</v>
      </c>
      <c r="AH606" s="60" t="s">
        <v>2110</v>
      </c>
      <c r="AI606">
        <f>IF(AND(OR(Company_Explorer!$B$5="All Companies",$E606=Company_Explorer!$B$5),OR(Company_Explorer!$B$6="All Platforms",$B606=Company_Explorer!$B$6),OR(Company_Explorer!$B$7="All Roles",$D606=Company_Explorer!$B$7),OR(Company_Explorer!$B$8="All Ghost Labels",$AG606=Company_Explorer!$B$8)),1,0)</f>
        <v>0</v>
      </c>
    </row>
    <row r="607" spans="1:35" ht="15" customHeight="1" x14ac:dyDescent="0.3">
      <c r="A607" s="65" t="s">
        <v>2111</v>
      </c>
      <c r="B607" s="65" t="s">
        <v>80</v>
      </c>
      <c r="C607" s="65" t="s">
        <v>2112</v>
      </c>
      <c r="D607" s="65" t="s">
        <v>125</v>
      </c>
      <c r="E607" s="65" t="s">
        <v>2113</v>
      </c>
      <c r="F607" s="65" t="b">
        <f>TRUE()</f>
        <v>1</v>
      </c>
      <c r="G607" s="65" t="s">
        <v>178</v>
      </c>
      <c r="H607" s="65" t="s">
        <v>165</v>
      </c>
      <c r="I607" s="66">
        <v>46181</v>
      </c>
      <c r="J607" s="66">
        <v>46210</v>
      </c>
      <c r="K607" s="65">
        <v>29</v>
      </c>
      <c r="L607" s="65" t="s">
        <v>192</v>
      </c>
      <c r="M607" s="65" t="s">
        <v>184</v>
      </c>
      <c r="N607" s="65" t="b">
        <f>FALSE()</f>
        <v>0</v>
      </c>
      <c r="O607" s="65"/>
      <c r="P607" s="65"/>
      <c r="Q607" s="65" t="s">
        <v>236</v>
      </c>
      <c r="R607" s="65" t="s">
        <v>237</v>
      </c>
      <c r="S607" s="65"/>
      <c r="T607" s="65" t="b">
        <f>FALSE()</f>
        <v>0</v>
      </c>
      <c r="U607" s="65" t="b">
        <f>FALSE()</f>
        <v>0</v>
      </c>
      <c r="V607" s="65">
        <v>681</v>
      </c>
      <c r="W607" s="67" t="s">
        <v>2114</v>
      </c>
      <c r="X607" s="65">
        <v>1</v>
      </c>
      <c r="Y607" s="68">
        <v>0.01</v>
      </c>
      <c r="Z607" s="65" t="b">
        <f>FALSE()</f>
        <v>0</v>
      </c>
      <c r="AA607" s="65" t="b">
        <f>TRUE()</f>
        <v>1</v>
      </c>
      <c r="AB607" s="65" t="b">
        <f>FALSE()</f>
        <v>0</v>
      </c>
      <c r="AC607" s="65" t="b">
        <f>TRUE()</f>
        <v>1</v>
      </c>
      <c r="AD607" s="65" t="b">
        <f>FALSE()</f>
        <v>0</v>
      </c>
      <c r="AE607" s="65">
        <v>2</v>
      </c>
      <c r="AF607" s="69">
        <v>28.6</v>
      </c>
      <c r="AG607" s="65" t="s">
        <v>73</v>
      </c>
      <c r="AH607" s="65" t="s">
        <v>2115</v>
      </c>
      <c r="AI607">
        <f>IF(AND(OR(Company_Explorer!$B$5="All Companies",$E607=Company_Explorer!$B$5),OR(Company_Explorer!$B$6="All Platforms",$B607=Company_Explorer!$B$6),OR(Company_Explorer!$B$7="All Roles",$D607=Company_Explorer!$B$7),OR(Company_Explorer!$B$8="All Ghost Labels",$AG607=Company_Explorer!$B$8)),1,0)</f>
        <v>0</v>
      </c>
    </row>
    <row r="608" spans="1:35" ht="15" customHeight="1" x14ac:dyDescent="0.3">
      <c r="A608" s="60" t="s">
        <v>2116</v>
      </c>
      <c r="B608" s="60" t="s">
        <v>80</v>
      </c>
      <c r="C608" s="60" t="s">
        <v>2117</v>
      </c>
      <c r="D608" s="60" t="s">
        <v>130</v>
      </c>
      <c r="E608" s="60" t="s">
        <v>2118</v>
      </c>
      <c r="F608" s="60" t="b">
        <f>TRUE()</f>
        <v>1</v>
      </c>
      <c r="G608" s="60" t="s">
        <v>2119</v>
      </c>
      <c r="H608" s="60" t="s">
        <v>270</v>
      </c>
      <c r="I608" s="61">
        <v>46184</v>
      </c>
      <c r="J608" s="61">
        <v>46210</v>
      </c>
      <c r="K608" s="60">
        <v>26</v>
      </c>
      <c r="L608" s="60" t="s">
        <v>192</v>
      </c>
      <c r="M608" s="60" t="s">
        <v>186</v>
      </c>
      <c r="N608" s="60" t="b">
        <f>FALSE()</f>
        <v>0</v>
      </c>
      <c r="O608" s="60"/>
      <c r="P608" s="60"/>
      <c r="Q608" s="60" t="s">
        <v>236</v>
      </c>
      <c r="R608" s="60" t="s">
        <v>237</v>
      </c>
      <c r="S608" s="60"/>
      <c r="T608" s="60" t="b">
        <f>FALSE()</f>
        <v>0</v>
      </c>
      <c r="U608" s="60" t="b">
        <f>FALSE()</f>
        <v>0</v>
      </c>
      <c r="V608" s="60">
        <v>180</v>
      </c>
      <c r="W608" s="62" t="s">
        <v>2120</v>
      </c>
      <c r="X608" s="60">
        <v>1</v>
      </c>
      <c r="Y608" s="63">
        <v>0.01</v>
      </c>
      <c r="Z608" s="60" t="b">
        <f>FALSE()</f>
        <v>0</v>
      </c>
      <c r="AA608" s="60" t="b">
        <f>TRUE()</f>
        <v>1</v>
      </c>
      <c r="AB608" s="60" t="b">
        <f>TRUE()</f>
        <v>1</v>
      </c>
      <c r="AC608" s="60" t="b">
        <f>TRUE()</f>
        <v>1</v>
      </c>
      <c r="AD608" s="60" t="b">
        <f>FALSE()</f>
        <v>0</v>
      </c>
      <c r="AE608" s="60">
        <v>3</v>
      </c>
      <c r="AF608" s="64">
        <v>42.9</v>
      </c>
      <c r="AG608" s="60" t="s">
        <v>73</v>
      </c>
      <c r="AH608" s="60" t="s">
        <v>2121</v>
      </c>
      <c r="AI608">
        <f>IF(AND(OR(Company_Explorer!$B$5="All Companies",$E608=Company_Explorer!$B$5),OR(Company_Explorer!$B$6="All Platforms",$B608=Company_Explorer!$B$6),OR(Company_Explorer!$B$7="All Roles",$D608=Company_Explorer!$B$7),OR(Company_Explorer!$B$8="All Ghost Labels",$AG608=Company_Explorer!$B$8)),1,0)</f>
        <v>0</v>
      </c>
    </row>
    <row r="609" spans="1:35" ht="15" customHeight="1" x14ac:dyDescent="0.3">
      <c r="A609" s="65" t="s">
        <v>2122</v>
      </c>
      <c r="B609" s="65" t="s">
        <v>80</v>
      </c>
      <c r="C609" s="65" t="s">
        <v>2123</v>
      </c>
      <c r="D609" s="65" t="s">
        <v>125</v>
      </c>
      <c r="E609" s="65" t="s">
        <v>2124</v>
      </c>
      <c r="F609" s="65" t="b">
        <f>TRUE()</f>
        <v>1</v>
      </c>
      <c r="G609" s="65" t="s">
        <v>169</v>
      </c>
      <c r="H609" s="65" t="s">
        <v>294</v>
      </c>
      <c r="I609" s="66">
        <v>46206</v>
      </c>
      <c r="J609" s="66">
        <v>46210</v>
      </c>
      <c r="K609" s="65">
        <v>4</v>
      </c>
      <c r="L609" s="65" t="s">
        <v>194</v>
      </c>
      <c r="M609" s="65" t="s">
        <v>187</v>
      </c>
      <c r="N609" s="65" t="b">
        <f>FALSE()</f>
        <v>0</v>
      </c>
      <c r="O609" s="65"/>
      <c r="P609" s="65"/>
      <c r="Q609" s="65" t="s">
        <v>236</v>
      </c>
      <c r="R609" s="65" t="s">
        <v>237</v>
      </c>
      <c r="S609" s="65"/>
      <c r="T609" s="65" t="b">
        <f>FALSE()</f>
        <v>0</v>
      </c>
      <c r="U609" s="65" t="b">
        <f>FALSE()</f>
        <v>0</v>
      </c>
      <c r="V609" s="65">
        <v>154</v>
      </c>
      <c r="W609" s="67" t="s">
        <v>2125</v>
      </c>
      <c r="X609" s="65">
        <v>1</v>
      </c>
      <c r="Y609" s="68">
        <v>0.01</v>
      </c>
      <c r="Z609" s="65" t="b">
        <f>FALSE()</f>
        <v>0</v>
      </c>
      <c r="AA609" s="65" t="b">
        <f>TRUE()</f>
        <v>1</v>
      </c>
      <c r="AB609" s="65" t="b">
        <f>TRUE()</f>
        <v>1</v>
      </c>
      <c r="AC609" s="65" t="b">
        <f>FALSE()</f>
        <v>0</v>
      </c>
      <c r="AD609" s="65" t="b">
        <f>FALSE()</f>
        <v>0</v>
      </c>
      <c r="AE609" s="65">
        <v>2</v>
      </c>
      <c r="AF609" s="69">
        <v>28.6</v>
      </c>
      <c r="AG609" s="65" t="s">
        <v>73</v>
      </c>
      <c r="AH609" s="65" t="s">
        <v>2126</v>
      </c>
      <c r="AI609">
        <f>IF(AND(OR(Company_Explorer!$B$5="All Companies",$E609=Company_Explorer!$B$5),OR(Company_Explorer!$B$6="All Platforms",$B609=Company_Explorer!$B$6),OR(Company_Explorer!$B$7="All Roles",$D609=Company_Explorer!$B$7),OR(Company_Explorer!$B$8="All Ghost Labels",$AG609=Company_Explorer!$B$8)),1,0)</f>
        <v>0</v>
      </c>
    </row>
    <row r="610" spans="1:35" ht="15" customHeight="1" x14ac:dyDescent="0.3">
      <c r="A610" s="60" t="s">
        <v>2127</v>
      </c>
      <c r="B610" s="60" t="s">
        <v>80</v>
      </c>
      <c r="C610" s="60" t="s">
        <v>2128</v>
      </c>
      <c r="D610" s="60" t="s">
        <v>125</v>
      </c>
      <c r="E610" s="60" t="s">
        <v>331</v>
      </c>
      <c r="F610" s="60" t="b">
        <f>TRUE()</f>
        <v>1</v>
      </c>
      <c r="G610" s="60" t="s">
        <v>178</v>
      </c>
      <c r="H610" s="60" t="s">
        <v>165</v>
      </c>
      <c r="I610" s="61">
        <v>46200</v>
      </c>
      <c r="J610" s="61">
        <v>46210</v>
      </c>
      <c r="K610" s="60">
        <v>10</v>
      </c>
      <c r="L610" s="60" t="s">
        <v>194</v>
      </c>
      <c r="M610" s="60" t="s">
        <v>186</v>
      </c>
      <c r="N610" s="60" t="b">
        <f>TRUE()</f>
        <v>1</v>
      </c>
      <c r="O610" s="70">
        <v>70</v>
      </c>
      <c r="P610" s="70">
        <v>80</v>
      </c>
      <c r="Q610" s="60" t="s">
        <v>332</v>
      </c>
      <c r="R610" s="60" t="s">
        <v>237</v>
      </c>
      <c r="S610" s="60"/>
      <c r="T610" s="60" t="b">
        <f>FALSE()</f>
        <v>0</v>
      </c>
      <c r="U610" s="60" t="b">
        <f>FALSE()</f>
        <v>0</v>
      </c>
      <c r="V610" s="60">
        <v>191</v>
      </c>
      <c r="W610" s="62" t="s">
        <v>2129</v>
      </c>
      <c r="X610" s="60">
        <v>7</v>
      </c>
      <c r="Y610" s="63">
        <v>0.04</v>
      </c>
      <c r="Z610" s="60" t="b">
        <f>FALSE()</f>
        <v>0</v>
      </c>
      <c r="AA610" s="60" t="b">
        <f>FALSE()</f>
        <v>0</v>
      </c>
      <c r="AB610" s="60" t="b">
        <f>TRUE()</f>
        <v>1</v>
      </c>
      <c r="AC610" s="60" t="b">
        <f>FALSE()</f>
        <v>0</v>
      </c>
      <c r="AD610" s="60" t="b">
        <f>FALSE()</f>
        <v>0</v>
      </c>
      <c r="AE610" s="60">
        <v>1</v>
      </c>
      <c r="AF610" s="64">
        <v>14.3</v>
      </c>
      <c r="AG610" s="60" t="s">
        <v>74</v>
      </c>
      <c r="AH610" s="60" t="s">
        <v>2130</v>
      </c>
      <c r="AI610">
        <f>IF(AND(OR(Company_Explorer!$B$5="All Companies",$E610=Company_Explorer!$B$5),OR(Company_Explorer!$B$6="All Platforms",$B610=Company_Explorer!$B$6),OR(Company_Explorer!$B$7="All Roles",$D610=Company_Explorer!$B$7),OR(Company_Explorer!$B$8="All Ghost Labels",$AG610=Company_Explorer!$B$8)),1,0)</f>
        <v>0</v>
      </c>
    </row>
    <row r="611" spans="1:35" ht="15" customHeight="1" x14ac:dyDescent="0.3">
      <c r="A611" s="65" t="s">
        <v>2131</v>
      </c>
      <c r="B611" s="65" t="s">
        <v>80</v>
      </c>
      <c r="C611" s="65" t="s">
        <v>2132</v>
      </c>
      <c r="D611" s="65" t="s">
        <v>131</v>
      </c>
      <c r="E611" s="65" t="s">
        <v>2133</v>
      </c>
      <c r="F611" s="65" t="b">
        <f>TRUE()</f>
        <v>1</v>
      </c>
      <c r="G611" s="65" t="s">
        <v>2134</v>
      </c>
      <c r="H611" s="65" t="s">
        <v>2135</v>
      </c>
      <c r="I611" s="66">
        <v>46206</v>
      </c>
      <c r="J611" s="66">
        <v>46210</v>
      </c>
      <c r="K611" s="65">
        <v>4</v>
      </c>
      <c r="L611" s="65" t="s">
        <v>192</v>
      </c>
      <c r="M611" s="65" t="s">
        <v>184</v>
      </c>
      <c r="N611" s="65" t="b">
        <f>FALSE()</f>
        <v>0</v>
      </c>
      <c r="O611" s="65"/>
      <c r="P611" s="65"/>
      <c r="Q611" s="65" t="s">
        <v>236</v>
      </c>
      <c r="R611" s="65" t="s">
        <v>237</v>
      </c>
      <c r="S611" s="65"/>
      <c r="T611" s="65" t="b">
        <f>FALSE()</f>
        <v>0</v>
      </c>
      <c r="U611" s="65" t="b">
        <f>FALSE()</f>
        <v>0</v>
      </c>
      <c r="V611" s="65">
        <v>759</v>
      </c>
      <c r="W611" s="65" t="s">
        <v>2136</v>
      </c>
      <c r="X611" s="65">
        <v>1</v>
      </c>
      <c r="Y611" s="68">
        <v>0.01</v>
      </c>
      <c r="Z611" s="65" t="b">
        <f>FALSE()</f>
        <v>0</v>
      </c>
      <c r="AA611" s="65" t="b">
        <f>TRUE()</f>
        <v>1</v>
      </c>
      <c r="AB611" s="65" t="b">
        <f>FALSE()</f>
        <v>0</v>
      </c>
      <c r="AC611" s="65" t="b">
        <f>FALSE()</f>
        <v>0</v>
      </c>
      <c r="AD611" s="65" t="b">
        <f>FALSE()</f>
        <v>0</v>
      </c>
      <c r="AE611" s="65">
        <v>1</v>
      </c>
      <c r="AF611" s="69">
        <v>14.3</v>
      </c>
      <c r="AG611" s="65" t="s">
        <v>74</v>
      </c>
      <c r="AH611" s="65" t="s">
        <v>2137</v>
      </c>
      <c r="AI611">
        <f>IF(AND(OR(Company_Explorer!$B$5="All Companies",$E611=Company_Explorer!$B$5),OR(Company_Explorer!$B$6="All Platforms",$B611=Company_Explorer!$B$6),OR(Company_Explorer!$B$7="All Roles",$D611=Company_Explorer!$B$7),OR(Company_Explorer!$B$8="All Ghost Labels",$AG611=Company_Explorer!$B$8)),1,0)</f>
        <v>0</v>
      </c>
    </row>
    <row r="612" spans="1:35" ht="15" customHeight="1" x14ac:dyDescent="0.3">
      <c r="A612" s="60" t="s">
        <v>2138</v>
      </c>
      <c r="B612" s="60" t="s">
        <v>80</v>
      </c>
      <c r="C612" s="60" t="s">
        <v>125</v>
      </c>
      <c r="D612" s="60" t="s">
        <v>125</v>
      </c>
      <c r="E612" s="60" t="s">
        <v>351</v>
      </c>
      <c r="F612" s="60" t="b">
        <f>TRUE()</f>
        <v>1</v>
      </c>
      <c r="G612" s="60" t="s">
        <v>168</v>
      </c>
      <c r="H612" s="60" t="s">
        <v>254</v>
      </c>
      <c r="I612" s="61">
        <v>46202</v>
      </c>
      <c r="J612" s="61">
        <v>46210</v>
      </c>
      <c r="K612" s="60">
        <v>8</v>
      </c>
      <c r="L612" s="60" t="s">
        <v>192</v>
      </c>
      <c r="M612" s="60" t="s">
        <v>186</v>
      </c>
      <c r="N612" s="60" t="b">
        <f>FALSE()</f>
        <v>0</v>
      </c>
      <c r="O612" s="60"/>
      <c r="P612" s="60"/>
      <c r="Q612" s="60" t="s">
        <v>236</v>
      </c>
      <c r="R612" s="60" t="s">
        <v>237</v>
      </c>
      <c r="S612" s="60"/>
      <c r="T612" s="60" t="b">
        <f>FALSE()</f>
        <v>0</v>
      </c>
      <c r="U612" s="60" t="b">
        <f>FALSE()</f>
        <v>0</v>
      </c>
      <c r="V612" s="60">
        <v>262</v>
      </c>
      <c r="W612" s="62" t="s">
        <v>2139</v>
      </c>
      <c r="X612" s="60">
        <v>10</v>
      </c>
      <c r="Y612" s="63">
        <v>0.06</v>
      </c>
      <c r="Z612" s="60" t="b">
        <f>FALSE()</f>
        <v>0</v>
      </c>
      <c r="AA612" s="60" t="b">
        <f>TRUE()</f>
        <v>1</v>
      </c>
      <c r="AB612" s="60" t="b">
        <f>TRUE()</f>
        <v>1</v>
      </c>
      <c r="AC612" s="60" t="b">
        <f>FALSE()</f>
        <v>0</v>
      </c>
      <c r="AD612" s="60" t="b">
        <f>FALSE()</f>
        <v>0</v>
      </c>
      <c r="AE612" s="60">
        <v>2</v>
      </c>
      <c r="AF612" s="64">
        <v>28.6</v>
      </c>
      <c r="AG612" s="60" t="s">
        <v>73</v>
      </c>
      <c r="AH612" s="60" t="s">
        <v>2140</v>
      </c>
      <c r="AI612">
        <f>IF(AND(OR(Company_Explorer!$B$5="All Companies",$E612=Company_Explorer!$B$5),OR(Company_Explorer!$B$6="All Platforms",$B612=Company_Explorer!$B$6),OR(Company_Explorer!$B$7="All Roles",$D612=Company_Explorer!$B$7),OR(Company_Explorer!$B$8="All Ghost Labels",$AG612=Company_Explorer!$B$8)),1,0)</f>
        <v>0</v>
      </c>
    </row>
    <row r="613" spans="1:35" ht="15" customHeight="1" x14ac:dyDescent="0.3">
      <c r="A613" s="65" t="s">
        <v>2141</v>
      </c>
      <c r="B613" s="65" t="s">
        <v>80</v>
      </c>
      <c r="C613" s="65" t="s">
        <v>125</v>
      </c>
      <c r="D613" s="65" t="s">
        <v>125</v>
      </c>
      <c r="E613" s="65" t="s">
        <v>2142</v>
      </c>
      <c r="F613" s="65" t="b">
        <f>TRUE()</f>
        <v>1</v>
      </c>
      <c r="G613" s="65" t="s">
        <v>2143</v>
      </c>
      <c r="H613" s="65" t="s">
        <v>2066</v>
      </c>
      <c r="I613" s="66">
        <v>46203</v>
      </c>
      <c r="J613" s="66">
        <v>46210</v>
      </c>
      <c r="K613" s="65">
        <v>7</v>
      </c>
      <c r="L613" s="65" t="s">
        <v>192</v>
      </c>
      <c r="M613" s="65" t="s">
        <v>185</v>
      </c>
      <c r="N613" s="65" t="b">
        <f>FALSE()</f>
        <v>0</v>
      </c>
      <c r="O613" s="65"/>
      <c r="P613" s="65"/>
      <c r="Q613" s="65" t="s">
        <v>236</v>
      </c>
      <c r="R613" s="65" t="s">
        <v>237</v>
      </c>
      <c r="S613" s="65"/>
      <c r="T613" s="65" t="b">
        <f>FALSE()</f>
        <v>0</v>
      </c>
      <c r="U613" s="65" t="b">
        <f>FALSE()</f>
        <v>0</v>
      </c>
      <c r="V613" s="65">
        <v>511</v>
      </c>
      <c r="W613" s="67" t="s">
        <v>2144</v>
      </c>
      <c r="X613" s="65">
        <v>3</v>
      </c>
      <c r="Y613" s="68">
        <v>0.02</v>
      </c>
      <c r="Z613" s="65" t="b">
        <f>FALSE()</f>
        <v>0</v>
      </c>
      <c r="AA613" s="65" t="b">
        <f>TRUE()</f>
        <v>1</v>
      </c>
      <c r="AB613" s="65" t="b">
        <f>FALSE()</f>
        <v>0</v>
      </c>
      <c r="AC613" s="65" t="b">
        <f>FALSE()</f>
        <v>0</v>
      </c>
      <c r="AD613" s="65" t="b">
        <f>FALSE()</f>
        <v>0</v>
      </c>
      <c r="AE613" s="65">
        <v>1</v>
      </c>
      <c r="AF613" s="69">
        <v>14.3</v>
      </c>
      <c r="AG613" s="65" t="s">
        <v>74</v>
      </c>
      <c r="AH613" s="65" t="s">
        <v>2145</v>
      </c>
      <c r="AI613">
        <f>IF(AND(OR(Company_Explorer!$B$5="All Companies",$E613=Company_Explorer!$B$5),OR(Company_Explorer!$B$6="All Platforms",$B613=Company_Explorer!$B$6),OR(Company_Explorer!$B$7="All Roles",$D613=Company_Explorer!$B$7),OR(Company_Explorer!$B$8="All Ghost Labels",$AG613=Company_Explorer!$B$8)),1,0)</f>
        <v>0</v>
      </c>
    </row>
    <row r="614" spans="1:35" ht="15" customHeight="1" x14ac:dyDescent="0.3">
      <c r="A614" s="60" t="s">
        <v>2146</v>
      </c>
      <c r="B614" s="60" t="s">
        <v>80</v>
      </c>
      <c r="C614" s="60" t="s">
        <v>2147</v>
      </c>
      <c r="D614" s="60" t="s">
        <v>125</v>
      </c>
      <c r="E614" s="60" t="s">
        <v>2148</v>
      </c>
      <c r="F614" s="60" t="b">
        <f>TRUE()</f>
        <v>1</v>
      </c>
      <c r="G614" s="60" t="s">
        <v>166</v>
      </c>
      <c r="H614" s="60" t="s">
        <v>235</v>
      </c>
      <c r="I614" s="61">
        <v>46206</v>
      </c>
      <c r="J614" s="61">
        <v>46210</v>
      </c>
      <c r="K614" s="60">
        <v>4</v>
      </c>
      <c r="L614" s="60" t="s">
        <v>192</v>
      </c>
      <c r="M614" s="60" t="s">
        <v>185</v>
      </c>
      <c r="N614" s="60" t="b">
        <f>FALSE()</f>
        <v>0</v>
      </c>
      <c r="O614" s="60"/>
      <c r="P614" s="60"/>
      <c r="Q614" s="60" t="s">
        <v>236</v>
      </c>
      <c r="R614" s="60" t="s">
        <v>237</v>
      </c>
      <c r="S614" s="60"/>
      <c r="T614" s="60" t="b">
        <f>FALSE()</f>
        <v>0</v>
      </c>
      <c r="U614" s="60" t="b">
        <f>FALSE()</f>
        <v>0</v>
      </c>
      <c r="V614" s="60">
        <v>1216</v>
      </c>
      <c r="W614" s="62" t="s">
        <v>2149</v>
      </c>
      <c r="X614" s="60">
        <v>1</v>
      </c>
      <c r="Y614" s="63">
        <v>0.01</v>
      </c>
      <c r="Z614" s="60" t="b">
        <f>FALSE()</f>
        <v>0</v>
      </c>
      <c r="AA614" s="60" t="b">
        <f>TRUE()</f>
        <v>1</v>
      </c>
      <c r="AB614" s="60" t="b">
        <f>FALSE()</f>
        <v>0</v>
      </c>
      <c r="AC614" s="60" t="b">
        <f>FALSE()</f>
        <v>0</v>
      </c>
      <c r="AD614" s="60" t="b">
        <f>FALSE()</f>
        <v>0</v>
      </c>
      <c r="AE614" s="60">
        <v>1</v>
      </c>
      <c r="AF614" s="64">
        <v>14.3</v>
      </c>
      <c r="AG614" s="60" t="s">
        <v>74</v>
      </c>
      <c r="AH614" s="60" t="s">
        <v>2150</v>
      </c>
      <c r="AI614">
        <f>IF(AND(OR(Company_Explorer!$B$5="All Companies",$E614=Company_Explorer!$B$5),OR(Company_Explorer!$B$6="All Platforms",$B614=Company_Explorer!$B$6),OR(Company_Explorer!$B$7="All Roles",$D614=Company_Explorer!$B$7),OR(Company_Explorer!$B$8="All Ghost Labels",$AG614=Company_Explorer!$B$8)),1,0)</f>
        <v>0</v>
      </c>
    </row>
    <row r="615" spans="1:35" ht="15" customHeight="1" x14ac:dyDescent="0.3">
      <c r="A615" s="65" t="s">
        <v>2151</v>
      </c>
      <c r="B615" s="65" t="s">
        <v>80</v>
      </c>
      <c r="C615" s="65" t="s">
        <v>2152</v>
      </c>
      <c r="D615" s="65" t="s">
        <v>126</v>
      </c>
      <c r="E615" s="65" t="s">
        <v>1275</v>
      </c>
      <c r="F615" s="65" t="b">
        <f>TRUE()</f>
        <v>1</v>
      </c>
      <c r="G615" s="65" t="s">
        <v>311</v>
      </c>
      <c r="H615" s="65" t="s">
        <v>235</v>
      </c>
      <c r="I615" s="66">
        <v>46189</v>
      </c>
      <c r="J615" s="66">
        <v>46210</v>
      </c>
      <c r="K615" s="65">
        <v>21</v>
      </c>
      <c r="L615" s="65" t="s">
        <v>192</v>
      </c>
      <c r="M615" s="65" t="s">
        <v>185</v>
      </c>
      <c r="N615" s="65" t="b">
        <f>FALSE()</f>
        <v>0</v>
      </c>
      <c r="O615" s="65"/>
      <c r="P615" s="65"/>
      <c r="Q615" s="65" t="s">
        <v>236</v>
      </c>
      <c r="R615" s="65" t="s">
        <v>237</v>
      </c>
      <c r="S615" s="65"/>
      <c r="T615" s="65" t="b">
        <f>FALSE()</f>
        <v>0</v>
      </c>
      <c r="U615" s="65" t="b">
        <f>FALSE()</f>
        <v>0</v>
      </c>
      <c r="V615" s="65">
        <v>678</v>
      </c>
      <c r="W615" s="67" t="s">
        <v>1276</v>
      </c>
      <c r="X615" s="65">
        <v>2</v>
      </c>
      <c r="Y615" s="68">
        <v>0.01</v>
      </c>
      <c r="Z615" s="65" t="b">
        <f>FALSE()</f>
        <v>0</v>
      </c>
      <c r="AA615" s="65" t="b">
        <f>TRUE()</f>
        <v>1</v>
      </c>
      <c r="AB615" s="65" t="b">
        <f>FALSE()</f>
        <v>0</v>
      </c>
      <c r="AC615" s="65" t="b">
        <f>TRUE()</f>
        <v>1</v>
      </c>
      <c r="AD615" s="65" t="b">
        <f>FALSE()</f>
        <v>0</v>
      </c>
      <c r="AE615" s="65">
        <v>2</v>
      </c>
      <c r="AF615" s="69">
        <v>28.6</v>
      </c>
      <c r="AG615" s="65" t="s">
        <v>73</v>
      </c>
      <c r="AH615" s="65" t="s">
        <v>2153</v>
      </c>
      <c r="AI615">
        <f>IF(AND(OR(Company_Explorer!$B$5="All Companies",$E615=Company_Explorer!$B$5),OR(Company_Explorer!$B$6="All Platforms",$B615=Company_Explorer!$B$6),OR(Company_Explorer!$B$7="All Roles",$D615=Company_Explorer!$B$7),OR(Company_Explorer!$B$8="All Ghost Labels",$AG615=Company_Explorer!$B$8)),1,0)</f>
        <v>0</v>
      </c>
    </row>
    <row r="616" spans="1:35" ht="15" customHeight="1" x14ac:dyDescent="0.3">
      <c r="A616" s="60" t="s">
        <v>2154</v>
      </c>
      <c r="B616" s="60" t="s">
        <v>80</v>
      </c>
      <c r="C616" s="60" t="s">
        <v>258</v>
      </c>
      <c r="D616" s="60" t="s">
        <v>125</v>
      </c>
      <c r="E616" s="60" t="s">
        <v>141</v>
      </c>
      <c r="F616" s="60" t="b">
        <f>TRUE()</f>
        <v>1</v>
      </c>
      <c r="G616" s="60" t="s">
        <v>166</v>
      </c>
      <c r="H616" s="60" t="s">
        <v>235</v>
      </c>
      <c r="I616" s="61">
        <v>46198</v>
      </c>
      <c r="J616" s="61">
        <v>46210</v>
      </c>
      <c r="K616" s="60">
        <v>12</v>
      </c>
      <c r="L616" s="60" t="s">
        <v>192</v>
      </c>
      <c r="M616" s="60" t="s">
        <v>184</v>
      </c>
      <c r="N616" s="60" t="b">
        <f>FALSE()</f>
        <v>0</v>
      </c>
      <c r="O616" s="60"/>
      <c r="P616" s="60"/>
      <c r="Q616" s="60" t="s">
        <v>236</v>
      </c>
      <c r="R616" s="60" t="s">
        <v>237</v>
      </c>
      <c r="S616" s="60"/>
      <c r="T616" s="60" t="b">
        <f>FALSE()</f>
        <v>0</v>
      </c>
      <c r="U616" s="60" t="b">
        <f>FALSE()</f>
        <v>0</v>
      </c>
      <c r="V616" s="60">
        <v>253</v>
      </c>
      <c r="W616" s="62" t="s">
        <v>2155</v>
      </c>
      <c r="X616" s="60">
        <v>429</v>
      </c>
      <c r="Y616" s="63">
        <v>2.66</v>
      </c>
      <c r="Z616" s="60" t="b">
        <f>FALSE()</f>
        <v>0</v>
      </c>
      <c r="AA616" s="60" t="b">
        <f>TRUE()</f>
        <v>1</v>
      </c>
      <c r="AB616" s="60" t="b">
        <f>TRUE()</f>
        <v>1</v>
      </c>
      <c r="AC616" s="60" t="b">
        <f>FALSE()</f>
        <v>0</v>
      </c>
      <c r="AD616" s="60" t="b">
        <f>TRUE()</f>
        <v>1</v>
      </c>
      <c r="AE616" s="60">
        <v>4</v>
      </c>
      <c r="AF616" s="64">
        <v>57.1</v>
      </c>
      <c r="AG616" s="60" t="s">
        <v>72</v>
      </c>
      <c r="AH616" s="60" t="s">
        <v>2156</v>
      </c>
      <c r="AI616">
        <f>IF(AND(OR(Company_Explorer!$B$5="All Companies",$E616=Company_Explorer!$B$5),OR(Company_Explorer!$B$6="All Platforms",$B616=Company_Explorer!$B$6),OR(Company_Explorer!$B$7="All Roles",$D616=Company_Explorer!$B$7),OR(Company_Explorer!$B$8="All Ghost Labels",$AG616=Company_Explorer!$B$8)),1,0)</f>
        <v>0</v>
      </c>
    </row>
    <row r="617" spans="1:35" ht="15" customHeight="1" x14ac:dyDescent="0.3">
      <c r="A617" s="65" t="s">
        <v>2157</v>
      </c>
      <c r="B617" s="65" t="s">
        <v>80</v>
      </c>
      <c r="C617" s="65" t="s">
        <v>2158</v>
      </c>
      <c r="D617" s="65" t="s">
        <v>125</v>
      </c>
      <c r="E617" s="65" t="s">
        <v>2159</v>
      </c>
      <c r="F617" s="65" t="b">
        <f>TRUE()</f>
        <v>1</v>
      </c>
      <c r="G617" s="65" t="s">
        <v>178</v>
      </c>
      <c r="H617" s="65" t="s">
        <v>165</v>
      </c>
      <c r="I617" s="66">
        <v>46207</v>
      </c>
      <c r="J617" s="66">
        <v>46210</v>
      </c>
      <c r="K617" s="65">
        <v>3</v>
      </c>
      <c r="L617" s="65" t="s">
        <v>192</v>
      </c>
      <c r="M617" s="65" t="s">
        <v>185</v>
      </c>
      <c r="N617" s="65" t="b">
        <f>FALSE()</f>
        <v>0</v>
      </c>
      <c r="O617" s="65"/>
      <c r="P617" s="65"/>
      <c r="Q617" s="65" t="s">
        <v>236</v>
      </c>
      <c r="R617" s="65" t="s">
        <v>237</v>
      </c>
      <c r="S617" s="65"/>
      <c r="T617" s="65" t="b">
        <f>FALSE()</f>
        <v>0</v>
      </c>
      <c r="U617" s="65" t="b">
        <f>FALSE()</f>
        <v>0</v>
      </c>
      <c r="V617" s="65">
        <v>670</v>
      </c>
      <c r="W617" s="67" t="s">
        <v>2160</v>
      </c>
      <c r="X617" s="65">
        <v>1</v>
      </c>
      <c r="Y617" s="68">
        <v>0.01</v>
      </c>
      <c r="Z617" s="65" t="b">
        <f>FALSE()</f>
        <v>0</v>
      </c>
      <c r="AA617" s="65" t="b">
        <f>TRUE()</f>
        <v>1</v>
      </c>
      <c r="AB617" s="65" t="b">
        <f>FALSE()</f>
        <v>0</v>
      </c>
      <c r="AC617" s="65" t="b">
        <f>FALSE()</f>
        <v>0</v>
      </c>
      <c r="AD617" s="65" t="b">
        <f>FALSE()</f>
        <v>0</v>
      </c>
      <c r="AE617" s="65">
        <v>1</v>
      </c>
      <c r="AF617" s="69">
        <v>14.3</v>
      </c>
      <c r="AG617" s="65" t="s">
        <v>74</v>
      </c>
      <c r="AH617" s="65" t="s">
        <v>2161</v>
      </c>
      <c r="AI617">
        <f>IF(AND(OR(Company_Explorer!$B$5="All Companies",$E617=Company_Explorer!$B$5),OR(Company_Explorer!$B$6="All Platforms",$B617=Company_Explorer!$B$6),OR(Company_Explorer!$B$7="All Roles",$D617=Company_Explorer!$B$7),OR(Company_Explorer!$B$8="All Ghost Labels",$AG617=Company_Explorer!$B$8)),1,0)</f>
        <v>0</v>
      </c>
    </row>
    <row r="618" spans="1:35" ht="15" customHeight="1" x14ac:dyDescent="0.3">
      <c r="A618" s="60" t="s">
        <v>2162</v>
      </c>
      <c r="B618" s="60" t="s">
        <v>80</v>
      </c>
      <c r="C618" s="60" t="s">
        <v>2074</v>
      </c>
      <c r="D618" s="60" t="s">
        <v>125</v>
      </c>
      <c r="E618" s="60" t="s">
        <v>2075</v>
      </c>
      <c r="F618" s="60" t="b">
        <f>TRUE()</f>
        <v>1</v>
      </c>
      <c r="G618" s="60" t="s">
        <v>2163</v>
      </c>
      <c r="H618" s="60" t="s">
        <v>178</v>
      </c>
      <c r="I618" s="61">
        <v>46158</v>
      </c>
      <c r="J618" s="61">
        <v>46210</v>
      </c>
      <c r="K618" s="60">
        <v>52</v>
      </c>
      <c r="L618" s="60" t="s">
        <v>192</v>
      </c>
      <c r="M618" s="60" t="s">
        <v>184</v>
      </c>
      <c r="N618" s="60" t="b">
        <f>TRUE()</f>
        <v>1</v>
      </c>
      <c r="O618" s="70">
        <v>500000</v>
      </c>
      <c r="P618" s="70">
        <v>1000000</v>
      </c>
      <c r="Q618" s="60" t="s">
        <v>332</v>
      </c>
      <c r="R618" s="60" t="s">
        <v>237</v>
      </c>
      <c r="S618" s="60"/>
      <c r="T618" s="60" t="b">
        <f>FALSE()</f>
        <v>0</v>
      </c>
      <c r="U618" s="60" t="b">
        <f>FALSE()</f>
        <v>0</v>
      </c>
      <c r="V618" s="60">
        <v>230</v>
      </c>
      <c r="W618" s="62" t="s">
        <v>2076</v>
      </c>
      <c r="X618" s="60">
        <v>2</v>
      </c>
      <c r="Y618" s="63">
        <v>0.01</v>
      </c>
      <c r="Z618" s="60" t="b">
        <f>FALSE()</f>
        <v>0</v>
      </c>
      <c r="AA618" s="60" t="b">
        <f>FALSE()</f>
        <v>0</v>
      </c>
      <c r="AB618" s="60" t="b">
        <f>TRUE()</f>
        <v>1</v>
      </c>
      <c r="AC618" s="60" t="b">
        <f>TRUE()</f>
        <v>1</v>
      </c>
      <c r="AD618" s="60" t="b">
        <f>FALSE()</f>
        <v>0</v>
      </c>
      <c r="AE618" s="60">
        <v>2</v>
      </c>
      <c r="AF618" s="64">
        <v>28.6</v>
      </c>
      <c r="AG618" s="60" t="s">
        <v>73</v>
      </c>
      <c r="AH618" s="60" t="s">
        <v>2164</v>
      </c>
      <c r="AI618">
        <f>IF(AND(OR(Company_Explorer!$B$5="All Companies",$E618=Company_Explorer!$B$5),OR(Company_Explorer!$B$6="All Platforms",$B618=Company_Explorer!$B$6),OR(Company_Explorer!$B$7="All Roles",$D618=Company_Explorer!$B$7),OR(Company_Explorer!$B$8="All Ghost Labels",$AG618=Company_Explorer!$B$8)),1,0)</f>
        <v>0</v>
      </c>
    </row>
    <row r="619" spans="1:35" ht="15" customHeight="1" x14ac:dyDescent="0.3">
      <c r="A619" s="65" t="s">
        <v>2165</v>
      </c>
      <c r="B619" s="65" t="s">
        <v>80</v>
      </c>
      <c r="C619" s="65" t="s">
        <v>2166</v>
      </c>
      <c r="D619" s="65" t="s">
        <v>130</v>
      </c>
      <c r="E619" s="65" t="s">
        <v>2167</v>
      </c>
      <c r="F619" s="65" t="b">
        <f>TRUE()</f>
        <v>1</v>
      </c>
      <c r="G619" s="65" t="s">
        <v>166</v>
      </c>
      <c r="H619" s="65" t="s">
        <v>235</v>
      </c>
      <c r="I619" s="66">
        <v>46189</v>
      </c>
      <c r="J619" s="66">
        <v>46210</v>
      </c>
      <c r="K619" s="65">
        <v>21</v>
      </c>
      <c r="L619" s="65" t="s">
        <v>192</v>
      </c>
      <c r="M619" s="65" t="s">
        <v>185</v>
      </c>
      <c r="N619" s="65" t="b">
        <f>FALSE()</f>
        <v>0</v>
      </c>
      <c r="O619" s="65"/>
      <c r="P619" s="65"/>
      <c r="Q619" s="65" t="s">
        <v>236</v>
      </c>
      <c r="R619" s="65" t="s">
        <v>237</v>
      </c>
      <c r="S619" s="65"/>
      <c r="T619" s="65" t="b">
        <f>FALSE()</f>
        <v>0</v>
      </c>
      <c r="U619" s="65" t="b">
        <f>FALSE()</f>
        <v>0</v>
      </c>
      <c r="V619" s="65">
        <v>115</v>
      </c>
      <c r="W619" s="67" t="s">
        <v>2168</v>
      </c>
      <c r="X619" s="65">
        <v>1</v>
      </c>
      <c r="Y619" s="68">
        <v>0.01</v>
      </c>
      <c r="Z619" s="65" t="b">
        <f>FALSE()</f>
        <v>0</v>
      </c>
      <c r="AA619" s="65" t="b">
        <f>TRUE()</f>
        <v>1</v>
      </c>
      <c r="AB619" s="65" t="b">
        <f>TRUE()</f>
        <v>1</v>
      </c>
      <c r="AC619" s="65" t="b">
        <f>TRUE()</f>
        <v>1</v>
      </c>
      <c r="AD619" s="65" t="b">
        <f>FALSE()</f>
        <v>0</v>
      </c>
      <c r="AE619" s="65">
        <v>3</v>
      </c>
      <c r="AF619" s="69">
        <v>42.9</v>
      </c>
      <c r="AG619" s="65" t="s">
        <v>73</v>
      </c>
      <c r="AH619" s="65" t="s">
        <v>2169</v>
      </c>
      <c r="AI619">
        <f>IF(AND(OR(Company_Explorer!$B$5="All Companies",$E619=Company_Explorer!$B$5),OR(Company_Explorer!$B$6="All Platforms",$B619=Company_Explorer!$B$6),OR(Company_Explorer!$B$7="All Roles",$D619=Company_Explorer!$B$7),OR(Company_Explorer!$B$8="All Ghost Labels",$AG619=Company_Explorer!$B$8)),1,0)</f>
        <v>0</v>
      </c>
    </row>
    <row r="620" spans="1:35" ht="15" customHeight="1" x14ac:dyDescent="0.3">
      <c r="A620" s="60" t="s">
        <v>2170</v>
      </c>
      <c r="B620" s="60" t="s">
        <v>80</v>
      </c>
      <c r="C620" s="60" t="s">
        <v>2171</v>
      </c>
      <c r="D620" s="60" t="s">
        <v>129</v>
      </c>
      <c r="E620" s="60" t="s">
        <v>247</v>
      </c>
      <c r="F620" s="60" t="b">
        <f>TRUE()</f>
        <v>1</v>
      </c>
      <c r="G620" s="60" t="s">
        <v>166</v>
      </c>
      <c r="H620" s="60" t="s">
        <v>235</v>
      </c>
      <c r="I620" s="61">
        <v>46189</v>
      </c>
      <c r="J620" s="61">
        <v>46210</v>
      </c>
      <c r="K620" s="60">
        <v>21</v>
      </c>
      <c r="L620" s="60" t="s">
        <v>192</v>
      </c>
      <c r="M620" s="60" t="s">
        <v>184</v>
      </c>
      <c r="N620" s="60" t="b">
        <f>FALSE()</f>
        <v>0</v>
      </c>
      <c r="O620" s="60"/>
      <c r="P620" s="60"/>
      <c r="Q620" s="60" t="s">
        <v>236</v>
      </c>
      <c r="R620" s="60" t="s">
        <v>237</v>
      </c>
      <c r="S620" s="60"/>
      <c r="T620" s="60" t="b">
        <f>FALSE()</f>
        <v>0</v>
      </c>
      <c r="U620" s="60" t="b">
        <f>FALSE()</f>
        <v>0</v>
      </c>
      <c r="V620" s="60">
        <v>1103</v>
      </c>
      <c r="W620" s="62" t="s">
        <v>1921</v>
      </c>
      <c r="X620" s="60">
        <v>9</v>
      </c>
      <c r="Y620" s="63">
        <v>0.06</v>
      </c>
      <c r="Z620" s="60" t="b">
        <f>FALSE()</f>
        <v>0</v>
      </c>
      <c r="AA620" s="60" t="b">
        <f>TRUE()</f>
        <v>1</v>
      </c>
      <c r="AB620" s="60" t="b">
        <f>FALSE()</f>
        <v>0</v>
      </c>
      <c r="AC620" s="60" t="b">
        <f>TRUE()</f>
        <v>1</v>
      </c>
      <c r="AD620" s="60" t="b">
        <f>FALSE()</f>
        <v>0</v>
      </c>
      <c r="AE620" s="60">
        <v>2</v>
      </c>
      <c r="AF620" s="64">
        <v>28.6</v>
      </c>
      <c r="AG620" s="60" t="s">
        <v>73</v>
      </c>
      <c r="AH620" s="60" t="s">
        <v>2172</v>
      </c>
      <c r="AI620">
        <f>IF(AND(OR(Company_Explorer!$B$5="All Companies",$E620=Company_Explorer!$B$5),OR(Company_Explorer!$B$6="All Platforms",$B620=Company_Explorer!$B$6),OR(Company_Explorer!$B$7="All Roles",$D620=Company_Explorer!$B$7),OR(Company_Explorer!$B$8="All Ghost Labels",$AG620=Company_Explorer!$B$8)),1,0)</f>
        <v>0</v>
      </c>
    </row>
    <row r="621" spans="1:35" ht="15" customHeight="1" x14ac:dyDescent="0.3">
      <c r="A621" s="65" t="s">
        <v>2173</v>
      </c>
      <c r="B621" s="65" t="s">
        <v>80</v>
      </c>
      <c r="C621" s="65" t="s">
        <v>2174</v>
      </c>
      <c r="D621" s="65" t="s">
        <v>130</v>
      </c>
      <c r="E621" s="65" t="s">
        <v>247</v>
      </c>
      <c r="F621" s="65" t="b">
        <f>TRUE()</f>
        <v>1</v>
      </c>
      <c r="G621" s="65" t="s">
        <v>166</v>
      </c>
      <c r="H621" s="65" t="s">
        <v>235</v>
      </c>
      <c r="I621" s="66">
        <v>46197</v>
      </c>
      <c r="J621" s="66">
        <v>46210</v>
      </c>
      <c r="K621" s="65">
        <v>13</v>
      </c>
      <c r="L621" s="65" t="s">
        <v>192</v>
      </c>
      <c r="M621" s="65" t="s">
        <v>185</v>
      </c>
      <c r="N621" s="65" t="b">
        <f>FALSE()</f>
        <v>0</v>
      </c>
      <c r="O621" s="65"/>
      <c r="P621" s="65"/>
      <c r="Q621" s="65" t="s">
        <v>236</v>
      </c>
      <c r="R621" s="65" t="s">
        <v>237</v>
      </c>
      <c r="S621" s="65"/>
      <c r="T621" s="65" t="b">
        <f>FALSE()</f>
        <v>0</v>
      </c>
      <c r="U621" s="65" t="b">
        <f>FALSE()</f>
        <v>0</v>
      </c>
      <c r="V621" s="65">
        <v>787</v>
      </c>
      <c r="W621" s="67" t="s">
        <v>2175</v>
      </c>
      <c r="X621" s="65">
        <v>9</v>
      </c>
      <c r="Y621" s="68">
        <v>0.06</v>
      </c>
      <c r="Z621" s="65" t="b">
        <f>FALSE()</f>
        <v>0</v>
      </c>
      <c r="AA621" s="65" t="b">
        <f>TRUE()</f>
        <v>1</v>
      </c>
      <c r="AB621" s="65" t="b">
        <f>FALSE()</f>
        <v>0</v>
      </c>
      <c r="AC621" s="65" t="b">
        <f>FALSE()</f>
        <v>0</v>
      </c>
      <c r="AD621" s="65" t="b">
        <f>FALSE()</f>
        <v>0</v>
      </c>
      <c r="AE621" s="65">
        <v>1</v>
      </c>
      <c r="AF621" s="69">
        <v>14.3</v>
      </c>
      <c r="AG621" s="65" t="s">
        <v>74</v>
      </c>
      <c r="AH621" s="65" t="s">
        <v>2176</v>
      </c>
      <c r="AI621">
        <f>IF(AND(OR(Company_Explorer!$B$5="All Companies",$E621=Company_Explorer!$B$5),OR(Company_Explorer!$B$6="All Platforms",$B621=Company_Explorer!$B$6),OR(Company_Explorer!$B$7="All Roles",$D621=Company_Explorer!$B$7),OR(Company_Explorer!$B$8="All Ghost Labels",$AG621=Company_Explorer!$B$8)),1,0)</f>
        <v>0</v>
      </c>
    </row>
    <row r="622" spans="1:35" ht="15" customHeight="1" x14ac:dyDescent="0.3">
      <c r="A622" s="60" t="s">
        <v>2177</v>
      </c>
      <c r="B622" s="60" t="s">
        <v>80</v>
      </c>
      <c r="C622" s="60" t="s">
        <v>2178</v>
      </c>
      <c r="D622" s="60" t="s">
        <v>125</v>
      </c>
      <c r="E622" s="60" t="s">
        <v>2179</v>
      </c>
      <c r="F622" s="60" t="b">
        <f>TRUE()</f>
        <v>1</v>
      </c>
      <c r="G622" s="60" t="s">
        <v>166</v>
      </c>
      <c r="H622" s="60" t="s">
        <v>235</v>
      </c>
      <c r="I622" s="61">
        <v>46203</v>
      </c>
      <c r="J622" s="61">
        <v>46210</v>
      </c>
      <c r="K622" s="60">
        <v>7</v>
      </c>
      <c r="L622" s="60" t="s">
        <v>192</v>
      </c>
      <c r="M622" s="60" t="s">
        <v>184</v>
      </c>
      <c r="N622" s="60" t="b">
        <f>FALSE()</f>
        <v>0</v>
      </c>
      <c r="O622" s="60"/>
      <c r="P622" s="60"/>
      <c r="Q622" s="60" t="s">
        <v>236</v>
      </c>
      <c r="R622" s="60" t="s">
        <v>237</v>
      </c>
      <c r="S622" s="60"/>
      <c r="T622" s="60" t="b">
        <f>FALSE()</f>
        <v>0</v>
      </c>
      <c r="U622" s="60" t="b">
        <f>FALSE()</f>
        <v>0</v>
      </c>
      <c r="V622" s="60">
        <v>683</v>
      </c>
      <c r="W622" s="62" t="s">
        <v>2180</v>
      </c>
      <c r="X622" s="60">
        <v>1</v>
      </c>
      <c r="Y622" s="63">
        <v>0.01</v>
      </c>
      <c r="Z622" s="60" t="b">
        <f>FALSE()</f>
        <v>0</v>
      </c>
      <c r="AA622" s="60" t="b">
        <f>TRUE()</f>
        <v>1</v>
      </c>
      <c r="AB622" s="60" t="b">
        <f>FALSE()</f>
        <v>0</v>
      </c>
      <c r="AC622" s="60" t="b">
        <f>FALSE()</f>
        <v>0</v>
      </c>
      <c r="AD622" s="60" t="b">
        <f>FALSE()</f>
        <v>0</v>
      </c>
      <c r="AE622" s="60">
        <v>1</v>
      </c>
      <c r="AF622" s="64">
        <v>14.3</v>
      </c>
      <c r="AG622" s="60" t="s">
        <v>74</v>
      </c>
      <c r="AH622" s="60" t="s">
        <v>2181</v>
      </c>
      <c r="AI622">
        <f>IF(AND(OR(Company_Explorer!$B$5="All Companies",$E622=Company_Explorer!$B$5),OR(Company_Explorer!$B$6="All Platforms",$B622=Company_Explorer!$B$6),OR(Company_Explorer!$B$7="All Roles",$D622=Company_Explorer!$B$7),OR(Company_Explorer!$B$8="All Ghost Labels",$AG622=Company_Explorer!$B$8)),1,0)</f>
        <v>0</v>
      </c>
    </row>
    <row r="623" spans="1:35" ht="15" customHeight="1" x14ac:dyDescent="0.3">
      <c r="A623" s="65" t="s">
        <v>2182</v>
      </c>
      <c r="B623" s="65" t="s">
        <v>80</v>
      </c>
      <c r="C623" s="65" t="s">
        <v>258</v>
      </c>
      <c r="D623" s="65" t="s">
        <v>125</v>
      </c>
      <c r="E623" s="65" t="s">
        <v>141</v>
      </c>
      <c r="F623" s="65" t="b">
        <f>TRUE()</f>
        <v>1</v>
      </c>
      <c r="G623" s="65" t="s">
        <v>168</v>
      </c>
      <c r="H623" s="65" t="s">
        <v>254</v>
      </c>
      <c r="I623" s="66">
        <v>46202</v>
      </c>
      <c r="J623" s="66">
        <v>46210</v>
      </c>
      <c r="K623" s="65">
        <v>8</v>
      </c>
      <c r="L623" s="65" t="s">
        <v>192</v>
      </c>
      <c r="M623" s="65" t="s">
        <v>184</v>
      </c>
      <c r="N623" s="65" t="b">
        <f>FALSE()</f>
        <v>0</v>
      </c>
      <c r="O623" s="65"/>
      <c r="P623" s="65"/>
      <c r="Q623" s="65" t="s">
        <v>236</v>
      </c>
      <c r="R623" s="65" t="s">
        <v>237</v>
      </c>
      <c r="S623" s="65"/>
      <c r="T623" s="65" t="b">
        <f>FALSE()</f>
        <v>0</v>
      </c>
      <c r="U623" s="65" t="b">
        <f>FALSE()</f>
        <v>0</v>
      </c>
      <c r="V623" s="65">
        <v>329</v>
      </c>
      <c r="W623" s="67" t="s">
        <v>259</v>
      </c>
      <c r="X623" s="65">
        <v>429</v>
      </c>
      <c r="Y623" s="68">
        <v>2.66</v>
      </c>
      <c r="Z623" s="65" t="b">
        <f>FALSE()</f>
        <v>0</v>
      </c>
      <c r="AA623" s="65" t="b">
        <f>TRUE()</f>
        <v>1</v>
      </c>
      <c r="AB623" s="65" t="b">
        <f>FALSE()</f>
        <v>0</v>
      </c>
      <c r="AC623" s="65" t="b">
        <f>FALSE()</f>
        <v>0</v>
      </c>
      <c r="AD623" s="65" t="b">
        <f>TRUE()</f>
        <v>1</v>
      </c>
      <c r="AE623" s="65">
        <v>3</v>
      </c>
      <c r="AF623" s="69">
        <v>42.9</v>
      </c>
      <c r="AG623" s="65" t="s">
        <v>73</v>
      </c>
      <c r="AH623" s="65" t="s">
        <v>2183</v>
      </c>
      <c r="AI623">
        <f>IF(AND(OR(Company_Explorer!$B$5="All Companies",$E623=Company_Explorer!$B$5),OR(Company_Explorer!$B$6="All Platforms",$B623=Company_Explorer!$B$6),OR(Company_Explorer!$B$7="All Roles",$D623=Company_Explorer!$B$7),OR(Company_Explorer!$B$8="All Ghost Labels",$AG623=Company_Explorer!$B$8)),1,0)</f>
        <v>0</v>
      </c>
    </row>
    <row r="624" spans="1:35" ht="15" customHeight="1" x14ac:dyDescent="0.3">
      <c r="A624" s="60" t="s">
        <v>2184</v>
      </c>
      <c r="B624" s="60" t="s">
        <v>80</v>
      </c>
      <c r="C624" s="60" t="s">
        <v>131</v>
      </c>
      <c r="D624" s="60" t="s">
        <v>131</v>
      </c>
      <c r="E624" s="60" t="s">
        <v>2185</v>
      </c>
      <c r="F624" s="60" t="b">
        <f>TRUE()</f>
        <v>1</v>
      </c>
      <c r="G624" s="60" t="s">
        <v>174</v>
      </c>
      <c r="H624" s="60" t="s">
        <v>302</v>
      </c>
      <c r="I624" s="61">
        <v>46184</v>
      </c>
      <c r="J624" s="61">
        <v>46210</v>
      </c>
      <c r="K624" s="60">
        <v>26</v>
      </c>
      <c r="L624" s="60" t="s">
        <v>192</v>
      </c>
      <c r="M624" s="60" t="s">
        <v>184</v>
      </c>
      <c r="N624" s="60" t="b">
        <f>FALSE()</f>
        <v>0</v>
      </c>
      <c r="O624" s="60"/>
      <c r="P624" s="60"/>
      <c r="Q624" s="60" t="s">
        <v>236</v>
      </c>
      <c r="R624" s="60" t="s">
        <v>237</v>
      </c>
      <c r="S624" s="60"/>
      <c r="T624" s="60" t="b">
        <f>FALSE()</f>
        <v>0</v>
      </c>
      <c r="U624" s="60" t="b">
        <f>FALSE()</f>
        <v>0</v>
      </c>
      <c r="V624" s="60">
        <v>295</v>
      </c>
      <c r="W624" s="62" t="s">
        <v>2186</v>
      </c>
      <c r="X624" s="60">
        <v>1</v>
      </c>
      <c r="Y624" s="63">
        <v>0.01</v>
      </c>
      <c r="Z624" s="60" t="b">
        <f>FALSE()</f>
        <v>0</v>
      </c>
      <c r="AA624" s="60" t="b">
        <f>TRUE()</f>
        <v>1</v>
      </c>
      <c r="AB624" s="60" t="b">
        <f>FALSE()</f>
        <v>0</v>
      </c>
      <c r="AC624" s="60" t="b">
        <f>TRUE()</f>
        <v>1</v>
      </c>
      <c r="AD624" s="60" t="b">
        <f>FALSE()</f>
        <v>0</v>
      </c>
      <c r="AE624" s="60">
        <v>2</v>
      </c>
      <c r="AF624" s="64">
        <v>28.6</v>
      </c>
      <c r="AG624" s="60" t="s">
        <v>73</v>
      </c>
      <c r="AH624" s="60" t="s">
        <v>2187</v>
      </c>
      <c r="AI624">
        <f>IF(AND(OR(Company_Explorer!$B$5="All Companies",$E624=Company_Explorer!$B$5),OR(Company_Explorer!$B$6="All Platforms",$B624=Company_Explorer!$B$6),OR(Company_Explorer!$B$7="All Roles",$D624=Company_Explorer!$B$7),OR(Company_Explorer!$B$8="All Ghost Labels",$AG624=Company_Explorer!$B$8)),1,0)</f>
        <v>0</v>
      </c>
    </row>
    <row r="625" spans="1:35" ht="15" customHeight="1" x14ac:dyDescent="0.3">
      <c r="A625" s="65" t="s">
        <v>2188</v>
      </c>
      <c r="B625" s="65" t="s">
        <v>80</v>
      </c>
      <c r="C625" s="65" t="s">
        <v>2189</v>
      </c>
      <c r="D625" s="65" t="s">
        <v>131</v>
      </c>
      <c r="E625" s="65" t="s">
        <v>2190</v>
      </c>
      <c r="F625" s="65" t="b">
        <f>TRUE()</f>
        <v>1</v>
      </c>
      <c r="G625" s="65" t="s">
        <v>173</v>
      </c>
      <c r="H625" s="65" t="s">
        <v>827</v>
      </c>
      <c r="I625" s="66">
        <v>45660</v>
      </c>
      <c r="J625" s="66">
        <v>46210</v>
      </c>
      <c r="K625" s="65">
        <v>550</v>
      </c>
      <c r="L625" s="65" t="s">
        <v>192</v>
      </c>
      <c r="M625" s="65" t="s">
        <v>185</v>
      </c>
      <c r="N625" s="65" t="b">
        <f>FALSE()</f>
        <v>0</v>
      </c>
      <c r="O625" s="65"/>
      <c r="P625" s="65"/>
      <c r="Q625" s="65" t="s">
        <v>236</v>
      </c>
      <c r="R625" s="65" t="s">
        <v>237</v>
      </c>
      <c r="S625" s="65"/>
      <c r="T625" s="65" t="b">
        <f>FALSE()</f>
        <v>0</v>
      </c>
      <c r="U625" s="65" t="b">
        <f>FALSE()</f>
        <v>0</v>
      </c>
      <c r="V625" s="65">
        <v>172</v>
      </c>
      <c r="W625" s="67" t="s">
        <v>2191</v>
      </c>
      <c r="X625" s="65">
        <v>1</v>
      </c>
      <c r="Y625" s="68">
        <v>0.01</v>
      </c>
      <c r="Z625" s="65" t="b">
        <f>FALSE()</f>
        <v>0</v>
      </c>
      <c r="AA625" s="65" t="b">
        <f>TRUE()</f>
        <v>1</v>
      </c>
      <c r="AB625" s="65" t="b">
        <f>TRUE()</f>
        <v>1</v>
      </c>
      <c r="AC625" s="65" t="b">
        <f>TRUE()</f>
        <v>1</v>
      </c>
      <c r="AD625" s="65" t="b">
        <f>FALSE()</f>
        <v>0</v>
      </c>
      <c r="AE625" s="65">
        <v>3</v>
      </c>
      <c r="AF625" s="69">
        <v>42.9</v>
      </c>
      <c r="AG625" s="65" t="s">
        <v>73</v>
      </c>
      <c r="AH625" s="65" t="s">
        <v>2192</v>
      </c>
      <c r="AI625">
        <f>IF(AND(OR(Company_Explorer!$B$5="All Companies",$E625=Company_Explorer!$B$5),OR(Company_Explorer!$B$6="All Platforms",$B625=Company_Explorer!$B$6),OR(Company_Explorer!$B$7="All Roles",$D625=Company_Explorer!$B$7),OR(Company_Explorer!$B$8="All Ghost Labels",$AG625=Company_Explorer!$B$8)),1,0)</f>
        <v>0</v>
      </c>
    </row>
    <row r="626" spans="1:35" ht="15" customHeight="1" x14ac:dyDescent="0.3">
      <c r="A626" s="60" t="s">
        <v>2193</v>
      </c>
      <c r="B626" s="60" t="s">
        <v>80</v>
      </c>
      <c r="C626" s="60" t="s">
        <v>306</v>
      </c>
      <c r="D626" s="60" t="s">
        <v>125</v>
      </c>
      <c r="E626" s="60" t="s">
        <v>141</v>
      </c>
      <c r="F626" s="60" t="b">
        <f>TRUE()</f>
        <v>1</v>
      </c>
      <c r="G626" s="60" t="s">
        <v>166</v>
      </c>
      <c r="H626" s="60" t="s">
        <v>235</v>
      </c>
      <c r="I626" s="61">
        <v>46196</v>
      </c>
      <c r="J626" s="61">
        <v>46210</v>
      </c>
      <c r="K626" s="60">
        <v>14</v>
      </c>
      <c r="L626" s="60" t="s">
        <v>192</v>
      </c>
      <c r="M626" s="60" t="s">
        <v>184</v>
      </c>
      <c r="N626" s="60" t="b">
        <f>FALSE()</f>
        <v>0</v>
      </c>
      <c r="O626" s="60"/>
      <c r="P626" s="60"/>
      <c r="Q626" s="60" t="s">
        <v>236</v>
      </c>
      <c r="R626" s="60" t="s">
        <v>237</v>
      </c>
      <c r="S626" s="60"/>
      <c r="T626" s="60" t="b">
        <f>FALSE()</f>
        <v>0</v>
      </c>
      <c r="U626" s="60" t="b">
        <f>FALSE()</f>
        <v>0</v>
      </c>
      <c r="V626" s="60">
        <v>457</v>
      </c>
      <c r="W626" s="62" t="s">
        <v>1917</v>
      </c>
      <c r="X626" s="60">
        <v>429</v>
      </c>
      <c r="Y626" s="63">
        <v>2.66</v>
      </c>
      <c r="Z626" s="60" t="b">
        <f>FALSE()</f>
        <v>0</v>
      </c>
      <c r="AA626" s="60" t="b">
        <f>TRUE()</f>
        <v>1</v>
      </c>
      <c r="AB626" s="60" t="b">
        <f>FALSE()</f>
        <v>0</v>
      </c>
      <c r="AC626" s="60" t="b">
        <f>FALSE()</f>
        <v>0</v>
      </c>
      <c r="AD626" s="60" t="b">
        <f>TRUE()</f>
        <v>1</v>
      </c>
      <c r="AE626" s="60">
        <v>3</v>
      </c>
      <c r="AF626" s="64">
        <v>42.9</v>
      </c>
      <c r="AG626" s="60" t="s">
        <v>73</v>
      </c>
      <c r="AH626" s="60" t="s">
        <v>2194</v>
      </c>
      <c r="AI626">
        <f>IF(AND(OR(Company_Explorer!$B$5="All Companies",$E626=Company_Explorer!$B$5),OR(Company_Explorer!$B$6="All Platforms",$B626=Company_Explorer!$B$6),OR(Company_Explorer!$B$7="All Roles",$D626=Company_Explorer!$B$7),OR(Company_Explorer!$B$8="All Ghost Labels",$AG626=Company_Explorer!$B$8)),1,0)</f>
        <v>0</v>
      </c>
    </row>
    <row r="627" spans="1:35" ht="15" customHeight="1" x14ac:dyDescent="0.3">
      <c r="A627" s="65" t="s">
        <v>2195</v>
      </c>
      <c r="B627" s="65" t="s">
        <v>80</v>
      </c>
      <c r="C627" s="65" t="s">
        <v>2196</v>
      </c>
      <c r="D627" s="65" t="s">
        <v>125</v>
      </c>
      <c r="E627" s="65" t="s">
        <v>2197</v>
      </c>
      <c r="F627" s="65" t="b">
        <f>TRUE()</f>
        <v>1</v>
      </c>
      <c r="G627" s="65" t="s">
        <v>2198</v>
      </c>
      <c r="H627" s="65" t="s">
        <v>2199</v>
      </c>
      <c r="I627" s="66">
        <v>45993</v>
      </c>
      <c r="J627" s="66">
        <v>46210</v>
      </c>
      <c r="K627" s="65">
        <v>217</v>
      </c>
      <c r="L627" s="65" t="s">
        <v>192</v>
      </c>
      <c r="M627" s="65" t="s">
        <v>185</v>
      </c>
      <c r="N627" s="65" t="b">
        <f>FALSE()</f>
        <v>0</v>
      </c>
      <c r="O627" s="65"/>
      <c r="P627" s="65"/>
      <c r="Q627" s="65" t="s">
        <v>236</v>
      </c>
      <c r="R627" s="65" t="s">
        <v>237</v>
      </c>
      <c r="S627" s="65"/>
      <c r="T627" s="65" t="b">
        <f>FALSE()</f>
        <v>0</v>
      </c>
      <c r="U627" s="65" t="b">
        <f>FALSE()</f>
        <v>0</v>
      </c>
      <c r="V627" s="65">
        <v>390</v>
      </c>
      <c r="W627" s="67" t="s">
        <v>2200</v>
      </c>
      <c r="X627" s="65">
        <v>1</v>
      </c>
      <c r="Y627" s="68">
        <v>0.01</v>
      </c>
      <c r="Z627" s="65" t="b">
        <f>FALSE()</f>
        <v>0</v>
      </c>
      <c r="AA627" s="65" t="b">
        <f>TRUE()</f>
        <v>1</v>
      </c>
      <c r="AB627" s="65" t="b">
        <f>FALSE()</f>
        <v>0</v>
      </c>
      <c r="AC627" s="65" t="b">
        <f>TRUE()</f>
        <v>1</v>
      </c>
      <c r="AD627" s="65" t="b">
        <f>FALSE()</f>
        <v>0</v>
      </c>
      <c r="AE627" s="65">
        <v>2</v>
      </c>
      <c r="AF627" s="69">
        <v>28.6</v>
      </c>
      <c r="AG627" s="65" t="s">
        <v>73</v>
      </c>
      <c r="AH627" s="65" t="s">
        <v>2201</v>
      </c>
      <c r="AI627">
        <f>IF(AND(OR(Company_Explorer!$B$5="All Companies",$E627=Company_Explorer!$B$5),OR(Company_Explorer!$B$6="All Platforms",$B627=Company_Explorer!$B$6),OR(Company_Explorer!$B$7="All Roles",$D627=Company_Explorer!$B$7),OR(Company_Explorer!$B$8="All Ghost Labels",$AG627=Company_Explorer!$B$8)),1,0)</f>
        <v>0</v>
      </c>
    </row>
    <row r="628" spans="1:35" ht="15" customHeight="1" x14ac:dyDescent="0.3">
      <c r="A628" s="60" t="s">
        <v>2202</v>
      </c>
      <c r="B628" s="60" t="s">
        <v>80</v>
      </c>
      <c r="C628" s="60" t="s">
        <v>2203</v>
      </c>
      <c r="D628" s="60" t="s">
        <v>131</v>
      </c>
      <c r="E628" s="60" t="s">
        <v>2204</v>
      </c>
      <c r="F628" s="60" t="b">
        <f>TRUE()</f>
        <v>1</v>
      </c>
      <c r="G628" s="60" t="s">
        <v>170</v>
      </c>
      <c r="H628" s="60" t="s">
        <v>165</v>
      </c>
      <c r="I628" s="61">
        <v>46156</v>
      </c>
      <c r="J628" s="61">
        <v>46210</v>
      </c>
      <c r="K628" s="60">
        <v>54</v>
      </c>
      <c r="L628" s="60" t="s">
        <v>192</v>
      </c>
      <c r="M628" s="60" t="s">
        <v>189</v>
      </c>
      <c r="N628" s="60" t="b">
        <f>FALSE()</f>
        <v>0</v>
      </c>
      <c r="O628" s="60"/>
      <c r="P628" s="60"/>
      <c r="Q628" s="60" t="s">
        <v>236</v>
      </c>
      <c r="R628" s="60" t="s">
        <v>237</v>
      </c>
      <c r="S628" s="60"/>
      <c r="T628" s="60" t="b">
        <f>FALSE()</f>
        <v>0</v>
      </c>
      <c r="U628" s="60" t="b">
        <f>FALSE()</f>
        <v>0</v>
      </c>
      <c r="V628" s="60">
        <v>302</v>
      </c>
      <c r="W628" s="62" t="s">
        <v>2205</v>
      </c>
      <c r="X628" s="60">
        <v>2</v>
      </c>
      <c r="Y628" s="63">
        <v>0.01</v>
      </c>
      <c r="Z628" s="60" t="b">
        <f>FALSE()</f>
        <v>0</v>
      </c>
      <c r="AA628" s="60" t="b">
        <f>TRUE()</f>
        <v>1</v>
      </c>
      <c r="AB628" s="60" t="b">
        <f>FALSE()</f>
        <v>0</v>
      </c>
      <c r="AC628" s="60" t="b">
        <f>TRUE()</f>
        <v>1</v>
      </c>
      <c r="AD628" s="60" t="b">
        <f>FALSE()</f>
        <v>0</v>
      </c>
      <c r="AE628" s="60">
        <v>2</v>
      </c>
      <c r="AF628" s="64">
        <v>28.6</v>
      </c>
      <c r="AG628" s="60" t="s">
        <v>73</v>
      </c>
      <c r="AH628" s="60" t="s">
        <v>2206</v>
      </c>
      <c r="AI628">
        <f>IF(AND(OR(Company_Explorer!$B$5="All Companies",$E628=Company_Explorer!$B$5),OR(Company_Explorer!$B$6="All Platforms",$B628=Company_Explorer!$B$6),OR(Company_Explorer!$B$7="All Roles",$D628=Company_Explorer!$B$7),OR(Company_Explorer!$B$8="All Ghost Labels",$AG628=Company_Explorer!$B$8)),1,0)</f>
        <v>0</v>
      </c>
    </row>
    <row r="629" spans="1:35" ht="15" customHeight="1" x14ac:dyDescent="0.3">
      <c r="A629" s="65" t="s">
        <v>2207</v>
      </c>
      <c r="B629" s="65" t="s">
        <v>80</v>
      </c>
      <c r="C629" s="65" t="s">
        <v>258</v>
      </c>
      <c r="D629" s="65" t="s">
        <v>125</v>
      </c>
      <c r="E629" s="65" t="s">
        <v>141</v>
      </c>
      <c r="F629" s="65" t="b">
        <f>TRUE()</f>
        <v>1</v>
      </c>
      <c r="G629" s="65" t="s">
        <v>168</v>
      </c>
      <c r="H629" s="65" t="s">
        <v>254</v>
      </c>
      <c r="I629" s="66">
        <v>46199</v>
      </c>
      <c r="J629" s="66">
        <v>46210</v>
      </c>
      <c r="K629" s="65">
        <v>11</v>
      </c>
      <c r="L629" s="65" t="s">
        <v>192</v>
      </c>
      <c r="M629" s="65" t="s">
        <v>184</v>
      </c>
      <c r="N629" s="65" t="b">
        <f>FALSE()</f>
        <v>0</v>
      </c>
      <c r="O629" s="65"/>
      <c r="P629" s="65"/>
      <c r="Q629" s="65" t="s">
        <v>236</v>
      </c>
      <c r="R629" s="65" t="s">
        <v>237</v>
      </c>
      <c r="S629" s="65"/>
      <c r="T629" s="65" t="b">
        <f>FALSE()</f>
        <v>0</v>
      </c>
      <c r="U629" s="65" t="b">
        <f>FALSE()</f>
        <v>0</v>
      </c>
      <c r="V629" s="65">
        <v>305</v>
      </c>
      <c r="W629" s="67" t="s">
        <v>259</v>
      </c>
      <c r="X629" s="65">
        <v>429</v>
      </c>
      <c r="Y629" s="68">
        <v>2.66</v>
      </c>
      <c r="Z629" s="65" t="b">
        <f>FALSE()</f>
        <v>0</v>
      </c>
      <c r="AA629" s="65" t="b">
        <f>TRUE()</f>
        <v>1</v>
      </c>
      <c r="AB629" s="65" t="b">
        <f>FALSE()</f>
        <v>0</v>
      </c>
      <c r="AC629" s="65" t="b">
        <f>FALSE()</f>
        <v>0</v>
      </c>
      <c r="AD629" s="65" t="b">
        <f>TRUE()</f>
        <v>1</v>
      </c>
      <c r="AE629" s="65">
        <v>3</v>
      </c>
      <c r="AF629" s="69">
        <v>42.9</v>
      </c>
      <c r="AG629" s="65" t="s">
        <v>73</v>
      </c>
      <c r="AH629" s="65" t="s">
        <v>2208</v>
      </c>
      <c r="AI629">
        <f>IF(AND(OR(Company_Explorer!$B$5="All Companies",$E629=Company_Explorer!$B$5),OR(Company_Explorer!$B$6="All Platforms",$B629=Company_Explorer!$B$6),OR(Company_Explorer!$B$7="All Roles",$D629=Company_Explorer!$B$7),OR(Company_Explorer!$B$8="All Ghost Labels",$AG629=Company_Explorer!$B$8)),1,0)</f>
        <v>0</v>
      </c>
    </row>
    <row r="630" spans="1:35" ht="15" customHeight="1" x14ac:dyDescent="0.3">
      <c r="A630" s="60" t="s">
        <v>2209</v>
      </c>
      <c r="B630" s="60" t="s">
        <v>80</v>
      </c>
      <c r="C630" s="60" t="s">
        <v>258</v>
      </c>
      <c r="D630" s="60" t="s">
        <v>125</v>
      </c>
      <c r="E630" s="60" t="s">
        <v>141</v>
      </c>
      <c r="F630" s="60" t="b">
        <f>TRUE()</f>
        <v>1</v>
      </c>
      <c r="G630" s="60" t="s">
        <v>1246</v>
      </c>
      <c r="H630" s="60" t="s">
        <v>165</v>
      </c>
      <c r="I630" s="61">
        <v>46198</v>
      </c>
      <c r="J630" s="61">
        <v>46210</v>
      </c>
      <c r="K630" s="60">
        <v>12</v>
      </c>
      <c r="L630" s="60" t="s">
        <v>192</v>
      </c>
      <c r="M630" s="60" t="s">
        <v>184</v>
      </c>
      <c r="N630" s="60" t="b">
        <f>FALSE()</f>
        <v>0</v>
      </c>
      <c r="O630" s="60"/>
      <c r="P630" s="60"/>
      <c r="Q630" s="60" t="s">
        <v>236</v>
      </c>
      <c r="R630" s="60" t="s">
        <v>237</v>
      </c>
      <c r="S630" s="60"/>
      <c r="T630" s="60" t="b">
        <f>FALSE()</f>
        <v>0</v>
      </c>
      <c r="U630" s="60" t="b">
        <f>FALSE()</f>
        <v>0</v>
      </c>
      <c r="V630" s="60">
        <v>268</v>
      </c>
      <c r="W630" s="62" t="s">
        <v>259</v>
      </c>
      <c r="X630" s="60">
        <v>429</v>
      </c>
      <c r="Y630" s="63">
        <v>2.66</v>
      </c>
      <c r="Z630" s="60" t="b">
        <f>FALSE()</f>
        <v>0</v>
      </c>
      <c r="AA630" s="60" t="b">
        <f>TRUE()</f>
        <v>1</v>
      </c>
      <c r="AB630" s="60" t="b">
        <f>TRUE()</f>
        <v>1</v>
      </c>
      <c r="AC630" s="60" t="b">
        <f>FALSE()</f>
        <v>0</v>
      </c>
      <c r="AD630" s="60" t="b">
        <f>TRUE()</f>
        <v>1</v>
      </c>
      <c r="AE630" s="60">
        <v>4</v>
      </c>
      <c r="AF630" s="64">
        <v>57.1</v>
      </c>
      <c r="AG630" s="60" t="s">
        <v>72</v>
      </c>
      <c r="AH630" s="60" t="s">
        <v>2210</v>
      </c>
      <c r="AI630">
        <f>IF(AND(OR(Company_Explorer!$B$5="All Companies",$E630=Company_Explorer!$B$5),OR(Company_Explorer!$B$6="All Platforms",$B630=Company_Explorer!$B$6),OR(Company_Explorer!$B$7="All Roles",$D630=Company_Explorer!$B$7),OR(Company_Explorer!$B$8="All Ghost Labels",$AG630=Company_Explorer!$B$8)),1,0)</f>
        <v>0</v>
      </c>
    </row>
    <row r="631" spans="1:35" ht="15" customHeight="1" x14ac:dyDescent="0.3">
      <c r="A631" s="65" t="s">
        <v>2211</v>
      </c>
      <c r="B631" s="65" t="s">
        <v>80</v>
      </c>
      <c r="C631" s="65" t="s">
        <v>258</v>
      </c>
      <c r="D631" s="65" t="s">
        <v>125</v>
      </c>
      <c r="E631" s="65" t="s">
        <v>141</v>
      </c>
      <c r="F631" s="65" t="b">
        <f>TRUE()</f>
        <v>1</v>
      </c>
      <c r="G631" s="65" t="s">
        <v>1246</v>
      </c>
      <c r="H631" s="65" t="s">
        <v>165</v>
      </c>
      <c r="I631" s="66">
        <v>46198</v>
      </c>
      <c r="J631" s="66">
        <v>46210</v>
      </c>
      <c r="K631" s="65">
        <v>12</v>
      </c>
      <c r="L631" s="65" t="s">
        <v>192</v>
      </c>
      <c r="M631" s="65" t="s">
        <v>184</v>
      </c>
      <c r="N631" s="65" t="b">
        <f>FALSE()</f>
        <v>0</v>
      </c>
      <c r="O631" s="65"/>
      <c r="P631" s="65"/>
      <c r="Q631" s="65" t="s">
        <v>236</v>
      </c>
      <c r="R631" s="65" t="s">
        <v>237</v>
      </c>
      <c r="S631" s="65"/>
      <c r="T631" s="65" t="b">
        <f>FALSE()</f>
        <v>0</v>
      </c>
      <c r="U631" s="65" t="b">
        <f>FALSE()</f>
        <v>0</v>
      </c>
      <c r="V631" s="65">
        <v>268</v>
      </c>
      <c r="W631" s="67" t="s">
        <v>259</v>
      </c>
      <c r="X631" s="65">
        <v>429</v>
      </c>
      <c r="Y631" s="68">
        <v>2.66</v>
      </c>
      <c r="Z631" s="65" t="b">
        <f>FALSE()</f>
        <v>0</v>
      </c>
      <c r="AA631" s="65" t="b">
        <f>TRUE()</f>
        <v>1</v>
      </c>
      <c r="AB631" s="65" t="b">
        <f>TRUE()</f>
        <v>1</v>
      </c>
      <c r="AC631" s="65" t="b">
        <f>FALSE()</f>
        <v>0</v>
      </c>
      <c r="AD631" s="65" t="b">
        <f>TRUE()</f>
        <v>1</v>
      </c>
      <c r="AE631" s="65">
        <v>4</v>
      </c>
      <c r="AF631" s="69">
        <v>57.1</v>
      </c>
      <c r="AG631" s="65" t="s">
        <v>72</v>
      </c>
      <c r="AH631" s="65" t="s">
        <v>2212</v>
      </c>
      <c r="AI631">
        <f>IF(AND(OR(Company_Explorer!$B$5="All Companies",$E631=Company_Explorer!$B$5),OR(Company_Explorer!$B$6="All Platforms",$B631=Company_Explorer!$B$6),OR(Company_Explorer!$B$7="All Roles",$D631=Company_Explorer!$B$7),OR(Company_Explorer!$B$8="All Ghost Labels",$AG631=Company_Explorer!$B$8)),1,0)</f>
        <v>0</v>
      </c>
    </row>
    <row r="632" spans="1:35" ht="15" customHeight="1" x14ac:dyDescent="0.3">
      <c r="A632" s="60" t="s">
        <v>2213</v>
      </c>
      <c r="B632" s="60" t="s">
        <v>80</v>
      </c>
      <c r="C632" s="60" t="s">
        <v>640</v>
      </c>
      <c r="D632" s="60" t="s">
        <v>131</v>
      </c>
      <c r="E632" s="60" t="s">
        <v>1167</v>
      </c>
      <c r="F632" s="60" t="b">
        <f>TRUE()</f>
        <v>1</v>
      </c>
      <c r="G632" s="60" t="s">
        <v>166</v>
      </c>
      <c r="H632" s="60" t="s">
        <v>235</v>
      </c>
      <c r="I632" s="61">
        <v>45639</v>
      </c>
      <c r="J632" s="61">
        <v>46210</v>
      </c>
      <c r="K632" s="60">
        <v>571</v>
      </c>
      <c r="L632" s="60" t="s">
        <v>192</v>
      </c>
      <c r="M632" s="60" t="s">
        <v>185</v>
      </c>
      <c r="N632" s="60" t="b">
        <f>FALSE()</f>
        <v>0</v>
      </c>
      <c r="O632" s="60"/>
      <c r="P632" s="60"/>
      <c r="Q632" s="60" t="s">
        <v>236</v>
      </c>
      <c r="R632" s="60" t="s">
        <v>237</v>
      </c>
      <c r="S632" s="60"/>
      <c r="T632" s="60" t="b">
        <f>FALSE()</f>
        <v>0</v>
      </c>
      <c r="U632" s="60" t="b">
        <f>FALSE()</f>
        <v>0</v>
      </c>
      <c r="V632" s="60">
        <v>451</v>
      </c>
      <c r="W632" s="60" t="s">
        <v>642</v>
      </c>
      <c r="X632" s="60">
        <v>2</v>
      </c>
      <c r="Y632" s="63">
        <v>0.01</v>
      </c>
      <c r="Z632" s="60" t="b">
        <f>FALSE()</f>
        <v>0</v>
      </c>
      <c r="AA632" s="60" t="b">
        <f>TRUE()</f>
        <v>1</v>
      </c>
      <c r="AB632" s="60" t="b">
        <f>FALSE()</f>
        <v>0</v>
      </c>
      <c r="AC632" s="60" t="b">
        <f>TRUE()</f>
        <v>1</v>
      </c>
      <c r="AD632" s="60" t="b">
        <f>FALSE()</f>
        <v>0</v>
      </c>
      <c r="AE632" s="60">
        <v>2</v>
      </c>
      <c r="AF632" s="64">
        <v>28.6</v>
      </c>
      <c r="AG632" s="60" t="s">
        <v>73</v>
      </c>
      <c r="AH632" s="60" t="s">
        <v>2214</v>
      </c>
      <c r="AI632">
        <f>IF(AND(OR(Company_Explorer!$B$5="All Companies",$E632=Company_Explorer!$B$5),OR(Company_Explorer!$B$6="All Platforms",$B632=Company_Explorer!$B$6),OR(Company_Explorer!$B$7="All Roles",$D632=Company_Explorer!$B$7),OR(Company_Explorer!$B$8="All Ghost Labels",$AG632=Company_Explorer!$B$8)),1,0)</f>
        <v>0</v>
      </c>
    </row>
    <row r="633" spans="1:35" ht="15" customHeight="1" x14ac:dyDescent="0.3">
      <c r="A633" s="65" t="s">
        <v>2215</v>
      </c>
      <c r="B633" s="65" t="s">
        <v>80</v>
      </c>
      <c r="C633" s="65" t="s">
        <v>258</v>
      </c>
      <c r="D633" s="65" t="s">
        <v>125</v>
      </c>
      <c r="E633" s="65" t="s">
        <v>141</v>
      </c>
      <c r="F633" s="65" t="b">
        <f>TRUE()</f>
        <v>1</v>
      </c>
      <c r="G633" s="65" t="s">
        <v>1246</v>
      </c>
      <c r="H633" s="65" t="s">
        <v>165</v>
      </c>
      <c r="I633" s="66">
        <v>46198</v>
      </c>
      <c r="J633" s="66">
        <v>46210</v>
      </c>
      <c r="K633" s="65">
        <v>12</v>
      </c>
      <c r="L633" s="65" t="s">
        <v>192</v>
      </c>
      <c r="M633" s="65" t="s">
        <v>184</v>
      </c>
      <c r="N633" s="65" t="b">
        <f>FALSE()</f>
        <v>0</v>
      </c>
      <c r="O633" s="65"/>
      <c r="P633" s="65"/>
      <c r="Q633" s="65" t="s">
        <v>236</v>
      </c>
      <c r="R633" s="65" t="s">
        <v>237</v>
      </c>
      <c r="S633" s="65"/>
      <c r="T633" s="65" t="b">
        <f>FALSE()</f>
        <v>0</v>
      </c>
      <c r="U633" s="65" t="b">
        <f>FALSE()</f>
        <v>0</v>
      </c>
      <c r="V633" s="65">
        <v>268</v>
      </c>
      <c r="W633" s="67" t="s">
        <v>259</v>
      </c>
      <c r="X633" s="65">
        <v>429</v>
      </c>
      <c r="Y633" s="68">
        <v>2.66</v>
      </c>
      <c r="Z633" s="65" t="b">
        <f>FALSE()</f>
        <v>0</v>
      </c>
      <c r="AA633" s="65" t="b">
        <f>TRUE()</f>
        <v>1</v>
      </c>
      <c r="AB633" s="65" t="b">
        <f>TRUE()</f>
        <v>1</v>
      </c>
      <c r="AC633" s="65" t="b">
        <f>FALSE()</f>
        <v>0</v>
      </c>
      <c r="AD633" s="65" t="b">
        <f>TRUE()</f>
        <v>1</v>
      </c>
      <c r="AE633" s="65">
        <v>4</v>
      </c>
      <c r="AF633" s="69">
        <v>57.1</v>
      </c>
      <c r="AG633" s="65" t="s">
        <v>72</v>
      </c>
      <c r="AH633" s="65" t="s">
        <v>2216</v>
      </c>
      <c r="AI633">
        <f>IF(AND(OR(Company_Explorer!$B$5="All Companies",$E633=Company_Explorer!$B$5),OR(Company_Explorer!$B$6="All Platforms",$B633=Company_Explorer!$B$6),OR(Company_Explorer!$B$7="All Roles",$D633=Company_Explorer!$B$7),OR(Company_Explorer!$B$8="All Ghost Labels",$AG633=Company_Explorer!$B$8)),1,0)</f>
        <v>0</v>
      </c>
    </row>
    <row r="634" spans="1:35" ht="15" customHeight="1" x14ac:dyDescent="0.3">
      <c r="A634" s="60" t="s">
        <v>2217</v>
      </c>
      <c r="B634" s="60" t="s">
        <v>80</v>
      </c>
      <c r="C634" s="60" t="s">
        <v>336</v>
      </c>
      <c r="D634" s="60" t="s">
        <v>126</v>
      </c>
      <c r="E634" s="60" t="s">
        <v>144</v>
      </c>
      <c r="F634" s="60" t="b">
        <f>TRUE()</f>
        <v>1</v>
      </c>
      <c r="G634" s="60" t="s">
        <v>166</v>
      </c>
      <c r="H634" s="60" t="s">
        <v>235</v>
      </c>
      <c r="I634" s="61">
        <v>46204</v>
      </c>
      <c r="J634" s="61">
        <v>46210</v>
      </c>
      <c r="K634" s="60">
        <v>6</v>
      </c>
      <c r="L634" s="60" t="s">
        <v>192</v>
      </c>
      <c r="M634" s="60" t="s">
        <v>184</v>
      </c>
      <c r="N634" s="60" t="b">
        <f>FALSE()</f>
        <v>0</v>
      </c>
      <c r="O634" s="60"/>
      <c r="P634" s="60"/>
      <c r="Q634" s="60" t="s">
        <v>236</v>
      </c>
      <c r="R634" s="60" t="s">
        <v>237</v>
      </c>
      <c r="S634" s="60"/>
      <c r="T634" s="60" t="b">
        <f>FALSE()</f>
        <v>0</v>
      </c>
      <c r="U634" s="60" t="b">
        <f>FALSE()</f>
        <v>0</v>
      </c>
      <c r="V634" s="60">
        <v>395</v>
      </c>
      <c r="W634" s="60" t="s">
        <v>2218</v>
      </c>
      <c r="X634" s="60">
        <v>9</v>
      </c>
      <c r="Y634" s="63">
        <v>0.06</v>
      </c>
      <c r="Z634" s="60" t="b">
        <f>FALSE()</f>
        <v>0</v>
      </c>
      <c r="AA634" s="60" t="b">
        <f>TRUE()</f>
        <v>1</v>
      </c>
      <c r="AB634" s="60" t="b">
        <f>FALSE()</f>
        <v>0</v>
      </c>
      <c r="AC634" s="60" t="b">
        <f>FALSE()</f>
        <v>0</v>
      </c>
      <c r="AD634" s="60" t="b">
        <f>FALSE()</f>
        <v>0</v>
      </c>
      <c r="AE634" s="60">
        <v>1</v>
      </c>
      <c r="AF634" s="64">
        <v>14.3</v>
      </c>
      <c r="AG634" s="60" t="s">
        <v>74</v>
      </c>
      <c r="AH634" s="60" t="s">
        <v>2219</v>
      </c>
      <c r="AI634">
        <f>IF(AND(OR(Company_Explorer!$B$5="All Companies",$E634=Company_Explorer!$B$5),OR(Company_Explorer!$B$6="All Platforms",$B634=Company_Explorer!$B$6),OR(Company_Explorer!$B$7="All Roles",$D634=Company_Explorer!$B$7),OR(Company_Explorer!$B$8="All Ghost Labels",$AG634=Company_Explorer!$B$8)),1,0)</f>
        <v>0</v>
      </c>
    </row>
    <row r="635" spans="1:35" ht="15" customHeight="1" x14ac:dyDescent="0.3">
      <c r="A635" s="65" t="s">
        <v>2220</v>
      </c>
      <c r="B635" s="65" t="s">
        <v>80</v>
      </c>
      <c r="C635" s="65" t="s">
        <v>258</v>
      </c>
      <c r="D635" s="65" t="s">
        <v>125</v>
      </c>
      <c r="E635" s="65" t="s">
        <v>141</v>
      </c>
      <c r="F635" s="65" t="b">
        <f>TRUE()</f>
        <v>1</v>
      </c>
      <c r="G635" s="65" t="s">
        <v>168</v>
      </c>
      <c r="H635" s="65" t="s">
        <v>254</v>
      </c>
      <c r="I635" s="66">
        <v>46198</v>
      </c>
      <c r="J635" s="66">
        <v>46210</v>
      </c>
      <c r="K635" s="65">
        <v>12</v>
      </c>
      <c r="L635" s="65" t="s">
        <v>192</v>
      </c>
      <c r="M635" s="65" t="s">
        <v>184</v>
      </c>
      <c r="N635" s="65" t="b">
        <f>FALSE()</f>
        <v>0</v>
      </c>
      <c r="O635" s="65"/>
      <c r="P635" s="65"/>
      <c r="Q635" s="65" t="s">
        <v>236</v>
      </c>
      <c r="R635" s="65" t="s">
        <v>237</v>
      </c>
      <c r="S635" s="65"/>
      <c r="T635" s="65" t="b">
        <f>FALSE()</f>
        <v>0</v>
      </c>
      <c r="U635" s="65" t="b">
        <f>FALSE()</f>
        <v>0</v>
      </c>
      <c r="V635" s="65">
        <v>320</v>
      </c>
      <c r="W635" s="67" t="s">
        <v>259</v>
      </c>
      <c r="X635" s="65">
        <v>429</v>
      </c>
      <c r="Y635" s="68">
        <v>2.66</v>
      </c>
      <c r="Z635" s="65" t="b">
        <f>FALSE()</f>
        <v>0</v>
      </c>
      <c r="AA635" s="65" t="b">
        <f>TRUE()</f>
        <v>1</v>
      </c>
      <c r="AB635" s="65" t="b">
        <f>FALSE()</f>
        <v>0</v>
      </c>
      <c r="AC635" s="65" t="b">
        <f>FALSE()</f>
        <v>0</v>
      </c>
      <c r="AD635" s="65" t="b">
        <f>TRUE()</f>
        <v>1</v>
      </c>
      <c r="AE635" s="65">
        <v>3</v>
      </c>
      <c r="AF635" s="69">
        <v>42.9</v>
      </c>
      <c r="AG635" s="65" t="s">
        <v>73</v>
      </c>
      <c r="AH635" s="65" t="s">
        <v>2221</v>
      </c>
      <c r="AI635">
        <f>IF(AND(OR(Company_Explorer!$B$5="All Companies",$E635=Company_Explorer!$B$5),OR(Company_Explorer!$B$6="All Platforms",$B635=Company_Explorer!$B$6),OR(Company_Explorer!$B$7="All Roles",$D635=Company_Explorer!$B$7),OR(Company_Explorer!$B$8="All Ghost Labels",$AG635=Company_Explorer!$B$8)),1,0)</f>
        <v>0</v>
      </c>
    </row>
    <row r="636" spans="1:35" ht="15" customHeight="1" x14ac:dyDescent="0.3">
      <c r="A636" s="60" t="s">
        <v>2222</v>
      </c>
      <c r="B636" s="60" t="s">
        <v>80</v>
      </c>
      <c r="C636" s="60" t="s">
        <v>258</v>
      </c>
      <c r="D636" s="60" t="s">
        <v>125</v>
      </c>
      <c r="E636" s="60" t="s">
        <v>141</v>
      </c>
      <c r="F636" s="60" t="b">
        <f>TRUE()</f>
        <v>1</v>
      </c>
      <c r="G636" s="60" t="s">
        <v>1246</v>
      </c>
      <c r="H636" s="60" t="s">
        <v>165</v>
      </c>
      <c r="I636" s="61">
        <v>46198</v>
      </c>
      <c r="J636" s="61">
        <v>46210</v>
      </c>
      <c r="K636" s="60">
        <v>12</v>
      </c>
      <c r="L636" s="60" t="s">
        <v>192</v>
      </c>
      <c r="M636" s="60" t="s">
        <v>184</v>
      </c>
      <c r="N636" s="60" t="b">
        <f>FALSE()</f>
        <v>0</v>
      </c>
      <c r="O636" s="60"/>
      <c r="P636" s="60"/>
      <c r="Q636" s="60" t="s">
        <v>236</v>
      </c>
      <c r="R636" s="60" t="s">
        <v>237</v>
      </c>
      <c r="S636" s="60"/>
      <c r="T636" s="60" t="b">
        <f>FALSE()</f>
        <v>0</v>
      </c>
      <c r="U636" s="60" t="b">
        <f>FALSE()</f>
        <v>0</v>
      </c>
      <c r="V636" s="60">
        <v>268</v>
      </c>
      <c r="W636" s="62" t="s">
        <v>259</v>
      </c>
      <c r="X636" s="60">
        <v>429</v>
      </c>
      <c r="Y636" s="63">
        <v>2.66</v>
      </c>
      <c r="Z636" s="60" t="b">
        <f>FALSE()</f>
        <v>0</v>
      </c>
      <c r="AA636" s="60" t="b">
        <f>TRUE()</f>
        <v>1</v>
      </c>
      <c r="AB636" s="60" t="b">
        <f>TRUE()</f>
        <v>1</v>
      </c>
      <c r="AC636" s="60" t="b">
        <f>FALSE()</f>
        <v>0</v>
      </c>
      <c r="AD636" s="60" t="b">
        <f>TRUE()</f>
        <v>1</v>
      </c>
      <c r="AE636" s="60">
        <v>4</v>
      </c>
      <c r="AF636" s="64">
        <v>57.1</v>
      </c>
      <c r="AG636" s="60" t="s">
        <v>72</v>
      </c>
      <c r="AH636" s="60" t="s">
        <v>2223</v>
      </c>
      <c r="AI636">
        <f>IF(AND(OR(Company_Explorer!$B$5="All Companies",$E636=Company_Explorer!$B$5),OR(Company_Explorer!$B$6="All Platforms",$B636=Company_Explorer!$B$6),OR(Company_Explorer!$B$7="All Roles",$D636=Company_Explorer!$B$7),OR(Company_Explorer!$B$8="All Ghost Labels",$AG636=Company_Explorer!$B$8)),1,0)</f>
        <v>0</v>
      </c>
    </row>
    <row r="637" spans="1:35" ht="15" customHeight="1" x14ac:dyDescent="0.3">
      <c r="A637" s="65" t="s">
        <v>2224</v>
      </c>
      <c r="B637" s="65" t="s">
        <v>80</v>
      </c>
      <c r="C637" s="65" t="s">
        <v>1811</v>
      </c>
      <c r="D637" s="65" t="s">
        <v>125</v>
      </c>
      <c r="E637" s="65" t="s">
        <v>2225</v>
      </c>
      <c r="F637" s="65" t="b">
        <f>TRUE()</f>
        <v>1</v>
      </c>
      <c r="G637" s="65" t="s">
        <v>325</v>
      </c>
      <c r="H637" s="65" t="s">
        <v>326</v>
      </c>
      <c r="I637" s="66">
        <v>46196</v>
      </c>
      <c r="J637" s="66">
        <v>46210</v>
      </c>
      <c r="K637" s="65">
        <v>14</v>
      </c>
      <c r="L637" s="65" t="s">
        <v>192</v>
      </c>
      <c r="M637" s="65" t="s">
        <v>184</v>
      </c>
      <c r="N637" s="65" t="b">
        <f>FALSE()</f>
        <v>0</v>
      </c>
      <c r="O637" s="65"/>
      <c r="P637" s="65"/>
      <c r="Q637" s="65" t="s">
        <v>236</v>
      </c>
      <c r="R637" s="65" t="s">
        <v>237</v>
      </c>
      <c r="S637" s="65"/>
      <c r="T637" s="65" t="b">
        <f>FALSE()</f>
        <v>0</v>
      </c>
      <c r="U637" s="65" t="b">
        <f>FALSE()</f>
        <v>0</v>
      </c>
      <c r="V637" s="65">
        <v>826</v>
      </c>
      <c r="W637" s="67" t="s">
        <v>2226</v>
      </c>
      <c r="X637" s="65">
        <v>1</v>
      </c>
      <c r="Y637" s="68">
        <v>0.01</v>
      </c>
      <c r="Z637" s="65" t="b">
        <f>FALSE()</f>
        <v>0</v>
      </c>
      <c r="AA637" s="65" t="b">
        <f>TRUE()</f>
        <v>1</v>
      </c>
      <c r="AB637" s="65" t="b">
        <f>FALSE()</f>
        <v>0</v>
      </c>
      <c r="AC637" s="65" t="b">
        <f>FALSE()</f>
        <v>0</v>
      </c>
      <c r="AD637" s="65" t="b">
        <f>FALSE()</f>
        <v>0</v>
      </c>
      <c r="AE637" s="65">
        <v>1</v>
      </c>
      <c r="AF637" s="69">
        <v>14.3</v>
      </c>
      <c r="AG637" s="65" t="s">
        <v>74</v>
      </c>
      <c r="AH637" s="65" t="s">
        <v>2227</v>
      </c>
      <c r="AI637">
        <f>IF(AND(OR(Company_Explorer!$B$5="All Companies",$E637=Company_Explorer!$B$5),OR(Company_Explorer!$B$6="All Platforms",$B637=Company_Explorer!$B$6),OR(Company_Explorer!$B$7="All Roles",$D637=Company_Explorer!$B$7),OR(Company_Explorer!$B$8="All Ghost Labels",$AG637=Company_Explorer!$B$8)),1,0)</f>
        <v>0</v>
      </c>
    </row>
    <row r="638" spans="1:35" ht="15" customHeight="1" x14ac:dyDescent="0.3">
      <c r="A638" s="60" t="s">
        <v>2228</v>
      </c>
      <c r="B638" s="60" t="s">
        <v>80</v>
      </c>
      <c r="C638" s="60" t="s">
        <v>2229</v>
      </c>
      <c r="D638" s="60" t="s">
        <v>130</v>
      </c>
      <c r="E638" s="60" t="s">
        <v>2230</v>
      </c>
      <c r="F638" s="60" t="b">
        <f>TRUE()</f>
        <v>1</v>
      </c>
      <c r="G638" s="60" t="s">
        <v>178</v>
      </c>
      <c r="H638" s="60" t="s">
        <v>165</v>
      </c>
      <c r="I638" s="61">
        <v>46068</v>
      </c>
      <c r="J638" s="61">
        <v>46210</v>
      </c>
      <c r="K638" s="60">
        <v>142</v>
      </c>
      <c r="L638" s="60" t="s">
        <v>192</v>
      </c>
      <c r="M638" s="60" t="s">
        <v>187</v>
      </c>
      <c r="N638" s="60" t="b">
        <f>FALSE()</f>
        <v>0</v>
      </c>
      <c r="O638" s="60"/>
      <c r="P638" s="60"/>
      <c r="Q638" s="60" t="s">
        <v>236</v>
      </c>
      <c r="R638" s="60" t="s">
        <v>237</v>
      </c>
      <c r="S638" s="60"/>
      <c r="T638" s="60" t="b">
        <f>FALSE()</f>
        <v>0</v>
      </c>
      <c r="U638" s="60" t="b">
        <f>FALSE()</f>
        <v>0</v>
      </c>
      <c r="V638" s="60">
        <v>307</v>
      </c>
      <c r="W638" s="62" t="s">
        <v>2231</v>
      </c>
      <c r="X638" s="60">
        <v>1</v>
      </c>
      <c r="Y638" s="63">
        <v>0.01</v>
      </c>
      <c r="Z638" s="60" t="b">
        <f>FALSE()</f>
        <v>0</v>
      </c>
      <c r="AA638" s="60" t="b">
        <f>TRUE()</f>
        <v>1</v>
      </c>
      <c r="AB638" s="60" t="b">
        <f>FALSE()</f>
        <v>0</v>
      </c>
      <c r="AC638" s="60" t="b">
        <f>TRUE()</f>
        <v>1</v>
      </c>
      <c r="AD638" s="60" t="b">
        <f>FALSE()</f>
        <v>0</v>
      </c>
      <c r="AE638" s="60">
        <v>2</v>
      </c>
      <c r="AF638" s="64">
        <v>28.6</v>
      </c>
      <c r="AG638" s="60" t="s">
        <v>73</v>
      </c>
      <c r="AH638" s="60" t="s">
        <v>2232</v>
      </c>
      <c r="AI638">
        <f>IF(AND(OR(Company_Explorer!$B$5="All Companies",$E638=Company_Explorer!$B$5),OR(Company_Explorer!$B$6="All Platforms",$B638=Company_Explorer!$B$6),OR(Company_Explorer!$B$7="All Roles",$D638=Company_Explorer!$B$7),OR(Company_Explorer!$B$8="All Ghost Labels",$AG638=Company_Explorer!$B$8)),1,0)</f>
        <v>0</v>
      </c>
    </row>
    <row r="639" spans="1:35" ht="15" customHeight="1" x14ac:dyDescent="0.3">
      <c r="A639" s="65" t="s">
        <v>2233</v>
      </c>
      <c r="B639" s="65" t="s">
        <v>80</v>
      </c>
      <c r="C639" s="65" t="s">
        <v>2234</v>
      </c>
      <c r="D639" s="65" t="s">
        <v>126</v>
      </c>
      <c r="E639" s="65" t="s">
        <v>2235</v>
      </c>
      <c r="F639" s="65" t="b">
        <f>TRUE()</f>
        <v>1</v>
      </c>
      <c r="G639" s="65" t="s">
        <v>178</v>
      </c>
      <c r="H639" s="65" t="s">
        <v>165</v>
      </c>
      <c r="I639" s="66">
        <v>46192</v>
      </c>
      <c r="J639" s="66">
        <v>46210</v>
      </c>
      <c r="K639" s="65">
        <v>18</v>
      </c>
      <c r="L639" s="65" t="s">
        <v>192</v>
      </c>
      <c r="M639" s="65" t="s">
        <v>186</v>
      </c>
      <c r="N639" s="65" t="b">
        <f>FALSE()</f>
        <v>0</v>
      </c>
      <c r="O639" s="65"/>
      <c r="P639" s="65"/>
      <c r="Q639" s="65" t="s">
        <v>236</v>
      </c>
      <c r="R639" s="65" t="s">
        <v>237</v>
      </c>
      <c r="S639" s="65"/>
      <c r="T639" s="65" t="b">
        <f>FALSE()</f>
        <v>0</v>
      </c>
      <c r="U639" s="65" t="b">
        <f>FALSE()</f>
        <v>0</v>
      </c>
      <c r="V639" s="65">
        <v>304</v>
      </c>
      <c r="W639" s="67" t="s">
        <v>2236</v>
      </c>
      <c r="X639" s="65">
        <v>1</v>
      </c>
      <c r="Y639" s="68">
        <v>0.01</v>
      </c>
      <c r="Z639" s="65" t="b">
        <f>FALSE()</f>
        <v>0</v>
      </c>
      <c r="AA639" s="65" t="b">
        <f>TRUE()</f>
        <v>1</v>
      </c>
      <c r="AB639" s="65" t="b">
        <f>FALSE()</f>
        <v>0</v>
      </c>
      <c r="AC639" s="65" t="b">
        <f>FALSE()</f>
        <v>0</v>
      </c>
      <c r="AD639" s="65" t="b">
        <f>FALSE()</f>
        <v>0</v>
      </c>
      <c r="AE639" s="65">
        <v>1</v>
      </c>
      <c r="AF639" s="69">
        <v>14.3</v>
      </c>
      <c r="AG639" s="65" t="s">
        <v>74</v>
      </c>
      <c r="AH639" s="65" t="s">
        <v>2237</v>
      </c>
      <c r="AI639">
        <f>IF(AND(OR(Company_Explorer!$B$5="All Companies",$E639=Company_Explorer!$B$5),OR(Company_Explorer!$B$6="All Platforms",$B639=Company_Explorer!$B$6),OR(Company_Explorer!$B$7="All Roles",$D639=Company_Explorer!$B$7),OR(Company_Explorer!$B$8="All Ghost Labels",$AG639=Company_Explorer!$B$8)),1,0)</f>
        <v>0</v>
      </c>
    </row>
    <row r="640" spans="1:35" ht="15" customHeight="1" x14ac:dyDescent="0.3">
      <c r="A640" s="60" t="s">
        <v>2238</v>
      </c>
      <c r="B640" s="60" t="s">
        <v>80</v>
      </c>
      <c r="C640" s="60" t="s">
        <v>2239</v>
      </c>
      <c r="D640" s="60" t="s">
        <v>131</v>
      </c>
      <c r="E640" s="60" t="s">
        <v>156</v>
      </c>
      <c r="F640" s="60" t="b">
        <f>TRUE()</f>
        <v>1</v>
      </c>
      <c r="G640" s="60" t="s">
        <v>171</v>
      </c>
      <c r="H640" s="60" t="s">
        <v>254</v>
      </c>
      <c r="I640" s="61">
        <v>46203</v>
      </c>
      <c r="J640" s="61">
        <v>46210</v>
      </c>
      <c r="K640" s="60">
        <v>7</v>
      </c>
      <c r="L640" s="60" t="s">
        <v>192</v>
      </c>
      <c r="M640" s="60" t="s">
        <v>185</v>
      </c>
      <c r="N640" s="60" t="b">
        <f>FALSE()</f>
        <v>0</v>
      </c>
      <c r="O640" s="60"/>
      <c r="P640" s="60"/>
      <c r="Q640" s="60" t="s">
        <v>236</v>
      </c>
      <c r="R640" s="60" t="s">
        <v>237</v>
      </c>
      <c r="S640" s="60"/>
      <c r="T640" s="60" t="b">
        <f>FALSE()</f>
        <v>0</v>
      </c>
      <c r="U640" s="60" t="b">
        <f>FALSE()</f>
        <v>0</v>
      </c>
      <c r="V640" s="60">
        <v>785</v>
      </c>
      <c r="W640" s="62" t="s">
        <v>2240</v>
      </c>
      <c r="X640" s="60">
        <v>1</v>
      </c>
      <c r="Y640" s="63">
        <v>0.01</v>
      </c>
      <c r="Z640" s="60" t="b">
        <f>FALSE()</f>
        <v>0</v>
      </c>
      <c r="AA640" s="60" t="b">
        <f>TRUE()</f>
        <v>1</v>
      </c>
      <c r="AB640" s="60" t="b">
        <f>FALSE()</f>
        <v>0</v>
      </c>
      <c r="AC640" s="60" t="b">
        <f>FALSE()</f>
        <v>0</v>
      </c>
      <c r="AD640" s="60" t="b">
        <f>FALSE()</f>
        <v>0</v>
      </c>
      <c r="AE640" s="60">
        <v>1</v>
      </c>
      <c r="AF640" s="64">
        <v>14.3</v>
      </c>
      <c r="AG640" s="60" t="s">
        <v>74</v>
      </c>
      <c r="AH640" s="60" t="s">
        <v>2241</v>
      </c>
      <c r="AI640">
        <f>IF(AND(OR(Company_Explorer!$B$5="All Companies",$E640=Company_Explorer!$B$5),OR(Company_Explorer!$B$6="All Platforms",$B640=Company_Explorer!$B$6),OR(Company_Explorer!$B$7="All Roles",$D640=Company_Explorer!$B$7),OR(Company_Explorer!$B$8="All Ghost Labels",$AG640=Company_Explorer!$B$8)),1,0)</f>
        <v>0</v>
      </c>
    </row>
    <row r="641" spans="1:35" ht="15" customHeight="1" x14ac:dyDescent="0.3">
      <c r="A641" s="65" t="s">
        <v>2242</v>
      </c>
      <c r="B641" s="65" t="s">
        <v>80</v>
      </c>
      <c r="C641" s="65" t="s">
        <v>2243</v>
      </c>
      <c r="D641" s="65" t="s">
        <v>131</v>
      </c>
      <c r="E641" s="65" t="s">
        <v>2244</v>
      </c>
      <c r="F641" s="65" t="b">
        <f>TRUE()</f>
        <v>1</v>
      </c>
      <c r="G641" s="65" t="s">
        <v>166</v>
      </c>
      <c r="H641" s="65" t="s">
        <v>235</v>
      </c>
      <c r="I641" s="66">
        <v>46195</v>
      </c>
      <c r="J641" s="66">
        <v>46210</v>
      </c>
      <c r="K641" s="65">
        <v>15</v>
      </c>
      <c r="L641" s="65" t="s">
        <v>192</v>
      </c>
      <c r="M641" s="65" t="s">
        <v>185</v>
      </c>
      <c r="N641" s="65" t="b">
        <f>FALSE()</f>
        <v>0</v>
      </c>
      <c r="O641" s="65"/>
      <c r="P641" s="65"/>
      <c r="Q641" s="65" t="s">
        <v>236</v>
      </c>
      <c r="R641" s="65" t="s">
        <v>237</v>
      </c>
      <c r="S641" s="65"/>
      <c r="T641" s="65" t="b">
        <f>FALSE()</f>
        <v>0</v>
      </c>
      <c r="U641" s="65" t="b">
        <f>FALSE()</f>
        <v>0</v>
      </c>
      <c r="V641" s="65">
        <v>780</v>
      </c>
      <c r="W641" s="67" t="s">
        <v>2245</v>
      </c>
      <c r="X641" s="65">
        <v>1</v>
      </c>
      <c r="Y641" s="68">
        <v>0.01</v>
      </c>
      <c r="Z641" s="65" t="b">
        <f>FALSE()</f>
        <v>0</v>
      </c>
      <c r="AA641" s="65" t="b">
        <f>TRUE()</f>
        <v>1</v>
      </c>
      <c r="AB641" s="65" t="b">
        <f>FALSE()</f>
        <v>0</v>
      </c>
      <c r="AC641" s="65" t="b">
        <f>FALSE()</f>
        <v>0</v>
      </c>
      <c r="AD641" s="65" t="b">
        <f>FALSE()</f>
        <v>0</v>
      </c>
      <c r="AE641" s="65">
        <v>1</v>
      </c>
      <c r="AF641" s="69">
        <v>14.3</v>
      </c>
      <c r="AG641" s="65" t="s">
        <v>74</v>
      </c>
      <c r="AH641" s="65" t="s">
        <v>2246</v>
      </c>
      <c r="AI641">
        <f>IF(AND(OR(Company_Explorer!$B$5="All Companies",$E641=Company_Explorer!$B$5),OR(Company_Explorer!$B$6="All Platforms",$B641=Company_Explorer!$B$6),OR(Company_Explorer!$B$7="All Roles",$D641=Company_Explorer!$B$7),OR(Company_Explorer!$B$8="All Ghost Labels",$AG641=Company_Explorer!$B$8)),1,0)</f>
        <v>0</v>
      </c>
    </row>
    <row r="642" spans="1:35" ht="15" customHeight="1" x14ac:dyDescent="0.3">
      <c r="A642" s="60" t="s">
        <v>2247</v>
      </c>
      <c r="B642" s="60" t="s">
        <v>80</v>
      </c>
      <c r="C642" s="60" t="s">
        <v>2248</v>
      </c>
      <c r="D642" s="60" t="s">
        <v>125</v>
      </c>
      <c r="E642" s="60" t="s">
        <v>2249</v>
      </c>
      <c r="F642" s="60" t="b">
        <f>TRUE()</f>
        <v>1</v>
      </c>
      <c r="G642" s="60" t="s">
        <v>170</v>
      </c>
      <c r="H642" s="60" t="s">
        <v>165</v>
      </c>
      <c r="I642" s="61">
        <v>45930</v>
      </c>
      <c r="J642" s="61">
        <v>46210</v>
      </c>
      <c r="K642" s="60">
        <v>280</v>
      </c>
      <c r="L642" s="60" t="s">
        <v>192</v>
      </c>
      <c r="M642" s="60" t="s">
        <v>184</v>
      </c>
      <c r="N642" s="60" t="b">
        <f>TRUE()</f>
        <v>1</v>
      </c>
      <c r="O642" s="70">
        <v>500000</v>
      </c>
      <c r="P642" s="70">
        <v>800000</v>
      </c>
      <c r="Q642" s="60" t="s">
        <v>332</v>
      </c>
      <c r="R642" s="60" t="s">
        <v>237</v>
      </c>
      <c r="S642" s="60"/>
      <c r="T642" s="60" t="b">
        <f>FALSE()</f>
        <v>0</v>
      </c>
      <c r="U642" s="60" t="b">
        <f>FALSE()</f>
        <v>0</v>
      </c>
      <c r="V642" s="60">
        <v>152</v>
      </c>
      <c r="W642" s="62" t="s">
        <v>2250</v>
      </c>
      <c r="X642" s="60">
        <v>1</v>
      </c>
      <c r="Y642" s="63">
        <v>0.01</v>
      </c>
      <c r="Z642" s="60" t="b">
        <f>FALSE()</f>
        <v>0</v>
      </c>
      <c r="AA642" s="60" t="b">
        <f>FALSE()</f>
        <v>0</v>
      </c>
      <c r="AB642" s="60" t="b">
        <f>TRUE()</f>
        <v>1</v>
      </c>
      <c r="AC642" s="60" t="b">
        <f>TRUE()</f>
        <v>1</v>
      </c>
      <c r="AD642" s="60" t="b">
        <f>FALSE()</f>
        <v>0</v>
      </c>
      <c r="AE642" s="60">
        <v>2</v>
      </c>
      <c r="AF642" s="64">
        <v>28.6</v>
      </c>
      <c r="AG642" s="60" t="s">
        <v>73</v>
      </c>
      <c r="AH642" s="60" t="s">
        <v>2251</v>
      </c>
      <c r="AI642">
        <f>IF(AND(OR(Company_Explorer!$B$5="All Companies",$E642=Company_Explorer!$B$5),OR(Company_Explorer!$B$6="All Platforms",$B642=Company_Explorer!$B$6),OR(Company_Explorer!$B$7="All Roles",$D642=Company_Explorer!$B$7),OR(Company_Explorer!$B$8="All Ghost Labels",$AG642=Company_Explorer!$B$8)),1,0)</f>
        <v>0</v>
      </c>
    </row>
    <row r="643" spans="1:35" ht="15" customHeight="1" x14ac:dyDescent="0.3">
      <c r="A643" s="65" t="s">
        <v>2252</v>
      </c>
      <c r="B643" s="65" t="s">
        <v>80</v>
      </c>
      <c r="C643" s="65" t="s">
        <v>2253</v>
      </c>
      <c r="D643" s="65" t="s">
        <v>131</v>
      </c>
      <c r="E643" s="65" t="s">
        <v>2254</v>
      </c>
      <c r="F643" s="65" t="b">
        <f>TRUE()</f>
        <v>1</v>
      </c>
      <c r="G643" s="65" t="s">
        <v>585</v>
      </c>
      <c r="H643" s="65" t="s">
        <v>585</v>
      </c>
      <c r="I643" s="66">
        <v>45995</v>
      </c>
      <c r="J643" s="66">
        <v>46210</v>
      </c>
      <c r="K643" s="65">
        <v>215</v>
      </c>
      <c r="L643" s="65" t="s">
        <v>192</v>
      </c>
      <c r="M643" s="65" t="s">
        <v>185</v>
      </c>
      <c r="N643" s="65" t="b">
        <f>FALSE()</f>
        <v>0</v>
      </c>
      <c r="O643" s="65"/>
      <c r="P643" s="65"/>
      <c r="Q643" s="65" t="s">
        <v>236</v>
      </c>
      <c r="R643" s="65" t="s">
        <v>237</v>
      </c>
      <c r="S643" s="65"/>
      <c r="T643" s="65" t="b">
        <f>FALSE()</f>
        <v>0</v>
      </c>
      <c r="U643" s="65" t="b">
        <f>FALSE()</f>
        <v>0</v>
      </c>
      <c r="V643" s="65">
        <v>178</v>
      </c>
      <c r="W643" s="67" t="s">
        <v>2255</v>
      </c>
      <c r="X643" s="65">
        <v>2</v>
      </c>
      <c r="Y643" s="68">
        <v>0.01</v>
      </c>
      <c r="Z643" s="65" t="b">
        <f>FALSE()</f>
        <v>0</v>
      </c>
      <c r="AA643" s="65" t="b">
        <f>TRUE()</f>
        <v>1</v>
      </c>
      <c r="AB643" s="65" t="b">
        <f>TRUE()</f>
        <v>1</v>
      </c>
      <c r="AC643" s="65" t="b">
        <f>TRUE()</f>
        <v>1</v>
      </c>
      <c r="AD643" s="65" t="b">
        <f>FALSE()</f>
        <v>0</v>
      </c>
      <c r="AE643" s="65">
        <v>3</v>
      </c>
      <c r="AF643" s="69">
        <v>42.9</v>
      </c>
      <c r="AG643" s="65" t="s">
        <v>73</v>
      </c>
      <c r="AH643" s="65" t="s">
        <v>2256</v>
      </c>
      <c r="AI643">
        <f>IF(AND(OR(Company_Explorer!$B$5="All Companies",$E643=Company_Explorer!$B$5),OR(Company_Explorer!$B$6="All Platforms",$B643=Company_Explorer!$B$6),OR(Company_Explorer!$B$7="All Roles",$D643=Company_Explorer!$B$7),OR(Company_Explorer!$B$8="All Ghost Labels",$AG643=Company_Explorer!$B$8)),1,0)</f>
        <v>0</v>
      </c>
    </row>
    <row r="644" spans="1:35" ht="15" customHeight="1" x14ac:dyDescent="0.3">
      <c r="A644" s="60" t="s">
        <v>2257</v>
      </c>
      <c r="B644" s="60" t="s">
        <v>80</v>
      </c>
      <c r="C644" s="60" t="s">
        <v>2248</v>
      </c>
      <c r="D644" s="60" t="s">
        <v>125</v>
      </c>
      <c r="E644" s="60" t="s">
        <v>158</v>
      </c>
      <c r="F644" s="60" t="b">
        <f>TRUE()</f>
        <v>1</v>
      </c>
      <c r="G644" s="60" t="s">
        <v>462</v>
      </c>
      <c r="H644" s="60" t="s">
        <v>254</v>
      </c>
      <c r="I644" s="61">
        <v>46184</v>
      </c>
      <c r="J644" s="61">
        <v>46210</v>
      </c>
      <c r="K644" s="60">
        <v>26</v>
      </c>
      <c r="L644" s="60" t="s">
        <v>192</v>
      </c>
      <c r="M644" s="60" t="s">
        <v>184</v>
      </c>
      <c r="N644" s="60" t="b">
        <f>FALSE()</f>
        <v>0</v>
      </c>
      <c r="O644" s="60"/>
      <c r="P644" s="60"/>
      <c r="Q644" s="60" t="s">
        <v>236</v>
      </c>
      <c r="R644" s="60" t="s">
        <v>237</v>
      </c>
      <c r="S644" s="60"/>
      <c r="T644" s="60" t="b">
        <f>FALSE()</f>
        <v>0</v>
      </c>
      <c r="U644" s="60" t="b">
        <f>FALSE()</f>
        <v>0</v>
      </c>
      <c r="V644" s="60">
        <v>438</v>
      </c>
      <c r="W644" s="62" t="s">
        <v>2258</v>
      </c>
      <c r="X644" s="60">
        <v>14</v>
      </c>
      <c r="Y644" s="63">
        <v>0.09</v>
      </c>
      <c r="Z644" s="60" t="b">
        <f>FALSE()</f>
        <v>0</v>
      </c>
      <c r="AA644" s="60" t="b">
        <f>TRUE()</f>
        <v>1</v>
      </c>
      <c r="AB644" s="60" t="b">
        <f>FALSE()</f>
        <v>0</v>
      </c>
      <c r="AC644" s="60" t="b">
        <f>TRUE()</f>
        <v>1</v>
      </c>
      <c r="AD644" s="60" t="b">
        <f>FALSE()</f>
        <v>0</v>
      </c>
      <c r="AE644" s="60">
        <v>2</v>
      </c>
      <c r="AF644" s="64">
        <v>28.6</v>
      </c>
      <c r="AG644" s="60" t="s">
        <v>73</v>
      </c>
      <c r="AH644" s="60" t="s">
        <v>2259</v>
      </c>
      <c r="AI644">
        <f>IF(AND(OR(Company_Explorer!$B$5="All Companies",$E644=Company_Explorer!$B$5),OR(Company_Explorer!$B$6="All Platforms",$B644=Company_Explorer!$B$6),OR(Company_Explorer!$B$7="All Roles",$D644=Company_Explorer!$B$7),OR(Company_Explorer!$B$8="All Ghost Labels",$AG644=Company_Explorer!$B$8)),1,0)</f>
        <v>0</v>
      </c>
    </row>
    <row r="645" spans="1:35" ht="15" customHeight="1" x14ac:dyDescent="0.3">
      <c r="A645" s="65" t="s">
        <v>2260</v>
      </c>
      <c r="B645" s="65" t="s">
        <v>80</v>
      </c>
      <c r="C645" s="65" t="s">
        <v>2261</v>
      </c>
      <c r="D645" s="65" t="s">
        <v>125</v>
      </c>
      <c r="E645" s="65" t="s">
        <v>2262</v>
      </c>
      <c r="F645" s="65" t="b">
        <f>TRUE()</f>
        <v>1</v>
      </c>
      <c r="G645" s="65" t="s">
        <v>269</v>
      </c>
      <c r="H645" s="65" t="s">
        <v>270</v>
      </c>
      <c r="I645" s="66">
        <v>46156</v>
      </c>
      <c r="J645" s="66">
        <v>46210</v>
      </c>
      <c r="K645" s="65">
        <v>54</v>
      </c>
      <c r="L645" s="65" t="s">
        <v>192</v>
      </c>
      <c r="M645" s="65" t="s">
        <v>184</v>
      </c>
      <c r="N645" s="65" t="b">
        <f>FALSE()</f>
        <v>0</v>
      </c>
      <c r="O645" s="65"/>
      <c r="P645" s="65"/>
      <c r="Q645" s="65" t="s">
        <v>236</v>
      </c>
      <c r="R645" s="65" t="s">
        <v>237</v>
      </c>
      <c r="S645" s="65"/>
      <c r="T645" s="65" t="b">
        <f>FALSE()</f>
        <v>0</v>
      </c>
      <c r="U645" s="65" t="b">
        <f>FALSE()</f>
        <v>0</v>
      </c>
      <c r="V645" s="65">
        <v>425</v>
      </c>
      <c r="W645" s="65" t="s">
        <v>2263</v>
      </c>
      <c r="X645" s="65">
        <v>1</v>
      </c>
      <c r="Y645" s="68">
        <v>0.01</v>
      </c>
      <c r="Z645" s="65" t="b">
        <f>FALSE()</f>
        <v>0</v>
      </c>
      <c r="AA645" s="65" t="b">
        <f>TRUE()</f>
        <v>1</v>
      </c>
      <c r="AB645" s="65" t="b">
        <f>FALSE()</f>
        <v>0</v>
      </c>
      <c r="AC645" s="65" t="b">
        <f>TRUE()</f>
        <v>1</v>
      </c>
      <c r="AD645" s="65" t="b">
        <f>FALSE()</f>
        <v>0</v>
      </c>
      <c r="AE645" s="65">
        <v>2</v>
      </c>
      <c r="AF645" s="69">
        <v>28.6</v>
      </c>
      <c r="AG645" s="65" t="s">
        <v>73</v>
      </c>
      <c r="AH645" s="65" t="s">
        <v>2264</v>
      </c>
      <c r="AI645">
        <f>IF(AND(OR(Company_Explorer!$B$5="All Companies",$E645=Company_Explorer!$B$5),OR(Company_Explorer!$B$6="All Platforms",$B645=Company_Explorer!$B$6),OR(Company_Explorer!$B$7="All Roles",$D645=Company_Explorer!$B$7),OR(Company_Explorer!$B$8="All Ghost Labels",$AG645=Company_Explorer!$B$8)),1,0)</f>
        <v>0</v>
      </c>
    </row>
    <row r="646" spans="1:35" ht="15" customHeight="1" x14ac:dyDescent="0.3">
      <c r="A646" s="60" t="s">
        <v>2265</v>
      </c>
      <c r="B646" s="60" t="s">
        <v>80</v>
      </c>
      <c r="C646" s="60" t="s">
        <v>2058</v>
      </c>
      <c r="D646" s="60" t="s">
        <v>131</v>
      </c>
      <c r="E646" s="60" t="s">
        <v>2266</v>
      </c>
      <c r="F646" s="60" t="b">
        <f>TRUE()</f>
        <v>1</v>
      </c>
      <c r="G646" s="60" t="s">
        <v>178</v>
      </c>
      <c r="H646" s="60" t="s">
        <v>165</v>
      </c>
      <c r="I646" s="61">
        <v>46185</v>
      </c>
      <c r="J646" s="61">
        <v>46210</v>
      </c>
      <c r="K646" s="60">
        <v>25</v>
      </c>
      <c r="L646" s="60" t="s">
        <v>192</v>
      </c>
      <c r="M646" s="60" t="s">
        <v>184</v>
      </c>
      <c r="N646" s="60" t="b">
        <f>FALSE()</f>
        <v>0</v>
      </c>
      <c r="O646" s="60"/>
      <c r="P646" s="60"/>
      <c r="Q646" s="60" t="s">
        <v>236</v>
      </c>
      <c r="R646" s="60" t="s">
        <v>237</v>
      </c>
      <c r="S646" s="60"/>
      <c r="T646" s="60" t="b">
        <f>FALSE()</f>
        <v>0</v>
      </c>
      <c r="U646" s="60" t="b">
        <f>FALSE()</f>
        <v>0</v>
      </c>
      <c r="V646" s="60">
        <v>513</v>
      </c>
      <c r="W646" s="62" t="s">
        <v>2267</v>
      </c>
      <c r="X646" s="60">
        <v>1</v>
      </c>
      <c r="Y646" s="63">
        <v>0.01</v>
      </c>
      <c r="Z646" s="60" t="b">
        <f>FALSE()</f>
        <v>0</v>
      </c>
      <c r="AA646" s="60" t="b">
        <f>TRUE()</f>
        <v>1</v>
      </c>
      <c r="AB646" s="60" t="b">
        <f>FALSE()</f>
        <v>0</v>
      </c>
      <c r="AC646" s="60" t="b">
        <f>TRUE()</f>
        <v>1</v>
      </c>
      <c r="AD646" s="60" t="b">
        <f>FALSE()</f>
        <v>0</v>
      </c>
      <c r="AE646" s="60">
        <v>2</v>
      </c>
      <c r="AF646" s="64">
        <v>28.6</v>
      </c>
      <c r="AG646" s="60" t="s">
        <v>73</v>
      </c>
      <c r="AH646" s="60" t="s">
        <v>2268</v>
      </c>
      <c r="AI646">
        <f>IF(AND(OR(Company_Explorer!$B$5="All Companies",$E646=Company_Explorer!$B$5),OR(Company_Explorer!$B$6="All Platforms",$B646=Company_Explorer!$B$6),OR(Company_Explorer!$B$7="All Roles",$D646=Company_Explorer!$B$7),OR(Company_Explorer!$B$8="All Ghost Labels",$AG646=Company_Explorer!$B$8)),1,0)</f>
        <v>0</v>
      </c>
    </row>
    <row r="647" spans="1:35" ht="15" customHeight="1" x14ac:dyDescent="0.3">
      <c r="A647" s="65" t="s">
        <v>2269</v>
      </c>
      <c r="B647" s="65" t="s">
        <v>80</v>
      </c>
      <c r="C647" s="65" t="s">
        <v>131</v>
      </c>
      <c r="D647" s="65" t="s">
        <v>131</v>
      </c>
      <c r="E647" s="65" t="s">
        <v>2270</v>
      </c>
      <c r="F647" s="65" t="b">
        <f>TRUE()</f>
        <v>1</v>
      </c>
      <c r="G647" s="65" t="s">
        <v>166</v>
      </c>
      <c r="H647" s="65" t="s">
        <v>235</v>
      </c>
      <c r="I647" s="66">
        <v>46192</v>
      </c>
      <c r="J647" s="66">
        <v>46210</v>
      </c>
      <c r="K647" s="65">
        <v>18</v>
      </c>
      <c r="L647" s="65" t="s">
        <v>192</v>
      </c>
      <c r="M647" s="65" t="s">
        <v>186</v>
      </c>
      <c r="N647" s="65" t="b">
        <f>TRUE()</f>
        <v>1</v>
      </c>
      <c r="O647" s="71">
        <v>2000000</v>
      </c>
      <c r="P647" s="71">
        <v>3000000</v>
      </c>
      <c r="Q647" s="65" t="s">
        <v>332</v>
      </c>
      <c r="R647" s="65" t="s">
        <v>237</v>
      </c>
      <c r="S647" s="65"/>
      <c r="T647" s="65" t="b">
        <f>FALSE()</f>
        <v>0</v>
      </c>
      <c r="U647" s="65" t="b">
        <f>FALSE()</f>
        <v>0</v>
      </c>
      <c r="V647" s="65">
        <v>329</v>
      </c>
      <c r="W647" s="67" t="s">
        <v>2271</v>
      </c>
      <c r="X647" s="65">
        <v>1</v>
      </c>
      <c r="Y647" s="68">
        <v>0.01</v>
      </c>
      <c r="Z647" s="65" t="b">
        <f>FALSE()</f>
        <v>0</v>
      </c>
      <c r="AA647" s="65" t="b">
        <f>FALSE()</f>
        <v>0</v>
      </c>
      <c r="AB647" s="65" t="b">
        <f>FALSE()</f>
        <v>0</v>
      </c>
      <c r="AC647" s="65" t="b">
        <f>FALSE()</f>
        <v>0</v>
      </c>
      <c r="AD647" s="65" t="b">
        <f>FALSE()</f>
        <v>0</v>
      </c>
      <c r="AE647" s="65">
        <v>0</v>
      </c>
      <c r="AF647" s="69">
        <v>0</v>
      </c>
      <c r="AG647" s="65" t="s">
        <v>74</v>
      </c>
      <c r="AH647" s="65" t="s">
        <v>2272</v>
      </c>
      <c r="AI647">
        <f>IF(AND(OR(Company_Explorer!$B$5="All Companies",$E647=Company_Explorer!$B$5),OR(Company_Explorer!$B$6="All Platforms",$B647=Company_Explorer!$B$6),OR(Company_Explorer!$B$7="All Roles",$D647=Company_Explorer!$B$7),OR(Company_Explorer!$B$8="All Ghost Labels",$AG647=Company_Explorer!$B$8)),1,0)</f>
        <v>0</v>
      </c>
    </row>
    <row r="648" spans="1:35" ht="15" customHeight="1" x14ac:dyDescent="0.3">
      <c r="A648" s="60" t="s">
        <v>2273</v>
      </c>
      <c r="B648" s="60" t="s">
        <v>80</v>
      </c>
      <c r="C648" s="60" t="s">
        <v>2274</v>
      </c>
      <c r="D648" s="60" t="s">
        <v>131</v>
      </c>
      <c r="E648" s="60" t="s">
        <v>2204</v>
      </c>
      <c r="F648" s="60" t="b">
        <f>TRUE()</f>
        <v>1</v>
      </c>
      <c r="G648" s="60" t="s">
        <v>170</v>
      </c>
      <c r="H648" s="60" t="s">
        <v>165</v>
      </c>
      <c r="I648" s="61">
        <v>46199</v>
      </c>
      <c r="J648" s="61">
        <v>46210</v>
      </c>
      <c r="K648" s="60">
        <v>11</v>
      </c>
      <c r="L648" s="60" t="s">
        <v>192</v>
      </c>
      <c r="M648" s="60" t="s">
        <v>189</v>
      </c>
      <c r="N648" s="60" t="b">
        <f>FALSE()</f>
        <v>0</v>
      </c>
      <c r="O648" s="60"/>
      <c r="P648" s="60"/>
      <c r="Q648" s="60" t="s">
        <v>236</v>
      </c>
      <c r="R648" s="60" t="s">
        <v>237</v>
      </c>
      <c r="S648" s="60"/>
      <c r="T648" s="60" t="b">
        <f>FALSE()</f>
        <v>0</v>
      </c>
      <c r="U648" s="60" t="b">
        <f>FALSE()</f>
        <v>0</v>
      </c>
      <c r="V648" s="60">
        <v>332</v>
      </c>
      <c r="W648" s="62" t="s">
        <v>2275</v>
      </c>
      <c r="X648" s="60">
        <v>2</v>
      </c>
      <c r="Y648" s="63">
        <v>0.01</v>
      </c>
      <c r="Z648" s="60" t="b">
        <f>FALSE()</f>
        <v>0</v>
      </c>
      <c r="AA648" s="60" t="b">
        <f>TRUE()</f>
        <v>1</v>
      </c>
      <c r="AB648" s="60" t="b">
        <f>FALSE()</f>
        <v>0</v>
      </c>
      <c r="AC648" s="60" t="b">
        <f>FALSE()</f>
        <v>0</v>
      </c>
      <c r="AD648" s="60" t="b">
        <f>FALSE()</f>
        <v>0</v>
      </c>
      <c r="AE648" s="60">
        <v>1</v>
      </c>
      <c r="AF648" s="64">
        <v>14.3</v>
      </c>
      <c r="AG648" s="60" t="s">
        <v>74</v>
      </c>
      <c r="AH648" s="60" t="s">
        <v>2276</v>
      </c>
      <c r="AI648">
        <f>IF(AND(OR(Company_Explorer!$B$5="All Companies",$E648=Company_Explorer!$B$5),OR(Company_Explorer!$B$6="All Platforms",$B648=Company_Explorer!$B$6),OR(Company_Explorer!$B$7="All Roles",$D648=Company_Explorer!$B$7),OR(Company_Explorer!$B$8="All Ghost Labels",$AG648=Company_Explorer!$B$8)),1,0)</f>
        <v>0</v>
      </c>
    </row>
    <row r="649" spans="1:35" ht="15" customHeight="1" x14ac:dyDescent="0.3">
      <c r="A649" s="65" t="s">
        <v>2277</v>
      </c>
      <c r="B649" s="65" t="s">
        <v>80</v>
      </c>
      <c r="C649" s="65" t="s">
        <v>2278</v>
      </c>
      <c r="D649" s="65" t="s">
        <v>125</v>
      </c>
      <c r="E649" s="65" t="s">
        <v>2279</v>
      </c>
      <c r="F649" s="65" t="b">
        <f>TRUE()</f>
        <v>1</v>
      </c>
      <c r="G649" s="65" t="s">
        <v>167</v>
      </c>
      <c r="H649" s="65" t="s">
        <v>276</v>
      </c>
      <c r="I649" s="66">
        <v>46142</v>
      </c>
      <c r="J649" s="66">
        <v>46210</v>
      </c>
      <c r="K649" s="65">
        <v>68</v>
      </c>
      <c r="L649" s="65" t="s">
        <v>192</v>
      </c>
      <c r="M649" s="65" t="s">
        <v>184</v>
      </c>
      <c r="N649" s="65" t="b">
        <f>FALSE()</f>
        <v>0</v>
      </c>
      <c r="O649" s="65"/>
      <c r="P649" s="65"/>
      <c r="Q649" s="65" t="s">
        <v>236</v>
      </c>
      <c r="R649" s="65" t="s">
        <v>237</v>
      </c>
      <c r="S649" s="65"/>
      <c r="T649" s="65" t="b">
        <f>FALSE()</f>
        <v>0</v>
      </c>
      <c r="U649" s="65" t="b">
        <f>FALSE()</f>
        <v>0</v>
      </c>
      <c r="V649" s="65">
        <v>427</v>
      </c>
      <c r="W649" s="67" t="s">
        <v>2280</v>
      </c>
      <c r="X649" s="65">
        <v>3</v>
      </c>
      <c r="Y649" s="68">
        <v>0.02</v>
      </c>
      <c r="Z649" s="65" t="b">
        <f>FALSE()</f>
        <v>0</v>
      </c>
      <c r="AA649" s="65" t="b">
        <f>TRUE()</f>
        <v>1</v>
      </c>
      <c r="AB649" s="65" t="b">
        <f>FALSE()</f>
        <v>0</v>
      </c>
      <c r="AC649" s="65" t="b">
        <f>TRUE()</f>
        <v>1</v>
      </c>
      <c r="AD649" s="65" t="b">
        <f>FALSE()</f>
        <v>0</v>
      </c>
      <c r="AE649" s="65">
        <v>2</v>
      </c>
      <c r="AF649" s="69">
        <v>28.6</v>
      </c>
      <c r="AG649" s="65" t="s">
        <v>73</v>
      </c>
      <c r="AH649" s="65" t="s">
        <v>2281</v>
      </c>
      <c r="AI649">
        <f>IF(AND(OR(Company_Explorer!$B$5="All Companies",$E649=Company_Explorer!$B$5),OR(Company_Explorer!$B$6="All Platforms",$B649=Company_Explorer!$B$6),OR(Company_Explorer!$B$7="All Roles",$D649=Company_Explorer!$B$7),OR(Company_Explorer!$B$8="All Ghost Labels",$AG649=Company_Explorer!$B$8)),1,0)</f>
        <v>0</v>
      </c>
    </row>
    <row r="650" spans="1:35" ht="15" customHeight="1" x14ac:dyDescent="0.3">
      <c r="A650" s="60" t="s">
        <v>2282</v>
      </c>
      <c r="B650" s="60" t="s">
        <v>80</v>
      </c>
      <c r="C650" s="60" t="s">
        <v>125</v>
      </c>
      <c r="D650" s="60" t="s">
        <v>125</v>
      </c>
      <c r="E650" s="60" t="s">
        <v>2283</v>
      </c>
      <c r="F650" s="60" t="b">
        <f>TRUE()</f>
        <v>1</v>
      </c>
      <c r="G650" s="60" t="s">
        <v>2284</v>
      </c>
      <c r="H650" s="60" t="s">
        <v>2285</v>
      </c>
      <c r="I650" s="61">
        <v>46206</v>
      </c>
      <c r="J650" s="61">
        <v>46210</v>
      </c>
      <c r="K650" s="60">
        <v>4</v>
      </c>
      <c r="L650" s="60" t="s">
        <v>192</v>
      </c>
      <c r="M650" s="60" t="s">
        <v>185</v>
      </c>
      <c r="N650" s="60" t="b">
        <f>FALSE()</f>
        <v>0</v>
      </c>
      <c r="O650" s="60"/>
      <c r="P650" s="60"/>
      <c r="Q650" s="60" t="s">
        <v>236</v>
      </c>
      <c r="R650" s="60" t="s">
        <v>237</v>
      </c>
      <c r="S650" s="60"/>
      <c r="T650" s="60" t="b">
        <f>FALSE()</f>
        <v>0</v>
      </c>
      <c r="U650" s="60" t="b">
        <f>FALSE()</f>
        <v>0</v>
      </c>
      <c r="V650" s="60">
        <v>630</v>
      </c>
      <c r="W650" s="62" t="s">
        <v>2286</v>
      </c>
      <c r="X650" s="60">
        <v>1</v>
      </c>
      <c r="Y650" s="63">
        <v>0.01</v>
      </c>
      <c r="Z650" s="60" t="b">
        <f>FALSE()</f>
        <v>0</v>
      </c>
      <c r="AA650" s="60" t="b">
        <f>TRUE()</f>
        <v>1</v>
      </c>
      <c r="AB650" s="60" t="b">
        <f>FALSE()</f>
        <v>0</v>
      </c>
      <c r="AC650" s="60" t="b">
        <f>FALSE()</f>
        <v>0</v>
      </c>
      <c r="AD650" s="60" t="b">
        <f>FALSE()</f>
        <v>0</v>
      </c>
      <c r="AE650" s="60">
        <v>1</v>
      </c>
      <c r="AF650" s="64">
        <v>14.3</v>
      </c>
      <c r="AG650" s="60" t="s">
        <v>74</v>
      </c>
      <c r="AH650" s="60" t="s">
        <v>2287</v>
      </c>
      <c r="AI650">
        <f>IF(AND(OR(Company_Explorer!$B$5="All Companies",$E650=Company_Explorer!$B$5),OR(Company_Explorer!$B$6="All Platforms",$B650=Company_Explorer!$B$6),OR(Company_Explorer!$B$7="All Roles",$D650=Company_Explorer!$B$7),OR(Company_Explorer!$B$8="All Ghost Labels",$AG650=Company_Explorer!$B$8)),1,0)</f>
        <v>0</v>
      </c>
    </row>
    <row r="651" spans="1:35" ht="15" customHeight="1" x14ac:dyDescent="0.3">
      <c r="A651" s="65" t="s">
        <v>2288</v>
      </c>
      <c r="B651" s="65" t="s">
        <v>80</v>
      </c>
      <c r="C651" s="65" t="s">
        <v>131</v>
      </c>
      <c r="D651" s="65" t="s">
        <v>131</v>
      </c>
      <c r="E651" s="65" t="s">
        <v>1193</v>
      </c>
      <c r="F651" s="65" t="b">
        <f>TRUE()</f>
        <v>1</v>
      </c>
      <c r="G651" s="65" t="s">
        <v>170</v>
      </c>
      <c r="H651" s="65" t="s">
        <v>165</v>
      </c>
      <c r="I651" s="66">
        <v>45968</v>
      </c>
      <c r="J651" s="66">
        <v>46210</v>
      </c>
      <c r="K651" s="65">
        <v>242</v>
      </c>
      <c r="L651" s="65" t="s">
        <v>192</v>
      </c>
      <c r="M651" s="65" t="s">
        <v>185</v>
      </c>
      <c r="N651" s="65" t="b">
        <f>TRUE()</f>
        <v>1</v>
      </c>
      <c r="O651" s="71">
        <v>15</v>
      </c>
      <c r="P651" s="71">
        <v>25</v>
      </c>
      <c r="Q651" s="65" t="s">
        <v>332</v>
      </c>
      <c r="R651" s="65" t="s">
        <v>237</v>
      </c>
      <c r="S651" s="65"/>
      <c r="T651" s="65" t="b">
        <f>FALSE()</f>
        <v>0</v>
      </c>
      <c r="U651" s="65" t="b">
        <f>FALSE()</f>
        <v>0</v>
      </c>
      <c r="V651" s="65">
        <v>177</v>
      </c>
      <c r="W651" s="67" t="s">
        <v>2289</v>
      </c>
      <c r="X651" s="65">
        <v>3</v>
      </c>
      <c r="Y651" s="68">
        <v>0.02</v>
      </c>
      <c r="Z651" s="65" t="b">
        <f>FALSE()</f>
        <v>0</v>
      </c>
      <c r="AA651" s="65" t="b">
        <f>FALSE()</f>
        <v>0</v>
      </c>
      <c r="AB651" s="65" t="b">
        <f>TRUE()</f>
        <v>1</v>
      </c>
      <c r="AC651" s="65" t="b">
        <f>TRUE()</f>
        <v>1</v>
      </c>
      <c r="AD651" s="65" t="b">
        <f>FALSE()</f>
        <v>0</v>
      </c>
      <c r="AE651" s="65">
        <v>2</v>
      </c>
      <c r="AF651" s="69">
        <v>28.6</v>
      </c>
      <c r="AG651" s="65" t="s">
        <v>73</v>
      </c>
      <c r="AH651" s="65" t="s">
        <v>2290</v>
      </c>
      <c r="AI651">
        <f>IF(AND(OR(Company_Explorer!$B$5="All Companies",$E651=Company_Explorer!$B$5),OR(Company_Explorer!$B$6="All Platforms",$B651=Company_Explorer!$B$6),OR(Company_Explorer!$B$7="All Roles",$D651=Company_Explorer!$B$7),OR(Company_Explorer!$B$8="All Ghost Labels",$AG651=Company_Explorer!$B$8)),1,0)</f>
        <v>0</v>
      </c>
    </row>
    <row r="652" spans="1:35" ht="15" customHeight="1" x14ac:dyDescent="0.3">
      <c r="A652" s="60" t="s">
        <v>2291</v>
      </c>
      <c r="B652" s="60" t="s">
        <v>80</v>
      </c>
      <c r="C652" s="60" t="s">
        <v>2292</v>
      </c>
      <c r="D652" s="60" t="s">
        <v>131</v>
      </c>
      <c r="E652" s="60" t="s">
        <v>2293</v>
      </c>
      <c r="F652" s="60" t="b">
        <f>TRUE()</f>
        <v>1</v>
      </c>
      <c r="G652" s="60" t="s">
        <v>598</v>
      </c>
      <c r="H652" s="60" t="s">
        <v>598</v>
      </c>
      <c r="I652" s="61">
        <v>46198</v>
      </c>
      <c r="J652" s="61">
        <v>46210</v>
      </c>
      <c r="K652" s="60">
        <v>12</v>
      </c>
      <c r="L652" s="60" t="s">
        <v>192</v>
      </c>
      <c r="M652" s="60" t="s">
        <v>184</v>
      </c>
      <c r="N652" s="60" t="b">
        <f>FALSE()</f>
        <v>0</v>
      </c>
      <c r="O652" s="60"/>
      <c r="P652" s="60"/>
      <c r="Q652" s="60" t="s">
        <v>236</v>
      </c>
      <c r="R652" s="60" t="s">
        <v>237</v>
      </c>
      <c r="S652" s="60"/>
      <c r="T652" s="60" t="b">
        <f>FALSE()</f>
        <v>0</v>
      </c>
      <c r="U652" s="60" t="b">
        <f>FALSE()</f>
        <v>0</v>
      </c>
      <c r="V652" s="60">
        <v>602</v>
      </c>
      <c r="W652" s="60" t="s">
        <v>2294</v>
      </c>
      <c r="X652" s="60">
        <v>1</v>
      </c>
      <c r="Y652" s="63">
        <v>0.01</v>
      </c>
      <c r="Z652" s="60" t="b">
        <f>FALSE()</f>
        <v>0</v>
      </c>
      <c r="AA652" s="60" t="b">
        <f>TRUE()</f>
        <v>1</v>
      </c>
      <c r="AB652" s="60" t="b">
        <f>FALSE()</f>
        <v>0</v>
      </c>
      <c r="AC652" s="60" t="b">
        <f>FALSE()</f>
        <v>0</v>
      </c>
      <c r="AD652" s="60" t="b">
        <f>FALSE()</f>
        <v>0</v>
      </c>
      <c r="AE652" s="60">
        <v>1</v>
      </c>
      <c r="AF652" s="64">
        <v>14.3</v>
      </c>
      <c r="AG652" s="60" t="s">
        <v>74</v>
      </c>
      <c r="AH652" s="60" t="s">
        <v>2295</v>
      </c>
      <c r="AI652">
        <f>IF(AND(OR(Company_Explorer!$B$5="All Companies",$E652=Company_Explorer!$B$5),OR(Company_Explorer!$B$6="All Platforms",$B652=Company_Explorer!$B$6),OR(Company_Explorer!$B$7="All Roles",$D652=Company_Explorer!$B$7),OR(Company_Explorer!$B$8="All Ghost Labels",$AG652=Company_Explorer!$B$8)),1,0)</f>
        <v>0</v>
      </c>
    </row>
    <row r="653" spans="1:35" ht="15" customHeight="1" x14ac:dyDescent="0.3">
      <c r="A653" s="65" t="s">
        <v>2296</v>
      </c>
      <c r="B653" s="65" t="s">
        <v>80</v>
      </c>
      <c r="C653" s="65" t="s">
        <v>2058</v>
      </c>
      <c r="D653" s="65" t="s">
        <v>131</v>
      </c>
      <c r="E653" s="65" t="s">
        <v>2297</v>
      </c>
      <c r="F653" s="65" t="b">
        <f>TRUE()</f>
        <v>1</v>
      </c>
      <c r="G653" s="65" t="s">
        <v>174</v>
      </c>
      <c r="H653" s="65" t="s">
        <v>302</v>
      </c>
      <c r="I653" s="66">
        <v>46199</v>
      </c>
      <c r="J653" s="66">
        <v>46210</v>
      </c>
      <c r="K653" s="65">
        <v>11</v>
      </c>
      <c r="L653" s="65" t="s">
        <v>192</v>
      </c>
      <c r="M653" s="65" t="s">
        <v>184</v>
      </c>
      <c r="N653" s="65" t="b">
        <f>FALSE()</f>
        <v>0</v>
      </c>
      <c r="O653" s="65"/>
      <c r="P653" s="65"/>
      <c r="Q653" s="65" t="s">
        <v>236</v>
      </c>
      <c r="R653" s="65" t="s">
        <v>237</v>
      </c>
      <c r="S653" s="65"/>
      <c r="T653" s="65" t="b">
        <f>FALSE()</f>
        <v>0</v>
      </c>
      <c r="U653" s="65" t="b">
        <f>FALSE()</f>
        <v>0</v>
      </c>
      <c r="V653" s="65">
        <v>40</v>
      </c>
      <c r="W653" s="67" t="s">
        <v>2298</v>
      </c>
      <c r="X653" s="65">
        <v>1</v>
      </c>
      <c r="Y653" s="68">
        <v>0.01</v>
      </c>
      <c r="Z653" s="65" t="b">
        <f>FALSE()</f>
        <v>0</v>
      </c>
      <c r="AA653" s="65" t="b">
        <f>TRUE()</f>
        <v>1</v>
      </c>
      <c r="AB653" s="65" t="b">
        <f>TRUE()</f>
        <v>1</v>
      </c>
      <c r="AC653" s="65" t="b">
        <f>FALSE()</f>
        <v>0</v>
      </c>
      <c r="AD653" s="65" t="b">
        <f>FALSE()</f>
        <v>0</v>
      </c>
      <c r="AE653" s="65">
        <v>2</v>
      </c>
      <c r="AF653" s="69">
        <v>28.6</v>
      </c>
      <c r="AG653" s="65" t="s">
        <v>73</v>
      </c>
      <c r="AH653" s="65" t="s">
        <v>2299</v>
      </c>
      <c r="AI653">
        <f>IF(AND(OR(Company_Explorer!$B$5="All Companies",$E653=Company_Explorer!$B$5),OR(Company_Explorer!$B$6="All Platforms",$B653=Company_Explorer!$B$6),OR(Company_Explorer!$B$7="All Roles",$D653=Company_Explorer!$B$7),OR(Company_Explorer!$B$8="All Ghost Labels",$AG653=Company_Explorer!$B$8)),1,0)</f>
        <v>0</v>
      </c>
    </row>
    <row r="654" spans="1:35" ht="15" customHeight="1" x14ac:dyDescent="0.3">
      <c r="A654" s="60" t="s">
        <v>2300</v>
      </c>
      <c r="B654" s="60" t="s">
        <v>80</v>
      </c>
      <c r="C654" s="60" t="s">
        <v>2063</v>
      </c>
      <c r="D654" s="60" t="s">
        <v>125</v>
      </c>
      <c r="E654" s="60" t="s">
        <v>2301</v>
      </c>
      <c r="F654" s="60" t="b">
        <f>TRUE()</f>
        <v>1</v>
      </c>
      <c r="G654" s="60" t="s">
        <v>2302</v>
      </c>
      <c r="H654" s="60" t="s">
        <v>270</v>
      </c>
      <c r="I654" s="61">
        <v>46110</v>
      </c>
      <c r="J654" s="61">
        <v>46210</v>
      </c>
      <c r="K654" s="60">
        <v>100</v>
      </c>
      <c r="L654" s="60" t="s">
        <v>192</v>
      </c>
      <c r="M654" s="60" t="s">
        <v>186</v>
      </c>
      <c r="N654" s="60" t="b">
        <f>TRUE()</f>
        <v>1</v>
      </c>
      <c r="O654" s="70">
        <v>300000</v>
      </c>
      <c r="P654" s="70">
        <v>500000</v>
      </c>
      <c r="Q654" s="60" t="s">
        <v>332</v>
      </c>
      <c r="R654" s="60" t="s">
        <v>237</v>
      </c>
      <c r="S654" s="60"/>
      <c r="T654" s="60" t="b">
        <f>FALSE()</f>
        <v>0</v>
      </c>
      <c r="U654" s="60" t="b">
        <f>FALSE()</f>
        <v>0</v>
      </c>
      <c r="V654" s="60">
        <v>134</v>
      </c>
      <c r="W654" s="62" t="s">
        <v>2303</v>
      </c>
      <c r="X654" s="60">
        <v>1</v>
      </c>
      <c r="Y654" s="63">
        <v>0.01</v>
      </c>
      <c r="Z654" s="60" t="b">
        <f>FALSE()</f>
        <v>0</v>
      </c>
      <c r="AA654" s="60" t="b">
        <f>FALSE()</f>
        <v>0</v>
      </c>
      <c r="AB654" s="60" t="b">
        <f>TRUE()</f>
        <v>1</v>
      </c>
      <c r="AC654" s="60" t="b">
        <f>TRUE()</f>
        <v>1</v>
      </c>
      <c r="AD654" s="60" t="b">
        <f>FALSE()</f>
        <v>0</v>
      </c>
      <c r="AE654" s="60">
        <v>2</v>
      </c>
      <c r="AF654" s="64">
        <v>28.6</v>
      </c>
      <c r="AG654" s="60" t="s">
        <v>73</v>
      </c>
      <c r="AH654" s="60" t="s">
        <v>2304</v>
      </c>
      <c r="AI654">
        <f>IF(AND(OR(Company_Explorer!$B$5="All Companies",$E654=Company_Explorer!$B$5),OR(Company_Explorer!$B$6="All Platforms",$B654=Company_Explorer!$B$6),OR(Company_Explorer!$B$7="All Roles",$D654=Company_Explorer!$B$7),OR(Company_Explorer!$B$8="All Ghost Labels",$AG654=Company_Explorer!$B$8)),1,0)</f>
        <v>0</v>
      </c>
    </row>
    <row r="655" spans="1:35" ht="15" customHeight="1" x14ac:dyDescent="0.3">
      <c r="A655" s="65" t="s">
        <v>2305</v>
      </c>
      <c r="B655" s="65" t="s">
        <v>80</v>
      </c>
      <c r="C655" s="65" t="s">
        <v>2058</v>
      </c>
      <c r="D655" s="65" t="s">
        <v>131</v>
      </c>
      <c r="E655" s="65" t="s">
        <v>2306</v>
      </c>
      <c r="F655" s="65" t="b">
        <f>TRUE()</f>
        <v>1</v>
      </c>
      <c r="G655" s="65" t="s">
        <v>166</v>
      </c>
      <c r="H655" s="65" t="s">
        <v>235</v>
      </c>
      <c r="I655" s="66">
        <v>46195</v>
      </c>
      <c r="J655" s="66">
        <v>46210</v>
      </c>
      <c r="K655" s="65">
        <v>15</v>
      </c>
      <c r="L655" s="65" t="s">
        <v>192</v>
      </c>
      <c r="M655" s="65" t="s">
        <v>186</v>
      </c>
      <c r="N655" s="65" t="b">
        <f>FALSE()</f>
        <v>0</v>
      </c>
      <c r="O655" s="65"/>
      <c r="P655" s="65"/>
      <c r="Q655" s="65" t="s">
        <v>236</v>
      </c>
      <c r="R655" s="65" t="s">
        <v>237</v>
      </c>
      <c r="S655" s="65"/>
      <c r="T655" s="65" t="b">
        <f>FALSE()</f>
        <v>0</v>
      </c>
      <c r="U655" s="65" t="b">
        <f>FALSE()</f>
        <v>0</v>
      </c>
      <c r="V655" s="65">
        <v>210</v>
      </c>
      <c r="W655" s="67" t="s">
        <v>2307</v>
      </c>
      <c r="X655" s="65">
        <v>2</v>
      </c>
      <c r="Y655" s="68">
        <v>0.01</v>
      </c>
      <c r="Z655" s="65" t="b">
        <f>FALSE()</f>
        <v>0</v>
      </c>
      <c r="AA655" s="65" t="b">
        <f>TRUE()</f>
        <v>1</v>
      </c>
      <c r="AB655" s="65" t="b">
        <f>TRUE()</f>
        <v>1</v>
      </c>
      <c r="AC655" s="65" t="b">
        <f>FALSE()</f>
        <v>0</v>
      </c>
      <c r="AD655" s="65" t="b">
        <f>FALSE()</f>
        <v>0</v>
      </c>
      <c r="AE655" s="65">
        <v>2</v>
      </c>
      <c r="AF655" s="69">
        <v>28.6</v>
      </c>
      <c r="AG655" s="65" t="s">
        <v>73</v>
      </c>
      <c r="AH655" s="65" t="s">
        <v>2308</v>
      </c>
      <c r="AI655">
        <f>IF(AND(OR(Company_Explorer!$B$5="All Companies",$E655=Company_Explorer!$B$5),OR(Company_Explorer!$B$6="All Platforms",$B655=Company_Explorer!$B$6),OR(Company_Explorer!$B$7="All Roles",$D655=Company_Explorer!$B$7),OR(Company_Explorer!$B$8="All Ghost Labels",$AG655=Company_Explorer!$B$8)),1,0)</f>
        <v>0</v>
      </c>
    </row>
    <row r="656" spans="1:35" ht="15" customHeight="1" x14ac:dyDescent="0.3">
      <c r="A656" s="60" t="s">
        <v>2309</v>
      </c>
      <c r="B656" s="60" t="s">
        <v>80</v>
      </c>
      <c r="C656" s="60" t="s">
        <v>258</v>
      </c>
      <c r="D656" s="60" t="s">
        <v>125</v>
      </c>
      <c r="E656" s="60" t="s">
        <v>141</v>
      </c>
      <c r="F656" s="60" t="b">
        <f>TRUE()</f>
        <v>1</v>
      </c>
      <c r="G656" s="60" t="s">
        <v>168</v>
      </c>
      <c r="H656" s="60" t="s">
        <v>254</v>
      </c>
      <c r="I656" s="61">
        <v>46198</v>
      </c>
      <c r="J656" s="61">
        <v>46210</v>
      </c>
      <c r="K656" s="60">
        <v>12</v>
      </c>
      <c r="L656" s="60" t="s">
        <v>192</v>
      </c>
      <c r="M656" s="60" t="s">
        <v>184</v>
      </c>
      <c r="N656" s="60" t="b">
        <f>FALSE()</f>
        <v>0</v>
      </c>
      <c r="O656" s="60"/>
      <c r="P656" s="60"/>
      <c r="Q656" s="60" t="s">
        <v>236</v>
      </c>
      <c r="R656" s="60" t="s">
        <v>237</v>
      </c>
      <c r="S656" s="60"/>
      <c r="T656" s="60" t="b">
        <f>FALSE()</f>
        <v>0</v>
      </c>
      <c r="U656" s="60" t="b">
        <f>FALSE()</f>
        <v>0</v>
      </c>
      <c r="V656" s="60">
        <v>318</v>
      </c>
      <c r="W656" s="62" t="s">
        <v>259</v>
      </c>
      <c r="X656" s="60">
        <v>429</v>
      </c>
      <c r="Y656" s="63">
        <v>2.66</v>
      </c>
      <c r="Z656" s="60" t="b">
        <f>FALSE()</f>
        <v>0</v>
      </c>
      <c r="AA656" s="60" t="b">
        <f>TRUE()</f>
        <v>1</v>
      </c>
      <c r="AB656" s="60" t="b">
        <f>FALSE()</f>
        <v>0</v>
      </c>
      <c r="AC656" s="60" t="b">
        <f>FALSE()</f>
        <v>0</v>
      </c>
      <c r="AD656" s="60" t="b">
        <f>TRUE()</f>
        <v>1</v>
      </c>
      <c r="AE656" s="60">
        <v>3</v>
      </c>
      <c r="AF656" s="64">
        <v>42.9</v>
      </c>
      <c r="AG656" s="60" t="s">
        <v>73</v>
      </c>
      <c r="AH656" s="60" t="s">
        <v>2310</v>
      </c>
      <c r="AI656">
        <f>IF(AND(OR(Company_Explorer!$B$5="All Companies",$E656=Company_Explorer!$B$5),OR(Company_Explorer!$B$6="All Platforms",$B656=Company_Explorer!$B$6),OR(Company_Explorer!$B$7="All Roles",$D656=Company_Explorer!$B$7),OR(Company_Explorer!$B$8="All Ghost Labels",$AG656=Company_Explorer!$B$8)),1,0)</f>
        <v>0</v>
      </c>
    </row>
    <row r="657" spans="1:35" ht="15" customHeight="1" x14ac:dyDescent="0.3">
      <c r="A657" s="65" t="s">
        <v>2311</v>
      </c>
      <c r="B657" s="65" t="s">
        <v>80</v>
      </c>
      <c r="C657" s="65" t="s">
        <v>2312</v>
      </c>
      <c r="D657" s="65" t="s">
        <v>130</v>
      </c>
      <c r="E657" s="65" t="s">
        <v>147</v>
      </c>
      <c r="F657" s="65" t="b">
        <f>TRUE()</f>
        <v>1</v>
      </c>
      <c r="G657" s="65" t="s">
        <v>311</v>
      </c>
      <c r="H657" s="65" t="s">
        <v>235</v>
      </c>
      <c r="I657" s="66">
        <v>46205</v>
      </c>
      <c r="J657" s="66">
        <v>46210</v>
      </c>
      <c r="K657" s="65">
        <v>5</v>
      </c>
      <c r="L657" s="65" t="s">
        <v>192</v>
      </c>
      <c r="M657" s="65" t="s">
        <v>185</v>
      </c>
      <c r="N657" s="65" t="b">
        <f>FALSE()</f>
        <v>0</v>
      </c>
      <c r="O657" s="65"/>
      <c r="P657" s="65"/>
      <c r="Q657" s="65" t="s">
        <v>236</v>
      </c>
      <c r="R657" s="65" t="s">
        <v>237</v>
      </c>
      <c r="S657" s="65"/>
      <c r="T657" s="65" t="b">
        <f>FALSE()</f>
        <v>0</v>
      </c>
      <c r="U657" s="65" t="b">
        <f>FALSE()</f>
        <v>0</v>
      </c>
      <c r="V657" s="65">
        <v>666</v>
      </c>
      <c r="W657" s="67" t="s">
        <v>2313</v>
      </c>
      <c r="X657" s="65">
        <v>8</v>
      </c>
      <c r="Y657" s="68">
        <v>0.05</v>
      </c>
      <c r="Z657" s="65" t="b">
        <f>FALSE()</f>
        <v>0</v>
      </c>
      <c r="AA657" s="65" t="b">
        <f>TRUE()</f>
        <v>1</v>
      </c>
      <c r="AB657" s="65" t="b">
        <f>FALSE()</f>
        <v>0</v>
      </c>
      <c r="AC657" s="65" t="b">
        <f>FALSE()</f>
        <v>0</v>
      </c>
      <c r="AD657" s="65" t="b">
        <f>FALSE()</f>
        <v>0</v>
      </c>
      <c r="AE657" s="65">
        <v>1</v>
      </c>
      <c r="AF657" s="69">
        <v>14.3</v>
      </c>
      <c r="AG657" s="65" t="s">
        <v>74</v>
      </c>
      <c r="AH657" s="65" t="s">
        <v>2314</v>
      </c>
      <c r="AI657">
        <f>IF(AND(OR(Company_Explorer!$B$5="All Companies",$E657=Company_Explorer!$B$5),OR(Company_Explorer!$B$6="All Platforms",$B657=Company_Explorer!$B$6),OR(Company_Explorer!$B$7="All Roles",$D657=Company_Explorer!$B$7),OR(Company_Explorer!$B$8="All Ghost Labels",$AG657=Company_Explorer!$B$8)),1,0)</f>
        <v>1</v>
      </c>
    </row>
    <row r="658" spans="1:35" ht="15" customHeight="1" x14ac:dyDescent="0.3">
      <c r="A658" s="60" t="s">
        <v>2315</v>
      </c>
      <c r="B658" s="60" t="s">
        <v>80</v>
      </c>
      <c r="C658" s="60" t="s">
        <v>131</v>
      </c>
      <c r="D658" s="60" t="s">
        <v>131</v>
      </c>
      <c r="E658" s="60" t="s">
        <v>2316</v>
      </c>
      <c r="F658" s="60" t="b">
        <f>TRUE()</f>
        <v>1</v>
      </c>
      <c r="G658" s="60" t="s">
        <v>166</v>
      </c>
      <c r="H658" s="60" t="s">
        <v>235</v>
      </c>
      <c r="I658" s="61">
        <v>46077</v>
      </c>
      <c r="J658" s="61">
        <v>46210</v>
      </c>
      <c r="K658" s="60">
        <v>133</v>
      </c>
      <c r="L658" s="60" t="s">
        <v>192</v>
      </c>
      <c r="M658" s="60" t="s">
        <v>186</v>
      </c>
      <c r="N658" s="60" t="b">
        <f>FALSE()</f>
        <v>0</v>
      </c>
      <c r="O658" s="60"/>
      <c r="P658" s="60"/>
      <c r="Q658" s="60" t="s">
        <v>236</v>
      </c>
      <c r="R658" s="60" t="s">
        <v>237</v>
      </c>
      <c r="S658" s="60"/>
      <c r="T658" s="60" t="b">
        <f>FALSE()</f>
        <v>0</v>
      </c>
      <c r="U658" s="60" t="b">
        <f>FALSE()</f>
        <v>0</v>
      </c>
      <c r="V658" s="60">
        <v>222</v>
      </c>
      <c r="W658" s="62" t="s">
        <v>2317</v>
      </c>
      <c r="X658" s="60">
        <v>1</v>
      </c>
      <c r="Y658" s="63">
        <v>0.01</v>
      </c>
      <c r="Z658" s="60" t="b">
        <f>FALSE()</f>
        <v>0</v>
      </c>
      <c r="AA658" s="60" t="b">
        <f>TRUE()</f>
        <v>1</v>
      </c>
      <c r="AB658" s="60" t="b">
        <f>TRUE()</f>
        <v>1</v>
      </c>
      <c r="AC658" s="60" t="b">
        <f>TRUE()</f>
        <v>1</v>
      </c>
      <c r="AD658" s="60" t="b">
        <f>FALSE()</f>
        <v>0</v>
      </c>
      <c r="AE658" s="60">
        <v>3</v>
      </c>
      <c r="AF658" s="64">
        <v>42.9</v>
      </c>
      <c r="AG658" s="60" t="s">
        <v>73</v>
      </c>
      <c r="AH658" s="60" t="s">
        <v>2318</v>
      </c>
      <c r="AI658">
        <f>IF(AND(OR(Company_Explorer!$B$5="All Companies",$E658=Company_Explorer!$B$5),OR(Company_Explorer!$B$6="All Platforms",$B658=Company_Explorer!$B$6),OR(Company_Explorer!$B$7="All Roles",$D658=Company_Explorer!$B$7),OR(Company_Explorer!$B$8="All Ghost Labels",$AG658=Company_Explorer!$B$8)),1,0)</f>
        <v>0</v>
      </c>
    </row>
    <row r="659" spans="1:35" ht="15" customHeight="1" x14ac:dyDescent="0.3">
      <c r="A659" s="65" t="s">
        <v>2319</v>
      </c>
      <c r="B659" s="65" t="s">
        <v>80</v>
      </c>
      <c r="C659" s="65" t="s">
        <v>1622</v>
      </c>
      <c r="D659" s="65" t="s">
        <v>126</v>
      </c>
      <c r="E659" s="65" t="s">
        <v>2320</v>
      </c>
      <c r="F659" s="65" t="b">
        <f>TRUE()</f>
        <v>1</v>
      </c>
      <c r="G659" s="65" t="s">
        <v>585</v>
      </c>
      <c r="H659" s="65" t="s">
        <v>585</v>
      </c>
      <c r="I659" s="66">
        <v>46147</v>
      </c>
      <c r="J659" s="66">
        <v>46210</v>
      </c>
      <c r="K659" s="65">
        <v>63</v>
      </c>
      <c r="L659" s="65" t="s">
        <v>192</v>
      </c>
      <c r="M659" s="65" t="s">
        <v>185</v>
      </c>
      <c r="N659" s="65" t="b">
        <f>FALSE()</f>
        <v>0</v>
      </c>
      <c r="O659" s="65"/>
      <c r="P659" s="65"/>
      <c r="Q659" s="65" t="s">
        <v>236</v>
      </c>
      <c r="R659" s="65" t="s">
        <v>237</v>
      </c>
      <c r="S659" s="65"/>
      <c r="T659" s="65" t="b">
        <f>FALSE()</f>
        <v>0</v>
      </c>
      <c r="U659" s="65" t="b">
        <f>FALSE()</f>
        <v>0</v>
      </c>
      <c r="V659" s="65">
        <v>737</v>
      </c>
      <c r="W659" s="65" t="s">
        <v>2321</v>
      </c>
      <c r="X659" s="65">
        <v>1</v>
      </c>
      <c r="Y659" s="68">
        <v>0.01</v>
      </c>
      <c r="Z659" s="65" t="b">
        <f>FALSE()</f>
        <v>0</v>
      </c>
      <c r="AA659" s="65" t="b">
        <f>TRUE()</f>
        <v>1</v>
      </c>
      <c r="AB659" s="65" t="b">
        <f>FALSE()</f>
        <v>0</v>
      </c>
      <c r="AC659" s="65" t="b">
        <f>TRUE()</f>
        <v>1</v>
      </c>
      <c r="AD659" s="65" t="b">
        <f>FALSE()</f>
        <v>0</v>
      </c>
      <c r="AE659" s="65">
        <v>2</v>
      </c>
      <c r="AF659" s="69">
        <v>28.6</v>
      </c>
      <c r="AG659" s="65" t="s">
        <v>73</v>
      </c>
      <c r="AH659" s="65" t="s">
        <v>2322</v>
      </c>
      <c r="AI659">
        <f>IF(AND(OR(Company_Explorer!$B$5="All Companies",$E659=Company_Explorer!$B$5),OR(Company_Explorer!$B$6="All Platforms",$B659=Company_Explorer!$B$6),OR(Company_Explorer!$B$7="All Roles",$D659=Company_Explorer!$B$7),OR(Company_Explorer!$B$8="All Ghost Labels",$AG659=Company_Explorer!$B$8)),1,0)</f>
        <v>0</v>
      </c>
    </row>
    <row r="660" spans="1:35" ht="15" customHeight="1" x14ac:dyDescent="0.3">
      <c r="A660" s="60" t="s">
        <v>2323</v>
      </c>
      <c r="B660" s="60" t="s">
        <v>80</v>
      </c>
      <c r="C660" s="60" t="s">
        <v>2324</v>
      </c>
      <c r="D660" s="60" t="s">
        <v>125</v>
      </c>
      <c r="E660" s="60" t="s">
        <v>2325</v>
      </c>
      <c r="F660" s="60" t="b">
        <f>TRUE()</f>
        <v>1</v>
      </c>
      <c r="G660" s="60" t="s">
        <v>2326</v>
      </c>
      <c r="H660" s="60" t="s">
        <v>2066</v>
      </c>
      <c r="I660" s="61">
        <v>46196</v>
      </c>
      <c r="J660" s="61">
        <v>46210</v>
      </c>
      <c r="K660" s="60">
        <v>14</v>
      </c>
      <c r="L660" s="60" t="s">
        <v>192</v>
      </c>
      <c r="M660" s="60" t="s">
        <v>185</v>
      </c>
      <c r="N660" s="60" t="b">
        <f>FALSE()</f>
        <v>0</v>
      </c>
      <c r="O660" s="60"/>
      <c r="P660" s="60"/>
      <c r="Q660" s="60" t="s">
        <v>236</v>
      </c>
      <c r="R660" s="60" t="s">
        <v>237</v>
      </c>
      <c r="S660" s="60"/>
      <c r="T660" s="60" t="b">
        <f>FALSE()</f>
        <v>0</v>
      </c>
      <c r="U660" s="60" t="b">
        <f>FALSE()</f>
        <v>0</v>
      </c>
      <c r="V660" s="60">
        <v>301</v>
      </c>
      <c r="W660" s="62" t="s">
        <v>2327</v>
      </c>
      <c r="X660" s="60">
        <v>2</v>
      </c>
      <c r="Y660" s="63">
        <v>0.01</v>
      </c>
      <c r="Z660" s="60" t="b">
        <f>FALSE()</f>
        <v>0</v>
      </c>
      <c r="AA660" s="60" t="b">
        <f>TRUE()</f>
        <v>1</v>
      </c>
      <c r="AB660" s="60" t="b">
        <f>FALSE()</f>
        <v>0</v>
      </c>
      <c r="AC660" s="60" t="b">
        <f>FALSE()</f>
        <v>0</v>
      </c>
      <c r="AD660" s="60" t="b">
        <f>FALSE()</f>
        <v>0</v>
      </c>
      <c r="AE660" s="60">
        <v>1</v>
      </c>
      <c r="AF660" s="64">
        <v>14.3</v>
      </c>
      <c r="AG660" s="60" t="s">
        <v>74</v>
      </c>
      <c r="AH660" s="60" t="s">
        <v>2328</v>
      </c>
      <c r="AI660">
        <f>IF(AND(OR(Company_Explorer!$B$5="All Companies",$E660=Company_Explorer!$B$5),OR(Company_Explorer!$B$6="All Platforms",$B660=Company_Explorer!$B$6),OR(Company_Explorer!$B$7="All Roles",$D660=Company_Explorer!$B$7),OR(Company_Explorer!$B$8="All Ghost Labels",$AG660=Company_Explorer!$B$8)),1,0)</f>
        <v>0</v>
      </c>
    </row>
    <row r="661" spans="1:35" ht="15" customHeight="1" x14ac:dyDescent="0.3">
      <c r="A661" s="65" t="s">
        <v>2329</v>
      </c>
      <c r="B661" s="65" t="s">
        <v>80</v>
      </c>
      <c r="C661" s="65" t="s">
        <v>2330</v>
      </c>
      <c r="D661" s="65" t="s">
        <v>130</v>
      </c>
      <c r="E661" s="65" t="s">
        <v>2331</v>
      </c>
      <c r="F661" s="65" t="b">
        <f>TRUE()</f>
        <v>1</v>
      </c>
      <c r="G661" s="65" t="s">
        <v>166</v>
      </c>
      <c r="H661" s="65" t="s">
        <v>235</v>
      </c>
      <c r="I661" s="66">
        <v>46204</v>
      </c>
      <c r="J661" s="66">
        <v>46210</v>
      </c>
      <c r="K661" s="65">
        <v>6</v>
      </c>
      <c r="L661" s="65" t="s">
        <v>192</v>
      </c>
      <c r="M661" s="65" t="s">
        <v>185</v>
      </c>
      <c r="N661" s="65" t="b">
        <f>FALSE()</f>
        <v>0</v>
      </c>
      <c r="O661" s="65"/>
      <c r="P661" s="65"/>
      <c r="Q661" s="65" t="s">
        <v>236</v>
      </c>
      <c r="R661" s="65" t="s">
        <v>237</v>
      </c>
      <c r="S661" s="65"/>
      <c r="T661" s="65" t="b">
        <f>FALSE()</f>
        <v>0</v>
      </c>
      <c r="U661" s="65" t="b">
        <f>FALSE()</f>
        <v>0</v>
      </c>
      <c r="V661" s="65">
        <v>591</v>
      </c>
      <c r="W661" s="67" t="s">
        <v>2332</v>
      </c>
      <c r="X661" s="65">
        <v>2</v>
      </c>
      <c r="Y661" s="68">
        <v>0.01</v>
      </c>
      <c r="Z661" s="65" t="b">
        <f>FALSE()</f>
        <v>0</v>
      </c>
      <c r="AA661" s="65" t="b">
        <f>TRUE()</f>
        <v>1</v>
      </c>
      <c r="AB661" s="65" t="b">
        <f>FALSE()</f>
        <v>0</v>
      </c>
      <c r="AC661" s="65" t="b">
        <f>FALSE()</f>
        <v>0</v>
      </c>
      <c r="AD661" s="65" t="b">
        <f>FALSE()</f>
        <v>0</v>
      </c>
      <c r="AE661" s="65">
        <v>1</v>
      </c>
      <c r="AF661" s="69">
        <v>14.3</v>
      </c>
      <c r="AG661" s="65" t="s">
        <v>74</v>
      </c>
      <c r="AH661" s="65" t="s">
        <v>2333</v>
      </c>
      <c r="AI661">
        <f>IF(AND(OR(Company_Explorer!$B$5="All Companies",$E661=Company_Explorer!$B$5),OR(Company_Explorer!$B$6="All Platforms",$B661=Company_Explorer!$B$6),OR(Company_Explorer!$B$7="All Roles",$D661=Company_Explorer!$B$7),OR(Company_Explorer!$B$8="All Ghost Labels",$AG661=Company_Explorer!$B$8)),1,0)</f>
        <v>0</v>
      </c>
    </row>
    <row r="662" spans="1:35" ht="15" customHeight="1" x14ac:dyDescent="0.3">
      <c r="A662" s="60" t="s">
        <v>2334</v>
      </c>
      <c r="B662" s="60" t="s">
        <v>80</v>
      </c>
      <c r="C662" s="60" t="s">
        <v>2248</v>
      </c>
      <c r="D662" s="60" t="s">
        <v>125</v>
      </c>
      <c r="E662" s="60" t="s">
        <v>147</v>
      </c>
      <c r="F662" s="60" t="b">
        <f>TRUE()</f>
        <v>1</v>
      </c>
      <c r="G662" s="60" t="s">
        <v>311</v>
      </c>
      <c r="H662" s="60" t="s">
        <v>235</v>
      </c>
      <c r="I662" s="61">
        <v>46203</v>
      </c>
      <c r="J662" s="61">
        <v>46210</v>
      </c>
      <c r="K662" s="60">
        <v>7</v>
      </c>
      <c r="L662" s="60" t="s">
        <v>192</v>
      </c>
      <c r="M662" s="60" t="s">
        <v>185</v>
      </c>
      <c r="N662" s="60" t="b">
        <f>FALSE()</f>
        <v>0</v>
      </c>
      <c r="O662" s="60"/>
      <c r="P662" s="60"/>
      <c r="Q662" s="60" t="s">
        <v>236</v>
      </c>
      <c r="R662" s="60" t="s">
        <v>237</v>
      </c>
      <c r="S662" s="60"/>
      <c r="T662" s="60" t="b">
        <f>FALSE()</f>
        <v>0</v>
      </c>
      <c r="U662" s="60" t="b">
        <f>FALSE()</f>
        <v>0</v>
      </c>
      <c r="V662" s="60">
        <v>151</v>
      </c>
      <c r="W662" s="62" t="s">
        <v>2335</v>
      </c>
      <c r="X662" s="60">
        <v>8</v>
      </c>
      <c r="Y662" s="63">
        <v>0.05</v>
      </c>
      <c r="Z662" s="60" t="b">
        <f>FALSE()</f>
        <v>0</v>
      </c>
      <c r="AA662" s="60" t="b">
        <f>TRUE()</f>
        <v>1</v>
      </c>
      <c r="AB662" s="60" t="b">
        <f>TRUE()</f>
        <v>1</v>
      </c>
      <c r="AC662" s="60" t="b">
        <f>FALSE()</f>
        <v>0</v>
      </c>
      <c r="AD662" s="60" t="b">
        <f>FALSE()</f>
        <v>0</v>
      </c>
      <c r="AE662" s="60">
        <v>2</v>
      </c>
      <c r="AF662" s="64">
        <v>28.6</v>
      </c>
      <c r="AG662" s="60" t="s">
        <v>73</v>
      </c>
      <c r="AH662" s="60" t="s">
        <v>2336</v>
      </c>
      <c r="AI662">
        <f>IF(AND(OR(Company_Explorer!$B$5="All Companies",$E662=Company_Explorer!$B$5),OR(Company_Explorer!$B$6="All Platforms",$B662=Company_Explorer!$B$6),OR(Company_Explorer!$B$7="All Roles",$D662=Company_Explorer!$B$7),OR(Company_Explorer!$B$8="All Ghost Labels",$AG662=Company_Explorer!$B$8)),1,0)</f>
        <v>1</v>
      </c>
    </row>
    <row r="663" spans="1:35" ht="15" customHeight="1" x14ac:dyDescent="0.3">
      <c r="A663" s="65" t="s">
        <v>2337</v>
      </c>
      <c r="B663" s="65" t="s">
        <v>80</v>
      </c>
      <c r="C663" s="65" t="s">
        <v>2338</v>
      </c>
      <c r="D663" s="65" t="s">
        <v>125</v>
      </c>
      <c r="E663" s="65" t="s">
        <v>2306</v>
      </c>
      <c r="F663" s="65" t="b">
        <f>TRUE()</f>
        <v>1</v>
      </c>
      <c r="G663" s="65" t="s">
        <v>166</v>
      </c>
      <c r="H663" s="65" t="s">
        <v>235</v>
      </c>
      <c r="I663" s="66">
        <v>46188</v>
      </c>
      <c r="J663" s="66">
        <v>46210</v>
      </c>
      <c r="K663" s="65">
        <v>22</v>
      </c>
      <c r="L663" s="65" t="s">
        <v>192</v>
      </c>
      <c r="M663" s="65" t="s">
        <v>186</v>
      </c>
      <c r="N663" s="65" t="b">
        <f>FALSE()</f>
        <v>0</v>
      </c>
      <c r="O663" s="65"/>
      <c r="P663" s="65"/>
      <c r="Q663" s="65" t="s">
        <v>236</v>
      </c>
      <c r="R663" s="65" t="s">
        <v>237</v>
      </c>
      <c r="S663" s="65"/>
      <c r="T663" s="65" t="b">
        <f>FALSE()</f>
        <v>0</v>
      </c>
      <c r="U663" s="65" t="b">
        <f>FALSE()</f>
        <v>0</v>
      </c>
      <c r="V663" s="65">
        <v>329</v>
      </c>
      <c r="W663" s="67" t="s">
        <v>2339</v>
      </c>
      <c r="X663" s="65">
        <v>2</v>
      </c>
      <c r="Y663" s="68">
        <v>0.01</v>
      </c>
      <c r="Z663" s="65" t="b">
        <f>FALSE()</f>
        <v>0</v>
      </c>
      <c r="AA663" s="65" t="b">
        <f>TRUE()</f>
        <v>1</v>
      </c>
      <c r="AB663" s="65" t="b">
        <f>FALSE()</f>
        <v>0</v>
      </c>
      <c r="AC663" s="65" t="b">
        <f>TRUE()</f>
        <v>1</v>
      </c>
      <c r="AD663" s="65" t="b">
        <f>FALSE()</f>
        <v>0</v>
      </c>
      <c r="AE663" s="65">
        <v>2</v>
      </c>
      <c r="AF663" s="69">
        <v>28.6</v>
      </c>
      <c r="AG663" s="65" t="s">
        <v>73</v>
      </c>
      <c r="AH663" s="65" t="s">
        <v>2340</v>
      </c>
      <c r="AI663">
        <f>IF(AND(OR(Company_Explorer!$B$5="All Companies",$E663=Company_Explorer!$B$5),OR(Company_Explorer!$B$6="All Platforms",$B663=Company_Explorer!$B$6),OR(Company_Explorer!$B$7="All Roles",$D663=Company_Explorer!$B$7),OR(Company_Explorer!$B$8="All Ghost Labels",$AG663=Company_Explorer!$B$8)),1,0)</f>
        <v>0</v>
      </c>
    </row>
    <row r="664" spans="1:35" ht="15" customHeight="1" x14ac:dyDescent="0.3">
      <c r="A664" s="60" t="s">
        <v>2341</v>
      </c>
      <c r="B664" s="60" t="s">
        <v>80</v>
      </c>
      <c r="C664" s="60" t="s">
        <v>2248</v>
      </c>
      <c r="D664" s="60" t="s">
        <v>125</v>
      </c>
      <c r="E664" s="60" t="s">
        <v>147</v>
      </c>
      <c r="F664" s="60" t="b">
        <f>TRUE()</f>
        <v>1</v>
      </c>
      <c r="G664" s="60" t="s">
        <v>311</v>
      </c>
      <c r="H664" s="60" t="s">
        <v>235</v>
      </c>
      <c r="I664" s="61">
        <v>46203</v>
      </c>
      <c r="J664" s="61">
        <v>46210</v>
      </c>
      <c r="K664" s="60">
        <v>7</v>
      </c>
      <c r="L664" s="60" t="s">
        <v>192</v>
      </c>
      <c r="M664" s="60" t="s">
        <v>185</v>
      </c>
      <c r="N664" s="60" t="b">
        <f>FALSE()</f>
        <v>0</v>
      </c>
      <c r="O664" s="60"/>
      <c r="P664" s="60"/>
      <c r="Q664" s="60" t="s">
        <v>236</v>
      </c>
      <c r="R664" s="60" t="s">
        <v>237</v>
      </c>
      <c r="S664" s="60"/>
      <c r="T664" s="60" t="b">
        <f>FALSE()</f>
        <v>0</v>
      </c>
      <c r="U664" s="60" t="b">
        <f>FALSE()</f>
        <v>0</v>
      </c>
      <c r="V664" s="60">
        <v>291</v>
      </c>
      <c r="W664" s="62" t="s">
        <v>2342</v>
      </c>
      <c r="X664" s="60">
        <v>8</v>
      </c>
      <c r="Y664" s="63">
        <v>0.05</v>
      </c>
      <c r="Z664" s="60" t="b">
        <f>FALSE()</f>
        <v>0</v>
      </c>
      <c r="AA664" s="60" t="b">
        <f>TRUE()</f>
        <v>1</v>
      </c>
      <c r="AB664" s="60" t="b">
        <f>FALSE()</f>
        <v>0</v>
      </c>
      <c r="AC664" s="60" t="b">
        <f>FALSE()</f>
        <v>0</v>
      </c>
      <c r="AD664" s="60" t="b">
        <f>FALSE()</f>
        <v>0</v>
      </c>
      <c r="AE664" s="60">
        <v>1</v>
      </c>
      <c r="AF664" s="64">
        <v>14.3</v>
      </c>
      <c r="AG664" s="60" t="s">
        <v>74</v>
      </c>
      <c r="AH664" s="60" t="s">
        <v>2343</v>
      </c>
      <c r="AI664">
        <f>IF(AND(OR(Company_Explorer!$B$5="All Companies",$E664=Company_Explorer!$B$5),OR(Company_Explorer!$B$6="All Platforms",$B664=Company_Explorer!$B$6),OR(Company_Explorer!$B$7="All Roles",$D664=Company_Explorer!$B$7),OR(Company_Explorer!$B$8="All Ghost Labels",$AG664=Company_Explorer!$B$8)),1,0)</f>
        <v>1</v>
      </c>
    </row>
    <row r="665" spans="1:35" ht="15" customHeight="1" x14ac:dyDescent="0.3">
      <c r="A665" s="65" t="s">
        <v>2344</v>
      </c>
      <c r="B665" s="65" t="s">
        <v>80</v>
      </c>
      <c r="C665" s="65" t="s">
        <v>2058</v>
      </c>
      <c r="D665" s="65" t="s">
        <v>131</v>
      </c>
      <c r="E665" s="65" t="s">
        <v>2345</v>
      </c>
      <c r="F665" s="65" t="b">
        <f>TRUE()</f>
        <v>1</v>
      </c>
      <c r="G665" s="65" t="s">
        <v>598</v>
      </c>
      <c r="H665" s="65" t="s">
        <v>598</v>
      </c>
      <c r="I665" s="66">
        <v>46122</v>
      </c>
      <c r="J665" s="66">
        <v>46210</v>
      </c>
      <c r="K665" s="65">
        <v>88</v>
      </c>
      <c r="L665" s="65" t="s">
        <v>192</v>
      </c>
      <c r="M665" s="65" t="s">
        <v>185</v>
      </c>
      <c r="N665" s="65" t="b">
        <f>FALSE()</f>
        <v>0</v>
      </c>
      <c r="O665" s="65"/>
      <c r="P665" s="65"/>
      <c r="Q665" s="65" t="s">
        <v>236</v>
      </c>
      <c r="R665" s="65" t="s">
        <v>237</v>
      </c>
      <c r="S665" s="65"/>
      <c r="T665" s="65" t="b">
        <f>FALSE()</f>
        <v>0</v>
      </c>
      <c r="U665" s="65" t="b">
        <f>FALSE()</f>
        <v>0</v>
      </c>
      <c r="V665" s="65">
        <v>644</v>
      </c>
      <c r="W665" s="65" t="s">
        <v>2346</v>
      </c>
      <c r="X665" s="65">
        <v>1</v>
      </c>
      <c r="Y665" s="68">
        <v>0.01</v>
      </c>
      <c r="Z665" s="65" t="b">
        <f>FALSE()</f>
        <v>0</v>
      </c>
      <c r="AA665" s="65" t="b">
        <f>TRUE()</f>
        <v>1</v>
      </c>
      <c r="AB665" s="65" t="b">
        <f>FALSE()</f>
        <v>0</v>
      </c>
      <c r="AC665" s="65" t="b">
        <f>TRUE()</f>
        <v>1</v>
      </c>
      <c r="AD665" s="65" t="b">
        <f>FALSE()</f>
        <v>0</v>
      </c>
      <c r="AE665" s="65">
        <v>2</v>
      </c>
      <c r="AF665" s="69">
        <v>28.6</v>
      </c>
      <c r="AG665" s="65" t="s">
        <v>73</v>
      </c>
      <c r="AH665" s="65" t="s">
        <v>2347</v>
      </c>
      <c r="AI665">
        <f>IF(AND(OR(Company_Explorer!$B$5="All Companies",$E665=Company_Explorer!$B$5),OR(Company_Explorer!$B$6="All Platforms",$B665=Company_Explorer!$B$6),OR(Company_Explorer!$B$7="All Roles",$D665=Company_Explorer!$B$7),OR(Company_Explorer!$B$8="All Ghost Labels",$AG665=Company_Explorer!$B$8)),1,0)</f>
        <v>0</v>
      </c>
    </row>
    <row r="666" spans="1:35" ht="15" customHeight="1" x14ac:dyDescent="0.3">
      <c r="A666" s="60" t="s">
        <v>2348</v>
      </c>
      <c r="B666" s="60" t="s">
        <v>80</v>
      </c>
      <c r="C666" s="60" t="s">
        <v>2349</v>
      </c>
      <c r="D666" s="60" t="s">
        <v>131</v>
      </c>
      <c r="E666" s="60" t="s">
        <v>589</v>
      </c>
      <c r="F666" s="60" t="b">
        <f>TRUE()</f>
        <v>1</v>
      </c>
      <c r="G666" s="60" t="s">
        <v>167</v>
      </c>
      <c r="H666" s="60" t="s">
        <v>276</v>
      </c>
      <c r="I666" s="61">
        <v>46155</v>
      </c>
      <c r="J666" s="61">
        <v>46210</v>
      </c>
      <c r="K666" s="60">
        <v>55</v>
      </c>
      <c r="L666" s="60" t="s">
        <v>192</v>
      </c>
      <c r="M666" s="60" t="s">
        <v>185</v>
      </c>
      <c r="N666" s="60" t="b">
        <f>TRUE()</f>
        <v>1</v>
      </c>
      <c r="O666" s="70">
        <v>1000000</v>
      </c>
      <c r="P666" s="70">
        <v>4000000</v>
      </c>
      <c r="Q666" s="60" t="s">
        <v>332</v>
      </c>
      <c r="R666" s="60" t="s">
        <v>237</v>
      </c>
      <c r="S666" s="60"/>
      <c r="T666" s="60" t="b">
        <f>FALSE()</f>
        <v>0</v>
      </c>
      <c r="U666" s="60" t="b">
        <f>FALSE()</f>
        <v>0</v>
      </c>
      <c r="V666" s="60">
        <v>602</v>
      </c>
      <c r="W666" s="62" t="s">
        <v>2350</v>
      </c>
      <c r="X666" s="60">
        <v>6</v>
      </c>
      <c r="Y666" s="63">
        <v>0.04</v>
      </c>
      <c r="Z666" s="60" t="b">
        <f>FALSE()</f>
        <v>0</v>
      </c>
      <c r="AA666" s="60" t="b">
        <f>FALSE()</f>
        <v>0</v>
      </c>
      <c r="AB666" s="60" t="b">
        <f>FALSE()</f>
        <v>0</v>
      </c>
      <c r="AC666" s="60" t="b">
        <f>TRUE()</f>
        <v>1</v>
      </c>
      <c r="AD666" s="60" t="b">
        <f>FALSE()</f>
        <v>0</v>
      </c>
      <c r="AE666" s="60">
        <v>1</v>
      </c>
      <c r="AF666" s="64">
        <v>14.3</v>
      </c>
      <c r="AG666" s="60" t="s">
        <v>74</v>
      </c>
      <c r="AH666" s="60" t="s">
        <v>2351</v>
      </c>
      <c r="AI666">
        <f>IF(AND(OR(Company_Explorer!$B$5="All Companies",$E666=Company_Explorer!$B$5),OR(Company_Explorer!$B$6="All Platforms",$B666=Company_Explorer!$B$6),OR(Company_Explorer!$B$7="All Roles",$D666=Company_Explorer!$B$7),OR(Company_Explorer!$B$8="All Ghost Labels",$AG666=Company_Explorer!$B$8)),1,0)</f>
        <v>0</v>
      </c>
    </row>
    <row r="667" spans="1:35" ht="15" customHeight="1" x14ac:dyDescent="0.3">
      <c r="A667" s="65" t="s">
        <v>2352</v>
      </c>
      <c r="B667" s="65" t="s">
        <v>80</v>
      </c>
      <c r="C667" s="65" t="s">
        <v>2353</v>
      </c>
      <c r="D667" s="65" t="s">
        <v>131</v>
      </c>
      <c r="E667" s="65" t="s">
        <v>2354</v>
      </c>
      <c r="F667" s="65" t="b">
        <f>TRUE()</f>
        <v>1</v>
      </c>
      <c r="G667" s="65" t="s">
        <v>166</v>
      </c>
      <c r="H667" s="65" t="s">
        <v>235</v>
      </c>
      <c r="I667" s="66">
        <v>46042</v>
      </c>
      <c r="J667" s="66">
        <v>46210</v>
      </c>
      <c r="K667" s="65">
        <v>168</v>
      </c>
      <c r="L667" s="65" t="s">
        <v>192</v>
      </c>
      <c r="M667" s="65" t="s">
        <v>185</v>
      </c>
      <c r="N667" s="65" t="b">
        <f>FALSE()</f>
        <v>0</v>
      </c>
      <c r="O667" s="65"/>
      <c r="P667" s="65"/>
      <c r="Q667" s="65" t="s">
        <v>236</v>
      </c>
      <c r="R667" s="65" t="s">
        <v>237</v>
      </c>
      <c r="S667" s="65"/>
      <c r="T667" s="65" t="b">
        <f>FALSE()</f>
        <v>0</v>
      </c>
      <c r="U667" s="65" t="b">
        <f>FALSE()</f>
        <v>0</v>
      </c>
      <c r="V667" s="65">
        <v>462</v>
      </c>
      <c r="W667" s="67" t="s">
        <v>2355</v>
      </c>
      <c r="X667" s="65">
        <v>1</v>
      </c>
      <c r="Y667" s="68">
        <v>0.01</v>
      </c>
      <c r="Z667" s="65" t="b">
        <f>FALSE()</f>
        <v>0</v>
      </c>
      <c r="AA667" s="65" t="b">
        <f>TRUE()</f>
        <v>1</v>
      </c>
      <c r="AB667" s="65" t="b">
        <f>FALSE()</f>
        <v>0</v>
      </c>
      <c r="AC667" s="65" t="b">
        <f>TRUE()</f>
        <v>1</v>
      </c>
      <c r="AD667" s="65" t="b">
        <f>FALSE()</f>
        <v>0</v>
      </c>
      <c r="AE667" s="65">
        <v>2</v>
      </c>
      <c r="AF667" s="69">
        <v>28.6</v>
      </c>
      <c r="AG667" s="65" t="s">
        <v>73</v>
      </c>
      <c r="AH667" s="65" t="s">
        <v>2356</v>
      </c>
      <c r="AI667">
        <f>IF(AND(OR(Company_Explorer!$B$5="All Companies",$E667=Company_Explorer!$B$5),OR(Company_Explorer!$B$6="All Platforms",$B667=Company_Explorer!$B$6),OR(Company_Explorer!$B$7="All Roles",$D667=Company_Explorer!$B$7),OR(Company_Explorer!$B$8="All Ghost Labels",$AG667=Company_Explorer!$B$8)),1,0)</f>
        <v>0</v>
      </c>
    </row>
    <row r="668" spans="1:35" ht="15" customHeight="1" x14ac:dyDescent="0.3">
      <c r="A668" s="60" t="s">
        <v>2357</v>
      </c>
      <c r="B668" s="60" t="s">
        <v>80</v>
      </c>
      <c r="C668" s="60" t="s">
        <v>2358</v>
      </c>
      <c r="D668" s="60" t="s">
        <v>125</v>
      </c>
      <c r="E668" s="60" t="s">
        <v>2359</v>
      </c>
      <c r="F668" s="60" t="b">
        <f>TRUE()</f>
        <v>1</v>
      </c>
      <c r="G668" s="60" t="s">
        <v>168</v>
      </c>
      <c r="H668" s="60" t="s">
        <v>254</v>
      </c>
      <c r="I668" s="61">
        <v>46198</v>
      </c>
      <c r="J668" s="61">
        <v>46210</v>
      </c>
      <c r="K668" s="60">
        <v>12</v>
      </c>
      <c r="L668" s="60" t="s">
        <v>192</v>
      </c>
      <c r="M668" s="60" t="s">
        <v>185</v>
      </c>
      <c r="N668" s="60" t="b">
        <f>FALSE()</f>
        <v>0</v>
      </c>
      <c r="O668" s="60"/>
      <c r="P668" s="60"/>
      <c r="Q668" s="60" t="s">
        <v>236</v>
      </c>
      <c r="R668" s="60" t="s">
        <v>237</v>
      </c>
      <c r="S668" s="60"/>
      <c r="T668" s="60" t="b">
        <f>FALSE()</f>
        <v>0</v>
      </c>
      <c r="U668" s="60" t="b">
        <f>FALSE()</f>
        <v>0</v>
      </c>
      <c r="V668" s="60">
        <v>498</v>
      </c>
      <c r="W668" s="62" t="s">
        <v>2360</v>
      </c>
      <c r="X668" s="60">
        <v>2</v>
      </c>
      <c r="Y668" s="63">
        <v>0.01</v>
      </c>
      <c r="Z668" s="60" t="b">
        <f>FALSE()</f>
        <v>0</v>
      </c>
      <c r="AA668" s="60" t="b">
        <f>TRUE()</f>
        <v>1</v>
      </c>
      <c r="AB668" s="60" t="b">
        <f>FALSE()</f>
        <v>0</v>
      </c>
      <c r="AC668" s="60" t="b">
        <f>FALSE()</f>
        <v>0</v>
      </c>
      <c r="AD668" s="60" t="b">
        <f>FALSE()</f>
        <v>0</v>
      </c>
      <c r="AE668" s="60">
        <v>1</v>
      </c>
      <c r="AF668" s="64">
        <v>14.3</v>
      </c>
      <c r="AG668" s="60" t="s">
        <v>74</v>
      </c>
      <c r="AH668" s="60" t="s">
        <v>2361</v>
      </c>
      <c r="AI668">
        <f>IF(AND(OR(Company_Explorer!$B$5="All Companies",$E668=Company_Explorer!$B$5),OR(Company_Explorer!$B$6="All Platforms",$B668=Company_Explorer!$B$6),OR(Company_Explorer!$B$7="All Roles",$D668=Company_Explorer!$B$7),OR(Company_Explorer!$B$8="All Ghost Labels",$AG668=Company_Explorer!$B$8)),1,0)</f>
        <v>0</v>
      </c>
    </row>
    <row r="669" spans="1:35" ht="15" customHeight="1" x14ac:dyDescent="0.3">
      <c r="A669" s="65" t="s">
        <v>2362</v>
      </c>
      <c r="B669" s="65" t="s">
        <v>80</v>
      </c>
      <c r="C669" s="65" t="s">
        <v>1618</v>
      </c>
      <c r="D669" s="65" t="s">
        <v>125</v>
      </c>
      <c r="E669" s="65" t="s">
        <v>247</v>
      </c>
      <c r="F669" s="65" t="b">
        <f>TRUE()</f>
        <v>1</v>
      </c>
      <c r="G669" s="65" t="s">
        <v>167</v>
      </c>
      <c r="H669" s="65" t="s">
        <v>276</v>
      </c>
      <c r="I669" s="66">
        <v>46205</v>
      </c>
      <c r="J669" s="66">
        <v>46210</v>
      </c>
      <c r="K669" s="65">
        <v>5</v>
      </c>
      <c r="L669" s="65" t="s">
        <v>192</v>
      </c>
      <c r="M669" s="65" t="s">
        <v>185</v>
      </c>
      <c r="N669" s="65" t="b">
        <f>FALSE()</f>
        <v>0</v>
      </c>
      <c r="O669" s="65"/>
      <c r="P669" s="65"/>
      <c r="Q669" s="65" t="s">
        <v>236</v>
      </c>
      <c r="R669" s="65" t="s">
        <v>237</v>
      </c>
      <c r="S669" s="65"/>
      <c r="T669" s="65" t="b">
        <f>FALSE()</f>
        <v>0</v>
      </c>
      <c r="U669" s="65" t="b">
        <f>FALSE()</f>
        <v>0</v>
      </c>
      <c r="V669" s="65">
        <v>693</v>
      </c>
      <c r="W669" s="67" t="s">
        <v>1921</v>
      </c>
      <c r="X669" s="65">
        <v>9</v>
      </c>
      <c r="Y669" s="68">
        <v>0.06</v>
      </c>
      <c r="Z669" s="65" t="b">
        <f>FALSE()</f>
        <v>0</v>
      </c>
      <c r="AA669" s="65" t="b">
        <f>TRUE()</f>
        <v>1</v>
      </c>
      <c r="AB669" s="65" t="b">
        <f>FALSE()</f>
        <v>0</v>
      </c>
      <c r="AC669" s="65" t="b">
        <f>FALSE()</f>
        <v>0</v>
      </c>
      <c r="AD669" s="65" t="b">
        <f>FALSE()</f>
        <v>0</v>
      </c>
      <c r="AE669" s="65">
        <v>1</v>
      </c>
      <c r="AF669" s="69">
        <v>14.3</v>
      </c>
      <c r="AG669" s="65" t="s">
        <v>74</v>
      </c>
      <c r="AH669" s="65" t="s">
        <v>2363</v>
      </c>
      <c r="AI669">
        <f>IF(AND(OR(Company_Explorer!$B$5="All Companies",$E669=Company_Explorer!$B$5),OR(Company_Explorer!$B$6="All Platforms",$B669=Company_Explorer!$B$6),OR(Company_Explorer!$B$7="All Roles",$D669=Company_Explorer!$B$7),OR(Company_Explorer!$B$8="All Ghost Labels",$AG669=Company_Explorer!$B$8)),1,0)</f>
        <v>0</v>
      </c>
    </row>
    <row r="670" spans="1:35" ht="15" customHeight="1" x14ac:dyDescent="0.3">
      <c r="A670" s="60" t="s">
        <v>2364</v>
      </c>
      <c r="B670" s="60" t="s">
        <v>80</v>
      </c>
      <c r="C670" s="60" t="s">
        <v>2365</v>
      </c>
      <c r="D670" s="60" t="s">
        <v>130</v>
      </c>
      <c r="E670" s="60" t="s">
        <v>2366</v>
      </c>
      <c r="F670" s="60" t="b">
        <f>TRUE()</f>
        <v>1</v>
      </c>
      <c r="G670" s="60" t="s">
        <v>166</v>
      </c>
      <c r="H670" s="60" t="s">
        <v>235</v>
      </c>
      <c r="I670" s="61">
        <v>46184</v>
      </c>
      <c r="J670" s="61">
        <v>46210</v>
      </c>
      <c r="K670" s="60">
        <v>26</v>
      </c>
      <c r="L670" s="60" t="s">
        <v>192</v>
      </c>
      <c r="M670" s="60" t="s">
        <v>184</v>
      </c>
      <c r="N670" s="60" t="b">
        <f>FALSE()</f>
        <v>0</v>
      </c>
      <c r="O670" s="60"/>
      <c r="P670" s="60"/>
      <c r="Q670" s="60" t="s">
        <v>236</v>
      </c>
      <c r="R670" s="60" t="s">
        <v>237</v>
      </c>
      <c r="S670" s="60"/>
      <c r="T670" s="60" t="b">
        <f>FALSE()</f>
        <v>0</v>
      </c>
      <c r="U670" s="60" t="b">
        <f>FALSE()</f>
        <v>0</v>
      </c>
      <c r="V670" s="60">
        <v>341</v>
      </c>
      <c r="W670" s="62" t="s">
        <v>2367</v>
      </c>
      <c r="X670" s="60">
        <v>1</v>
      </c>
      <c r="Y670" s="63">
        <v>0.01</v>
      </c>
      <c r="Z670" s="60" t="b">
        <f>FALSE()</f>
        <v>0</v>
      </c>
      <c r="AA670" s="60" t="b">
        <f>TRUE()</f>
        <v>1</v>
      </c>
      <c r="AB670" s="60" t="b">
        <f>FALSE()</f>
        <v>0</v>
      </c>
      <c r="AC670" s="60" t="b">
        <f>TRUE()</f>
        <v>1</v>
      </c>
      <c r="AD670" s="60" t="b">
        <f>FALSE()</f>
        <v>0</v>
      </c>
      <c r="AE670" s="60">
        <v>2</v>
      </c>
      <c r="AF670" s="64">
        <v>28.6</v>
      </c>
      <c r="AG670" s="60" t="s">
        <v>73</v>
      </c>
      <c r="AH670" s="60" t="s">
        <v>2368</v>
      </c>
      <c r="AI670">
        <f>IF(AND(OR(Company_Explorer!$B$5="All Companies",$E670=Company_Explorer!$B$5),OR(Company_Explorer!$B$6="All Platforms",$B670=Company_Explorer!$B$6),OR(Company_Explorer!$B$7="All Roles",$D670=Company_Explorer!$B$7),OR(Company_Explorer!$B$8="All Ghost Labels",$AG670=Company_Explorer!$B$8)),1,0)</f>
        <v>0</v>
      </c>
    </row>
    <row r="671" spans="1:35" ht="15" customHeight="1" x14ac:dyDescent="0.3">
      <c r="A671" s="65" t="s">
        <v>2369</v>
      </c>
      <c r="B671" s="65" t="s">
        <v>80</v>
      </c>
      <c r="C671" s="65" t="s">
        <v>2028</v>
      </c>
      <c r="D671" s="65" t="s">
        <v>125</v>
      </c>
      <c r="E671" s="65" t="s">
        <v>2029</v>
      </c>
      <c r="F671" s="65" t="b">
        <f>TRUE()</f>
        <v>1</v>
      </c>
      <c r="G671" s="65" t="s">
        <v>2370</v>
      </c>
      <c r="H671" s="65" t="s">
        <v>235</v>
      </c>
      <c r="I671" s="66">
        <v>46056</v>
      </c>
      <c r="J671" s="66">
        <v>46210</v>
      </c>
      <c r="K671" s="65">
        <v>154</v>
      </c>
      <c r="L671" s="65" t="s">
        <v>192</v>
      </c>
      <c r="M671" s="65" t="s">
        <v>187</v>
      </c>
      <c r="N671" s="65" t="b">
        <f>FALSE()</f>
        <v>0</v>
      </c>
      <c r="O671" s="65"/>
      <c r="P671" s="65"/>
      <c r="Q671" s="65" t="s">
        <v>236</v>
      </c>
      <c r="R671" s="65" t="s">
        <v>237</v>
      </c>
      <c r="S671" s="65"/>
      <c r="T671" s="65" t="b">
        <f>FALSE()</f>
        <v>0</v>
      </c>
      <c r="U671" s="65" t="b">
        <f>FALSE()</f>
        <v>0</v>
      </c>
      <c r="V671" s="65">
        <v>133</v>
      </c>
      <c r="W671" s="67" t="s">
        <v>2031</v>
      </c>
      <c r="X671" s="65">
        <v>3</v>
      </c>
      <c r="Y671" s="68">
        <v>0.02</v>
      </c>
      <c r="Z671" s="65" t="b">
        <f>FALSE()</f>
        <v>0</v>
      </c>
      <c r="AA671" s="65" t="b">
        <f>TRUE()</f>
        <v>1</v>
      </c>
      <c r="AB671" s="65" t="b">
        <f>TRUE()</f>
        <v>1</v>
      </c>
      <c r="AC671" s="65" t="b">
        <f>TRUE()</f>
        <v>1</v>
      </c>
      <c r="AD671" s="65" t="b">
        <f>FALSE()</f>
        <v>0</v>
      </c>
      <c r="AE671" s="65">
        <v>3</v>
      </c>
      <c r="AF671" s="69">
        <v>42.9</v>
      </c>
      <c r="AG671" s="65" t="s">
        <v>73</v>
      </c>
      <c r="AH671" s="65" t="s">
        <v>2371</v>
      </c>
      <c r="AI671">
        <f>IF(AND(OR(Company_Explorer!$B$5="All Companies",$E671=Company_Explorer!$B$5),OR(Company_Explorer!$B$6="All Platforms",$B671=Company_Explorer!$B$6),OR(Company_Explorer!$B$7="All Roles",$D671=Company_Explorer!$B$7),OR(Company_Explorer!$B$8="All Ghost Labels",$AG671=Company_Explorer!$B$8)),1,0)</f>
        <v>0</v>
      </c>
    </row>
    <row r="672" spans="1:35" ht="15" customHeight="1" x14ac:dyDescent="0.3">
      <c r="A672" s="60" t="s">
        <v>2372</v>
      </c>
      <c r="B672" s="60" t="s">
        <v>80</v>
      </c>
      <c r="C672" s="60" t="s">
        <v>130</v>
      </c>
      <c r="D672" s="60" t="s">
        <v>130</v>
      </c>
      <c r="E672" s="60" t="s">
        <v>141</v>
      </c>
      <c r="F672" s="60" t="b">
        <f>TRUE()</f>
        <v>1</v>
      </c>
      <c r="G672" s="60" t="s">
        <v>166</v>
      </c>
      <c r="H672" s="60" t="s">
        <v>235</v>
      </c>
      <c r="I672" s="61">
        <v>46198</v>
      </c>
      <c r="J672" s="61">
        <v>46210</v>
      </c>
      <c r="K672" s="60">
        <v>12</v>
      </c>
      <c r="L672" s="60" t="s">
        <v>192</v>
      </c>
      <c r="M672" s="60" t="s">
        <v>184</v>
      </c>
      <c r="N672" s="60" t="b">
        <f>FALSE()</f>
        <v>0</v>
      </c>
      <c r="O672" s="60"/>
      <c r="P672" s="60"/>
      <c r="Q672" s="60" t="s">
        <v>236</v>
      </c>
      <c r="R672" s="60" t="s">
        <v>237</v>
      </c>
      <c r="S672" s="60"/>
      <c r="T672" s="60" t="b">
        <f>FALSE()</f>
        <v>0</v>
      </c>
      <c r="U672" s="60" t="b">
        <f>FALSE()</f>
        <v>0</v>
      </c>
      <c r="V672" s="60">
        <v>321</v>
      </c>
      <c r="W672" s="62" t="s">
        <v>861</v>
      </c>
      <c r="X672" s="60">
        <v>429</v>
      </c>
      <c r="Y672" s="63">
        <v>2.66</v>
      </c>
      <c r="Z672" s="60" t="b">
        <f>FALSE()</f>
        <v>0</v>
      </c>
      <c r="AA672" s="60" t="b">
        <f>TRUE()</f>
        <v>1</v>
      </c>
      <c r="AB672" s="60" t="b">
        <f>FALSE()</f>
        <v>0</v>
      </c>
      <c r="AC672" s="60" t="b">
        <f>FALSE()</f>
        <v>0</v>
      </c>
      <c r="AD672" s="60" t="b">
        <f>TRUE()</f>
        <v>1</v>
      </c>
      <c r="AE672" s="60">
        <v>3</v>
      </c>
      <c r="AF672" s="64">
        <v>42.9</v>
      </c>
      <c r="AG672" s="60" t="s">
        <v>73</v>
      </c>
      <c r="AH672" s="60" t="s">
        <v>2373</v>
      </c>
      <c r="AI672">
        <f>IF(AND(OR(Company_Explorer!$B$5="All Companies",$E672=Company_Explorer!$B$5),OR(Company_Explorer!$B$6="All Platforms",$B672=Company_Explorer!$B$6),OR(Company_Explorer!$B$7="All Roles",$D672=Company_Explorer!$B$7),OR(Company_Explorer!$B$8="All Ghost Labels",$AG672=Company_Explorer!$B$8)),1,0)</f>
        <v>0</v>
      </c>
    </row>
    <row r="673" spans="1:35" ht="15" customHeight="1" x14ac:dyDescent="0.3">
      <c r="A673" s="65" t="s">
        <v>2374</v>
      </c>
      <c r="B673" s="65" t="s">
        <v>80</v>
      </c>
      <c r="C673" s="65" t="s">
        <v>345</v>
      </c>
      <c r="D673" s="65" t="s">
        <v>125</v>
      </c>
      <c r="E673" s="65" t="s">
        <v>2375</v>
      </c>
      <c r="F673" s="65" t="b">
        <f>TRUE()</f>
        <v>1</v>
      </c>
      <c r="G673" s="65" t="s">
        <v>174</v>
      </c>
      <c r="H673" s="65" t="s">
        <v>302</v>
      </c>
      <c r="I673" s="66">
        <v>46191</v>
      </c>
      <c r="J673" s="66">
        <v>46210</v>
      </c>
      <c r="K673" s="65">
        <v>19</v>
      </c>
      <c r="L673" s="65" t="s">
        <v>192</v>
      </c>
      <c r="M673" s="65" t="s">
        <v>186</v>
      </c>
      <c r="N673" s="65" t="b">
        <f>FALSE()</f>
        <v>0</v>
      </c>
      <c r="O673" s="65"/>
      <c r="P673" s="65"/>
      <c r="Q673" s="65" t="s">
        <v>236</v>
      </c>
      <c r="R673" s="65" t="s">
        <v>237</v>
      </c>
      <c r="S673" s="65"/>
      <c r="T673" s="65" t="b">
        <f>FALSE()</f>
        <v>0</v>
      </c>
      <c r="U673" s="65" t="b">
        <f>FALSE()</f>
        <v>0</v>
      </c>
      <c r="V673" s="65">
        <v>306</v>
      </c>
      <c r="W673" s="67" t="s">
        <v>2376</v>
      </c>
      <c r="X673" s="65">
        <v>1</v>
      </c>
      <c r="Y673" s="68">
        <v>0.01</v>
      </c>
      <c r="Z673" s="65" t="b">
        <f>FALSE()</f>
        <v>0</v>
      </c>
      <c r="AA673" s="65" t="b">
        <f>TRUE()</f>
        <v>1</v>
      </c>
      <c r="AB673" s="65" t="b">
        <f>FALSE()</f>
        <v>0</v>
      </c>
      <c r="AC673" s="65" t="b">
        <f>TRUE()</f>
        <v>1</v>
      </c>
      <c r="AD673" s="65" t="b">
        <f>FALSE()</f>
        <v>0</v>
      </c>
      <c r="AE673" s="65">
        <v>2</v>
      </c>
      <c r="AF673" s="69">
        <v>28.6</v>
      </c>
      <c r="AG673" s="65" t="s">
        <v>73</v>
      </c>
      <c r="AH673" s="65" t="s">
        <v>2377</v>
      </c>
      <c r="AI673">
        <f>IF(AND(OR(Company_Explorer!$B$5="All Companies",$E673=Company_Explorer!$B$5),OR(Company_Explorer!$B$6="All Platforms",$B673=Company_Explorer!$B$6),OR(Company_Explorer!$B$7="All Roles",$D673=Company_Explorer!$B$7),OR(Company_Explorer!$B$8="All Ghost Labels",$AG673=Company_Explorer!$B$8)),1,0)</f>
        <v>0</v>
      </c>
    </row>
    <row r="674" spans="1:35" ht="15" customHeight="1" x14ac:dyDescent="0.3">
      <c r="A674" s="60" t="s">
        <v>2378</v>
      </c>
      <c r="B674" s="60" t="s">
        <v>80</v>
      </c>
      <c r="C674" s="60" t="s">
        <v>2379</v>
      </c>
      <c r="D674" s="60" t="s">
        <v>131</v>
      </c>
      <c r="E674" s="60" t="s">
        <v>2380</v>
      </c>
      <c r="F674" s="60" t="b">
        <f>TRUE()</f>
        <v>1</v>
      </c>
      <c r="G674" s="60" t="s">
        <v>2381</v>
      </c>
      <c r="H674" s="60" t="s">
        <v>2066</v>
      </c>
      <c r="I674" s="61">
        <v>46190</v>
      </c>
      <c r="J674" s="61">
        <v>46210</v>
      </c>
      <c r="K674" s="60">
        <v>20</v>
      </c>
      <c r="L674" s="60" t="s">
        <v>192</v>
      </c>
      <c r="M674" s="60" t="s">
        <v>184</v>
      </c>
      <c r="N674" s="60" t="b">
        <f>FALSE()</f>
        <v>0</v>
      </c>
      <c r="O674" s="60"/>
      <c r="P674" s="60"/>
      <c r="Q674" s="60" t="s">
        <v>236</v>
      </c>
      <c r="R674" s="60" t="s">
        <v>237</v>
      </c>
      <c r="S674" s="60"/>
      <c r="T674" s="60" t="b">
        <f>FALSE()</f>
        <v>0</v>
      </c>
      <c r="U674" s="60" t="b">
        <f>FALSE()</f>
        <v>0</v>
      </c>
      <c r="V674" s="60">
        <v>333</v>
      </c>
      <c r="W674" s="62" t="s">
        <v>2382</v>
      </c>
      <c r="X674" s="60">
        <v>1</v>
      </c>
      <c r="Y674" s="63">
        <v>0.01</v>
      </c>
      <c r="Z674" s="60" t="b">
        <f>FALSE()</f>
        <v>0</v>
      </c>
      <c r="AA674" s="60" t="b">
        <f>TRUE()</f>
        <v>1</v>
      </c>
      <c r="AB674" s="60" t="b">
        <f>FALSE()</f>
        <v>0</v>
      </c>
      <c r="AC674" s="60" t="b">
        <f>TRUE()</f>
        <v>1</v>
      </c>
      <c r="AD674" s="60" t="b">
        <f>FALSE()</f>
        <v>0</v>
      </c>
      <c r="AE674" s="60">
        <v>2</v>
      </c>
      <c r="AF674" s="64">
        <v>28.6</v>
      </c>
      <c r="AG674" s="60" t="s">
        <v>73</v>
      </c>
      <c r="AH674" s="60" t="s">
        <v>2383</v>
      </c>
      <c r="AI674">
        <f>IF(AND(OR(Company_Explorer!$B$5="All Companies",$E674=Company_Explorer!$B$5),OR(Company_Explorer!$B$6="All Platforms",$B674=Company_Explorer!$B$6),OR(Company_Explorer!$B$7="All Roles",$D674=Company_Explorer!$B$7),OR(Company_Explorer!$B$8="All Ghost Labels",$AG674=Company_Explorer!$B$8)),1,0)</f>
        <v>0</v>
      </c>
    </row>
    <row r="675" spans="1:35" ht="15" customHeight="1" x14ac:dyDescent="0.3">
      <c r="A675" s="65" t="s">
        <v>2384</v>
      </c>
      <c r="B675" s="65" t="s">
        <v>80</v>
      </c>
      <c r="C675" s="65" t="s">
        <v>2248</v>
      </c>
      <c r="D675" s="65" t="s">
        <v>125</v>
      </c>
      <c r="E675" s="65" t="s">
        <v>970</v>
      </c>
      <c r="F675" s="65" t="b">
        <f>TRUE()</f>
        <v>1</v>
      </c>
      <c r="G675" s="65" t="s">
        <v>2385</v>
      </c>
      <c r="H675" s="65" t="s">
        <v>178</v>
      </c>
      <c r="I675" s="66">
        <v>46207</v>
      </c>
      <c r="J675" s="66">
        <v>46210</v>
      </c>
      <c r="K675" s="65">
        <v>3</v>
      </c>
      <c r="L675" s="65" t="s">
        <v>192</v>
      </c>
      <c r="M675" s="65" t="s">
        <v>185</v>
      </c>
      <c r="N675" s="65" t="b">
        <f>FALSE()</f>
        <v>0</v>
      </c>
      <c r="O675" s="65"/>
      <c r="P675" s="65"/>
      <c r="Q675" s="65" t="s">
        <v>236</v>
      </c>
      <c r="R675" s="65" t="s">
        <v>237</v>
      </c>
      <c r="S675" s="65"/>
      <c r="T675" s="65" t="b">
        <f>FALSE()</f>
        <v>0</v>
      </c>
      <c r="U675" s="65" t="b">
        <f>FALSE()</f>
        <v>0</v>
      </c>
      <c r="V675" s="65">
        <v>191</v>
      </c>
      <c r="W675" s="65" t="s">
        <v>2386</v>
      </c>
      <c r="X675" s="65">
        <v>3</v>
      </c>
      <c r="Y675" s="68">
        <v>0.02</v>
      </c>
      <c r="Z675" s="65" t="b">
        <f>FALSE()</f>
        <v>0</v>
      </c>
      <c r="AA675" s="65" t="b">
        <f>TRUE()</f>
        <v>1</v>
      </c>
      <c r="AB675" s="65" t="b">
        <f>TRUE()</f>
        <v>1</v>
      </c>
      <c r="AC675" s="65" t="b">
        <f>FALSE()</f>
        <v>0</v>
      </c>
      <c r="AD675" s="65" t="b">
        <f>FALSE()</f>
        <v>0</v>
      </c>
      <c r="AE675" s="65">
        <v>2</v>
      </c>
      <c r="AF675" s="69">
        <v>28.6</v>
      </c>
      <c r="AG675" s="65" t="s">
        <v>73</v>
      </c>
      <c r="AH675" s="65" t="s">
        <v>2387</v>
      </c>
      <c r="AI675">
        <f>IF(AND(OR(Company_Explorer!$B$5="All Companies",$E675=Company_Explorer!$B$5),OR(Company_Explorer!$B$6="All Platforms",$B675=Company_Explorer!$B$6),OR(Company_Explorer!$B$7="All Roles",$D675=Company_Explorer!$B$7),OR(Company_Explorer!$B$8="All Ghost Labels",$AG675=Company_Explorer!$B$8)),1,0)</f>
        <v>0</v>
      </c>
    </row>
    <row r="676" spans="1:35" ht="15" customHeight="1" x14ac:dyDescent="0.3">
      <c r="A676" s="60" t="s">
        <v>2388</v>
      </c>
      <c r="B676" s="60" t="s">
        <v>80</v>
      </c>
      <c r="C676" s="60" t="s">
        <v>2389</v>
      </c>
      <c r="D676" s="60" t="s">
        <v>131</v>
      </c>
      <c r="E676" s="60" t="s">
        <v>2390</v>
      </c>
      <c r="F676" s="60" t="b">
        <f>TRUE()</f>
        <v>1</v>
      </c>
      <c r="G676" s="60" t="s">
        <v>462</v>
      </c>
      <c r="H676" s="60" t="s">
        <v>254</v>
      </c>
      <c r="I676" s="61">
        <v>46209</v>
      </c>
      <c r="J676" s="61">
        <v>46210</v>
      </c>
      <c r="K676" s="60">
        <v>1</v>
      </c>
      <c r="L676" s="60" t="s">
        <v>192</v>
      </c>
      <c r="M676" s="60" t="s">
        <v>185</v>
      </c>
      <c r="N676" s="60" t="b">
        <f>FALSE()</f>
        <v>0</v>
      </c>
      <c r="O676" s="60"/>
      <c r="P676" s="60"/>
      <c r="Q676" s="60" t="s">
        <v>236</v>
      </c>
      <c r="R676" s="60" t="s">
        <v>237</v>
      </c>
      <c r="S676" s="60"/>
      <c r="T676" s="60" t="b">
        <f>FALSE()</f>
        <v>0</v>
      </c>
      <c r="U676" s="60" t="b">
        <f>FALSE()</f>
        <v>0</v>
      </c>
      <c r="V676" s="60">
        <v>240</v>
      </c>
      <c r="W676" s="62" t="s">
        <v>2391</v>
      </c>
      <c r="X676" s="60">
        <v>1</v>
      </c>
      <c r="Y676" s="63">
        <v>0.01</v>
      </c>
      <c r="Z676" s="60" t="b">
        <f>FALSE()</f>
        <v>0</v>
      </c>
      <c r="AA676" s="60" t="b">
        <f>TRUE()</f>
        <v>1</v>
      </c>
      <c r="AB676" s="60" t="b">
        <f>TRUE()</f>
        <v>1</v>
      </c>
      <c r="AC676" s="60" t="b">
        <f>FALSE()</f>
        <v>0</v>
      </c>
      <c r="AD676" s="60" t="b">
        <f>FALSE()</f>
        <v>0</v>
      </c>
      <c r="AE676" s="60">
        <v>2</v>
      </c>
      <c r="AF676" s="64">
        <v>28.6</v>
      </c>
      <c r="AG676" s="60" t="s">
        <v>73</v>
      </c>
      <c r="AH676" s="60" t="s">
        <v>2392</v>
      </c>
      <c r="AI676">
        <f>IF(AND(OR(Company_Explorer!$B$5="All Companies",$E676=Company_Explorer!$B$5),OR(Company_Explorer!$B$6="All Platforms",$B676=Company_Explorer!$B$6),OR(Company_Explorer!$B$7="All Roles",$D676=Company_Explorer!$B$7),OR(Company_Explorer!$B$8="All Ghost Labels",$AG676=Company_Explorer!$B$8)),1,0)</f>
        <v>0</v>
      </c>
    </row>
    <row r="677" spans="1:35" ht="15" customHeight="1" x14ac:dyDescent="0.3">
      <c r="A677" s="65" t="s">
        <v>2393</v>
      </c>
      <c r="B677" s="65" t="s">
        <v>80</v>
      </c>
      <c r="C677" s="65" t="s">
        <v>2349</v>
      </c>
      <c r="D677" s="65" t="s">
        <v>131</v>
      </c>
      <c r="E677" s="65" t="s">
        <v>2279</v>
      </c>
      <c r="F677" s="65" t="b">
        <f>TRUE()</f>
        <v>1</v>
      </c>
      <c r="G677" s="65" t="s">
        <v>167</v>
      </c>
      <c r="H677" s="65" t="s">
        <v>276</v>
      </c>
      <c r="I677" s="66">
        <v>46142</v>
      </c>
      <c r="J677" s="66">
        <v>46210</v>
      </c>
      <c r="K677" s="65">
        <v>68</v>
      </c>
      <c r="L677" s="65" t="s">
        <v>192</v>
      </c>
      <c r="M677" s="65" t="s">
        <v>184</v>
      </c>
      <c r="N677" s="65" t="b">
        <f>TRUE()</f>
        <v>1</v>
      </c>
      <c r="O677" s="71">
        <v>350000</v>
      </c>
      <c r="P677" s="71">
        <v>1000000</v>
      </c>
      <c r="Q677" s="65" t="s">
        <v>332</v>
      </c>
      <c r="R677" s="65" t="s">
        <v>237</v>
      </c>
      <c r="S677" s="65"/>
      <c r="T677" s="65" t="b">
        <f>FALSE()</f>
        <v>0</v>
      </c>
      <c r="U677" s="65" t="b">
        <f>FALSE()</f>
        <v>0</v>
      </c>
      <c r="V677" s="65">
        <v>415</v>
      </c>
      <c r="W677" s="67" t="s">
        <v>2394</v>
      </c>
      <c r="X677" s="65">
        <v>3</v>
      </c>
      <c r="Y677" s="68">
        <v>0.02</v>
      </c>
      <c r="Z677" s="65" t="b">
        <f>FALSE()</f>
        <v>0</v>
      </c>
      <c r="AA677" s="65" t="b">
        <f>FALSE()</f>
        <v>0</v>
      </c>
      <c r="AB677" s="65" t="b">
        <f>FALSE()</f>
        <v>0</v>
      </c>
      <c r="AC677" s="65" t="b">
        <f>TRUE()</f>
        <v>1</v>
      </c>
      <c r="AD677" s="65" t="b">
        <f>FALSE()</f>
        <v>0</v>
      </c>
      <c r="AE677" s="65">
        <v>1</v>
      </c>
      <c r="AF677" s="69">
        <v>14.3</v>
      </c>
      <c r="AG677" s="65" t="s">
        <v>74</v>
      </c>
      <c r="AH677" s="65" t="s">
        <v>2395</v>
      </c>
      <c r="AI677">
        <f>IF(AND(OR(Company_Explorer!$B$5="All Companies",$E677=Company_Explorer!$B$5),OR(Company_Explorer!$B$6="All Platforms",$B677=Company_Explorer!$B$6),OR(Company_Explorer!$B$7="All Roles",$D677=Company_Explorer!$B$7),OR(Company_Explorer!$B$8="All Ghost Labels",$AG677=Company_Explorer!$B$8)),1,0)</f>
        <v>0</v>
      </c>
    </row>
    <row r="678" spans="1:35" ht="15" customHeight="1" x14ac:dyDescent="0.3">
      <c r="A678" s="60" t="s">
        <v>2396</v>
      </c>
      <c r="B678" s="60" t="s">
        <v>80</v>
      </c>
      <c r="C678" s="60" t="s">
        <v>306</v>
      </c>
      <c r="D678" s="60" t="s">
        <v>125</v>
      </c>
      <c r="E678" s="60" t="s">
        <v>141</v>
      </c>
      <c r="F678" s="60" t="b">
        <f>TRUE()</f>
        <v>1</v>
      </c>
      <c r="G678" s="60" t="s">
        <v>167</v>
      </c>
      <c r="H678" s="60" t="s">
        <v>276</v>
      </c>
      <c r="I678" s="61">
        <v>46198</v>
      </c>
      <c r="J678" s="61">
        <v>46210</v>
      </c>
      <c r="K678" s="60">
        <v>12</v>
      </c>
      <c r="L678" s="60" t="s">
        <v>192</v>
      </c>
      <c r="M678" s="60" t="s">
        <v>184</v>
      </c>
      <c r="N678" s="60" t="b">
        <f>FALSE()</f>
        <v>0</v>
      </c>
      <c r="O678" s="60"/>
      <c r="P678" s="60"/>
      <c r="Q678" s="60" t="s">
        <v>236</v>
      </c>
      <c r="R678" s="60" t="s">
        <v>237</v>
      </c>
      <c r="S678" s="60"/>
      <c r="T678" s="60" t="b">
        <f>FALSE()</f>
        <v>0</v>
      </c>
      <c r="U678" s="60" t="b">
        <f>FALSE()</f>
        <v>0</v>
      </c>
      <c r="V678" s="60">
        <v>331</v>
      </c>
      <c r="W678" s="62" t="s">
        <v>610</v>
      </c>
      <c r="X678" s="60">
        <v>429</v>
      </c>
      <c r="Y678" s="63">
        <v>2.66</v>
      </c>
      <c r="Z678" s="60" t="b">
        <f>FALSE()</f>
        <v>0</v>
      </c>
      <c r="AA678" s="60" t="b">
        <f>TRUE()</f>
        <v>1</v>
      </c>
      <c r="AB678" s="60" t="b">
        <f>FALSE()</f>
        <v>0</v>
      </c>
      <c r="AC678" s="60" t="b">
        <f>FALSE()</f>
        <v>0</v>
      </c>
      <c r="AD678" s="60" t="b">
        <f>TRUE()</f>
        <v>1</v>
      </c>
      <c r="AE678" s="60">
        <v>3</v>
      </c>
      <c r="AF678" s="64">
        <v>42.9</v>
      </c>
      <c r="AG678" s="60" t="s">
        <v>73</v>
      </c>
      <c r="AH678" s="60" t="s">
        <v>2397</v>
      </c>
      <c r="AI678">
        <f>IF(AND(OR(Company_Explorer!$B$5="All Companies",$E678=Company_Explorer!$B$5),OR(Company_Explorer!$B$6="All Platforms",$B678=Company_Explorer!$B$6),OR(Company_Explorer!$B$7="All Roles",$D678=Company_Explorer!$B$7),OR(Company_Explorer!$B$8="All Ghost Labels",$AG678=Company_Explorer!$B$8)),1,0)</f>
        <v>0</v>
      </c>
    </row>
    <row r="679" spans="1:35" ht="15" customHeight="1" x14ac:dyDescent="0.3">
      <c r="A679" s="65" t="s">
        <v>2398</v>
      </c>
      <c r="B679" s="65" t="s">
        <v>80</v>
      </c>
      <c r="C679" s="65" t="s">
        <v>2399</v>
      </c>
      <c r="D679" s="65" t="s">
        <v>131</v>
      </c>
      <c r="E679" s="65" t="s">
        <v>2400</v>
      </c>
      <c r="F679" s="65" t="b">
        <f>TRUE()</f>
        <v>1</v>
      </c>
      <c r="G679" s="65" t="s">
        <v>166</v>
      </c>
      <c r="H679" s="65" t="s">
        <v>235</v>
      </c>
      <c r="I679" s="66">
        <v>46191</v>
      </c>
      <c r="J679" s="66">
        <v>46210</v>
      </c>
      <c r="K679" s="65">
        <v>19</v>
      </c>
      <c r="L679" s="65" t="s">
        <v>192</v>
      </c>
      <c r="M679" s="65" t="s">
        <v>185</v>
      </c>
      <c r="N679" s="65" t="b">
        <f>FALSE()</f>
        <v>0</v>
      </c>
      <c r="O679" s="65"/>
      <c r="P679" s="65"/>
      <c r="Q679" s="65" t="s">
        <v>236</v>
      </c>
      <c r="R679" s="65" t="s">
        <v>237</v>
      </c>
      <c r="S679" s="65"/>
      <c r="T679" s="65" t="b">
        <f>FALSE()</f>
        <v>0</v>
      </c>
      <c r="U679" s="65" t="b">
        <f>FALSE()</f>
        <v>0</v>
      </c>
      <c r="V679" s="65">
        <v>482</v>
      </c>
      <c r="W679" s="67" t="s">
        <v>2401</v>
      </c>
      <c r="X679" s="65">
        <v>1</v>
      </c>
      <c r="Y679" s="68">
        <v>0.01</v>
      </c>
      <c r="Z679" s="65" t="b">
        <f>FALSE()</f>
        <v>0</v>
      </c>
      <c r="AA679" s="65" t="b">
        <f>TRUE()</f>
        <v>1</v>
      </c>
      <c r="AB679" s="65" t="b">
        <f>FALSE()</f>
        <v>0</v>
      </c>
      <c r="AC679" s="65" t="b">
        <f>TRUE()</f>
        <v>1</v>
      </c>
      <c r="AD679" s="65" t="b">
        <f>FALSE()</f>
        <v>0</v>
      </c>
      <c r="AE679" s="65">
        <v>2</v>
      </c>
      <c r="AF679" s="69">
        <v>28.6</v>
      </c>
      <c r="AG679" s="65" t="s">
        <v>73</v>
      </c>
      <c r="AH679" s="65" t="s">
        <v>2402</v>
      </c>
      <c r="AI679">
        <f>IF(AND(OR(Company_Explorer!$B$5="All Companies",$E679=Company_Explorer!$B$5),OR(Company_Explorer!$B$6="All Platforms",$B679=Company_Explorer!$B$6),OR(Company_Explorer!$B$7="All Roles",$D679=Company_Explorer!$B$7),OR(Company_Explorer!$B$8="All Ghost Labels",$AG679=Company_Explorer!$B$8)),1,0)</f>
        <v>0</v>
      </c>
    </row>
    <row r="680" spans="1:35" ht="15" customHeight="1" x14ac:dyDescent="0.3">
      <c r="A680" s="60" t="s">
        <v>2403</v>
      </c>
      <c r="B680" s="60" t="s">
        <v>80</v>
      </c>
      <c r="C680" s="60" t="s">
        <v>2404</v>
      </c>
      <c r="D680" s="60" t="s">
        <v>130</v>
      </c>
      <c r="E680" s="60" t="s">
        <v>2405</v>
      </c>
      <c r="F680" s="60" t="b">
        <f>TRUE()</f>
        <v>1</v>
      </c>
      <c r="G680" s="60" t="s">
        <v>168</v>
      </c>
      <c r="H680" s="60" t="s">
        <v>254</v>
      </c>
      <c r="I680" s="61">
        <v>46198</v>
      </c>
      <c r="J680" s="61">
        <v>46210</v>
      </c>
      <c r="K680" s="60">
        <v>12</v>
      </c>
      <c r="L680" s="60" t="s">
        <v>188</v>
      </c>
      <c r="M680" s="60" t="s">
        <v>187</v>
      </c>
      <c r="N680" s="60" t="b">
        <f>TRUE()</f>
        <v>1</v>
      </c>
      <c r="O680" s="70">
        <v>10000</v>
      </c>
      <c r="P680" s="70">
        <v>12000</v>
      </c>
      <c r="Q680" s="60" t="s">
        <v>332</v>
      </c>
      <c r="R680" s="60" t="s">
        <v>237</v>
      </c>
      <c r="S680" s="60"/>
      <c r="T680" s="60" t="b">
        <f>FALSE()</f>
        <v>0</v>
      </c>
      <c r="U680" s="60" t="b">
        <f>FALSE()</f>
        <v>0</v>
      </c>
      <c r="V680" s="60">
        <v>785</v>
      </c>
      <c r="W680" s="62" t="s">
        <v>2406</v>
      </c>
      <c r="X680" s="60">
        <v>1</v>
      </c>
      <c r="Y680" s="63">
        <v>0.01</v>
      </c>
      <c r="Z680" s="60" t="b">
        <f>FALSE()</f>
        <v>0</v>
      </c>
      <c r="AA680" s="60" t="b">
        <f>FALSE()</f>
        <v>0</v>
      </c>
      <c r="AB680" s="60" t="b">
        <f>FALSE()</f>
        <v>0</v>
      </c>
      <c r="AC680" s="60" t="b">
        <f>FALSE()</f>
        <v>0</v>
      </c>
      <c r="AD680" s="60" t="b">
        <f>FALSE()</f>
        <v>0</v>
      </c>
      <c r="AE680" s="60">
        <v>0</v>
      </c>
      <c r="AF680" s="64">
        <v>0</v>
      </c>
      <c r="AG680" s="60" t="s">
        <v>74</v>
      </c>
      <c r="AH680" s="60" t="s">
        <v>2407</v>
      </c>
      <c r="AI680">
        <f>IF(AND(OR(Company_Explorer!$B$5="All Companies",$E680=Company_Explorer!$B$5),OR(Company_Explorer!$B$6="All Platforms",$B680=Company_Explorer!$B$6),OR(Company_Explorer!$B$7="All Roles",$D680=Company_Explorer!$B$7),OR(Company_Explorer!$B$8="All Ghost Labels",$AG680=Company_Explorer!$B$8)),1,0)</f>
        <v>0</v>
      </c>
    </row>
    <row r="681" spans="1:35" ht="15" customHeight="1" x14ac:dyDescent="0.3">
      <c r="A681" s="65" t="s">
        <v>2408</v>
      </c>
      <c r="B681" s="65" t="s">
        <v>80</v>
      </c>
      <c r="C681" s="65" t="s">
        <v>2058</v>
      </c>
      <c r="D681" s="65" t="s">
        <v>131</v>
      </c>
      <c r="E681" s="65" t="s">
        <v>2359</v>
      </c>
      <c r="F681" s="65" t="b">
        <f>TRUE()</f>
        <v>1</v>
      </c>
      <c r="G681" s="65" t="s">
        <v>253</v>
      </c>
      <c r="H681" s="65" t="s">
        <v>254</v>
      </c>
      <c r="I681" s="66">
        <v>46195</v>
      </c>
      <c r="J681" s="66">
        <v>46210</v>
      </c>
      <c r="K681" s="65">
        <v>15</v>
      </c>
      <c r="L681" s="65" t="s">
        <v>192</v>
      </c>
      <c r="M681" s="65" t="s">
        <v>184</v>
      </c>
      <c r="N681" s="65" t="b">
        <f>FALSE()</f>
        <v>0</v>
      </c>
      <c r="O681" s="65"/>
      <c r="P681" s="65"/>
      <c r="Q681" s="65" t="s">
        <v>236</v>
      </c>
      <c r="R681" s="65" t="s">
        <v>237</v>
      </c>
      <c r="S681" s="65"/>
      <c r="T681" s="65" t="b">
        <f>FALSE()</f>
        <v>0</v>
      </c>
      <c r="U681" s="65" t="b">
        <f>FALSE()</f>
        <v>0</v>
      </c>
      <c r="V681" s="65">
        <v>217</v>
      </c>
      <c r="W681" s="67" t="s">
        <v>2409</v>
      </c>
      <c r="X681" s="65">
        <v>2</v>
      </c>
      <c r="Y681" s="68">
        <v>0.01</v>
      </c>
      <c r="Z681" s="65" t="b">
        <f>FALSE()</f>
        <v>0</v>
      </c>
      <c r="AA681" s="65" t="b">
        <f>TRUE()</f>
        <v>1</v>
      </c>
      <c r="AB681" s="65" t="b">
        <f>TRUE()</f>
        <v>1</v>
      </c>
      <c r="AC681" s="65" t="b">
        <f>FALSE()</f>
        <v>0</v>
      </c>
      <c r="AD681" s="65" t="b">
        <f>FALSE()</f>
        <v>0</v>
      </c>
      <c r="AE681" s="65">
        <v>2</v>
      </c>
      <c r="AF681" s="69">
        <v>28.6</v>
      </c>
      <c r="AG681" s="65" t="s">
        <v>73</v>
      </c>
      <c r="AH681" s="65" t="s">
        <v>2410</v>
      </c>
      <c r="AI681">
        <f>IF(AND(OR(Company_Explorer!$B$5="All Companies",$E681=Company_Explorer!$B$5),OR(Company_Explorer!$B$6="All Platforms",$B681=Company_Explorer!$B$6),OR(Company_Explorer!$B$7="All Roles",$D681=Company_Explorer!$B$7),OR(Company_Explorer!$B$8="All Ghost Labels",$AG681=Company_Explorer!$B$8)),1,0)</f>
        <v>0</v>
      </c>
    </row>
    <row r="682" spans="1:35" ht="15" customHeight="1" x14ac:dyDescent="0.3">
      <c r="A682" s="60" t="s">
        <v>2411</v>
      </c>
      <c r="B682" s="60" t="s">
        <v>80</v>
      </c>
      <c r="C682" s="60" t="s">
        <v>2412</v>
      </c>
      <c r="D682" s="60" t="s">
        <v>125</v>
      </c>
      <c r="E682" s="60" t="s">
        <v>149</v>
      </c>
      <c r="F682" s="60" t="b">
        <f>TRUE()</f>
        <v>1</v>
      </c>
      <c r="G682" s="60" t="s">
        <v>168</v>
      </c>
      <c r="H682" s="60" t="s">
        <v>254</v>
      </c>
      <c r="I682" s="61">
        <v>46205</v>
      </c>
      <c r="J682" s="61">
        <v>46210</v>
      </c>
      <c r="K682" s="60">
        <v>5</v>
      </c>
      <c r="L682" s="60" t="s">
        <v>192</v>
      </c>
      <c r="M682" s="60" t="s">
        <v>185</v>
      </c>
      <c r="N682" s="60" t="b">
        <f>FALSE()</f>
        <v>0</v>
      </c>
      <c r="O682" s="60"/>
      <c r="P682" s="60"/>
      <c r="Q682" s="60" t="s">
        <v>236</v>
      </c>
      <c r="R682" s="60" t="s">
        <v>237</v>
      </c>
      <c r="S682" s="60"/>
      <c r="T682" s="60" t="b">
        <f>FALSE()</f>
        <v>0</v>
      </c>
      <c r="U682" s="60" t="b">
        <f>FALSE()</f>
        <v>0</v>
      </c>
      <c r="V682" s="60">
        <v>647</v>
      </c>
      <c r="W682" s="60" t="s">
        <v>2413</v>
      </c>
      <c r="X682" s="60">
        <v>2</v>
      </c>
      <c r="Y682" s="63">
        <v>0.01</v>
      </c>
      <c r="Z682" s="60" t="b">
        <f>FALSE()</f>
        <v>0</v>
      </c>
      <c r="AA682" s="60" t="b">
        <f>TRUE()</f>
        <v>1</v>
      </c>
      <c r="AB682" s="60" t="b">
        <f>FALSE()</f>
        <v>0</v>
      </c>
      <c r="AC682" s="60" t="b">
        <f>FALSE()</f>
        <v>0</v>
      </c>
      <c r="AD682" s="60" t="b">
        <f>FALSE()</f>
        <v>0</v>
      </c>
      <c r="AE682" s="60">
        <v>1</v>
      </c>
      <c r="AF682" s="64">
        <v>14.3</v>
      </c>
      <c r="AG682" s="60" t="s">
        <v>74</v>
      </c>
      <c r="AH682" s="60" t="s">
        <v>2414</v>
      </c>
      <c r="AI682">
        <f>IF(AND(OR(Company_Explorer!$B$5="All Companies",$E682=Company_Explorer!$B$5),OR(Company_Explorer!$B$6="All Platforms",$B682=Company_Explorer!$B$6),OR(Company_Explorer!$B$7="All Roles",$D682=Company_Explorer!$B$7),OR(Company_Explorer!$B$8="All Ghost Labels",$AG682=Company_Explorer!$B$8)),1,0)</f>
        <v>0</v>
      </c>
    </row>
    <row r="683" spans="1:35" ht="15" customHeight="1" x14ac:dyDescent="0.3">
      <c r="A683" s="65" t="s">
        <v>2415</v>
      </c>
      <c r="B683" s="65" t="s">
        <v>80</v>
      </c>
      <c r="C683" s="65" t="s">
        <v>2416</v>
      </c>
      <c r="D683" s="65" t="s">
        <v>125</v>
      </c>
      <c r="E683" s="65" t="s">
        <v>2417</v>
      </c>
      <c r="F683" s="65" t="b">
        <f>TRUE()</f>
        <v>1</v>
      </c>
      <c r="G683" s="65" t="s">
        <v>166</v>
      </c>
      <c r="H683" s="65" t="s">
        <v>235</v>
      </c>
      <c r="I683" s="66">
        <v>46203</v>
      </c>
      <c r="J683" s="66">
        <v>46210</v>
      </c>
      <c r="K683" s="65">
        <v>7</v>
      </c>
      <c r="L683" s="65" t="s">
        <v>192</v>
      </c>
      <c r="M683" s="65" t="s">
        <v>185</v>
      </c>
      <c r="N683" s="65" t="b">
        <f>FALSE()</f>
        <v>0</v>
      </c>
      <c r="O683" s="65"/>
      <c r="P683" s="65"/>
      <c r="Q683" s="65" t="s">
        <v>236</v>
      </c>
      <c r="R683" s="65" t="s">
        <v>237</v>
      </c>
      <c r="S683" s="65"/>
      <c r="T683" s="65" t="b">
        <f>FALSE()</f>
        <v>0</v>
      </c>
      <c r="U683" s="65" t="b">
        <f>FALSE()</f>
        <v>0</v>
      </c>
      <c r="V683" s="65">
        <v>657</v>
      </c>
      <c r="W683" s="65" t="s">
        <v>2418</v>
      </c>
      <c r="X683" s="65">
        <v>1</v>
      </c>
      <c r="Y683" s="68">
        <v>0.01</v>
      </c>
      <c r="Z683" s="65" t="b">
        <f>FALSE()</f>
        <v>0</v>
      </c>
      <c r="AA683" s="65" t="b">
        <f>TRUE()</f>
        <v>1</v>
      </c>
      <c r="AB683" s="65" t="b">
        <f>FALSE()</f>
        <v>0</v>
      </c>
      <c r="AC683" s="65" t="b">
        <f>FALSE()</f>
        <v>0</v>
      </c>
      <c r="AD683" s="65" t="b">
        <f>FALSE()</f>
        <v>0</v>
      </c>
      <c r="AE683" s="65">
        <v>1</v>
      </c>
      <c r="AF683" s="69">
        <v>14.3</v>
      </c>
      <c r="AG683" s="65" t="s">
        <v>74</v>
      </c>
      <c r="AH683" s="65" t="s">
        <v>2419</v>
      </c>
      <c r="AI683">
        <f>IF(AND(OR(Company_Explorer!$B$5="All Companies",$E683=Company_Explorer!$B$5),OR(Company_Explorer!$B$6="All Platforms",$B683=Company_Explorer!$B$6),OR(Company_Explorer!$B$7="All Roles",$D683=Company_Explorer!$B$7),OR(Company_Explorer!$B$8="All Ghost Labels",$AG683=Company_Explorer!$B$8)),1,0)</f>
        <v>0</v>
      </c>
    </row>
    <row r="684" spans="1:35" ht="15" customHeight="1" x14ac:dyDescent="0.3">
      <c r="A684" s="60" t="s">
        <v>2420</v>
      </c>
      <c r="B684" s="60" t="s">
        <v>80</v>
      </c>
      <c r="C684" s="60" t="s">
        <v>2034</v>
      </c>
      <c r="D684" s="60" t="s">
        <v>130</v>
      </c>
      <c r="E684" s="60" t="s">
        <v>2421</v>
      </c>
      <c r="F684" s="60" t="b">
        <f>TRUE()</f>
        <v>1</v>
      </c>
      <c r="G684" s="60" t="s">
        <v>174</v>
      </c>
      <c r="H684" s="60" t="s">
        <v>302</v>
      </c>
      <c r="I684" s="61">
        <v>46204</v>
      </c>
      <c r="J684" s="61">
        <v>46210</v>
      </c>
      <c r="K684" s="60">
        <v>6</v>
      </c>
      <c r="L684" s="60" t="s">
        <v>192</v>
      </c>
      <c r="M684" s="60" t="s">
        <v>185</v>
      </c>
      <c r="N684" s="60" t="b">
        <f>FALSE()</f>
        <v>0</v>
      </c>
      <c r="O684" s="60"/>
      <c r="P684" s="60"/>
      <c r="Q684" s="60" t="s">
        <v>236</v>
      </c>
      <c r="R684" s="60" t="s">
        <v>237</v>
      </c>
      <c r="S684" s="60"/>
      <c r="T684" s="60" t="b">
        <f>FALSE()</f>
        <v>0</v>
      </c>
      <c r="U684" s="60" t="b">
        <f>FALSE()</f>
        <v>0</v>
      </c>
      <c r="V684" s="60">
        <v>448</v>
      </c>
      <c r="W684" s="62" t="s">
        <v>2422</v>
      </c>
      <c r="X684" s="60">
        <v>1</v>
      </c>
      <c r="Y684" s="63">
        <v>0.01</v>
      </c>
      <c r="Z684" s="60" t="b">
        <f>FALSE()</f>
        <v>0</v>
      </c>
      <c r="AA684" s="60" t="b">
        <f>TRUE()</f>
        <v>1</v>
      </c>
      <c r="AB684" s="60" t="b">
        <f>FALSE()</f>
        <v>0</v>
      </c>
      <c r="AC684" s="60" t="b">
        <f>FALSE()</f>
        <v>0</v>
      </c>
      <c r="AD684" s="60" t="b">
        <f>FALSE()</f>
        <v>0</v>
      </c>
      <c r="AE684" s="60">
        <v>1</v>
      </c>
      <c r="AF684" s="64">
        <v>14.3</v>
      </c>
      <c r="AG684" s="60" t="s">
        <v>74</v>
      </c>
      <c r="AH684" s="60" t="s">
        <v>2423</v>
      </c>
      <c r="AI684">
        <f>IF(AND(OR(Company_Explorer!$B$5="All Companies",$E684=Company_Explorer!$B$5),OR(Company_Explorer!$B$6="All Platforms",$B684=Company_Explorer!$B$6),OR(Company_Explorer!$B$7="All Roles",$D684=Company_Explorer!$B$7),OR(Company_Explorer!$B$8="All Ghost Labels",$AG684=Company_Explorer!$B$8)),1,0)</f>
        <v>0</v>
      </c>
    </row>
    <row r="685" spans="1:35" ht="15" customHeight="1" x14ac:dyDescent="0.3">
      <c r="A685" s="65" t="s">
        <v>2424</v>
      </c>
      <c r="B685" s="65" t="s">
        <v>80</v>
      </c>
      <c r="C685" s="65" t="s">
        <v>131</v>
      </c>
      <c r="D685" s="65" t="s">
        <v>131</v>
      </c>
      <c r="E685" s="65" t="s">
        <v>2425</v>
      </c>
      <c r="F685" s="65" t="b">
        <f>TRUE()</f>
        <v>1</v>
      </c>
      <c r="G685" s="65" t="s">
        <v>166</v>
      </c>
      <c r="H685" s="65" t="s">
        <v>235</v>
      </c>
      <c r="I685" s="66">
        <v>46175</v>
      </c>
      <c r="J685" s="66">
        <v>46210</v>
      </c>
      <c r="K685" s="65">
        <v>35</v>
      </c>
      <c r="L685" s="65" t="s">
        <v>192</v>
      </c>
      <c r="M685" s="65" t="s">
        <v>185</v>
      </c>
      <c r="N685" s="65" t="b">
        <f>FALSE()</f>
        <v>0</v>
      </c>
      <c r="O685" s="65"/>
      <c r="P685" s="65"/>
      <c r="Q685" s="65" t="s">
        <v>236</v>
      </c>
      <c r="R685" s="65" t="s">
        <v>237</v>
      </c>
      <c r="S685" s="65"/>
      <c r="T685" s="65" t="b">
        <f>FALSE()</f>
        <v>0</v>
      </c>
      <c r="U685" s="65" t="b">
        <f>FALSE()</f>
        <v>0</v>
      </c>
      <c r="V685" s="65">
        <v>279</v>
      </c>
      <c r="W685" s="67" t="s">
        <v>2426</v>
      </c>
      <c r="X685" s="65">
        <v>1</v>
      </c>
      <c r="Y685" s="68">
        <v>0.01</v>
      </c>
      <c r="Z685" s="65" t="b">
        <f>FALSE()</f>
        <v>0</v>
      </c>
      <c r="AA685" s="65" t="b">
        <f>TRUE()</f>
        <v>1</v>
      </c>
      <c r="AB685" s="65" t="b">
        <f>FALSE()</f>
        <v>0</v>
      </c>
      <c r="AC685" s="65" t="b">
        <f>TRUE()</f>
        <v>1</v>
      </c>
      <c r="AD685" s="65" t="b">
        <f>FALSE()</f>
        <v>0</v>
      </c>
      <c r="AE685" s="65">
        <v>2</v>
      </c>
      <c r="AF685" s="69">
        <v>28.6</v>
      </c>
      <c r="AG685" s="65" t="s">
        <v>73</v>
      </c>
      <c r="AH685" s="65" t="s">
        <v>2427</v>
      </c>
      <c r="AI685">
        <f>IF(AND(OR(Company_Explorer!$B$5="All Companies",$E685=Company_Explorer!$B$5),OR(Company_Explorer!$B$6="All Platforms",$B685=Company_Explorer!$B$6),OR(Company_Explorer!$B$7="All Roles",$D685=Company_Explorer!$B$7),OR(Company_Explorer!$B$8="All Ghost Labels",$AG685=Company_Explorer!$B$8)),1,0)</f>
        <v>0</v>
      </c>
    </row>
    <row r="686" spans="1:35" ht="15" customHeight="1" x14ac:dyDescent="0.3">
      <c r="A686" s="60" t="s">
        <v>2428</v>
      </c>
      <c r="B686" s="60" t="s">
        <v>80</v>
      </c>
      <c r="C686" s="60" t="s">
        <v>345</v>
      </c>
      <c r="D686" s="60" t="s">
        <v>125</v>
      </c>
      <c r="E686" s="60" t="s">
        <v>2429</v>
      </c>
      <c r="F686" s="60" t="b">
        <f>TRUE()</f>
        <v>1</v>
      </c>
      <c r="G686" s="60" t="s">
        <v>174</v>
      </c>
      <c r="H686" s="60" t="s">
        <v>302</v>
      </c>
      <c r="I686" s="61">
        <v>46205</v>
      </c>
      <c r="J686" s="61">
        <v>46210</v>
      </c>
      <c r="K686" s="60">
        <v>5</v>
      </c>
      <c r="L686" s="60" t="s">
        <v>192</v>
      </c>
      <c r="M686" s="60" t="s">
        <v>184</v>
      </c>
      <c r="N686" s="60" t="b">
        <f>FALSE()</f>
        <v>0</v>
      </c>
      <c r="O686" s="60"/>
      <c r="P686" s="60"/>
      <c r="Q686" s="60" t="s">
        <v>236</v>
      </c>
      <c r="R686" s="60" t="s">
        <v>237</v>
      </c>
      <c r="S686" s="60"/>
      <c r="T686" s="60" t="b">
        <f>FALSE()</f>
        <v>0</v>
      </c>
      <c r="U686" s="60" t="b">
        <f>FALSE()</f>
        <v>0</v>
      </c>
      <c r="V686" s="60">
        <v>132</v>
      </c>
      <c r="W686" s="62" t="s">
        <v>2430</v>
      </c>
      <c r="X686" s="60">
        <v>1</v>
      </c>
      <c r="Y686" s="63">
        <v>0.01</v>
      </c>
      <c r="Z686" s="60" t="b">
        <f>FALSE()</f>
        <v>0</v>
      </c>
      <c r="AA686" s="60" t="b">
        <f>TRUE()</f>
        <v>1</v>
      </c>
      <c r="AB686" s="60" t="b">
        <f>TRUE()</f>
        <v>1</v>
      </c>
      <c r="AC686" s="60" t="b">
        <f>FALSE()</f>
        <v>0</v>
      </c>
      <c r="AD686" s="60" t="b">
        <f>FALSE()</f>
        <v>0</v>
      </c>
      <c r="AE686" s="60">
        <v>2</v>
      </c>
      <c r="AF686" s="64">
        <v>28.6</v>
      </c>
      <c r="AG686" s="60" t="s">
        <v>73</v>
      </c>
      <c r="AH686" s="60" t="s">
        <v>2431</v>
      </c>
      <c r="AI686">
        <f>IF(AND(OR(Company_Explorer!$B$5="All Companies",$E686=Company_Explorer!$B$5),OR(Company_Explorer!$B$6="All Platforms",$B686=Company_Explorer!$B$6),OR(Company_Explorer!$B$7="All Roles",$D686=Company_Explorer!$B$7),OR(Company_Explorer!$B$8="All Ghost Labels",$AG686=Company_Explorer!$B$8)),1,0)</f>
        <v>0</v>
      </c>
    </row>
    <row r="687" spans="1:35" ht="15" customHeight="1" x14ac:dyDescent="0.3">
      <c r="A687" s="65" t="s">
        <v>2432</v>
      </c>
      <c r="B687" s="65" t="s">
        <v>80</v>
      </c>
      <c r="C687" s="65" t="s">
        <v>2433</v>
      </c>
      <c r="D687" s="65" t="s">
        <v>130</v>
      </c>
      <c r="E687" s="65" t="s">
        <v>2331</v>
      </c>
      <c r="F687" s="65" t="b">
        <f>TRUE()</f>
        <v>1</v>
      </c>
      <c r="G687" s="65" t="s">
        <v>169</v>
      </c>
      <c r="H687" s="65" t="s">
        <v>294</v>
      </c>
      <c r="I687" s="66">
        <v>46206</v>
      </c>
      <c r="J687" s="66">
        <v>46210</v>
      </c>
      <c r="K687" s="65">
        <v>4</v>
      </c>
      <c r="L687" s="65" t="s">
        <v>192</v>
      </c>
      <c r="M687" s="65" t="s">
        <v>185</v>
      </c>
      <c r="N687" s="65" t="b">
        <f>FALSE()</f>
        <v>0</v>
      </c>
      <c r="O687" s="65"/>
      <c r="P687" s="65"/>
      <c r="Q687" s="65" t="s">
        <v>236</v>
      </c>
      <c r="R687" s="65" t="s">
        <v>237</v>
      </c>
      <c r="S687" s="65"/>
      <c r="T687" s="65" t="b">
        <f>FALSE()</f>
        <v>0</v>
      </c>
      <c r="U687" s="65" t="b">
        <f>FALSE()</f>
        <v>0</v>
      </c>
      <c r="V687" s="65">
        <v>447</v>
      </c>
      <c r="W687" s="67" t="s">
        <v>2434</v>
      </c>
      <c r="X687" s="65">
        <v>2</v>
      </c>
      <c r="Y687" s="68">
        <v>0.01</v>
      </c>
      <c r="Z687" s="65" t="b">
        <f>FALSE()</f>
        <v>0</v>
      </c>
      <c r="AA687" s="65" t="b">
        <f>TRUE()</f>
        <v>1</v>
      </c>
      <c r="AB687" s="65" t="b">
        <f>FALSE()</f>
        <v>0</v>
      </c>
      <c r="AC687" s="65" t="b">
        <f>FALSE()</f>
        <v>0</v>
      </c>
      <c r="AD687" s="65" t="b">
        <f>FALSE()</f>
        <v>0</v>
      </c>
      <c r="AE687" s="65">
        <v>1</v>
      </c>
      <c r="AF687" s="69">
        <v>14.3</v>
      </c>
      <c r="AG687" s="65" t="s">
        <v>74</v>
      </c>
      <c r="AH687" s="65" t="s">
        <v>2435</v>
      </c>
      <c r="AI687">
        <f>IF(AND(OR(Company_Explorer!$B$5="All Companies",$E687=Company_Explorer!$B$5),OR(Company_Explorer!$B$6="All Platforms",$B687=Company_Explorer!$B$6),OR(Company_Explorer!$B$7="All Roles",$D687=Company_Explorer!$B$7),OR(Company_Explorer!$B$8="All Ghost Labels",$AG687=Company_Explorer!$B$8)),1,0)</f>
        <v>0</v>
      </c>
    </row>
    <row r="688" spans="1:35" ht="15" customHeight="1" x14ac:dyDescent="0.3">
      <c r="A688" s="60" t="s">
        <v>2436</v>
      </c>
      <c r="B688" s="60" t="s">
        <v>80</v>
      </c>
      <c r="C688" s="60" t="s">
        <v>2437</v>
      </c>
      <c r="D688" s="60" t="s">
        <v>125</v>
      </c>
      <c r="E688" s="60" t="s">
        <v>147</v>
      </c>
      <c r="F688" s="60" t="b">
        <f>TRUE()</f>
        <v>1</v>
      </c>
      <c r="G688" s="60" t="s">
        <v>311</v>
      </c>
      <c r="H688" s="60" t="s">
        <v>235</v>
      </c>
      <c r="I688" s="61">
        <v>46200</v>
      </c>
      <c r="J688" s="61">
        <v>46210</v>
      </c>
      <c r="K688" s="60">
        <v>10</v>
      </c>
      <c r="L688" s="60" t="s">
        <v>192</v>
      </c>
      <c r="M688" s="60" t="s">
        <v>185</v>
      </c>
      <c r="N688" s="60" t="b">
        <f>FALSE()</f>
        <v>0</v>
      </c>
      <c r="O688" s="60"/>
      <c r="P688" s="60"/>
      <c r="Q688" s="60" t="s">
        <v>236</v>
      </c>
      <c r="R688" s="60" t="s">
        <v>237</v>
      </c>
      <c r="S688" s="60"/>
      <c r="T688" s="60" t="b">
        <f>FALSE()</f>
        <v>0</v>
      </c>
      <c r="U688" s="60" t="b">
        <f>FALSE()</f>
        <v>0</v>
      </c>
      <c r="V688" s="60">
        <v>662</v>
      </c>
      <c r="W688" s="62" t="s">
        <v>2438</v>
      </c>
      <c r="X688" s="60">
        <v>8</v>
      </c>
      <c r="Y688" s="63">
        <v>0.05</v>
      </c>
      <c r="Z688" s="60" t="b">
        <f>FALSE()</f>
        <v>0</v>
      </c>
      <c r="AA688" s="60" t="b">
        <f>TRUE()</f>
        <v>1</v>
      </c>
      <c r="AB688" s="60" t="b">
        <f>FALSE()</f>
        <v>0</v>
      </c>
      <c r="AC688" s="60" t="b">
        <f>FALSE()</f>
        <v>0</v>
      </c>
      <c r="AD688" s="60" t="b">
        <f>FALSE()</f>
        <v>0</v>
      </c>
      <c r="AE688" s="60">
        <v>1</v>
      </c>
      <c r="AF688" s="64">
        <v>14.3</v>
      </c>
      <c r="AG688" s="60" t="s">
        <v>74</v>
      </c>
      <c r="AH688" s="60" t="s">
        <v>2439</v>
      </c>
      <c r="AI688">
        <f>IF(AND(OR(Company_Explorer!$B$5="All Companies",$E688=Company_Explorer!$B$5),OR(Company_Explorer!$B$6="All Platforms",$B688=Company_Explorer!$B$6),OR(Company_Explorer!$B$7="All Roles",$D688=Company_Explorer!$B$7),OR(Company_Explorer!$B$8="All Ghost Labels",$AG688=Company_Explorer!$B$8)),1,0)</f>
        <v>1</v>
      </c>
    </row>
    <row r="689" spans="1:35" ht="15" customHeight="1" x14ac:dyDescent="0.3">
      <c r="A689" s="65" t="s">
        <v>2440</v>
      </c>
      <c r="B689" s="65" t="s">
        <v>80</v>
      </c>
      <c r="C689" s="65" t="s">
        <v>130</v>
      </c>
      <c r="D689" s="65" t="s">
        <v>130</v>
      </c>
      <c r="E689" s="65" t="s">
        <v>2441</v>
      </c>
      <c r="F689" s="65" t="b">
        <f>TRUE()</f>
        <v>1</v>
      </c>
      <c r="G689" s="65" t="s">
        <v>167</v>
      </c>
      <c r="H689" s="65" t="s">
        <v>276</v>
      </c>
      <c r="I689" s="66">
        <v>46204</v>
      </c>
      <c r="J689" s="66">
        <v>46210</v>
      </c>
      <c r="K689" s="65">
        <v>6</v>
      </c>
      <c r="L689" s="65" t="s">
        <v>192</v>
      </c>
      <c r="M689" s="65" t="s">
        <v>184</v>
      </c>
      <c r="N689" s="65" t="b">
        <f>FALSE()</f>
        <v>0</v>
      </c>
      <c r="O689" s="65"/>
      <c r="P689" s="65"/>
      <c r="Q689" s="65" t="s">
        <v>236</v>
      </c>
      <c r="R689" s="65" t="s">
        <v>237</v>
      </c>
      <c r="S689" s="65"/>
      <c r="T689" s="65" t="b">
        <f>FALSE()</f>
        <v>0</v>
      </c>
      <c r="U689" s="65" t="b">
        <f>FALSE()</f>
        <v>0</v>
      </c>
      <c r="V689" s="65">
        <v>201</v>
      </c>
      <c r="W689" s="67" t="s">
        <v>2442</v>
      </c>
      <c r="X689" s="65">
        <v>1</v>
      </c>
      <c r="Y689" s="68">
        <v>0.01</v>
      </c>
      <c r="Z689" s="65" t="b">
        <f>FALSE()</f>
        <v>0</v>
      </c>
      <c r="AA689" s="65" t="b">
        <f>TRUE()</f>
        <v>1</v>
      </c>
      <c r="AB689" s="65" t="b">
        <f>TRUE()</f>
        <v>1</v>
      </c>
      <c r="AC689" s="65" t="b">
        <f>FALSE()</f>
        <v>0</v>
      </c>
      <c r="AD689" s="65" t="b">
        <f>FALSE()</f>
        <v>0</v>
      </c>
      <c r="AE689" s="65">
        <v>2</v>
      </c>
      <c r="AF689" s="69">
        <v>28.6</v>
      </c>
      <c r="AG689" s="65" t="s">
        <v>73</v>
      </c>
      <c r="AH689" s="65" t="s">
        <v>2443</v>
      </c>
      <c r="AI689">
        <f>IF(AND(OR(Company_Explorer!$B$5="All Companies",$E689=Company_Explorer!$B$5),OR(Company_Explorer!$B$6="All Platforms",$B689=Company_Explorer!$B$6),OR(Company_Explorer!$B$7="All Roles",$D689=Company_Explorer!$B$7),OR(Company_Explorer!$B$8="All Ghost Labels",$AG689=Company_Explorer!$B$8)),1,0)</f>
        <v>0</v>
      </c>
    </row>
    <row r="690" spans="1:35" ht="15" customHeight="1" x14ac:dyDescent="0.3">
      <c r="A690" s="60" t="s">
        <v>2444</v>
      </c>
      <c r="B690" s="60" t="s">
        <v>80</v>
      </c>
      <c r="C690" s="60" t="s">
        <v>2445</v>
      </c>
      <c r="D690" s="60" t="s">
        <v>131</v>
      </c>
      <c r="E690" s="60" t="s">
        <v>2446</v>
      </c>
      <c r="F690" s="60" t="b">
        <f>TRUE()</f>
        <v>1</v>
      </c>
      <c r="G690" s="60" t="s">
        <v>370</v>
      </c>
      <c r="H690" s="60" t="s">
        <v>165</v>
      </c>
      <c r="I690" s="61">
        <v>45996</v>
      </c>
      <c r="J690" s="61">
        <v>46210</v>
      </c>
      <c r="K690" s="60">
        <v>214</v>
      </c>
      <c r="L690" s="60" t="s">
        <v>192</v>
      </c>
      <c r="M690" s="60" t="s">
        <v>184</v>
      </c>
      <c r="N690" s="60" t="b">
        <f>FALSE()</f>
        <v>0</v>
      </c>
      <c r="O690" s="60"/>
      <c r="P690" s="60"/>
      <c r="Q690" s="60" t="s">
        <v>236</v>
      </c>
      <c r="R690" s="60" t="s">
        <v>237</v>
      </c>
      <c r="S690" s="60"/>
      <c r="T690" s="60" t="b">
        <f>FALSE()</f>
        <v>0</v>
      </c>
      <c r="U690" s="60" t="b">
        <f>FALSE()</f>
        <v>0</v>
      </c>
      <c r="V690" s="60">
        <v>556</v>
      </c>
      <c r="W690" s="62" t="s">
        <v>2447</v>
      </c>
      <c r="X690" s="60">
        <v>1</v>
      </c>
      <c r="Y690" s="63">
        <v>0.01</v>
      </c>
      <c r="Z690" s="60" t="b">
        <f>FALSE()</f>
        <v>0</v>
      </c>
      <c r="AA690" s="60" t="b">
        <f>TRUE()</f>
        <v>1</v>
      </c>
      <c r="AB690" s="60" t="b">
        <f>FALSE()</f>
        <v>0</v>
      </c>
      <c r="AC690" s="60" t="b">
        <f>TRUE()</f>
        <v>1</v>
      </c>
      <c r="AD690" s="60" t="b">
        <f>FALSE()</f>
        <v>0</v>
      </c>
      <c r="AE690" s="60">
        <v>2</v>
      </c>
      <c r="AF690" s="64">
        <v>28.6</v>
      </c>
      <c r="AG690" s="60" t="s">
        <v>73</v>
      </c>
      <c r="AH690" s="60" t="s">
        <v>2448</v>
      </c>
      <c r="AI690">
        <f>IF(AND(OR(Company_Explorer!$B$5="All Companies",$E690=Company_Explorer!$B$5),OR(Company_Explorer!$B$6="All Platforms",$B690=Company_Explorer!$B$6),OR(Company_Explorer!$B$7="All Roles",$D690=Company_Explorer!$B$7),OR(Company_Explorer!$B$8="All Ghost Labels",$AG690=Company_Explorer!$B$8)),1,0)</f>
        <v>0</v>
      </c>
    </row>
    <row r="691" spans="1:35" ht="15" customHeight="1" x14ac:dyDescent="0.3">
      <c r="A691" s="65" t="s">
        <v>2449</v>
      </c>
      <c r="B691" s="65" t="s">
        <v>80</v>
      </c>
      <c r="C691" s="65" t="s">
        <v>2450</v>
      </c>
      <c r="D691" s="65" t="s">
        <v>131</v>
      </c>
      <c r="E691" s="65" t="s">
        <v>2451</v>
      </c>
      <c r="F691" s="65" t="b">
        <f>TRUE()</f>
        <v>1</v>
      </c>
      <c r="G691" s="65" t="s">
        <v>753</v>
      </c>
      <c r="H691" s="65" t="s">
        <v>754</v>
      </c>
      <c r="I691" s="66">
        <v>46193</v>
      </c>
      <c r="J691" s="66">
        <v>46210</v>
      </c>
      <c r="K691" s="65">
        <v>17</v>
      </c>
      <c r="L691" s="65" t="s">
        <v>192</v>
      </c>
      <c r="M691" s="65" t="s">
        <v>184</v>
      </c>
      <c r="N691" s="65" t="b">
        <f>FALSE()</f>
        <v>0</v>
      </c>
      <c r="O691" s="65"/>
      <c r="P691" s="65"/>
      <c r="Q691" s="65" t="s">
        <v>236</v>
      </c>
      <c r="R691" s="65" t="s">
        <v>237</v>
      </c>
      <c r="S691" s="65"/>
      <c r="T691" s="65" t="b">
        <f>FALSE()</f>
        <v>0</v>
      </c>
      <c r="U691" s="65" t="b">
        <f>FALSE()</f>
        <v>0</v>
      </c>
      <c r="V691" s="65">
        <v>217</v>
      </c>
      <c r="W691" s="67" t="s">
        <v>2452</v>
      </c>
      <c r="X691" s="65">
        <v>1</v>
      </c>
      <c r="Y691" s="68">
        <v>0.01</v>
      </c>
      <c r="Z691" s="65" t="b">
        <f>FALSE()</f>
        <v>0</v>
      </c>
      <c r="AA691" s="65" t="b">
        <f>TRUE()</f>
        <v>1</v>
      </c>
      <c r="AB691" s="65" t="b">
        <f>TRUE()</f>
        <v>1</v>
      </c>
      <c r="AC691" s="65" t="b">
        <f>FALSE()</f>
        <v>0</v>
      </c>
      <c r="AD691" s="65" t="b">
        <f>FALSE()</f>
        <v>0</v>
      </c>
      <c r="AE691" s="65">
        <v>2</v>
      </c>
      <c r="AF691" s="69">
        <v>28.6</v>
      </c>
      <c r="AG691" s="65" t="s">
        <v>73</v>
      </c>
      <c r="AH691" s="65" t="s">
        <v>2453</v>
      </c>
      <c r="AI691">
        <f>IF(AND(OR(Company_Explorer!$B$5="All Companies",$E691=Company_Explorer!$B$5),OR(Company_Explorer!$B$6="All Platforms",$B691=Company_Explorer!$B$6),OR(Company_Explorer!$B$7="All Roles",$D691=Company_Explorer!$B$7),OR(Company_Explorer!$B$8="All Ghost Labels",$AG691=Company_Explorer!$B$8)),1,0)</f>
        <v>0</v>
      </c>
    </row>
    <row r="692" spans="1:35" ht="15" customHeight="1" x14ac:dyDescent="0.3">
      <c r="A692" s="60" t="s">
        <v>2454</v>
      </c>
      <c r="B692" s="60" t="s">
        <v>80</v>
      </c>
      <c r="C692" s="60" t="s">
        <v>2455</v>
      </c>
      <c r="D692" s="60" t="s">
        <v>125</v>
      </c>
      <c r="E692" s="60" t="s">
        <v>2325</v>
      </c>
      <c r="F692" s="60" t="b">
        <f>TRUE()</f>
        <v>1</v>
      </c>
      <c r="G692" s="60" t="s">
        <v>2326</v>
      </c>
      <c r="H692" s="60" t="s">
        <v>2066</v>
      </c>
      <c r="I692" s="61">
        <v>46207</v>
      </c>
      <c r="J692" s="61">
        <v>46210</v>
      </c>
      <c r="K692" s="60">
        <v>3</v>
      </c>
      <c r="L692" s="60" t="s">
        <v>192</v>
      </c>
      <c r="M692" s="60" t="s">
        <v>185</v>
      </c>
      <c r="N692" s="60" t="b">
        <f>FALSE()</f>
        <v>0</v>
      </c>
      <c r="O692" s="60"/>
      <c r="P692" s="60"/>
      <c r="Q692" s="60" t="s">
        <v>236</v>
      </c>
      <c r="R692" s="60" t="s">
        <v>237</v>
      </c>
      <c r="S692" s="60"/>
      <c r="T692" s="60" t="b">
        <f>FALSE()</f>
        <v>0</v>
      </c>
      <c r="U692" s="60" t="b">
        <f>FALSE()</f>
        <v>0</v>
      </c>
      <c r="V692" s="60">
        <v>216</v>
      </c>
      <c r="W692" s="62" t="s">
        <v>2456</v>
      </c>
      <c r="X692" s="60">
        <v>2</v>
      </c>
      <c r="Y692" s="63">
        <v>0.01</v>
      </c>
      <c r="Z692" s="60" t="b">
        <f>FALSE()</f>
        <v>0</v>
      </c>
      <c r="AA692" s="60" t="b">
        <f>TRUE()</f>
        <v>1</v>
      </c>
      <c r="AB692" s="60" t="b">
        <f>TRUE()</f>
        <v>1</v>
      </c>
      <c r="AC692" s="60" t="b">
        <f>FALSE()</f>
        <v>0</v>
      </c>
      <c r="AD692" s="60" t="b">
        <f>FALSE()</f>
        <v>0</v>
      </c>
      <c r="AE692" s="60">
        <v>2</v>
      </c>
      <c r="AF692" s="64">
        <v>28.6</v>
      </c>
      <c r="AG692" s="60" t="s">
        <v>73</v>
      </c>
      <c r="AH692" s="60" t="s">
        <v>2457</v>
      </c>
      <c r="AI692">
        <f>IF(AND(OR(Company_Explorer!$B$5="All Companies",$E692=Company_Explorer!$B$5),OR(Company_Explorer!$B$6="All Platforms",$B692=Company_Explorer!$B$6),OR(Company_Explorer!$B$7="All Roles",$D692=Company_Explorer!$B$7),OR(Company_Explorer!$B$8="All Ghost Labels",$AG692=Company_Explorer!$B$8)),1,0)</f>
        <v>0</v>
      </c>
    </row>
    <row r="693" spans="1:35" ht="15" customHeight="1" x14ac:dyDescent="0.3">
      <c r="A693" s="65" t="s">
        <v>2458</v>
      </c>
      <c r="B693" s="65" t="s">
        <v>80</v>
      </c>
      <c r="C693" s="65" t="s">
        <v>2459</v>
      </c>
      <c r="D693" s="65" t="s">
        <v>130</v>
      </c>
      <c r="E693" s="65" t="s">
        <v>153</v>
      </c>
      <c r="F693" s="65" t="b">
        <f>TRUE()</f>
        <v>1</v>
      </c>
      <c r="G693" s="65" t="s">
        <v>166</v>
      </c>
      <c r="H693" s="65" t="s">
        <v>235</v>
      </c>
      <c r="I693" s="66">
        <v>46189</v>
      </c>
      <c r="J693" s="66">
        <v>46210</v>
      </c>
      <c r="K693" s="65">
        <v>21</v>
      </c>
      <c r="L693" s="65" t="s">
        <v>192</v>
      </c>
      <c r="M693" s="65" t="s">
        <v>185</v>
      </c>
      <c r="N693" s="65" t="b">
        <f>FALSE()</f>
        <v>0</v>
      </c>
      <c r="O693" s="65"/>
      <c r="P693" s="65"/>
      <c r="Q693" s="65" t="s">
        <v>236</v>
      </c>
      <c r="R693" s="65" t="s">
        <v>237</v>
      </c>
      <c r="S693" s="65"/>
      <c r="T693" s="65" t="b">
        <f>FALSE()</f>
        <v>0</v>
      </c>
      <c r="U693" s="65" t="b">
        <f>FALSE()</f>
        <v>0</v>
      </c>
      <c r="V693" s="65">
        <v>875</v>
      </c>
      <c r="W693" s="67" t="s">
        <v>2460</v>
      </c>
      <c r="X693" s="65">
        <v>4</v>
      </c>
      <c r="Y693" s="68">
        <v>0.02</v>
      </c>
      <c r="Z693" s="65" t="b">
        <f>FALSE()</f>
        <v>0</v>
      </c>
      <c r="AA693" s="65" t="b">
        <f>TRUE()</f>
        <v>1</v>
      </c>
      <c r="AB693" s="65" t="b">
        <f>FALSE()</f>
        <v>0</v>
      </c>
      <c r="AC693" s="65" t="b">
        <f>TRUE()</f>
        <v>1</v>
      </c>
      <c r="AD693" s="65" t="b">
        <f>FALSE()</f>
        <v>0</v>
      </c>
      <c r="AE693" s="65">
        <v>2</v>
      </c>
      <c r="AF693" s="69">
        <v>28.6</v>
      </c>
      <c r="AG693" s="65" t="s">
        <v>73</v>
      </c>
      <c r="AH693" s="65" t="s">
        <v>2461</v>
      </c>
      <c r="AI693">
        <f>IF(AND(OR(Company_Explorer!$B$5="All Companies",$E693=Company_Explorer!$B$5),OR(Company_Explorer!$B$6="All Platforms",$B693=Company_Explorer!$B$6),OR(Company_Explorer!$B$7="All Roles",$D693=Company_Explorer!$B$7),OR(Company_Explorer!$B$8="All Ghost Labels",$AG693=Company_Explorer!$B$8)),1,0)</f>
        <v>0</v>
      </c>
    </row>
    <row r="694" spans="1:35" ht="15" customHeight="1" x14ac:dyDescent="0.3">
      <c r="A694" s="60" t="s">
        <v>2462</v>
      </c>
      <c r="B694" s="60" t="s">
        <v>80</v>
      </c>
      <c r="C694" s="60" t="s">
        <v>1622</v>
      </c>
      <c r="D694" s="60" t="s">
        <v>126</v>
      </c>
      <c r="E694" s="60" t="s">
        <v>2463</v>
      </c>
      <c r="F694" s="60" t="b">
        <f>TRUE()</f>
        <v>1</v>
      </c>
      <c r="G694" s="60" t="s">
        <v>176</v>
      </c>
      <c r="H694" s="60" t="s">
        <v>302</v>
      </c>
      <c r="I694" s="61">
        <v>46209</v>
      </c>
      <c r="J694" s="61">
        <v>46210</v>
      </c>
      <c r="K694" s="60">
        <v>1</v>
      </c>
      <c r="L694" s="60" t="s">
        <v>192</v>
      </c>
      <c r="M694" s="60" t="s">
        <v>185</v>
      </c>
      <c r="N694" s="60" t="b">
        <f>FALSE()</f>
        <v>0</v>
      </c>
      <c r="O694" s="60"/>
      <c r="P694" s="60"/>
      <c r="Q694" s="60" t="s">
        <v>236</v>
      </c>
      <c r="R694" s="60" t="s">
        <v>237</v>
      </c>
      <c r="S694" s="60"/>
      <c r="T694" s="60" t="b">
        <f>FALSE()</f>
        <v>0</v>
      </c>
      <c r="U694" s="60" t="b">
        <f>FALSE()</f>
        <v>0</v>
      </c>
      <c r="V694" s="60">
        <v>739</v>
      </c>
      <c r="W694" s="60" t="s">
        <v>2464</v>
      </c>
      <c r="X694" s="60">
        <v>1</v>
      </c>
      <c r="Y694" s="63">
        <v>0.01</v>
      </c>
      <c r="Z694" s="60" t="b">
        <f>FALSE()</f>
        <v>0</v>
      </c>
      <c r="AA694" s="60" t="b">
        <f>TRUE()</f>
        <v>1</v>
      </c>
      <c r="AB694" s="60" t="b">
        <f>FALSE()</f>
        <v>0</v>
      </c>
      <c r="AC694" s="60" t="b">
        <f>FALSE()</f>
        <v>0</v>
      </c>
      <c r="AD694" s="60" t="b">
        <f>FALSE()</f>
        <v>0</v>
      </c>
      <c r="AE694" s="60">
        <v>1</v>
      </c>
      <c r="AF694" s="64">
        <v>14.3</v>
      </c>
      <c r="AG694" s="60" t="s">
        <v>74</v>
      </c>
      <c r="AH694" s="60" t="s">
        <v>2465</v>
      </c>
      <c r="AI694">
        <f>IF(AND(OR(Company_Explorer!$B$5="All Companies",$E694=Company_Explorer!$B$5),OR(Company_Explorer!$B$6="All Platforms",$B694=Company_Explorer!$B$6),OR(Company_Explorer!$B$7="All Roles",$D694=Company_Explorer!$B$7),OR(Company_Explorer!$B$8="All Ghost Labels",$AG694=Company_Explorer!$B$8)),1,0)</f>
        <v>0</v>
      </c>
    </row>
    <row r="695" spans="1:35" ht="15" customHeight="1" x14ac:dyDescent="0.3">
      <c r="A695" s="65" t="s">
        <v>2466</v>
      </c>
      <c r="B695" s="65" t="s">
        <v>80</v>
      </c>
      <c r="C695" s="65" t="s">
        <v>2467</v>
      </c>
      <c r="D695" s="65" t="s">
        <v>131</v>
      </c>
      <c r="E695" s="65" t="s">
        <v>2468</v>
      </c>
      <c r="F695" s="65" t="b">
        <f>TRUE()</f>
        <v>1</v>
      </c>
      <c r="G695" s="65" t="s">
        <v>173</v>
      </c>
      <c r="H695" s="65" t="s">
        <v>827</v>
      </c>
      <c r="I695" s="66">
        <v>46196</v>
      </c>
      <c r="J695" s="66">
        <v>46210</v>
      </c>
      <c r="K695" s="65">
        <v>14</v>
      </c>
      <c r="L695" s="65" t="s">
        <v>192</v>
      </c>
      <c r="M695" s="65" t="s">
        <v>184</v>
      </c>
      <c r="N695" s="65" t="b">
        <f>FALSE()</f>
        <v>0</v>
      </c>
      <c r="O695" s="65"/>
      <c r="P695" s="65"/>
      <c r="Q695" s="65" t="s">
        <v>236</v>
      </c>
      <c r="R695" s="65" t="s">
        <v>237</v>
      </c>
      <c r="S695" s="65"/>
      <c r="T695" s="65" t="b">
        <f>FALSE()</f>
        <v>0</v>
      </c>
      <c r="U695" s="65" t="b">
        <f>FALSE()</f>
        <v>0</v>
      </c>
      <c r="V695" s="65">
        <v>340</v>
      </c>
      <c r="W695" s="67" t="s">
        <v>2469</v>
      </c>
      <c r="X695" s="65">
        <v>1</v>
      </c>
      <c r="Y695" s="68">
        <v>0.01</v>
      </c>
      <c r="Z695" s="65" t="b">
        <f>FALSE()</f>
        <v>0</v>
      </c>
      <c r="AA695" s="65" t="b">
        <f>TRUE()</f>
        <v>1</v>
      </c>
      <c r="AB695" s="65" t="b">
        <f>FALSE()</f>
        <v>0</v>
      </c>
      <c r="AC695" s="65" t="b">
        <f>FALSE()</f>
        <v>0</v>
      </c>
      <c r="AD695" s="65" t="b">
        <f>FALSE()</f>
        <v>0</v>
      </c>
      <c r="AE695" s="65">
        <v>1</v>
      </c>
      <c r="AF695" s="69">
        <v>14.3</v>
      </c>
      <c r="AG695" s="65" t="s">
        <v>74</v>
      </c>
      <c r="AH695" s="65" t="s">
        <v>2470</v>
      </c>
      <c r="AI695">
        <f>IF(AND(OR(Company_Explorer!$B$5="All Companies",$E695=Company_Explorer!$B$5),OR(Company_Explorer!$B$6="All Platforms",$B695=Company_Explorer!$B$6),OR(Company_Explorer!$B$7="All Roles",$D695=Company_Explorer!$B$7),OR(Company_Explorer!$B$8="All Ghost Labels",$AG695=Company_Explorer!$B$8)),1,0)</f>
        <v>0</v>
      </c>
    </row>
    <row r="696" spans="1:35" ht="15" customHeight="1" x14ac:dyDescent="0.3">
      <c r="A696" s="60" t="s">
        <v>2471</v>
      </c>
      <c r="B696" s="60" t="s">
        <v>80</v>
      </c>
      <c r="C696" s="60" t="s">
        <v>2472</v>
      </c>
      <c r="D696" s="60" t="s">
        <v>125</v>
      </c>
      <c r="E696" s="60" t="s">
        <v>2051</v>
      </c>
      <c r="F696" s="60" t="b">
        <f>TRUE()</f>
        <v>1</v>
      </c>
      <c r="G696" s="60" t="s">
        <v>169</v>
      </c>
      <c r="H696" s="60" t="s">
        <v>294</v>
      </c>
      <c r="I696" s="61">
        <v>45834</v>
      </c>
      <c r="J696" s="61">
        <v>46210</v>
      </c>
      <c r="K696" s="60">
        <v>376</v>
      </c>
      <c r="L696" s="60" t="s">
        <v>192</v>
      </c>
      <c r="M696" s="60" t="s">
        <v>188</v>
      </c>
      <c r="N696" s="60" t="b">
        <f>FALSE()</f>
        <v>0</v>
      </c>
      <c r="O696" s="60"/>
      <c r="P696" s="60"/>
      <c r="Q696" s="60" t="s">
        <v>236</v>
      </c>
      <c r="R696" s="60" t="s">
        <v>237</v>
      </c>
      <c r="S696" s="60"/>
      <c r="T696" s="60" t="b">
        <f>FALSE()</f>
        <v>0</v>
      </c>
      <c r="U696" s="60" t="b">
        <f>FALSE()</f>
        <v>0</v>
      </c>
      <c r="V696" s="60">
        <v>333</v>
      </c>
      <c r="W696" s="62" t="s">
        <v>2052</v>
      </c>
      <c r="X696" s="60">
        <v>4</v>
      </c>
      <c r="Y696" s="63">
        <v>0.02</v>
      </c>
      <c r="Z696" s="60" t="b">
        <f>FALSE()</f>
        <v>0</v>
      </c>
      <c r="AA696" s="60" t="b">
        <f>TRUE()</f>
        <v>1</v>
      </c>
      <c r="AB696" s="60" t="b">
        <f>FALSE()</f>
        <v>0</v>
      </c>
      <c r="AC696" s="60" t="b">
        <f>TRUE()</f>
        <v>1</v>
      </c>
      <c r="AD696" s="60" t="b">
        <f>FALSE()</f>
        <v>0</v>
      </c>
      <c r="AE696" s="60">
        <v>2</v>
      </c>
      <c r="AF696" s="64">
        <v>28.6</v>
      </c>
      <c r="AG696" s="60" t="s">
        <v>73</v>
      </c>
      <c r="AH696" s="60" t="s">
        <v>2473</v>
      </c>
      <c r="AI696">
        <f>IF(AND(OR(Company_Explorer!$B$5="All Companies",$E696=Company_Explorer!$B$5),OR(Company_Explorer!$B$6="All Platforms",$B696=Company_Explorer!$B$6),OR(Company_Explorer!$B$7="All Roles",$D696=Company_Explorer!$B$7),OR(Company_Explorer!$B$8="All Ghost Labels",$AG696=Company_Explorer!$B$8)),1,0)</f>
        <v>0</v>
      </c>
    </row>
    <row r="697" spans="1:35" ht="15" customHeight="1" x14ac:dyDescent="0.3">
      <c r="A697" s="65" t="s">
        <v>2474</v>
      </c>
      <c r="B697" s="65" t="s">
        <v>80</v>
      </c>
      <c r="C697" s="65" t="s">
        <v>2475</v>
      </c>
      <c r="D697" s="65" t="s">
        <v>131</v>
      </c>
      <c r="E697" s="65" t="s">
        <v>2476</v>
      </c>
      <c r="F697" s="65" t="b">
        <f>TRUE()</f>
        <v>1</v>
      </c>
      <c r="G697" s="65" t="s">
        <v>168</v>
      </c>
      <c r="H697" s="65" t="s">
        <v>254</v>
      </c>
      <c r="I697" s="66">
        <v>46193</v>
      </c>
      <c r="J697" s="66">
        <v>46210</v>
      </c>
      <c r="K697" s="65">
        <v>17</v>
      </c>
      <c r="L697" s="65" t="s">
        <v>192</v>
      </c>
      <c r="M697" s="65" t="s">
        <v>185</v>
      </c>
      <c r="N697" s="65" t="b">
        <f>FALSE()</f>
        <v>0</v>
      </c>
      <c r="O697" s="65"/>
      <c r="P697" s="65"/>
      <c r="Q697" s="65" t="s">
        <v>236</v>
      </c>
      <c r="R697" s="65" t="s">
        <v>237</v>
      </c>
      <c r="S697" s="65"/>
      <c r="T697" s="65" t="b">
        <f>FALSE()</f>
        <v>0</v>
      </c>
      <c r="U697" s="65" t="b">
        <f>FALSE()</f>
        <v>0</v>
      </c>
      <c r="V697" s="65">
        <v>996</v>
      </c>
      <c r="W697" s="67" t="s">
        <v>2477</v>
      </c>
      <c r="X697" s="65">
        <v>1</v>
      </c>
      <c r="Y697" s="68">
        <v>0.01</v>
      </c>
      <c r="Z697" s="65" t="b">
        <f>FALSE()</f>
        <v>0</v>
      </c>
      <c r="AA697" s="65" t="b">
        <f>TRUE()</f>
        <v>1</v>
      </c>
      <c r="AB697" s="65" t="b">
        <f>FALSE()</f>
        <v>0</v>
      </c>
      <c r="AC697" s="65" t="b">
        <f>FALSE()</f>
        <v>0</v>
      </c>
      <c r="AD697" s="65" t="b">
        <f>FALSE()</f>
        <v>0</v>
      </c>
      <c r="AE697" s="65">
        <v>1</v>
      </c>
      <c r="AF697" s="69">
        <v>14.3</v>
      </c>
      <c r="AG697" s="65" t="s">
        <v>74</v>
      </c>
      <c r="AH697" s="65" t="s">
        <v>2478</v>
      </c>
      <c r="AI697">
        <f>IF(AND(OR(Company_Explorer!$B$5="All Companies",$E697=Company_Explorer!$B$5),OR(Company_Explorer!$B$6="All Platforms",$B697=Company_Explorer!$B$6),OR(Company_Explorer!$B$7="All Roles",$D697=Company_Explorer!$B$7),OR(Company_Explorer!$B$8="All Ghost Labels",$AG697=Company_Explorer!$B$8)),1,0)</f>
        <v>0</v>
      </c>
    </row>
    <row r="698" spans="1:35" ht="15" customHeight="1" x14ac:dyDescent="0.3">
      <c r="A698" s="60" t="s">
        <v>2479</v>
      </c>
      <c r="B698" s="60" t="s">
        <v>80</v>
      </c>
      <c r="C698" s="60" t="s">
        <v>2480</v>
      </c>
      <c r="D698" s="60" t="s">
        <v>131</v>
      </c>
      <c r="E698" s="60" t="s">
        <v>2481</v>
      </c>
      <c r="F698" s="60" t="b">
        <f>TRUE()</f>
        <v>1</v>
      </c>
      <c r="G698" s="60" t="s">
        <v>166</v>
      </c>
      <c r="H698" s="60" t="s">
        <v>235</v>
      </c>
      <c r="I698" s="61">
        <v>45091</v>
      </c>
      <c r="J698" s="61">
        <v>46210</v>
      </c>
      <c r="K698" s="60">
        <v>1119</v>
      </c>
      <c r="L698" s="60" t="s">
        <v>192</v>
      </c>
      <c r="M698" s="60" t="s">
        <v>185</v>
      </c>
      <c r="N698" s="60" t="b">
        <f>FALSE()</f>
        <v>0</v>
      </c>
      <c r="O698" s="60"/>
      <c r="P698" s="60"/>
      <c r="Q698" s="60" t="s">
        <v>236</v>
      </c>
      <c r="R698" s="60" t="s">
        <v>237</v>
      </c>
      <c r="S698" s="60"/>
      <c r="T698" s="60" t="b">
        <f>FALSE()</f>
        <v>0</v>
      </c>
      <c r="U698" s="60" t="b">
        <f>FALSE()</f>
        <v>0</v>
      </c>
      <c r="V698" s="60">
        <v>448</v>
      </c>
      <c r="W698" s="60" t="s">
        <v>2482</v>
      </c>
      <c r="X698" s="60">
        <v>1</v>
      </c>
      <c r="Y698" s="63">
        <v>0.01</v>
      </c>
      <c r="Z698" s="60" t="b">
        <f>FALSE()</f>
        <v>0</v>
      </c>
      <c r="AA698" s="60" t="b">
        <f>TRUE()</f>
        <v>1</v>
      </c>
      <c r="AB698" s="60" t="b">
        <f>FALSE()</f>
        <v>0</v>
      </c>
      <c r="AC698" s="60" t="b">
        <f>TRUE()</f>
        <v>1</v>
      </c>
      <c r="AD698" s="60" t="b">
        <f>FALSE()</f>
        <v>0</v>
      </c>
      <c r="AE698" s="60">
        <v>2</v>
      </c>
      <c r="AF698" s="64">
        <v>28.6</v>
      </c>
      <c r="AG698" s="60" t="s">
        <v>73</v>
      </c>
      <c r="AH698" s="60" t="s">
        <v>2483</v>
      </c>
      <c r="AI698">
        <f>IF(AND(OR(Company_Explorer!$B$5="All Companies",$E698=Company_Explorer!$B$5),OR(Company_Explorer!$B$6="All Platforms",$B698=Company_Explorer!$B$6),OR(Company_Explorer!$B$7="All Roles",$D698=Company_Explorer!$B$7),OR(Company_Explorer!$B$8="All Ghost Labels",$AG698=Company_Explorer!$B$8)),1,0)</f>
        <v>0</v>
      </c>
    </row>
    <row r="699" spans="1:35" ht="15" customHeight="1" x14ac:dyDescent="0.3">
      <c r="A699" s="65" t="s">
        <v>2484</v>
      </c>
      <c r="B699" s="65" t="s">
        <v>80</v>
      </c>
      <c r="C699" s="65" t="s">
        <v>2485</v>
      </c>
      <c r="D699" s="65" t="s">
        <v>131</v>
      </c>
      <c r="E699" s="65" t="s">
        <v>2486</v>
      </c>
      <c r="F699" s="65" t="b">
        <f>TRUE()</f>
        <v>1</v>
      </c>
      <c r="G699" s="65" t="s">
        <v>166</v>
      </c>
      <c r="H699" s="65" t="s">
        <v>235</v>
      </c>
      <c r="I699" s="66">
        <v>46174</v>
      </c>
      <c r="J699" s="66">
        <v>46210</v>
      </c>
      <c r="K699" s="65">
        <v>36</v>
      </c>
      <c r="L699" s="65" t="s">
        <v>192</v>
      </c>
      <c r="M699" s="65" t="s">
        <v>186</v>
      </c>
      <c r="N699" s="65" t="b">
        <f>FALSE()</f>
        <v>0</v>
      </c>
      <c r="O699" s="65"/>
      <c r="P699" s="65"/>
      <c r="Q699" s="65" t="s">
        <v>236</v>
      </c>
      <c r="R699" s="65" t="s">
        <v>237</v>
      </c>
      <c r="S699" s="65"/>
      <c r="T699" s="65" t="b">
        <f>FALSE()</f>
        <v>0</v>
      </c>
      <c r="U699" s="65" t="b">
        <f>FALSE()</f>
        <v>0</v>
      </c>
      <c r="V699" s="65">
        <v>343</v>
      </c>
      <c r="W699" s="67" t="s">
        <v>2487</v>
      </c>
      <c r="X699" s="65">
        <v>1</v>
      </c>
      <c r="Y699" s="68">
        <v>0.01</v>
      </c>
      <c r="Z699" s="65" t="b">
        <f>FALSE()</f>
        <v>0</v>
      </c>
      <c r="AA699" s="65" t="b">
        <f>TRUE()</f>
        <v>1</v>
      </c>
      <c r="AB699" s="65" t="b">
        <f>FALSE()</f>
        <v>0</v>
      </c>
      <c r="AC699" s="65" t="b">
        <f>TRUE()</f>
        <v>1</v>
      </c>
      <c r="AD699" s="65" t="b">
        <f>FALSE()</f>
        <v>0</v>
      </c>
      <c r="AE699" s="65">
        <v>2</v>
      </c>
      <c r="AF699" s="69">
        <v>28.6</v>
      </c>
      <c r="AG699" s="65" t="s">
        <v>73</v>
      </c>
      <c r="AH699" s="65" t="s">
        <v>2488</v>
      </c>
      <c r="AI699">
        <f>IF(AND(OR(Company_Explorer!$B$5="All Companies",$E699=Company_Explorer!$B$5),OR(Company_Explorer!$B$6="All Platforms",$B699=Company_Explorer!$B$6),OR(Company_Explorer!$B$7="All Roles",$D699=Company_Explorer!$B$7),OR(Company_Explorer!$B$8="All Ghost Labels",$AG699=Company_Explorer!$B$8)),1,0)</f>
        <v>0</v>
      </c>
    </row>
    <row r="700" spans="1:35" ht="15" customHeight="1" x14ac:dyDescent="0.3">
      <c r="A700" s="60" t="s">
        <v>2489</v>
      </c>
      <c r="B700" s="60" t="s">
        <v>80</v>
      </c>
      <c r="C700" s="60" t="s">
        <v>2248</v>
      </c>
      <c r="D700" s="60" t="s">
        <v>125</v>
      </c>
      <c r="E700" s="60" t="s">
        <v>147</v>
      </c>
      <c r="F700" s="60" t="b">
        <f>TRUE()</f>
        <v>1</v>
      </c>
      <c r="G700" s="60" t="s">
        <v>311</v>
      </c>
      <c r="H700" s="60" t="s">
        <v>235</v>
      </c>
      <c r="I700" s="61">
        <v>46201</v>
      </c>
      <c r="J700" s="61">
        <v>46210</v>
      </c>
      <c r="K700" s="60">
        <v>9</v>
      </c>
      <c r="L700" s="60" t="s">
        <v>192</v>
      </c>
      <c r="M700" s="60" t="s">
        <v>185</v>
      </c>
      <c r="N700" s="60" t="b">
        <f>FALSE()</f>
        <v>0</v>
      </c>
      <c r="O700" s="60"/>
      <c r="P700" s="60"/>
      <c r="Q700" s="60" t="s">
        <v>236</v>
      </c>
      <c r="R700" s="60" t="s">
        <v>237</v>
      </c>
      <c r="S700" s="60"/>
      <c r="T700" s="60" t="b">
        <f>FALSE()</f>
        <v>0</v>
      </c>
      <c r="U700" s="60" t="b">
        <f>FALSE()</f>
        <v>0</v>
      </c>
      <c r="V700" s="60">
        <v>691</v>
      </c>
      <c r="W700" s="62" t="s">
        <v>2490</v>
      </c>
      <c r="X700" s="60">
        <v>8</v>
      </c>
      <c r="Y700" s="63">
        <v>0.05</v>
      </c>
      <c r="Z700" s="60" t="b">
        <f>FALSE()</f>
        <v>0</v>
      </c>
      <c r="AA700" s="60" t="b">
        <f>TRUE()</f>
        <v>1</v>
      </c>
      <c r="AB700" s="60" t="b">
        <f>FALSE()</f>
        <v>0</v>
      </c>
      <c r="AC700" s="60" t="b">
        <f>FALSE()</f>
        <v>0</v>
      </c>
      <c r="AD700" s="60" t="b">
        <f>FALSE()</f>
        <v>0</v>
      </c>
      <c r="AE700" s="60">
        <v>1</v>
      </c>
      <c r="AF700" s="64">
        <v>14.3</v>
      </c>
      <c r="AG700" s="60" t="s">
        <v>74</v>
      </c>
      <c r="AH700" s="60" t="s">
        <v>2491</v>
      </c>
      <c r="AI700">
        <f>IF(AND(OR(Company_Explorer!$B$5="All Companies",$E700=Company_Explorer!$B$5),OR(Company_Explorer!$B$6="All Platforms",$B700=Company_Explorer!$B$6),OR(Company_Explorer!$B$7="All Roles",$D700=Company_Explorer!$B$7),OR(Company_Explorer!$B$8="All Ghost Labels",$AG700=Company_Explorer!$B$8)),1,0)</f>
        <v>1</v>
      </c>
    </row>
    <row r="701" spans="1:35" ht="15" customHeight="1" x14ac:dyDescent="0.3">
      <c r="A701" s="65" t="s">
        <v>2492</v>
      </c>
      <c r="B701" s="65" t="s">
        <v>80</v>
      </c>
      <c r="C701" s="65" t="s">
        <v>131</v>
      </c>
      <c r="D701" s="65" t="s">
        <v>131</v>
      </c>
      <c r="E701" s="65" t="s">
        <v>2493</v>
      </c>
      <c r="F701" s="65" t="b">
        <f>TRUE()</f>
        <v>1</v>
      </c>
      <c r="G701" s="65" t="s">
        <v>753</v>
      </c>
      <c r="H701" s="65" t="s">
        <v>754</v>
      </c>
      <c r="I701" s="66">
        <v>46210</v>
      </c>
      <c r="J701" s="66">
        <v>46210</v>
      </c>
      <c r="K701" s="65">
        <v>0</v>
      </c>
      <c r="L701" s="65" t="s">
        <v>192</v>
      </c>
      <c r="M701" s="65" t="s">
        <v>184</v>
      </c>
      <c r="N701" s="65" t="b">
        <f>FALSE()</f>
        <v>0</v>
      </c>
      <c r="O701" s="65"/>
      <c r="P701" s="65"/>
      <c r="Q701" s="65" t="s">
        <v>236</v>
      </c>
      <c r="R701" s="65" t="s">
        <v>237</v>
      </c>
      <c r="S701" s="65"/>
      <c r="T701" s="65" t="b">
        <f>FALSE()</f>
        <v>0</v>
      </c>
      <c r="U701" s="65" t="b">
        <f>FALSE()</f>
        <v>0</v>
      </c>
      <c r="V701" s="65">
        <v>632</v>
      </c>
      <c r="W701" s="67" t="s">
        <v>2494</v>
      </c>
      <c r="X701" s="65">
        <v>1</v>
      </c>
      <c r="Y701" s="68">
        <v>0.01</v>
      </c>
      <c r="Z701" s="65" t="b">
        <f>FALSE()</f>
        <v>0</v>
      </c>
      <c r="AA701" s="65" t="b">
        <f>TRUE()</f>
        <v>1</v>
      </c>
      <c r="AB701" s="65" t="b">
        <f>FALSE()</f>
        <v>0</v>
      </c>
      <c r="AC701" s="65" t="b">
        <f>FALSE()</f>
        <v>0</v>
      </c>
      <c r="AD701" s="65" t="b">
        <f>FALSE()</f>
        <v>0</v>
      </c>
      <c r="AE701" s="65">
        <v>1</v>
      </c>
      <c r="AF701" s="69">
        <v>14.3</v>
      </c>
      <c r="AG701" s="65" t="s">
        <v>74</v>
      </c>
      <c r="AH701" s="65" t="s">
        <v>2495</v>
      </c>
      <c r="AI701">
        <f>IF(AND(OR(Company_Explorer!$B$5="All Companies",$E701=Company_Explorer!$B$5),OR(Company_Explorer!$B$6="All Platforms",$B701=Company_Explorer!$B$6),OR(Company_Explorer!$B$7="All Roles",$D701=Company_Explorer!$B$7),OR(Company_Explorer!$B$8="All Ghost Labels",$AG701=Company_Explorer!$B$8)),1,0)</f>
        <v>0</v>
      </c>
    </row>
    <row r="702" spans="1:35" ht="15" customHeight="1" x14ac:dyDescent="0.3">
      <c r="A702" s="60" t="s">
        <v>2496</v>
      </c>
      <c r="B702" s="60" t="s">
        <v>80</v>
      </c>
      <c r="C702" s="60" t="s">
        <v>2497</v>
      </c>
      <c r="D702" s="60" t="s">
        <v>125</v>
      </c>
      <c r="E702" s="60" t="s">
        <v>144</v>
      </c>
      <c r="F702" s="60" t="b">
        <f>TRUE()</f>
        <v>1</v>
      </c>
      <c r="G702" s="60" t="s">
        <v>167</v>
      </c>
      <c r="H702" s="60" t="s">
        <v>276</v>
      </c>
      <c r="I702" s="61">
        <v>46161</v>
      </c>
      <c r="J702" s="61">
        <v>46210</v>
      </c>
      <c r="K702" s="60">
        <v>49</v>
      </c>
      <c r="L702" s="60" t="s">
        <v>192</v>
      </c>
      <c r="M702" s="60" t="s">
        <v>184</v>
      </c>
      <c r="N702" s="60" t="b">
        <f>FALSE()</f>
        <v>0</v>
      </c>
      <c r="O702" s="60"/>
      <c r="P702" s="60"/>
      <c r="Q702" s="60" t="s">
        <v>236</v>
      </c>
      <c r="R702" s="60" t="s">
        <v>237</v>
      </c>
      <c r="S702" s="60"/>
      <c r="T702" s="60" t="b">
        <f>FALSE()</f>
        <v>0</v>
      </c>
      <c r="U702" s="60" t="b">
        <f>FALSE()</f>
        <v>0</v>
      </c>
      <c r="V702" s="60">
        <v>139</v>
      </c>
      <c r="W702" s="62" t="s">
        <v>2498</v>
      </c>
      <c r="X702" s="60">
        <v>9</v>
      </c>
      <c r="Y702" s="63">
        <v>0.06</v>
      </c>
      <c r="Z702" s="60" t="b">
        <f>FALSE()</f>
        <v>0</v>
      </c>
      <c r="AA702" s="60" t="b">
        <f>TRUE()</f>
        <v>1</v>
      </c>
      <c r="AB702" s="60" t="b">
        <f>TRUE()</f>
        <v>1</v>
      </c>
      <c r="AC702" s="60" t="b">
        <f>TRUE()</f>
        <v>1</v>
      </c>
      <c r="AD702" s="60" t="b">
        <f>FALSE()</f>
        <v>0</v>
      </c>
      <c r="AE702" s="60">
        <v>3</v>
      </c>
      <c r="AF702" s="64">
        <v>42.9</v>
      </c>
      <c r="AG702" s="60" t="s">
        <v>73</v>
      </c>
      <c r="AH702" s="60" t="s">
        <v>2499</v>
      </c>
      <c r="AI702">
        <f>IF(AND(OR(Company_Explorer!$B$5="All Companies",$E702=Company_Explorer!$B$5),OR(Company_Explorer!$B$6="All Platforms",$B702=Company_Explorer!$B$6),OR(Company_Explorer!$B$7="All Roles",$D702=Company_Explorer!$B$7),OR(Company_Explorer!$B$8="All Ghost Labels",$AG702=Company_Explorer!$B$8)),1,0)</f>
        <v>0</v>
      </c>
    </row>
    <row r="703" spans="1:35" ht="15" customHeight="1" x14ac:dyDescent="0.3">
      <c r="A703" s="65" t="s">
        <v>2500</v>
      </c>
      <c r="B703" s="65" t="s">
        <v>80</v>
      </c>
      <c r="C703" s="65" t="s">
        <v>131</v>
      </c>
      <c r="D703" s="65" t="s">
        <v>131</v>
      </c>
      <c r="E703" s="65" t="s">
        <v>158</v>
      </c>
      <c r="F703" s="65" t="b">
        <f>TRUE()</f>
        <v>1</v>
      </c>
      <c r="G703" s="65" t="s">
        <v>166</v>
      </c>
      <c r="H703" s="65" t="s">
        <v>235</v>
      </c>
      <c r="I703" s="66">
        <v>46192</v>
      </c>
      <c r="J703" s="66">
        <v>46210</v>
      </c>
      <c r="K703" s="65">
        <v>18</v>
      </c>
      <c r="L703" s="65" t="s">
        <v>192</v>
      </c>
      <c r="M703" s="65" t="s">
        <v>185</v>
      </c>
      <c r="N703" s="65" t="b">
        <f>FALSE()</f>
        <v>0</v>
      </c>
      <c r="O703" s="65"/>
      <c r="P703" s="65"/>
      <c r="Q703" s="65" t="s">
        <v>236</v>
      </c>
      <c r="R703" s="65" t="s">
        <v>237</v>
      </c>
      <c r="S703" s="65"/>
      <c r="T703" s="65" t="b">
        <f>FALSE()</f>
        <v>0</v>
      </c>
      <c r="U703" s="65" t="b">
        <f>FALSE()</f>
        <v>0</v>
      </c>
      <c r="V703" s="65">
        <v>742</v>
      </c>
      <c r="W703" s="67" t="s">
        <v>2501</v>
      </c>
      <c r="X703" s="65">
        <v>14</v>
      </c>
      <c r="Y703" s="68">
        <v>0.09</v>
      </c>
      <c r="Z703" s="65" t="b">
        <f>FALSE()</f>
        <v>0</v>
      </c>
      <c r="AA703" s="65" t="b">
        <f>TRUE()</f>
        <v>1</v>
      </c>
      <c r="AB703" s="65" t="b">
        <f>FALSE()</f>
        <v>0</v>
      </c>
      <c r="AC703" s="65" t="b">
        <f>FALSE()</f>
        <v>0</v>
      </c>
      <c r="AD703" s="65" t="b">
        <f>FALSE()</f>
        <v>0</v>
      </c>
      <c r="AE703" s="65">
        <v>1</v>
      </c>
      <c r="AF703" s="69">
        <v>14.3</v>
      </c>
      <c r="AG703" s="65" t="s">
        <v>74</v>
      </c>
      <c r="AH703" s="65" t="s">
        <v>2502</v>
      </c>
      <c r="AI703">
        <f>IF(AND(OR(Company_Explorer!$B$5="All Companies",$E703=Company_Explorer!$B$5),OR(Company_Explorer!$B$6="All Platforms",$B703=Company_Explorer!$B$6),OR(Company_Explorer!$B$7="All Roles",$D703=Company_Explorer!$B$7),OR(Company_Explorer!$B$8="All Ghost Labels",$AG703=Company_Explorer!$B$8)),1,0)</f>
        <v>0</v>
      </c>
    </row>
    <row r="704" spans="1:35" ht="15" customHeight="1" x14ac:dyDescent="0.3">
      <c r="A704" s="60" t="s">
        <v>2503</v>
      </c>
      <c r="B704" s="60" t="s">
        <v>80</v>
      </c>
      <c r="C704" s="60" t="s">
        <v>2034</v>
      </c>
      <c r="D704" s="60" t="s">
        <v>130</v>
      </c>
      <c r="E704" s="60" t="s">
        <v>2504</v>
      </c>
      <c r="F704" s="60" t="b">
        <f>TRUE()</f>
        <v>1</v>
      </c>
      <c r="G704" s="60" t="s">
        <v>392</v>
      </c>
      <c r="H704" s="60" t="s">
        <v>302</v>
      </c>
      <c r="I704" s="61">
        <v>46051</v>
      </c>
      <c r="J704" s="61">
        <v>46210</v>
      </c>
      <c r="K704" s="60">
        <v>159</v>
      </c>
      <c r="L704" s="60" t="s">
        <v>192</v>
      </c>
      <c r="M704" s="60" t="s">
        <v>185</v>
      </c>
      <c r="N704" s="60" t="b">
        <f>FALSE()</f>
        <v>0</v>
      </c>
      <c r="O704" s="60"/>
      <c r="P704" s="60"/>
      <c r="Q704" s="60" t="s">
        <v>236</v>
      </c>
      <c r="R704" s="60" t="s">
        <v>237</v>
      </c>
      <c r="S704" s="60"/>
      <c r="T704" s="60" t="b">
        <f>FALSE()</f>
        <v>0</v>
      </c>
      <c r="U704" s="60" t="b">
        <f>FALSE()</f>
        <v>0</v>
      </c>
      <c r="V704" s="60">
        <v>295</v>
      </c>
      <c r="W704" s="62" t="s">
        <v>2505</v>
      </c>
      <c r="X704" s="60">
        <v>1</v>
      </c>
      <c r="Y704" s="63">
        <v>0.01</v>
      </c>
      <c r="Z704" s="60" t="b">
        <f>FALSE()</f>
        <v>0</v>
      </c>
      <c r="AA704" s="60" t="b">
        <f>TRUE()</f>
        <v>1</v>
      </c>
      <c r="AB704" s="60" t="b">
        <f>FALSE()</f>
        <v>0</v>
      </c>
      <c r="AC704" s="60" t="b">
        <f>TRUE()</f>
        <v>1</v>
      </c>
      <c r="AD704" s="60" t="b">
        <f>FALSE()</f>
        <v>0</v>
      </c>
      <c r="AE704" s="60">
        <v>2</v>
      </c>
      <c r="AF704" s="64">
        <v>28.6</v>
      </c>
      <c r="AG704" s="60" t="s">
        <v>73</v>
      </c>
      <c r="AH704" s="60" t="s">
        <v>2506</v>
      </c>
      <c r="AI704">
        <f>IF(AND(OR(Company_Explorer!$B$5="All Companies",$E704=Company_Explorer!$B$5),OR(Company_Explorer!$B$6="All Platforms",$B704=Company_Explorer!$B$6),OR(Company_Explorer!$B$7="All Roles",$D704=Company_Explorer!$B$7),OR(Company_Explorer!$B$8="All Ghost Labels",$AG704=Company_Explorer!$B$8)),1,0)</f>
        <v>0</v>
      </c>
    </row>
    <row r="705" spans="1:35" ht="15" customHeight="1" x14ac:dyDescent="0.3">
      <c r="A705" s="65" t="s">
        <v>2507</v>
      </c>
      <c r="B705" s="65" t="s">
        <v>80</v>
      </c>
      <c r="C705" s="65" t="s">
        <v>1555</v>
      </c>
      <c r="D705" s="65" t="s">
        <v>125</v>
      </c>
      <c r="E705" s="65" t="s">
        <v>2508</v>
      </c>
      <c r="F705" s="65" t="b">
        <f>TRUE()</f>
        <v>1</v>
      </c>
      <c r="G705" s="65" t="s">
        <v>2509</v>
      </c>
      <c r="H705" s="65" t="s">
        <v>326</v>
      </c>
      <c r="I705" s="66">
        <v>46206</v>
      </c>
      <c r="J705" s="66">
        <v>46210</v>
      </c>
      <c r="K705" s="65">
        <v>4</v>
      </c>
      <c r="L705" s="65" t="s">
        <v>192</v>
      </c>
      <c r="M705" s="65" t="s">
        <v>185</v>
      </c>
      <c r="N705" s="65" t="b">
        <f>FALSE()</f>
        <v>0</v>
      </c>
      <c r="O705" s="65"/>
      <c r="P705" s="65"/>
      <c r="Q705" s="65" t="s">
        <v>236</v>
      </c>
      <c r="R705" s="65" t="s">
        <v>237</v>
      </c>
      <c r="S705" s="65"/>
      <c r="T705" s="65" t="b">
        <f>FALSE()</f>
        <v>0</v>
      </c>
      <c r="U705" s="65" t="b">
        <f>FALSE()</f>
        <v>0</v>
      </c>
      <c r="V705" s="65">
        <v>656</v>
      </c>
      <c r="W705" s="67" t="s">
        <v>2510</v>
      </c>
      <c r="X705" s="65">
        <v>1</v>
      </c>
      <c r="Y705" s="68">
        <v>0.01</v>
      </c>
      <c r="Z705" s="65" t="b">
        <f>FALSE()</f>
        <v>0</v>
      </c>
      <c r="AA705" s="65" t="b">
        <f>TRUE()</f>
        <v>1</v>
      </c>
      <c r="AB705" s="65" t="b">
        <f>FALSE()</f>
        <v>0</v>
      </c>
      <c r="AC705" s="65" t="b">
        <f>FALSE()</f>
        <v>0</v>
      </c>
      <c r="AD705" s="65" t="b">
        <f>FALSE()</f>
        <v>0</v>
      </c>
      <c r="AE705" s="65">
        <v>1</v>
      </c>
      <c r="AF705" s="69">
        <v>14.3</v>
      </c>
      <c r="AG705" s="65" t="s">
        <v>74</v>
      </c>
      <c r="AH705" s="65" t="s">
        <v>2511</v>
      </c>
      <c r="AI705">
        <f>IF(AND(OR(Company_Explorer!$B$5="All Companies",$E705=Company_Explorer!$B$5),OR(Company_Explorer!$B$6="All Platforms",$B705=Company_Explorer!$B$6),OR(Company_Explorer!$B$7="All Roles",$D705=Company_Explorer!$B$7),OR(Company_Explorer!$B$8="All Ghost Labels",$AG705=Company_Explorer!$B$8)),1,0)</f>
        <v>0</v>
      </c>
    </row>
    <row r="706" spans="1:35" ht="15" customHeight="1" x14ac:dyDescent="0.3">
      <c r="A706" s="60" t="s">
        <v>2512</v>
      </c>
      <c r="B706" s="60" t="s">
        <v>80</v>
      </c>
      <c r="C706" s="60" t="s">
        <v>2513</v>
      </c>
      <c r="D706" s="60" t="s">
        <v>125</v>
      </c>
      <c r="E706" s="60" t="s">
        <v>2514</v>
      </c>
      <c r="F706" s="60" t="b">
        <f>TRUE()</f>
        <v>1</v>
      </c>
      <c r="G706" s="60" t="s">
        <v>169</v>
      </c>
      <c r="H706" s="60" t="s">
        <v>294</v>
      </c>
      <c r="I706" s="61">
        <v>46176</v>
      </c>
      <c r="J706" s="61">
        <v>46210</v>
      </c>
      <c r="K706" s="60">
        <v>34</v>
      </c>
      <c r="L706" s="60" t="s">
        <v>192</v>
      </c>
      <c r="M706" s="60" t="s">
        <v>184</v>
      </c>
      <c r="N706" s="60" t="b">
        <f>FALSE()</f>
        <v>0</v>
      </c>
      <c r="O706" s="60"/>
      <c r="P706" s="60"/>
      <c r="Q706" s="60" t="s">
        <v>236</v>
      </c>
      <c r="R706" s="60" t="s">
        <v>237</v>
      </c>
      <c r="S706" s="60"/>
      <c r="T706" s="60" t="b">
        <f>FALSE()</f>
        <v>0</v>
      </c>
      <c r="U706" s="60" t="b">
        <f>FALSE()</f>
        <v>0</v>
      </c>
      <c r="V706" s="60">
        <v>93</v>
      </c>
      <c r="W706" s="62" t="s">
        <v>2515</v>
      </c>
      <c r="X706" s="60">
        <v>1</v>
      </c>
      <c r="Y706" s="63">
        <v>0.01</v>
      </c>
      <c r="Z706" s="60" t="b">
        <f>FALSE()</f>
        <v>0</v>
      </c>
      <c r="AA706" s="60" t="b">
        <f>TRUE()</f>
        <v>1</v>
      </c>
      <c r="AB706" s="60" t="b">
        <f>TRUE()</f>
        <v>1</v>
      </c>
      <c r="AC706" s="60" t="b">
        <f>TRUE()</f>
        <v>1</v>
      </c>
      <c r="AD706" s="60" t="b">
        <f>FALSE()</f>
        <v>0</v>
      </c>
      <c r="AE706" s="60">
        <v>3</v>
      </c>
      <c r="AF706" s="64">
        <v>42.9</v>
      </c>
      <c r="AG706" s="60" t="s">
        <v>73</v>
      </c>
      <c r="AH706" s="60" t="s">
        <v>2516</v>
      </c>
      <c r="AI706">
        <f>IF(AND(OR(Company_Explorer!$B$5="All Companies",$E706=Company_Explorer!$B$5),OR(Company_Explorer!$B$6="All Platforms",$B706=Company_Explorer!$B$6),OR(Company_Explorer!$B$7="All Roles",$D706=Company_Explorer!$B$7),OR(Company_Explorer!$B$8="All Ghost Labels",$AG706=Company_Explorer!$B$8)),1,0)</f>
        <v>0</v>
      </c>
    </row>
    <row r="707" spans="1:35" ht="15" customHeight="1" x14ac:dyDescent="0.3">
      <c r="A707" s="65" t="s">
        <v>2517</v>
      </c>
      <c r="B707" s="65" t="s">
        <v>80</v>
      </c>
      <c r="C707" s="65" t="s">
        <v>2196</v>
      </c>
      <c r="D707" s="65" t="s">
        <v>125</v>
      </c>
      <c r="E707" s="65" t="s">
        <v>2518</v>
      </c>
      <c r="F707" s="65" t="b">
        <f>TRUE()</f>
        <v>1</v>
      </c>
      <c r="G707" s="65" t="s">
        <v>173</v>
      </c>
      <c r="H707" s="65" t="s">
        <v>827</v>
      </c>
      <c r="I707" s="66">
        <v>46176</v>
      </c>
      <c r="J707" s="66">
        <v>46210</v>
      </c>
      <c r="K707" s="65">
        <v>34</v>
      </c>
      <c r="L707" s="65" t="s">
        <v>192</v>
      </c>
      <c r="M707" s="65" t="s">
        <v>185</v>
      </c>
      <c r="N707" s="65" t="b">
        <f>FALSE()</f>
        <v>0</v>
      </c>
      <c r="O707" s="65"/>
      <c r="P707" s="65"/>
      <c r="Q707" s="65" t="s">
        <v>236</v>
      </c>
      <c r="R707" s="65" t="s">
        <v>237</v>
      </c>
      <c r="S707" s="65"/>
      <c r="T707" s="65" t="b">
        <f>FALSE()</f>
        <v>0</v>
      </c>
      <c r="U707" s="65" t="b">
        <f>FALSE()</f>
        <v>0</v>
      </c>
      <c r="V707" s="65">
        <v>208</v>
      </c>
      <c r="W707" s="67" t="s">
        <v>2519</v>
      </c>
      <c r="X707" s="65">
        <v>1</v>
      </c>
      <c r="Y707" s="68">
        <v>0.01</v>
      </c>
      <c r="Z707" s="65" t="b">
        <f>FALSE()</f>
        <v>0</v>
      </c>
      <c r="AA707" s="65" t="b">
        <f>TRUE()</f>
        <v>1</v>
      </c>
      <c r="AB707" s="65" t="b">
        <f>TRUE()</f>
        <v>1</v>
      </c>
      <c r="AC707" s="65" t="b">
        <f>TRUE()</f>
        <v>1</v>
      </c>
      <c r="AD707" s="65" t="b">
        <f>FALSE()</f>
        <v>0</v>
      </c>
      <c r="AE707" s="65">
        <v>3</v>
      </c>
      <c r="AF707" s="69">
        <v>42.9</v>
      </c>
      <c r="AG707" s="65" t="s">
        <v>73</v>
      </c>
      <c r="AH707" s="65" t="s">
        <v>2520</v>
      </c>
      <c r="AI707">
        <f>IF(AND(OR(Company_Explorer!$B$5="All Companies",$E707=Company_Explorer!$B$5),OR(Company_Explorer!$B$6="All Platforms",$B707=Company_Explorer!$B$6),OR(Company_Explorer!$B$7="All Roles",$D707=Company_Explorer!$B$7),OR(Company_Explorer!$B$8="All Ghost Labels",$AG707=Company_Explorer!$B$8)),1,0)</f>
        <v>0</v>
      </c>
    </row>
    <row r="708" spans="1:35" ht="15" customHeight="1" x14ac:dyDescent="0.3">
      <c r="A708" s="60" t="s">
        <v>2521</v>
      </c>
      <c r="B708" s="60" t="s">
        <v>80</v>
      </c>
      <c r="C708" s="60" t="s">
        <v>2522</v>
      </c>
      <c r="D708" s="60" t="s">
        <v>130</v>
      </c>
      <c r="E708" s="60" t="s">
        <v>2523</v>
      </c>
      <c r="F708" s="60" t="b">
        <f>TRUE()</f>
        <v>1</v>
      </c>
      <c r="G708" s="60" t="s">
        <v>178</v>
      </c>
      <c r="H708" s="60" t="s">
        <v>165</v>
      </c>
      <c r="I708" s="61">
        <v>46035</v>
      </c>
      <c r="J708" s="61">
        <v>46210</v>
      </c>
      <c r="K708" s="60">
        <v>175</v>
      </c>
      <c r="L708" s="60" t="s">
        <v>192</v>
      </c>
      <c r="M708" s="60" t="s">
        <v>184</v>
      </c>
      <c r="N708" s="60" t="b">
        <f>FALSE()</f>
        <v>0</v>
      </c>
      <c r="O708" s="60"/>
      <c r="P708" s="60"/>
      <c r="Q708" s="60" t="s">
        <v>236</v>
      </c>
      <c r="R708" s="60" t="s">
        <v>237</v>
      </c>
      <c r="S708" s="60"/>
      <c r="T708" s="60" t="b">
        <f>FALSE()</f>
        <v>0</v>
      </c>
      <c r="U708" s="60" t="b">
        <f>FALSE()</f>
        <v>0</v>
      </c>
      <c r="V708" s="60">
        <v>247</v>
      </c>
      <c r="W708" s="62" t="s">
        <v>2524</v>
      </c>
      <c r="X708" s="60">
        <v>1</v>
      </c>
      <c r="Y708" s="63">
        <v>0.01</v>
      </c>
      <c r="Z708" s="60" t="b">
        <f>FALSE()</f>
        <v>0</v>
      </c>
      <c r="AA708" s="60" t="b">
        <f>TRUE()</f>
        <v>1</v>
      </c>
      <c r="AB708" s="60" t="b">
        <f>TRUE()</f>
        <v>1</v>
      </c>
      <c r="AC708" s="60" t="b">
        <f>TRUE()</f>
        <v>1</v>
      </c>
      <c r="AD708" s="60" t="b">
        <f>FALSE()</f>
        <v>0</v>
      </c>
      <c r="AE708" s="60">
        <v>3</v>
      </c>
      <c r="AF708" s="64">
        <v>42.9</v>
      </c>
      <c r="AG708" s="60" t="s">
        <v>73</v>
      </c>
      <c r="AH708" s="60" t="s">
        <v>2525</v>
      </c>
      <c r="AI708">
        <f>IF(AND(OR(Company_Explorer!$B$5="All Companies",$E708=Company_Explorer!$B$5),OR(Company_Explorer!$B$6="All Platforms",$B708=Company_Explorer!$B$6),OR(Company_Explorer!$B$7="All Roles",$D708=Company_Explorer!$B$7),OR(Company_Explorer!$B$8="All Ghost Labels",$AG708=Company_Explorer!$B$8)),1,0)</f>
        <v>0</v>
      </c>
    </row>
    <row r="709" spans="1:35" ht="15" customHeight="1" x14ac:dyDescent="0.3">
      <c r="A709" s="65" t="s">
        <v>2526</v>
      </c>
      <c r="B709" s="65" t="s">
        <v>80</v>
      </c>
      <c r="C709" s="65" t="s">
        <v>2527</v>
      </c>
      <c r="D709" s="65" t="s">
        <v>131</v>
      </c>
      <c r="E709" s="65" t="s">
        <v>2528</v>
      </c>
      <c r="F709" s="65" t="b">
        <f>TRUE()</f>
        <v>1</v>
      </c>
      <c r="G709" s="65" t="s">
        <v>753</v>
      </c>
      <c r="H709" s="65" t="s">
        <v>754</v>
      </c>
      <c r="I709" s="66">
        <v>46177</v>
      </c>
      <c r="J709" s="66">
        <v>46210</v>
      </c>
      <c r="K709" s="65">
        <v>33</v>
      </c>
      <c r="L709" s="65" t="s">
        <v>192</v>
      </c>
      <c r="M709" s="65" t="s">
        <v>185</v>
      </c>
      <c r="N709" s="65" t="b">
        <f>FALSE()</f>
        <v>0</v>
      </c>
      <c r="O709" s="65"/>
      <c r="P709" s="65"/>
      <c r="Q709" s="65" t="s">
        <v>236</v>
      </c>
      <c r="R709" s="65" t="s">
        <v>237</v>
      </c>
      <c r="S709" s="65"/>
      <c r="T709" s="65" t="b">
        <f>FALSE()</f>
        <v>0</v>
      </c>
      <c r="U709" s="65" t="b">
        <f>FALSE()</f>
        <v>0</v>
      </c>
      <c r="V709" s="65">
        <v>283</v>
      </c>
      <c r="W709" s="67" t="s">
        <v>2529</v>
      </c>
      <c r="X709" s="65">
        <v>1</v>
      </c>
      <c r="Y709" s="68">
        <v>0.01</v>
      </c>
      <c r="Z709" s="65" t="b">
        <f>FALSE()</f>
        <v>0</v>
      </c>
      <c r="AA709" s="65" t="b">
        <f>TRUE()</f>
        <v>1</v>
      </c>
      <c r="AB709" s="65" t="b">
        <f>FALSE()</f>
        <v>0</v>
      </c>
      <c r="AC709" s="65" t="b">
        <f>TRUE()</f>
        <v>1</v>
      </c>
      <c r="AD709" s="65" t="b">
        <f>FALSE()</f>
        <v>0</v>
      </c>
      <c r="AE709" s="65">
        <v>2</v>
      </c>
      <c r="AF709" s="69">
        <v>28.6</v>
      </c>
      <c r="AG709" s="65" t="s">
        <v>73</v>
      </c>
      <c r="AH709" s="65" t="s">
        <v>2530</v>
      </c>
      <c r="AI709">
        <f>IF(AND(OR(Company_Explorer!$B$5="All Companies",$E709=Company_Explorer!$B$5),OR(Company_Explorer!$B$6="All Platforms",$B709=Company_Explorer!$B$6),OR(Company_Explorer!$B$7="All Roles",$D709=Company_Explorer!$B$7),OR(Company_Explorer!$B$8="All Ghost Labels",$AG709=Company_Explorer!$B$8)),1,0)</f>
        <v>0</v>
      </c>
    </row>
    <row r="710" spans="1:35" ht="15" customHeight="1" x14ac:dyDescent="0.3">
      <c r="A710" s="60" t="s">
        <v>2531</v>
      </c>
      <c r="B710" s="60" t="s">
        <v>80</v>
      </c>
      <c r="C710" s="60" t="s">
        <v>131</v>
      </c>
      <c r="D710" s="60" t="s">
        <v>131</v>
      </c>
      <c r="E710" s="60" t="s">
        <v>2532</v>
      </c>
      <c r="F710" s="60" t="b">
        <f>TRUE()</f>
        <v>1</v>
      </c>
      <c r="G710" s="60" t="s">
        <v>176</v>
      </c>
      <c r="H710" s="60" t="s">
        <v>302</v>
      </c>
      <c r="I710" s="61">
        <v>46137</v>
      </c>
      <c r="J710" s="61">
        <v>46210</v>
      </c>
      <c r="K710" s="60">
        <v>73</v>
      </c>
      <c r="L710" s="60" t="s">
        <v>192</v>
      </c>
      <c r="M710" s="60" t="s">
        <v>185</v>
      </c>
      <c r="N710" s="60" t="b">
        <f>FALSE()</f>
        <v>0</v>
      </c>
      <c r="O710" s="60"/>
      <c r="P710" s="60"/>
      <c r="Q710" s="60" t="s">
        <v>236</v>
      </c>
      <c r="R710" s="60" t="s">
        <v>237</v>
      </c>
      <c r="S710" s="60"/>
      <c r="T710" s="60" t="b">
        <f>FALSE()</f>
        <v>0</v>
      </c>
      <c r="U710" s="60" t="b">
        <f>FALSE()</f>
        <v>0</v>
      </c>
      <c r="V710" s="60">
        <v>220</v>
      </c>
      <c r="W710" s="62" t="s">
        <v>2533</v>
      </c>
      <c r="X710" s="60">
        <v>1</v>
      </c>
      <c r="Y710" s="63">
        <v>0.01</v>
      </c>
      <c r="Z710" s="60" t="b">
        <f>FALSE()</f>
        <v>0</v>
      </c>
      <c r="AA710" s="60" t="b">
        <f>TRUE()</f>
        <v>1</v>
      </c>
      <c r="AB710" s="60" t="b">
        <f>TRUE()</f>
        <v>1</v>
      </c>
      <c r="AC710" s="60" t="b">
        <f>TRUE()</f>
        <v>1</v>
      </c>
      <c r="AD710" s="60" t="b">
        <f>FALSE()</f>
        <v>0</v>
      </c>
      <c r="AE710" s="60">
        <v>3</v>
      </c>
      <c r="AF710" s="64">
        <v>42.9</v>
      </c>
      <c r="AG710" s="60" t="s">
        <v>73</v>
      </c>
      <c r="AH710" s="60" t="s">
        <v>2534</v>
      </c>
      <c r="AI710">
        <f>IF(AND(OR(Company_Explorer!$B$5="All Companies",$E710=Company_Explorer!$B$5),OR(Company_Explorer!$B$6="All Platforms",$B710=Company_Explorer!$B$6),OR(Company_Explorer!$B$7="All Roles",$D710=Company_Explorer!$B$7),OR(Company_Explorer!$B$8="All Ghost Labels",$AG710=Company_Explorer!$B$8)),1,0)</f>
        <v>0</v>
      </c>
    </row>
    <row r="711" spans="1:35" ht="15" customHeight="1" x14ac:dyDescent="0.3">
      <c r="A711" s="65" t="s">
        <v>2535</v>
      </c>
      <c r="B711" s="65" t="s">
        <v>80</v>
      </c>
      <c r="C711" s="65" t="s">
        <v>2248</v>
      </c>
      <c r="D711" s="65" t="s">
        <v>125</v>
      </c>
      <c r="E711" s="65" t="s">
        <v>158</v>
      </c>
      <c r="F711" s="65" t="b">
        <f>TRUE()</f>
        <v>1</v>
      </c>
      <c r="G711" s="65" t="s">
        <v>253</v>
      </c>
      <c r="H711" s="65" t="s">
        <v>254</v>
      </c>
      <c r="I711" s="66">
        <v>46192</v>
      </c>
      <c r="J711" s="66">
        <v>46210</v>
      </c>
      <c r="K711" s="65">
        <v>18</v>
      </c>
      <c r="L711" s="65" t="s">
        <v>192</v>
      </c>
      <c r="M711" s="65" t="s">
        <v>185</v>
      </c>
      <c r="N711" s="65" t="b">
        <f>FALSE()</f>
        <v>0</v>
      </c>
      <c r="O711" s="65"/>
      <c r="P711" s="65"/>
      <c r="Q711" s="65" t="s">
        <v>236</v>
      </c>
      <c r="R711" s="65" t="s">
        <v>237</v>
      </c>
      <c r="S711" s="65"/>
      <c r="T711" s="65" t="b">
        <f>FALSE()</f>
        <v>0</v>
      </c>
      <c r="U711" s="65" t="b">
        <f>FALSE()</f>
        <v>0</v>
      </c>
      <c r="V711" s="65">
        <v>580</v>
      </c>
      <c r="W711" s="67" t="s">
        <v>2536</v>
      </c>
      <c r="X711" s="65">
        <v>14</v>
      </c>
      <c r="Y711" s="68">
        <v>0.09</v>
      </c>
      <c r="Z711" s="65" t="b">
        <f>FALSE()</f>
        <v>0</v>
      </c>
      <c r="AA711" s="65" t="b">
        <f>TRUE()</f>
        <v>1</v>
      </c>
      <c r="AB711" s="65" t="b">
        <f>FALSE()</f>
        <v>0</v>
      </c>
      <c r="AC711" s="65" t="b">
        <f>FALSE()</f>
        <v>0</v>
      </c>
      <c r="AD711" s="65" t="b">
        <f>FALSE()</f>
        <v>0</v>
      </c>
      <c r="AE711" s="65">
        <v>1</v>
      </c>
      <c r="AF711" s="69">
        <v>14.3</v>
      </c>
      <c r="AG711" s="65" t="s">
        <v>74</v>
      </c>
      <c r="AH711" s="65" t="s">
        <v>2537</v>
      </c>
      <c r="AI711">
        <f>IF(AND(OR(Company_Explorer!$B$5="All Companies",$E711=Company_Explorer!$B$5),OR(Company_Explorer!$B$6="All Platforms",$B711=Company_Explorer!$B$6),OR(Company_Explorer!$B$7="All Roles",$D711=Company_Explorer!$B$7),OR(Company_Explorer!$B$8="All Ghost Labels",$AG711=Company_Explorer!$B$8)),1,0)</f>
        <v>0</v>
      </c>
    </row>
    <row r="712" spans="1:35" ht="15" customHeight="1" x14ac:dyDescent="0.3">
      <c r="A712" s="60" t="s">
        <v>2538</v>
      </c>
      <c r="B712" s="60" t="s">
        <v>80</v>
      </c>
      <c r="C712" s="60" t="s">
        <v>2539</v>
      </c>
      <c r="D712" s="60" t="s">
        <v>131</v>
      </c>
      <c r="E712" s="60" t="s">
        <v>2540</v>
      </c>
      <c r="F712" s="60" t="b">
        <f>TRUE()</f>
        <v>1</v>
      </c>
      <c r="G712" s="60" t="s">
        <v>585</v>
      </c>
      <c r="H712" s="60" t="s">
        <v>585</v>
      </c>
      <c r="I712" s="61">
        <v>46180</v>
      </c>
      <c r="J712" s="61">
        <v>46210</v>
      </c>
      <c r="K712" s="60">
        <v>30</v>
      </c>
      <c r="L712" s="60" t="s">
        <v>192</v>
      </c>
      <c r="M712" s="60" t="s">
        <v>185</v>
      </c>
      <c r="N712" s="60" t="b">
        <f>FALSE()</f>
        <v>0</v>
      </c>
      <c r="O712" s="60"/>
      <c r="P712" s="60"/>
      <c r="Q712" s="60" t="s">
        <v>236</v>
      </c>
      <c r="R712" s="60" t="s">
        <v>237</v>
      </c>
      <c r="S712" s="60"/>
      <c r="T712" s="60" t="b">
        <f>FALSE()</f>
        <v>0</v>
      </c>
      <c r="U712" s="60" t="b">
        <f>FALSE()</f>
        <v>0</v>
      </c>
      <c r="V712" s="60">
        <v>812</v>
      </c>
      <c r="W712" s="62" t="s">
        <v>2541</v>
      </c>
      <c r="X712" s="60">
        <v>1</v>
      </c>
      <c r="Y712" s="63">
        <v>0.01</v>
      </c>
      <c r="Z712" s="60" t="b">
        <f>FALSE()</f>
        <v>0</v>
      </c>
      <c r="AA712" s="60" t="b">
        <f>TRUE()</f>
        <v>1</v>
      </c>
      <c r="AB712" s="60" t="b">
        <f>FALSE()</f>
        <v>0</v>
      </c>
      <c r="AC712" s="60" t="b">
        <f>TRUE()</f>
        <v>1</v>
      </c>
      <c r="AD712" s="60" t="b">
        <f>FALSE()</f>
        <v>0</v>
      </c>
      <c r="AE712" s="60">
        <v>2</v>
      </c>
      <c r="AF712" s="64">
        <v>28.6</v>
      </c>
      <c r="AG712" s="60" t="s">
        <v>73</v>
      </c>
      <c r="AH712" s="60" t="s">
        <v>2542</v>
      </c>
      <c r="AI712">
        <f>IF(AND(OR(Company_Explorer!$B$5="All Companies",$E712=Company_Explorer!$B$5),OR(Company_Explorer!$B$6="All Platforms",$B712=Company_Explorer!$B$6),OR(Company_Explorer!$B$7="All Roles",$D712=Company_Explorer!$B$7),OR(Company_Explorer!$B$8="All Ghost Labels",$AG712=Company_Explorer!$B$8)),1,0)</f>
        <v>0</v>
      </c>
    </row>
    <row r="713" spans="1:35" ht="15" customHeight="1" x14ac:dyDescent="0.3">
      <c r="A713" s="65" t="s">
        <v>2543</v>
      </c>
      <c r="B713" s="65" t="s">
        <v>80</v>
      </c>
      <c r="C713" s="65" t="s">
        <v>2544</v>
      </c>
      <c r="D713" s="65" t="s">
        <v>131</v>
      </c>
      <c r="E713" s="65" t="s">
        <v>158</v>
      </c>
      <c r="F713" s="65" t="b">
        <f>TRUE()</f>
        <v>1</v>
      </c>
      <c r="G713" s="65" t="s">
        <v>462</v>
      </c>
      <c r="H713" s="65" t="s">
        <v>254</v>
      </c>
      <c r="I713" s="66">
        <v>46205</v>
      </c>
      <c r="J713" s="66">
        <v>46210</v>
      </c>
      <c r="K713" s="65">
        <v>5</v>
      </c>
      <c r="L713" s="65" t="s">
        <v>192</v>
      </c>
      <c r="M713" s="65" t="s">
        <v>184</v>
      </c>
      <c r="N713" s="65" t="b">
        <f>FALSE()</f>
        <v>0</v>
      </c>
      <c r="O713" s="65"/>
      <c r="P713" s="65"/>
      <c r="Q713" s="65" t="s">
        <v>236</v>
      </c>
      <c r="R713" s="65" t="s">
        <v>237</v>
      </c>
      <c r="S713" s="65"/>
      <c r="T713" s="65" t="b">
        <f>FALSE()</f>
        <v>0</v>
      </c>
      <c r="U713" s="65" t="b">
        <f>FALSE()</f>
        <v>0</v>
      </c>
      <c r="V713" s="65">
        <v>551</v>
      </c>
      <c r="W713" s="67" t="s">
        <v>2545</v>
      </c>
      <c r="X713" s="65">
        <v>14</v>
      </c>
      <c r="Y713" s="68">
        <v>0.09</v>
      </c>
      <c r="Z713" s="65" t="b">
        <f>FALSE()</f>
        <v>0</v>
      </c>
      <c r="AA713" s="65" t="b">
        <f>TRUE()</f>
        <v>1</v>
      </c>
      <c r="AB713" s="65" t="b">
        <f>FALSE()</f>
        <v>0</v>
      </c>
      <c r="AC713" s="65" t="b">
        <f>FALSE()</f>
        <v>0</v>
      </c>
      <c r="AD713" s="65" t="b">
        <f>FALSE()</f>
        <v>0</v>
      </c>
      <c r="AE713" s="65">
        <v>1</v>
      </c>
      <c r="AF713" s="69">
        <v>14.3</v>
      </c>
      <c r="AG713" s="65" t="s">
        <v>74</v>
      </c>
      <c r="AH713" s="65" t="s">
        <v>2546</v>
      </c>
      <c r="AI713">
        <f>IF(AND(OR(Company_Explorer!$B$5="All Companies",$E713=Company_Explorer!$B$5),OR(Company_Explorer!$B$6="All Platforms",$B713=Company_Explorer!$B$6),OR(Company_Explorer!$B$7="All Roles",$D713=Company_Explorer!$B$7),OR(Company_Explorer!$B$8="All Ghost Labels",$AG713=Company_Explorer!$B$8)),1,0)</f>
        <v>0</v>
      </c>
    </row>
    <row r="714" spans="1:35" ht="15" customHeight="1" x14ac:dyDescent="0.3">
      <c r="A714" s="60" t="s">
        <v>2547</v>
      </c>
      <c r="B714" s="60" t="s">
        <v>80</v>
      </c>
      <c r="C714" s="60" t="s">
        <v>2548</v>
      </c>
      <c r="D714" s="60" t="s">
        <v>125</v>
      </c>
      <c r="E714" s="60" t="s">
        <v>2549</v>
      </c>
      <c r="F714" s="60" t="b">
        <f>TRUE()</f>
        <v>1</v>
      </c>
      <c r="G714" s="60" t="s">
        <v>2284</v>
      </c>
      <c r="H714" s="60" t="s">
        <v>2285</v>
      </c>
      <c r="I714" s="61">
        <v>46198</v>
      </c>
      <c r="J714" s="61">
        <v>46210</v>
      </c>
      <c r="K714" s="60">
        <v>12</v>
      </c>
      <c r="L714" s="60" t="s">
        <v>192</v>
      </c>
      <c r="M714" s="60" t="s">
        <v>185</v>
      </c>
      <c r="N714" s="60" t="b">
        <f>FALSE()</f>
        <v>0</v>
      </c>
      <c r="O714" s="60"/>
      <c r="P714" s="60"/>
      <c r="Q714" s="60" t="s">
        <v>236</v>
      </c>
      <c r="R714" s="60" t="s">
        <v>237</v>
      </c>
      <c r="S714" s="60"/>
      <c r="T714" s="60" t="b">
        <f>FALSE()</f>
        <v>0</v>
      </c>
      <c r="U714" s="60" t="b">
        <f>FALSE()</f>
        <v>0</v>
      </c>
      <c r="V714" s="60">
        <v>409</v>
      </c>
      <c r="W714" s="62" t="s">
        <v>2550</v>
      </c>
      <c r="X714" s="60">
        <v>1</v>
      </c>
      <c r="Y714" s="63">
        <v>0.01</v>
      </c>
      <c r="Z714" s="60" t="b">
        <f>FALSE()</f>
        <v>0</v>
      </c>
      <c r="AA714" s="60" t="b">
        <f>TRUE()</f>
        <v>1</v>
      </c>
      <c r="AB714" s="60" t="b">
        <f>FALSE()</f>
        <v>0</v>
      </c>
      <c r="AC714" s="60" t="b">
        <f>FALSE()</f>
        <v>0</v>
      </c>
      <c r="AD714" s="60" t="b">
        <f>FALSE()</f>
        <v>0</v>
      </c>
      <c r="AE714" s="60">
        <v>1</v>
      </c>
      <c r="AF714" s="64">
        <v>14.3</v>
      </c>
      <c r="AG714" s="60" t="s">
        <v>74</v>
      </c>
      <c r="AH714" s="60" t="s">
        <v>2551</v>
      </c>
      <c r="AI714">
        <f>IF(AND(OR(Company_Explorer!$B$5="All Companies",$E714=Company_Explorer!$B$5),OR(Company_Explorer!$B$6="All Platforms",$B714=Company_Explorer!$B$6),OR(Company_Explorer!$B$7="All Roles",$D714=Company_Explorer!$B$7),OR(Company_Explorer!$B$8="All Ghost Labels",$AG714=Company_Explorer!$B$8)),1,0)</f>
        <v>0</v>
      </c>
    </row>
    <row r="715" spans="1:35" ht="15" customHeight="1" x14ac:dyDescent="0.3">
      <c r="A715" s="65" t="s">
        <v>2552</v>
      </c>
      <c r="B715" s="65" t="s">
        <v>80</v>
      </c>
      <c r="C715" s="65" t="s">
        <v>2553</v>
      </c>
      <c r="D715" s="65" t="s">
        <v>125</v>
      </c>
      <c r="E715" s="65" t="s">
        <v>147</v>
      </c>
      <c r="F715" s="65" t="b">
        <f>TRUE()</f>
        <v>1</v>
      </c>
      <c r="G715" s="65" t="s">
        <v>169</v>
      </c>
      <c r="H715" s="65" t="s">
        <v>294</v>
      </c>
      <c r="I715" s="66">
        <v>46200</v>
      </c>
      <c r="J715" s="66">
        <v>46210</v>
      </c>
      <c r="K715" s="65">
        <v>10</v>
      </c>
      <c r="L715" s="65" t="s">
        <v>192</v>
      </c>
      <c r="M715" s="65" t="s">
        <v>185</v>
      </c>
      <c r="N715" s="65" t="b">
        <f>FALSE()</f>
        <v>0</v>
      </c>
      <c r="O715" s="65"/>
      <c r="P715" s="65"/>
      <c r="Q715" s="65" t="s">
        <v>236</v>
      </c>
      <c r="R715" s="65" t="s">
        <v>237</v>
      </c>
      <c r="S715" s="65"/>
      <c r="T715" s="65" t="b">
        <f>FALSE()</f>
        <v>0</v>
      </c>
      <c r="U715" s="65" t="b">
        <f>FALSE()</f>
        <v>0</v>
      </c>
      <c r="V715" s="65">
        <v>697</v>
      </c>
      <c r="W715" s="67" t="s">
        <v>2554</v>
      </c>
      <c r="X715" s="65">
        <v>8</v>
      </c>
      <c r="Y715" s="68">
        <v>0.05</v>
      </c>
      <c r="Z715" s="65" t="b">
        <f>FALSE()</f>
        <v>0</v>
      </c>
      <c r="AA715" s="65" t="b">
        <f>TRUE()</f>
        <v>1</v>
      </c>
      <c r="AB715" s="65" t="b">
        <f>FALSE()</f>
        <v>0</v>
      </c>
      <c r="AC715" s="65" t="b">
        <f>FALSE()</f>
        <v>0</v>
      </c>
      <c r="AD715" s="65" t="b">
        <f>FALSE()</f>
        <v>0</v>
      </c>
      <c r="AE715" s="65">
        <v>1</v>
      </c>
      <c r="AF715" s="69">
        <v>14.3</v>
      </c>
      <c r="AG715" s="65" t="s">
        <v>74</v>
      </c>
      <c r="AH715" s="65" t="s">
        <v>2555</v>
      </c>
      <c r="AI715">
        <f>IF(AND(OR(Company_Explorer!$B$5="All Companies",$E715=Company_Explorer!$B$5),OR(Company_Explorer!$B$6="All Platforms",$B715=Company_Explorer!$B$6),OR(Company_Explorer!$B$7="All Roles",$D715=Company_Explorer!$B$7),OR(Company_Explorer!$B$8="All Ghost Labels",$AG715=Company_Explorer!$B$8)),1,0)</f>
        <v>1</v>
      </c>
    </row>
    <row r="716" spans="1:35" ht="15" customHeight="1" x14ac:dyDescent="0.3">
      <c r="A716" s="60" t="s">
        <v>2556</v>
      </c>
      <c r="B716" s="60" t="s">
        <v>80</v>
      </c>
      <c r="C716" s="60" t="s">
        <v>2557</v>
      </c>
      <c r="D716" s="60" t="s">
        <v>129</v>
      </c>
      <c r="E716" s="60" t="s">
        <v>2558</v>
      </c>
      <c r="F716" s="60" t="b">
        <f>TRUE()</f>
        <v>1</v>
      </c>
      <c r="G716" s="60" t="s">
        <v>166</v>
      </c>
      <c r="H716" s="60" t="s">
        <v>235</v>
      </c>
      <c r="I716" s="61">
        <v>45866</v>
      </c>
      <c r="J716" s="61">
        <v>46210</v>
      </c>
      <c r="K716" s="60">
        <v>344</v>
      </c>
      <c r="L716" s="60" t="s">
        <v>192</v>
      </c>
      <c r="M716" s="60" t="s">
        <v>185</v>
      </c>
      <c r="N716" s="60" t="b">
        <f>FALSE()</f>
        <v>0</v>
      </c>
      <c r="O716" s="60"/>
      <c r="P716" s="60"/>
      <c r="Q716" s="60" t="s">
        <v>236</v>
      </c>
      <c r="R716" s="60" t="s">
        <v>237</v>
      </c>
      <c r="S716" s="60"/>
      <c r="T716" s="60" t="b">
        <f>FALSE()</f>
        <v>0</v>
      </c>
      <c r="U716" s="60" t="b">
        <f>FALSE()</f>
        <v>0</v>
      </c>
      <c r="V716" s="60">
        <v>279</v>
      </c>
      <c r="W716" s="60" t="s">
        <v>2559</v>
      </c>
      <c r="X716" s="60">
        <v>1</v>
      </c>
      <c r="Y716" s="63">
        <v>0.01</v>
      </c>
      <c r="Z716" s="60" t="b">
        <f>FALSE()</f>
        <v>0</v>
      </c>
      <c r="AA716" s="60" t="b">
        <f>TRUE()</f>
        <v>1</v>
      </c>
      <c r="AB716" s="60" t="b">
        <f>FALSE()</f>
        <v>0</v>
      </c>
      <c r="AC716" s="60" t="b">
        <f>TRUE()</f>
        <v>1</v>
      </c>
      <c r="AD716" s="60" t="b">
        <f>FALSE()</f>
        <v>0</v>
      </c>
      <c r="AE716" s="60">
        <v>2</v>
      </c>
      <c r="AF716" s="64">
        <v>28.6</v>
      </c>
      <c r="AG716" s="60" t="s">
        <v>73</v>
      </c>
      <c r="AH716" s="60" t="s">
        <v>2560</v>
      </c>
      <c r="AI716">
        <f>IF(AND(OR(Company_Explorer!$B$5="All Companies",$E716=Company_Explorer!$B$5),OR(Company_Explorer!$B$6="All Platforms",$B716=Company_Explorer!$B$6),OR(Company_Explorer!$B$7="All Roles",$D716=Company_Explorer!$B$7),OR(Company_Explorer!$B$8="All Ghost Labels",$AG716=Company_Explorer!$B$8)),1,0)</f>
        <v>0</v>
      </c>
    </row>
    <row r="717" spans="1:35" ht="15" customHeight="1" x14ac:dyDescent="0.3">
      <c r="A717" s="65" t="s">
        <v>2561</v>
      </c>
      <c r="B717" s="65" t="s">
        <v>80</v>
      </c>
      <c r="C717" s="65" t="s">
        <v>2248</v>
      </c>
      <c r="D717" s="65" t="s">
        <v>125</v>
      </c>
      <c r="E717" s="65" t="s">
        <v>2562</v>
      </c>
      <c r="F717" s="65" t="b">
        <f>TRUE()</f>
        <v>1</v>
      </c>
      <c r="G717" s="65" t="s">
        <v>176</v>
      </c>
      <c r="H717" s="65" t="s">
        <v>302</v>
      </c>
      <c r="I717" s="66">
        <v>46189</v>
      </c>
      <c r="J717" s="66">
        <v>46210</v>
      </c>
      <c r="K717" s="65">
        <v>21</v>
      </c>
      <c r="L717" s="65" t="s">
        <v>192</v>
      </c>
      <c r="M717" s="65" t="s">
        <v>185</v>
      </c>
      <c r="N717" s="65" t="b">
        <f>FALSE()</f>
        <v>0</v>
      </c>
      <c r="O717" s="65"/>
      <c r="P717" s="65"/>
      <c r="Q717" s="65" t="s">
        <v>236</v>
      </c>
      <c r="R717" s="65" t="s">
        <v>237</v>
      </c>
      <c r="S717" s="65"/>
      <c r="T717" s="65" t="b">
        <f>FALSE()</f>
        <v>0</v>
      </c>
      <c r="U717" s="65" t="b">
        <f>FALSE()</f>
        <v>0</v>
      </c>
      <c r="V717" s="65">
        <v>467</v>
      </c>
      <c r="W717" s="67" t="s">
        <v>2563</v>
      </c>
      <c r="X717" s="65">
        <v>1</v>
      </c>
      <c r="Y717" s="68">
        <v>0.01</v>
      </c>
      <c r="Z717" s="65" t="b">
        <f>FALSE()</f>
        <v>0</v>
      </c>
      <c r="AA717" s="65" t="b">
        <f>TRUE()</f>
        <v>1</v>
      </c>
      <c r="AB717" s="65" t="b">
        <f>FALSE()</f>
        <v>0</v>
      </c>
      <c r="AC717" s="65" t="b">
        <f>TRUE()</f>
        <v>1</v>
      </c>
      <c r="AD717" s="65" t="b">
        <f>FALSE()</f>
        <v>0</v>
      </c>
      <c r="AE717" s="65">
        <v>2</v>
      </c>
      <c r="AF717" s="69">
        <v>28.6</v>
      </c>
      <c r="AG717" s="65" t="s">
        <v>73</v>
      </c>
      <c r="AH717" s="65" t="s">
        <v>2564</v>
      </c>
      <c r="AI717">
        <f>IF(AND(OR(Company_Explorer!$B$5="All Companies",$E717=Company_Explorer!$B$5),OR(Company_Explorer!$B$6="All Platforms",$B717=Company_Explorer!$B$6),OR(Company_Explorer!$B$7="All Roles",$D717=Company_Explorer!$B$7),OR(Company_Explorer!$B$8="All Ghost Labels",$AG717=Company_Explorer!$B$8)),1,0)</f>
        <v>0</v>
      </c>
    </row>
    <row r="718" spans="1:35" ht="15" customHeight="1" x14ac:dyDescent="0.3">
      <c r="A718" s="60" t="s">
        <v>2565</v>
      </c>
      <c r="B718" s="60" t="s">
        <v>80</v>
      </c>
      <c r="C718" s="60" t="s">
        <v>2566</v>
      </c>
      <c r="D718" s="60" t="s">
        <v>131</v>
      </c>
      <c r="E718" s="60" t="s">
        <v>2567</v>
      </c>
      <c r="F718" s="60" t="b">
        <f>TRUE()</f>
        <v>1</v>
      </c>
      <c r="G718" s="60" t="s">
        <v>166</v>
      </c>
      <c r="H718" s="60" t="s">
        <v>235</v>
      </c>
      <c r="I718" s="61">
        <v>46179</v>
      </c>
      <c r="J718" s="61">
        <v>46210</v>
      </c>
      <c r="K718" s="60">
        <v>31</v>
      </c>
      <c r="L718" s="60" t="s">
        <v>192</v>
      </c>
      <c r="M718" s="60" t="s">
        <v>185</v>
      </c>
      <c r="N718" s="60" t="b">
        <f>FALSE()</f>
        <v>0</v>
      </c>
      <c r="O718" s="60"/>
      <c r="P718" s="60"/>
      <c r="Q718" s="60" t="s">
        <v>236</v>
      </c>
      <c r="R718" s="60" t="s">
        <v>237</v>
      </c>
      <c r="S718" s="60"/>
      <c r="T718" s="60" t="b">
        <f>FALSE()</f>
        <v>0</v>
      </c>
      <c r="U718" s="60" t="b">
        <f>FALSE()</f>
        <v>0</v>
      </c>
      <c r="V718" s="60">
        <v>480</v>
      </c>
      <c r="W718" s="62" t="s">
        <v>2568</v>
      </c>
      <c r="X718" s="60">
        <v>1</v>
      </c>
      <c r="Y718" s="63">
        <v>0.01</v>
      </c>
      <c r="Z718" s="60" t="b">
        <f>FALSE()</f>
        <v>0</v>
      </c>
      <c r="AA718" s="60" t="b">
        <f>TRUE()</f>
        <v>1</v>
      </c>
      <c r="AB718" s="60" t="b">
        <f>FALSE()</f>
        <v>0</v>
      </c>
      <c r="AC718" s="60" t="b">
        <f>TRUE()</f>
        <v>1</v>
      </c>
      <c r="AD718" s="60" t="b">
        <f>FALSE()</f>
        <v>0</v>
      </c>
      <c r="AE718" s="60">
        <v>2</v>
      </c>
      <c r="AF718" s="64">
        <v>28.6</v>
      </c>
      <c r="AG718" s="60" t="s">
        <v>73</v>
      </c>
      <c r="AH718" s="60" t="s">
        <v>2569</v>
      </c>
      <c r="AI718">
        <f>IF(AND(OR(Company_Explorer!$B$5="All Companies",$E718=Company_Explorer!$B$5),OR(Company_Explorer!$B$6="All Platforms",$B718=Company_Explorer!$B$6),OR(Company_Explorer!$B$7="All Roles",$D718=Company_Explorer!$B$7),OR(Company_Explorer!$B$8="All Ghost Labels",$AG718=Company_Explorer!$B$8)),1,0)</f>
        <v>0</v>
      </c>
    </row>
    <row r="719" spans="1:35" ht="15" customHeight="1" x14ac:dyDescent="0.3">
      <c r="A719" s="65" t="s">
        <v>2570</v>
      </c>
      <c r="B719" s="65" t="s">
        <v>80</v>
      </c>
      <c r="C719" s="65" t="s">
        <v>130</v>
      </c>
      <c r="D719" s="65" t="s">
        <v>130</v>
      </c>
      <c r="E719" s="65" t="s">
        <v>141</v>
      </c>
      <c r="F719" s="65" t="b">
        <f>TRUE()</f>
        <v>1</v>
      </c>
      <c r="G719" s="65" t="s">
        <v>166</v>
      </c>
      <c r="H719" s="65" t="s">
        <v>235</v>
      </c>
      <c r="I719" s="66">
        <v>46198</v>
      </c>
      <c r="J719" s="66">
        <v>46210</v>
      </c>
      <c r="K719" s="65">
        <v>12</v>
      </c>
      <c r="L719" s="65" t="s">
        <v>192</v>
      </c>
      <c r="M719" s="65" t="s">
        <v>184</v>
      </c>
      <c r="N719" s="65" t="b">
        <f>FALSE()</f>
        <v>0</v>
      </c>
      <c r="O719" s="65"/>
      <c r="P719" s="65"/>
      <c r="Q719" s="65" t="s">
        <v>236</v>
      </c>
      <c r="R719" s="65" t="s">
        <v>237</v>
      </c>
      <c r="S719" s="65"/>
      <c r="T719" s="65" t="b">
        <f>FALSE()</f>
        <v>0</v>
      </c>
      <c r="U719" s="65" t="b">
        <f>FALSE()</f>
        <v>0</v>
      </c>
      <c r="V719" s="65">
        <v>326</v>
      </c>
      <c r="W719" s="67" t="s">
        <v>861</v>
      </c>
      <c r="X719" s="65">
        <v>429</v>
      </c>
      <c r="Y719" s="68">
        <v>2.66</v>
      </c>
      <c r="Z719" s="65" t="b">
        <f>FALSE()</f>
        <v>0</v>
      </c>
      <c r="AA719" s="65" t="b">
        <f>TRUE()</f>
        <v>1</v>
      </c>
      <c r="AB719" s="65" t="b">
        <f>FALSE()</f>
        <v>0</v>
      </c>
      <c r="AC719" s="65" t="b">
        <f>FALSE()</f>
        <v>0</v>
      </c>
      <c r="AD719" s="65" t="b">
        <f>TRUE()</f>
        <v>1</v>
      </c>
      <c r="AE719" s="65">
        <v>3</v>
      </c>
      <c r="AF719" s="69">
        <v>42.9</v>
      </c>
      <c r="AG719" s="65" t="s">
        <v>73</v>
      </c>
      <c r="AH719" s="65" t="s">
        <v>2571</v>
      </c>
      <c r="AI719">
        <f>IF(AND(OR(Company_Explorer!$B$5="All Companies",$E719=Company_Explorer!$B$5),OR(Company_Explorer!$B$6="All Platforms",$B719=Company_Explorer!$B$6),OR(Company_Explorer!$B$7="All Roles",$D719=Company_Explorer!$B$7),OR(Company_Explorer!$B$8="All Ghost Labels",$AG719=Company_Explorer!$B$8)),1,0)</f>
        <v>0</v>
      </c>
    </row>
    <row r="720" spans="1:35" ht="15" customHeight="1" x14ac:dyDescent="0.3">
      <c r="A720" s="60" t="s">
        <v>2572</v>
      </c>
      <c r="B720" s="60" t="s">
        <v>80</v>
      </c>
      <c r="C720" s="60" t="s">
        <v>1811</v>
      </c>
      <c r="D720" s="60" t="s">
        <v>125</v>
      </c>
      <c r="E720" s="60" t="s">
        <v>2573</v>
      </c>
      <c r="F720" s="60" t="b">
        <f>TRUE()</f>
        <v>1</v>
      </c>
      <c r="G720" s="60" t="s">
        <v>2198</v>
      </c>
      <c r="H720" s="60" t="s">
        <v>2199</v>
      </c>
      <c r="I720" s="61">
        <v>46196</v>
      </c>
      <c r="J720" s="61">
        <v>46210</v>
      </c>
      <c r="K720" s="60">
        <v>14</v>
      </c>
      <c r="L720" s="60" t="s">
        <v>192</v>
      </c>
      <c r="M720" s="60" t="s">
        <v>185</v>
      </c>
      <c r="N720" s="60" t="b">
        <f>FALSE()</f>
        <v>0</v>
      </c>
      <c r="O720" s="60"/>
      <c r="P720" s="60"/>
      <c r="Q720" s="60" t="s">
        <v>236</v>
      </c>
      <c r="R720" s="60" t="s">
        <v>237</v>
      </c>
      <c r="S720" s="60"/>
      <c r="T720" s="60" t="b">
        <f>FALSE()</f>
        <v>0</v>
      </c>
      <c r="U720" s="60" t="b">
        <f>FALSE()</f>
        <v>0</v>
      </c>
      <c r="V720" s="60">
        <v>302</v>
      </c>
      <c r="W720" s="62" t="s">
        <v>2574</v>
      </c>
      <c r="X720" s="60">
        <v>1</v>
      </c>
      <c r="Y720" s="63">
        <v>0.01</v>
      </c>
      <c r="Z720" s="60" t="b">
        <f>FALSE()</f>
        <v>0</v>
      </c>
      <c r="AA720" s="60" t="b">
        <f>TRUE()</f>
        <v>1</v>
      </c>
      <c r="AB720" s="60" t="b">
        <f>FALSE()</f>
        <v>0</v>
      </c>
      <c r="AC720" s="60" t="b">
        <f>FALSE()</f>
        <v>0</v>
      </c>
      <c r="AD720" s="60" t="b">
        <f>FALSE()</f>
        <v>0</v>
      </c>
      <c r="AE720" s="60">
        <v>1</v>
      </c>
      <c r="AF720" s="64">
        <v>14.3</v>
      </c>
      <c r="AG720" s="60" t="s">
        <v>74</v>
      </c>
      <c r="AH720" s="60" t="s">
        <v>2575</v>
      </c>
      <c r="AI720">
        <f>IF(AND(OR(Company_Explorer!$B$5="All Companies",$E720=Company_Explorer!$B$5),OR(Company_Explorer!$B$6="All Platforms",$B720=Company_Explorer!$B$6),OR(Company_Explorer!$B$7="All Roles",$D720=Company_Explorer!$B$7),OR(Company_Explorer!$B$8="All Ghost Labels",$AG720=Company_Explorer!$B$8)),1,0)</f>
        <v>0</v>
      </c>
    </row>
    <row r="721" spans="1:35" ht="15" customHeight="1" x14ac:dyDescent="0.3">
      <c r="A721" s="65" t="s">
        <v>2576</v>
      </c>
      <c r="B721" s="65" t="s">
        <v>80</v>
      </c>
      <c r="C721" s="65" t="s">
        <v>2248</v>
      </c>
      <c r="D721" s="65" t="s">
        <v>125</v>
      </c>
      <c r="E721" s="65" t="s">
        <v>2577</v>
      </c>
      <c r="F721" s="65" t="b">
        <f>TRUE()</f>
        <v>1</v>
      </c>
      <c r="G721" s="65" t="s">
        <v>585</v>
      </c>
      <c r="H721" s="65" t="s">
        <v>178</v>
      </c>
      <c r="I721" s="66">
        <v>45930</v>
      </c>
      <c r="J721" s="66">
        <v>46210</v>
      </c>
      <c r="K721" s="65">
        <v>280</v>
      </c>
      <c r="L721" s="65" t="s">
        <v>192</v>
      </c>
      <c r="M721" s="65" t="s">
        <v>185</v>
      </c>
      <c r="N721" s="65" t="b">
        <f>TRUE()</f>
        <v>1</v>
      </c>
      <c r="O721" s="71">
        <v>300000</v>
      </c>
      <c r="P721" s="71">
        <v>600000</v>
      </c>
      <c r="Q721" s="65" t="s">
        <v>332</v>
      </c>
      <c r="R721" s="65" t="s">
        <v>237</v>
      </c>
      <c r="S721" s="65"/>
      <c r="T721" s="65" t="b">
        <f>FALSE()</f>
        <v>0</v>
      </c>
      <c r="U721" s="65" t="b">
        <f>FALSE()</f>
        <v>0</v>
      </c>
      <c r="V721" s="65">
        <v>75</v>
      </c>
      <c r="W721" s="67" t="s">
        <v>2578</v>
      </c>
      <c r="X721" s="65">
        <v>1</v>
      </c>
      <c r="Y721" s="68">
        <v>0.01</v>
      </c>
      <c r="Z721" s="65" t="b">
        <f>FALSE()</f>
        <v>0</v>
      </c>
      <c r="AA721" s="65" t="b">
        <f>FALSE()</f>
        <v>0</v>
      </c>
      <c r="AB721" s="65" t="b">
        <f>TRUE()</f>
        <v>1</v>
      </c>
      <c r="AC721" s="65" t="b">
        <f>TRUE()</f>
        <v>1</v>
      </c>
      <c r="AD721" s="65" t="b">
        <f>FALSE()</f>
        <v>0</v>
      </c>
      <c r="AE721" s="65">
        <v>2</v>
      </c>
      <c r="AF721" s="69">
        <v>28.6</v>
      </c>
      <c r="AG721" s="65" t="s">
        <v>73</v>
      </c>
      <c r="AH721" s="65" t="s">
        <v>2579</v>
      </c>
      <c r="AI721">
        <f>IF(AND(OR(Company_Explorer!$B$5="All Companies",$E721=Company_Explorer!$B$5),OR(Company_Explorer!$B$6="All Platforms",$B721=Company_Explorer!$B$6),OR(Company_Explorer!$B$7="All Roles",$D721=Company_Explorer!$B$7),OR(Company_Explorer!$B$8="All Ghost Labels",$AG721=Company_Explorer!$B$8)),1,0)</f>
        <v>0</v>
      </c>
    </row>
    <row r="722" spans="1:35" ht="15" customHeight="1" x14ac:dyDescent="0.3">
      <c r="A722" s="60" t="s">
        <v>2580</v>
      </c>
      <c r="B722" s="60" t="s">
        <v>80</v>
      </c>
      <c r="C722" s="60" t="s">
        <v>2581</v>
      </c>
      <c r="D722" s="60" t="s">
        <v>130</v>
      </c>
      <c r="E722" s="60" t="s">
        <v>2582</v>
      </c>
      <c r="F722" s="60" t="b">
        <f>TRUE()</f>
        <v>1</v>
      </c>
      <c r="G722" s="60" t="s">
        <v>168</v>
      </c>
      <c r="H722" s="60" t="s">
        <v>254</v>
      </c>
      <c r="I722" s="61">
        <v>46181</v>
      </c>
      <c r="J722" s="61">
        <v>46210</v>
      </c>
      <c r="K722" s="60">
        <v>29</v>
      </c>
      <c r="L722" s="60" t="s">
        <v>197</v>
      </c>
      <c r="M722" s="60" t="s">
        <v>185</v>
      </c>
      <c r="N722" s="60" t="b">
        <f>FALSE()</f>
        <v>0</v>
      </c>
      <c r="O722" s="60"/>
      <c r="P722" s="60"/>
      <c r="Q722" s="60" t="s">
        <v>236</v>
      </c>
      <c r="R722" s="60" t="s">
        <v>237</v>
      </c>
      <c r="S722" s="60"/>
      <c r="T722" s="60" t="b">
        <f>FALSE()</f>
        <v>0</v>
      </c>
      <c r="U722" s="60" t="b">
        <f>FALSE()</f>
        <v>0</v>
      </c>
      <c r="V722" s="60">
        <v>337</v>
      </c>
      <c r="W722" s="62" t="s">
        <v>2583</v>
      </c>
      <c r="X722" s="60">
        <v>1</v>
      </c>
      <c r="Y722" s="63">
        <v>0.01</v>
      </c>
      <c r="Z722" s="60" t="b">
        <f>FALSE()</f>
        <v>0</v>
      </c>
      <c r="AA722" s="60" t="b">
        <f>TRUE()</f>
        <v>1</v>
      </c>
      <c r="AB722" s="60" t="b">
        <f>FALSE()</f>
        <v>0</v>
      </c>
      <c r="AC722" s="60" t="b">
        <f>TRUE()</f>
        <v>1</v>
      </c>
      <c r="AD722" s="60" t="b">
        <f>FALSE()</f>
        <v>0</v>
      </c>
      <c r="AE722" s="60">
        <v>2</v>
      </c>
      <c r="AF722" s="64">
        <v>28.6</v>
      </c>
      <c r="AG722" s="60" t="s">
        <v>73</v>
      </c>
      <c r="AH722" s="60" t="s">
        <v>2584</v>
      </c>
      <c r="AI722">
        <f>IF(AND(OR(Company_Explorer!$B$5="All Companies",$E722=Company_Explorer!$B$5),OR(Company_Explorer!$B$6="All Platforms",$B722=Company_Explorer!$B$6),OR(Company_Explorer!$B$7="All Roles",$D722=Company_Explorer!$B$7),OR(Company_Explorer!$B$8="All Ghost Labels",$AG722=Company_Explorer!$B$8)),1,0)</f>
        <v>0</v>
      </c>
    </row>
    <row r="723" spans="1:35" ht="15" customHeight="1" x14ac:dyDescent="0.3">
      <c r="A723" s="65" t="s">
        <v>2585</v>
      </c>
      <c r="B723" s="65" t="s">
        <v>80</v>
      </c>
      <c r="C723" s="65" t="s">
        <v>2586</v>
      </c>
      <c r="D723" s="65" t="s">
        <v>131</v>
      </c>
      <c r="E723" s="65" t="s">
        <v>2587</v>
      </c>
      <c r="F723" s="65" t="b">
        <f>TRUE()</f>
        <v>1</v>
      </c>
      <c r="G723" s="65" t="s">
        <v>166</v>
      </c>
      <c r="H723" s="65" t="s">
        <v>235</v>
      </c>
      <c r="I723" s="66">
        <v>46204</v>
      </c>
      <c r="J723" s="66">
        <v>46210</v>
      </c>
      <c r="K723" s="65">
        <v>6</v>
      </c>
      <c r="L723" s="65" t="s">
        <v>192</v>
      </c>
      <c r="M723" s="65" t="s">
        <v>185</v>
      </c>
      <c r="N723" s="65" t="b">
        <f>FALSE()</f>
        <v>0</v>
      </c>
      <c r="O723" s="65"/>
      <c r="P723" s="65"/>
      <c r="Q723" s="65" t="s">
        <v>236</v>
      </c>
      <c r="R723" s="65" t="s">
        <v>237</v>
      </c>
      <c r="S723" s="65"/>
      <c r="T723" s="65" t="b">
        <f>FALSE()</f>
        <v>0</v>
      </c>
      <c r="U723" s="65" t="b">
        <f>FALSE()</f>
        <v>0</v>
      </c>
      <c r="V723" s="65">
        <v>712</v>
      </c>
      <c r="W723" s="65" t="s">
        <v>2588</v>
      </c>
      <c r="X723" s="65">
        <v>1</v>
      </c>
      <c r="Y723" s="68">
        <v>0.01</v>
      </c>
      <c r="Z723" s="65" t="b">
        <f>FALSE()</f>
        <v>0</v>
      </c>
      <c r="AA723" s="65" t="b">
        <f>TRUE()</f>
        <v>1</v>
      </c>
      <c r="AB723" s="65" t="b">
        <f>FALSE()</f>
        <v>0</v>
      </c>
      <c r="AC723" s="65" t="b">
        <f>FALSE()</f>
        <v>0</v>
      </c>
      <c r="AD723" s="65" t="b">
        <f>FALSE()</f>
        <v>0</v>
      </c>
      <c r="AE723" s="65">
        <v>1</v>
      </c>
      <c r="AF723" s="69">
        <v>14.3</v>
      </c>
      <c r="AG723" s="65" t="s">
        <v>74</v>
      </c>
      <c r="AH723" s="65" t="s">
        <v>2589</v>
      </c>
      <c r="AI723">
        <f>IF(AND(OR(Company_Explorer!$B$5="All Companies",$E723=Company_Explorer!$B$5),OR(Company_Explorer!$B$6="All Platforms",$B723=Company_Explorer!$B$6),OR(Company_Explorer!$B$7="All Roles",$D723=Company_Explorer!$B$7),OR(Company_Explorer!$B$8="All Ghost Labels",$AG723=Company_Explorer!$B$8)),1,0)</f>
        <v>0</v>
      </c>
    </row>
    <row r="724" spans="1:35" ht="15" customHeight="1" x14ac:dyDescent="0.3">
      <c r="A724" s="60" t="s">
        <v>2590</v>
      </c>
      <c r="B724" s="60" t="s">
        <v>80</v>
      </c>
      <c r="C724" s="60" t="s">
        <v>131</v>
      </c>
      <c r="D724" s="60" t="s">
        <v>131</v>
      </c>
      <c r="E724" s="60" t="s">
        <v>2591</v>
      </c>
      <c r="F724" s="60" t="b">
        <f>TRUE()</f>
        <v>1</v>
      </c>
      <c r="G724" s="60" t="s">
        <v>166</v>
      </c>
      <c r="H724" s="60" t="s">
        <v>235</v>
      </c>
      <c r="I724" s="61">
        <v>46051</v>
      </c>
      <c r="J724" s="61">
        <v>46210</v>
      </c>
      <c r="K724" s="60">
        <v>159</v>
      </c>
      <c r="L724" s="60" t="s">
        <v>192</v>
      </c>
      <c r="M724" s="60" t="s">
        <v>185</v>
      </c>
      <c r="N724" s="60" t="b">
        <f>FALSE()</f>
        <v>0</v>
      </c>
      <c r="O724" s="60"/>
      <c r="P724" s="60"/>
      <c r="Q724" s="60" t="s">
        <v>236</v>
      </c>
      <c r="R724" s="60" t="s">
        <v>237</v>
      </c>
      <c r="S724" s="60"/>
      <c r="T724" s="60" t="b">
        <f>FALSE()</f>
        <v>0</v>
      </c>
      <c r="U724" s="60" t="b">
        <f>FALSE()</f>
        <v>0</v>
      </c>
      <c r="V724" s="60">
        <v>203</v>
      </c>
      <c r="W724" s="62" t="s">
        <v>2592</v>
      </c>
      <c r="X724" s="60">
        <v>1</v>
      </c>
      <c r="Y724" s="63">
        <v>0.01</v>
      </c>
      <c r="Z724" s="60" t="b">
        <f>FALSE()</f>
        <v>0</v>
      </c>
      <c r="AA724" s="60" t="b">
        <f>TRUE()</f>
        <v>1</v>
      </c>
      <c r="AB724" s="60" t="b">
        <f>TRUE()</f>
        <v>1</v>
      </c>
      <c r="AC724" s="60" t="b">
        <f>TRUE()</f>
        <v>1</v>
      </c>
      <c r="AD724" s="60" t="b">
        <f>FALSE()</f>
        <v>0</v>
      </c>
      <c r="AE724" s="60">
        <v>3</v>
      </c>
      <c r="AF724" s="64">
        <v>42.9</v>
      </c>
      <c r="AG724" s="60" t="s">
        <v>73</v>
      </c>
      <c r="AH724" s="60" t="s">
        <v>2593</v>
      </c>
      <c r="AI724">
        <f>IF(AND(OR(Company_Explorer!$B$5="All Companies",$E724=Company_Explorer!$B$5),OR(Company_Explorer!$B$6="All Platforms",$B724=Company_Explorer!$B$6),OR(Company_Explorer!$B$7="All Roles",$D724=Company_Explorer!$B$7),OR(Company_Explorer!$B$8="All Ghost Labels",$AG724=Company_Explorer!$B$8)),1,0)</f>
        <v>0</v>
      </c>
    </row>
    <row r="725" spans="1:35" ht="15" customHeight="1" x14ac:dyDescent="0.3">
      <c r="A725" s="65" t="s">
        <v>2594</v>
      </c>
      <c r="B725" s="65" t="s">
        <v>80</v>
      </c>
      <c r="C725" s="65" t="s">
        <v>2595</v>
      </c>
      <c r="D725" s="65" t="s">
        <v>125</v>
      </c>
      <c r="E725" s="65" t="s">
        <v>2596</v>
      </c>
      <c r="F725" s="65" t="b">
        <f>TRUE()</f>
        <v>1</v>
      </c>
      <c r="G725" s="65" t="s">
        <v>179</v>
      </c>
      <c r="H725" s="65" t="s">
        <v>254</v>
      </c>
      <c r="I725" s="66">
        <v>46197</v>
      </c>
      <c r="J725" s="66">
        <v>46210</v>
      </c>
      <c r="K725" s="65">
        <v>13</v>
      </c>
      <c r="L725" s="65" t="s">
        <v>192</v>
      </c>
      <c r="M725" s="65" t="s">
        <v>185</v>
      </c>
      <c r="N725" s="65" t="b">
        <f>FALSE()</f>
        <v>0</v>
      </c>
      <c r="O725" s="65"/>
      <c r="P725" s="65"/>
      <c r="Q725" s="65" t="s">
        <v>236</v>
      </c>
      <c r="R725" s="65" t="s">
        <v>237</v>
      </c>
      <c r="S725" s="65"/>
      <c r="T725" s="65" t="b">
        <f>FALSE()</f>
        <v>0</v>
      </c>
      <c r="U725" s="65" t="b">
        <f>FALSE()</f>
        <v>0</v>
      </c>
      <c r="V725" s="65">
        <v>227</v>
      </c>
      <c r="W725" s="67" t="s">
        <v>2597</v>
      </c>
      <c r="X725" s="65">
        <v>2</v>
      </c>
      <c r="Y725" s="68">
        <v>0.01</v>
      </c>
      <c r="Z725" s="65" t="b">
        <f>FALSE()</f>
        <v>0</v>
      </c>
      <c r="AA725" s="65" t="b">
        <f>TRUE()</f>
        <v>1</v>
      </c>
      <c r="AB725" s="65" t="b">
        <f>TRUE()</f>
        <v>1</v>
      </c>
      <c r="AC725" s="65" t="b">
        <f>FALSE()</f>
        <v>0</v>
      </c>
      <c r="AD725" s="65" t="b">
        <f>FALSE()</f>
        <v>0</v>
      </c>
      <c r="AE725" s="65">
        <v>2</v>
      </c>
      <c r="AF725" s="69">
        <v>28.6</v>
      </c>
      <c r="AG725" s="65" t="s">
        <v>73</v>
      </c>
      <c r="AH725" s="65" t="s">
        <v>2598</v>
      </c>
      <c r="AI725">
        <f>IF(AND(OR(Company_Explorer!$B$5="All Companies",$E725=Company_Explorer!$B$5),OR(Company_Explorer!$B$6="All Platforms",$B725=Company_Explorer!$B$6),OR(Company_Explorer!$B$7="All Roles",$D725=Company_Explorer!$B$7),OR(Company_Explorer!$B$8="All Ghost Labels",$AG725=Company_Explorer!$B$8)),1,0)</f>
        <v>0</v>
      </c>
    </row>
    <row r="726" spans="1:35" ht="15" customHeight="1" x14ac:dyDescent="0.3">
      <c r="A726" s="60" t="s">
        <v>2599</v>
      </c>
      <c r="B726" s="60" t="s">
        <v>80</v>
      </c>
      <c r="C726" s="60" t="s">
        <v>2600</v>
      </c>
      <c r="D726" s="60" t="s">
        <v>131</v>
      </c>
      <c r="E726" s="60" t="s">
        <v>2601</v>
      </c>
      <c r="F726" s="60" t="b">
        <f>TRUE()</f>
        <v>1</v>
      </c>
      <c r="G726" s="60" t="s">
        <v>609</v>
      </c>
      <c r="H726" s="60" t="s">
        <v>165</v>
      </c>
      <c r="I726" s="61">
        <v>46195</v>
      </c>
      <c r="J726" s="61">
        <v>46210</v>
      </c>
      <c r="K726" s="60">
        <v>15</v>
      </c>
      <c r="L726" s="60" t="s">
        <v>192</v>
      </c>
      <c r="M726" s="60" t="s">
        <v>184</v>
      </c>
      <c r="N726" s="60" t="b">
        <f>FALSE()</f>
        <v>0</v>
      </c>
      <c r="O726" s="60"/>
      <c r="P726" s="60"/>
      <c r="Q726" s="60" t="s">
        <v>236</v>
      </c>
      <c r="R726" s="60" t="s">
        <v>237</v>
      </c>
      <c r="S726" s="60"/>
      <c r="T726" s="60" t="b">
        <f>FALSE()</f>
        <v>0</v>
      </c>
      <c r="U726" s="60" t="b">
        <f>FALSE()</f>
        <v>0</v>
      </c>
      <c r="V726" s="60">
        <v>556</v>
      </c>
      <c r="W726" s="62" t="s">
        <v>2602</v>
      </c>
      <c r="X726" s="60">
        <v>1</v>
      </c>
      <c r="Y726" s="63">
        <v>0.01</v>
      </c>
      <c r="Z726" s="60" t="b">
        <f>FALSE()</f>
        <v>0</v>
      </c>
      <c r="AA726" s="60" t="b">
        <f>TRUE()</f>
        <v>1</v>
      </c>
      <c r="AB726" s="60" t="b">
        <f>FALSE()</f>
        <v>0</v>
      </c>
      <c r="AC726" s="60" t="b">
        <f>FALSE()</f>
        <v>0</v>
      </c>
      <c r="AD726" s="60" t="b">
        <f>FALSE()</f>
        <v>0</v>
      </c>
      <c r="AE726" s="60">
        <v>1</v>
      </c>
      <c r="AF726" s="64">
        <v>14.3</v>
      </c>
      <c r="AG726" s="60" t="s">
        <v>74</v>
      </c>
      <c r="AH726" s="60" t="s">
        <v>2603</v>
      </c>
      <c r="AI726">
        <f>IF(AND(OR(Company_Explorer!$B$5="All Companies",$E726=Company_Explorer!$B$5),OR(Company_Explorer!$B$6="All Platforms",$B726=Company_Explorer!$B$6),OR(Company_Explorer!$B$7="All Roles",$D726=Company_Explorer!$B$7),OR(Company_Explorer!$B$8="All Ghost Labels",$AG726=Company_Explorer!$B$8)),1,0)</f>
        <v>0</v>
      </c>
    </row>
    <row r="727" spans="1:35" ht="15" customHeight="1" x14ac:dyDescent="0.3">
      <c r="A727" s="65" t="s">
        <v>2604</v>
      </c>
      <c r="B727" s="65" t="s">
        <v>80</v>
      </c>
      <c r="C727" s="65" t="s">
        <v>2034</v>
      </c>
      <c r="D727" s="65" t="s">
        <v>130</v>
      </c>
      <c r="E727" s="65" t="s">
        <v>2605</v>
      </c>
      <c r="F727" s="65" t="b">
        <f>TRUE()</f>
        <v>1</v>
      </c>
      <c r="G727" s="65" t="s">
        <v>1417</v>
      </c>
      <c r="H727" s="65" t="s">
        <v>165</v>
      </c>
      <c r="I727" s="66">
        <v>45922</v>
      </c>
      <c r="J727" s="66">
        <v>46210</v>
      </c>
      <c r="K727" s="65">
        <v>288</v>
      </c>
      <c r="L727" s="65" t="s">
        <v>192</v>
      </c>
      <c r="M727" s="65" t="s">
        <v>185</v>
      </c>
      <c r="N727" s="65" t="b">
        <f>FALSE()</f>
        <v>0</v>
      </c>
      <c r="O727" s="65"/>
      <c r="P727" s="65"/>
      <c r="Q727" s="65" t="s">
        <v>236</v>
      </c>
      <c r="R727" s="65" t="s">
        <v>237</v>
      </c>
      <c r="S727" s="65"/>
      <c r="T727" s="65" t="b">
        <f>FALSE()</f>
        <v>0</v>
      </c>
      <c r="U727" s="65" t="b">
        <f>FALSE()</f>
        <v>0</v>
      </c>
      <c r="V727" s="65">
        <v>484</v>
      </c>
      <c r="W727" s="67" t="s">
        <v>2606</v>
      </c>
      <c r="X727" s="65">
        <v>1</v>
      </c>
      <c r="Y727" s="68">
        <v>0.01</v>
      </c>
      <c r="Z727" s="65" t="b">
        <f>FALSE()</f>
        <v>0</v>
      </c>
      <c r="AA727" s="65" t="b">
        <f>TRUE()</f>
        <v>1</v>
      </c>
      <c r="AB727" s="65" t="b">
        <f>FALSE()</f>
        <v>0</v>
      </c>
      <c r="AC727" s="65" t="b">
        <f>TRUE()</f>
        <v>1</v>
      </c>
      <c r="AD727" s="65" t="b">
        <f>FALSE()</f>
        <v>0</v>
      </c>
      <c r="AE727" s="65">
        <v>2</v>
      </c>
      <c r="AF727" s="69">
        <v>28.6</v>
      </c>
      <c r="AG727" s="65" t="s">
        <v>73</v>
      </c>
      <c r="AH727" s="65" t="s">
        <v>2607</v>
      </c>
      <c r="AI727">
        <f>IF(AND(OR(Company_Explorer!$B$5="All Companies",$E727=Company_Explorer!$B$5),OR(Company_Explorer!$B$6="All Platforms",$B727=Company_Explorer!$B$6),OR(Company_Explorer!$B$7="All Roles",$D727=Company_Explorer!$B$7),OR(Company_Explorer!$B$8="All Ghost Labels",$AG727=Company_Explorer!$B$8)),1,0)</f>
        <v>0</v>
      </c>
    </row>
    <row r="728" spans="1:35" ht="15" customHeight="1" x14ac:dyDescent="0.3">
      <c r="A728" s="60" t="s">
        <v>2608</v>
      </c>
      <c r="B728" s="60" t="s">
        <v>80</v>
      </c>
      <c r="C728" s="60" t="s">
        <v>125</v>
      </c>
      <c r="D728" s="60" t="s">
        <v>125</v>
      </c>
      <c r="E728" s="60" t="s">
        <v>619</v>
      </c>
      <c r="F728" s="60" t="b">
        <f>TRUE()</f>
        <v>1</v>
      </c>
      <c r="G728" s="60" t="s">
        <v>166</v>
      </c>
      <c r="H728" s="60" t="s">
        <v>235</v>
      </c>
      <c r="I728" s="61">
        <v>46204</v>
      </c>
      <c r="J728" s="61">
        <v>46210</v>
      </c>
      <c r="K728" s="60">
        <v>6</v>
      </c>
      <c r="L728" s="60" t="s">
        <v>192</v>
      </c>
      <c r="M728" s="60" t="s">
        <v>185</v>
      </c>
      <c r="N728" s="60" t="b">
        <f>FALSE()</f>
        <v>0</v>
      </c>
      <c r="O728" s="60"/>
      <c r="P728" s="60"/>
      <c r="Q728" s="60" t="s">
        <v>236</v>
      </c>
      <c r="R728" s="60" t="s">
        <v>237</v>
      </c>
      <c r="S728" s="60"/>
      <c r="T728" s="60" t="b">
        <f>FALSE()</f>
        <v>0</v>
      </c>
      <c r="U728" s="60" t="b">
        <f>FALSE()</f>
        <v>0</v>
      </c>
      <c r="V728" s="60">
        <v>784</v>
      </c>
      <c r="W728" s="62" t="s">
        <v>620</v>
      </c>
      <c r="X728" s="60">
        <v>4</v>
      </c>
      <c r="Y728" s="63">
        <v>0.02</v>
      </c>
      <c r="Z728" s="60" t="b">
        <f>FALSE()</f>
        <v>0</v>
      </c>
      <c r="AA728" s="60" t="b">
        <f>TRUE()</f>
        <v>1</v>
      </c>
      <c r="AB728" s="60" t="b">
        <f>FALSE()</f>
        <v>0</v>
      </c>
      <c r="AC728" s="60" t="b">
        <f>FALSE()</f>
        <v>0</v>
      </c>
      <c r="AD728" s="60" t="b">
        <f>FALSE()</f>
        <v>0</v>
      </c>
      <c r="AE728" s="60">
        <v>1</v>
      </c>
      <c r="AF728" s="64">
        <v>14.3</v>
      </c>
      <c r="AG728" s="60" t="s">
        <v>74</v>
      </c>
      <c r="AH728" s="60" t="s">
        <v>2609</v>
      </c>
      <c r="AI728">
        <f>IF(AND(OR(Company_Explorer!$B$5="All Companies",$E728=Company_Explorer!$B$5),OR(Company_Explorer!$B$6="All Platforms",$B728=Company_Explorer!$B$6),OR(Company_Explorer!$B$7="All Roles",$D728=Company_Explorer!$B$7),OR(Company_Explorer!$B$8="All Ghost Labels",$AG728=Company_Explorer!$B$8)),1,0)</f>
        <v>0</v>
      </c>
    </row>
    <row r="729" spans="1:35" ht="15" customHeight="1" x14ac:dyDescent="0.3">
      <c r="A729" s="65" t="s">
        <v>2610</v>
      </c>
      <c r="B729" s="65" t="s">
        <v>80</v>
      </c>
      <c r="C729" s="65" t="s">
        <v>2353</v>
      </c>
      <c r="D729" s="65" t="s">
        <v>131</v>
      </c>
      <c r="E729" s="65" t="s">
        <v>2611</v>
      </c>
      <c r="F729" s="65" t="b">
        <f>TRUE()</f>
        <v>1</v>
      </c>
      <c r="G729" s="65" t="s">
        <v>178</v>
      </c>
      <c r="H729" s="65" t="s">
        <v>165</v>
      </c>
      <c r="I729" s="66">
        <v>46153</v>
      </c>
      <c r="J729" s="66">
        <v>46210</v>
      </c>
      <c r="K729" s="65">
        <v>57</v>
      </c>
      <c r="L729" s="65" t="s">
        <v>192</v>
      </c>
      <c r="M729" s="65" t="s">
        <v>185</v>
      </c>
      <c r="N729" s="65" t="b">
        <f>FALSE()</f>
        <v>0</v>
      </c>
      <c r="O729" s="65"/>
      <c r="P729" s="65"/>
      <c r="Q729" s="65" t="s">
        <v>236</v>
      </c>
      <c r="R729" s="65" t="s">
        <v>237</v>
      </c>
      <c r="S729" s="65"/>
      <c r="T729" s="65" t="b">
        <f>FALSE()</f>
        <v>0</v>
      </c>
      <c r="U729" s="65" t="b">
        <f>FALSE()</f>
        <v>0</v>
      </c>
      <c r="V729" s="65">
        <v>322</v>
      </c>
      <c r="W729" s="67" t="s">
        <v>2612</v>
      </c>
      <c r="X729" s="65">
        <v>1</v>
      </c>
      <c r="Y729" s="68">
        <v>0.01</v>
      </c>
      <c r="Z729" s="65" t="b">
        <f>FALSE()</f>
        <v>0</v>
      </c>
      <c r="AA729" s="65" t="b">
        <f>TRUE()</f>
        <v>1</v>
      </c>
      <c r="AB729" s="65" t="b">
        <f>FALSE()</f>
        <v>0</v>
      </c>
      <c r="AC729" s="65" t="b">
        <f>TRUE()</f>
        <v>1</v>
      </c>
      <c r="AD729" s="65" t="b">
        <f>FALSE()</f>
        <v>0</v>
      </c>
      <c r="AE729" s="65">
        <v>2</v>
      </c>
      <c r="AF729" s="69">
        <v>28.6</v>
      </c>
      <c r="AG729" s="65" t="s">
        <v>73</v>
      </c>
      <c r="AH729" s="65" t="s">
        <v>2613</v>
      </c>
      <c r="AI729">
        <f>IF(AND(OR(Company_Explorer!$B$5="All Companies",$E729=Company_Explorer!$B$5),OR(Company_Explorer!$B$6="All Platforms",$B729=Company_Explorer!$B$6),OR(Company_Explorer!$B$7="All Roles",$D729=Company_Explorer!$B$7),OR(Company_Explorer!$B$8="All Ghost Labels",$AG729=Company_Explorer!$B$8)),1,0)</f>
        <v>0</v>
      </c>
    </row>
    <row r="730" spans="1:35" ht="15" customHeight="1" x14ac:dyDescent="0.3">
      <c r="A730" s="60" t="s">
        <v>2614</v>
      </c>
      <c r="B730" s="60" t="s">
        <v>80</v>
      </c>
      <c r="C730" s="60" t="s">
        <v>2615</v>
      </c>
      <c r="D730" s="60" t="s">
        <v>131</v>
      </c>
      <c r="E730" s="60" t="s">
        <v>2101</v>
      </c>
      <c r="F730" s="60" t="b">
        <f>TRUE()</f>
        <v>1</v>
      </c>
      <c r="G730" s="60" t="s">
        <v>166</v>
      </c>
      <c r="H730" s="60" t="s">
        <v>235</v>
      </c>
      <c r="I730" s="61">
        <v>46189</v>
      </c>
      <c r="J730" s="61">
        <v>46210</v>
      </c>
      <c r="K730" s="60">
        <v>21</v>
      </c>
      <c r="L730" s="60" t="s">
        <v>192</v>
      </c>
      <c r="M730" s="60" t="s">
        <v>185</v>
      </c>
      <c r="N730" s="60" t="b">
        <f>FALSE()</f>
        <v>0</v>
      </c>
      <c r="O730" s="60"/>
      <c r="P730" s="60"/>
      <c r="Q730" s="60" t="s">
        <v>236</v>
      </c>
      <c r="R730" s="60" t="s">
        <v>237</v>
      </c>
      <c r="S730" s="60"/>
      <c r="T730" s="60" t="b">
        <f>FALSE()</f>
        <v>0</v>
      </c>
      <c r="U730" s="60" t="b">
        <f>FALSE()</f>
        <v>0</v>
      </c>
      <c r="V730" s="60">
        <v>422</v>
      </c>
      <c r="W730" s="62" t="s">
        <v>2616</v>
      </c>
      <c r="X730" s="60">
        <v>2</v>
      </c>
      <c r="Y730" s="63">
        <v>0.01</v>
      </c>
      <c r="Z730" s="60" t="b">
        <f>FALSE()</f>
        <v>0</v>
      </c>
      <c r="AA730" s="60" t="b">
        <f>TRUE()</f>
        <v>1</v>
      </c>
      <c r="AB730" s="60" t="b">
        <f>FALSE()</f>
        <v>0</v>
      </c>
      <c r="AC730" s="60" t="b">
        <f>TRUE()</f>
        <v>1</v>
      </c>
      <c r="AD730" s="60" t="b">
        <f>FALSE()</f>
        <v>0</v>
      </c>
      <c r="AE730" s="60">
        <v>2</v>
      </c>
      <c r="AF730" s="64">
        <v>28.6</v>
      </c>
      <c r="AG730" s="60" t="s">
        <v>73</v>
      </c>
      <c r="AH730" s="60" t="s">
        <v>2617</v>
      </c>
      <c r="AI730">
        <f>IF(AND(OR(Company_Explorer!$B$5="All Companies",$E730=Company_Explorer!$B$5),OR(Company_Explorer!$B$6="All Platforms",$B730=Company_Explorer!$B$6),OR(Company_Explorer!$B$7="All Roles",$D730=Company_Explorer!$B$7),OR(Company_Explorer!$B$8="All Ghost Labels",$AG730=Company_Explorer!$B$8)),1,0)</f>
        <v>0</v>
      </c>
    </row>
    <row r="731" spans="1:35" ht="15" customHeight="1" x14ac:dyDescent="0.3">
      <c r="A731" s="65" t="s">
        <v>2618</v>
      </c>
      <c r="B731" s="65" t="s">
        <v>80</v>
      </c>
      <c r="C731" s="65" t="s">
        <v>718</v>
      </c>
      <c r="D731" s="65" t="s">
        <v>125</v>
      </c>
      <c r="E731" s="65" t="s">
        <v>2619</v>
      </c>
      <c r="F731" s="65" t="b">
        <f>TRUE()</f>
        <v>1</v>
      </c>
      <c r="G731" s="65" t="s">
        <v>167</v>
      </c>
      <c r="H731" s="65" t="s">
        <v>276</v>
      </c>
      <c r="I731" s="66">
        <v>46192</v>
      </c>
      <c r="J731" s="66">
        <v>46210</v>
      </c>
      <c r="K731" s="65">
        <v>18</v>
      </c>
      <c r="L731" s="65" t="s">
        <v>192</v>
      </c>
      <c r="M731" s="65" t="s">
        <v>185</v>
      </c>
      <c r="N731" s="65" t="b">
        <f>FALSE()</f>
        <v>0</v>
      </c>
      <c r="O731" s="65"/>
      <c r="P731" s="65"/>
      <c r="Q731" s="65" t="s">
        <v>236</v>
      </c>
      <c r="R731" s="65" t="s">
        <v>237</v>
      </c>
      <c r="S731" s="65"/>
      <c r="T731" s="65" t="b">
        <f>FALSE()</f>
        <v>0</v>
      </c>
      <c r="U731" s="65" t="b">
        <f>FALSE()</f>
        <v>0</v>
      </c>
      <c r="V731" s="65">
        <v>951</v>
      </c>
      <c r="W731" s="67" t="s">
        <v>2620</v>
      </c>
      <c r="X731" s="65">
        <v>1</v>
      </c>
      <c r="Y731" s="68">
        <v>0.01</v>
      </c>
      <c r="Z731" s="65" t="b">
        <f>FALSE()</f>
        <v>0</v>
      </c>
      <c r="AA731" s="65" t="b">
        <f>TRUE()</f>
        <v>1</v>
      </c>
      <c r="AB731" s="65" t="b">
        <f>FALSE()</f>
        <v>0</v>
      </c>
      <c r="AC731" s="65" t="b">
        <f>FALSE()</f>
        <v>0</v>
      </c>
      <c r="AD731" s="65" t="b">
        <f>FALSE()</f>
        <v>0</v>
      </c>
      <c r="AE731" s="65">
        <v>1</v>
      </c>
      <c r="AF731" s="69">
        <v>14.3</v>
      </c>
      <c r="AG731" s="65" t="s">
        <v>74</v>
      </c>
      <c r="AH731" s="65" t="s">
        <v>2621</v>
      </c>
      <c r="AI731">
        <f>IF(AND(OR(Company_Explorer!$B$5="All Companies",$E731=Company_Explorer!$B$5),OR(Company_Explorer!$B$6="All Platforms",$B731=Company_Explorer!$B$6),OR(Company_Explorer!$B$7="All Roles",$D731=Company_Explorer!$B$7),OR(Company_Explorer!$B$8="All Ghost Labels",$AG731=Company_Explorer!$B$8)),1,0)</f>
        <v>0</v>
      </c>
    </row>
    <row r="732" spans="1:35" ht="15" customHeight="1" x14ac:dyDescent="0.3">
      <c r="A732" s="60" t="s">
        <v>2622</v>
      </c>
      <c r="B732" s="60" t="s">
        <v>80</v>
      </c>
      <c r="C732" s="60" t="s">
        <v>2623</v>
      </c>
      <c r="D732" s="60" t="s">
        <v>131</v>
      </c>
      <c r="E732" s="60" t="s">
        <v>2624</v>
      </c>
      <c r="F732" s="60" t="b">
        <f>TRUE()</f>
        <v>1</v>
      </c>
      <c r="G732" s="60" t="s">
        <v>585</v>
      </c>
      <c r="H732" s="60" t="s">
        <v>585</v>
      </c>
      <c r="I732" s="61">
        <v>46098</v>
      </c>
      <c r="J732" s="61">
        <v>46210</v>
      </c>
      <c r="K732" s="60">
        <v>112</v>
      </c>
      <c r="L732" s="60" t="s">
        <v>192</v>
      </c>
      <c r="M732" s="60" t="s">
        <v>185</v>
      </c>
      <c r="N732" s="60" t="b">
        <f>FALSE()</f>
        <v>0</v>
      </c>
      <c r="O732" s="60"/>
      <c r="P732" s="60"/>
      <c r="Q732" s="60" t="s">
        <v>236</v>
      </c>
      <c r="R732" s="60" t="s">
        <v>237</v>
      </c>
      <c r="S732" s="60"/>
      <c r="T732" s="60" t="b">
        <f>FALSE()</f>
        <v>0</v>
      </c>
      <c r="U732" s="60" t="b">
        <f>FALSE()</f>
        <v>0</v>
      </c>
      <c r="V732" s="60">
        <v>423</v>
      </c>
      <c r="W732" s="62" t="s">
        <v>2625</v>
      </c>
      <c r="X732" s="60">
        <v>1</v>
      </c>
      <c r="Y732" s="63">
        <v>0.01</v>
      </c>
      <c r="Z732" s="60" t="b">
        <f>FALSE()</f>
        <v>0</v>
      </c>
      <c r="AA732" s="60" t="b">
        <f>TRUE()</f>
        <v>1</v>
      </c>
      <c r="AB732" s="60" t="b">
        <f>FALSE()</f>
        <v>0</v>
      </c>
      <c r="AC732" s="60" t="b">
        <f>TRUE()</f>
        <v>1</v>
      </c>
      <c r="AD732" s="60" t="b">
        <f>FALSE()</f>
        <v>0</v>
      </c>
      <c r="AE732" s="60">
        <v>2</v>
      </c>
      <c r="AF732" s="64">
        <v>28.6</v>
      </c>
      <c r="AG732" s="60" t="s">
        <v>73</v>
      </c>
      <c r="AH732" s="60" t="s">
        <v>2626</v>
      </c>
      <c r="AI732">
        <f>IF(AND(OR(Company_Explorer!$B$5="All Companies",$E732=Company_Explorer!$B$5),OR(Company_Explorer!$B$6="All Platforms",$B732=Company_Explorer!$B$6),OR(Company_Explorer!$B$7="All Roles",$D732=Company_Explorer!$B$7),OR(Company_Explorer!$B$8="All Ghost Labels",$AG732=Company_Explorer!$B$8)),1,0)</f>
        <v>0</v>
      </c>
    </row>
    <row r="733" spans="1:35" ht="15" customHeight="1" x14ac:dyDescent="0.3">
      <c r="A733" s="65" t="s">
        <v>2627</v>
      </c>
      <c r="B733" s="65" t="s">
        <v>80</v>
      </c>
      <c r="C733" s="65" t="s">
        <v>2628</v>
      </c>
      <c r="D733" s="65" t="s">
        <v>131</v>
      </c>
      <c r="E733" s="65" t="s">
        <v>2254</v>
      </c>
      <c r="F733" s="65" t="b">
        <f>TRUE()</f>
        <v>1</v>
      </c>
      <c r="G733" s="65" t="s">
        <v>585</v>
      </c>
      <c r="H733" s="65" t="s">
        <v>585</v>
      </c>
      <c r="I733" s="66">
        <v>46062</v>
      </c>
      <c r="J733" s="66">
        <v>46210</v>
      </c>
      <c r="K733" s="65">
        <v>148</v>
      </c>
      <c r="L733" s="65" t="s">
        <v>192</v>
      </c>
      <c r="M733" s="65" t="s">
        <v>185</v>
      </c>
      <c r="N733" s="65" t="b">
        <f>FALSE()</f>
        <v>0</v>
      </c>
      <c r="O733" s="65"/>
      <c r="P733" s="65"/>
      <c r="Q733" s="65" t="s">
        <v>236</v>
      </c>
      <c r="R733" s="65" t="s">
        <v>237</v>
      </c>
      <c r="S733" s="65"/>
      <c r="T733" s="65" t="b">
        <f>FALSE()</f>
        <v>0</v>
      </c>
      <c r="U733" s="65" t="b">
        <f>FALSE()</f>
        <v>0</v>
      </c>
      <c r="V733" s="65">
        <v>181</v>
      </c>
      <c r="W733" s="67" t="s">
        <v>2629</v>
      </c>
      <c r="X733" s="65">
        <v>2</v>
      </c>
      <c r="Y733" s="68">
        <v>0.01</v>
      </c>
      <c r="Z733" s="65" t="b">
        <f>FALSE()</f>
        <v>0</v>
      </c>
      <c r="AA733" s="65" t="b">
        <f>TRUE()</f>
        <v>1</v>
      </c>
      <c r="AB733" s="65" t="b">
        <f>TRUE()</f>
        <v>1</v>
      </c>
      <c r="AC733" s="65" t="b">
        <f>TRUE()</f>
        <v>1</v>
      </c>
      <c r="AD733" s="65" t="b">
        <f>FALSE()</f>
        <v>0</v>
      </c>
      <c r="AE733" s="65">
        <v>3</v>
      </c>
      <c r="AF733" s="69">
        <v>42.9</v>
      </c>
      <c r="AG733" s="65" t="s">
        <v>73</v>
      </c>
      <c r="AH733" s="65" t="s">
        <v>2630</v>
      </c>
      <c r="AI733">
        <f>IF(AND(OR(Company_Explorer!$B$5="All Companies",$E733=Company_Explorer!$B$5),OR(Company_Explorer!$B$6="All Platforms",$B733=Company_Explorer!$B$6),OR(Company_Explorer!$B$7="All Roles",$D733=Company_Explorer!$B$7),OR(Company_Explorer!$B$8="All Ghost Labels",$AG733=Company_Explorer!$B$8)),1,0)</f>
        <v>0</v>
      </c>
    </row>
    <row r="734" spans="1:35" ht="15" customHeight="1" x14ac:dyDescent="0.3">
      <c r="A734" s="60" t="s">
        <v>2631</v>
      </c>
      <c r="B734" s="60" t="s">
        <v>80</v>
      </c>
      <c r="C734" s="60" t="s">
        <v>2632</v>
      </c>
      <c r="D734" s="60" t="s">
        <v>126</v>
      </c>
      <c r="E734" s="60" t="s">
        <v>2633</v>
      </c>
      <c r="F734" s="60" t="b">
        <f>TRUE()</f>
        <v>1</v>
      </c>
      <c r="G734" s="60" t="s">
        <v>2065</v>
      </c>
      <c r="H734" s="60" t="s">
        <v>2066</v>
      </c>
      <c r="I734" s="61">
        <v>46162</v>
      </c>
      <c r="J734" s="61">
        <v>46210</v>
      </c>
      <c r="K734" s="60">
        <v>48</v>
      </c>
      <c r="L734" s="60" t="s">
        <v>192</v>
      </c>
      <c r="M734" s="60" t="s">
        <v>185</v>
      </c>
      <c r="N734" s="60" t="b">
        <f>FALSE()</f>
        <v>0</v>
      </c>
      <c r="O734" s="60"/>
      <c r="P734" s="60"/>
      <c r="Q734" s="60" t="s">
        <v>236</v>
      </c>
      <c r="R734" s="60" t="s">
        <v>237</v>
      </c>
      <c r="S734" s="60"/>
      <c r="T734" s="60" t="b">
        <f>FALSE()</f>
        <v>0</v>
      </c>
      <c r="U734" s="60" t="b">
        <f>FALSE()</f>
        <v>0</v>
      </c>
      <c r="V734" s="60">
        <v>716</v>
      </c>
      <c r="W734" s="62" t="s">
        <v>2634</v>
      </c>
      <c r="X734" s="60">
        <v>1</v>
      </c>
      <c r="Y734" s="63">
        <v>0.01</v>
      </c>
      <c r="Z734" s="60" t="b">
        <f>FALSE()</f>
        <v>0</v>
      </c>
      <c r="AA734" s="60" t="b">
        <f>TRUE()</f>
        <v>1</v>
      </c>
      <c r="AB734" s="60" t="b">
        <f>FALSE()</f>
        <v>0</v>
      </c>
      <c r="AC734" s="60" t="b">
        <f>TRUE()</f>
        <v>1</v>
      </c>
      <c r="AD734" s="60" t="b">
        <f>FALSE()</f>
        <v>0</v>
      </c>
      <c r="AE734" s="60">
        <v>2</v>
      </c>
      <c r="AF734" s="64">
        <v>28.6</v>
      </c>
      <c r="AG734" s="60" t="s">
        <v>73</v>
      </c>
      <c r="AH734" s="60" t="s">
        <v>2635</v>
      </c>
      <c r="AI734">
        <f>IF(AND(OR(Company_Explorer!$B$5="All Companies",$E734=Company_Explorer!$B$5),OR(Company_Explorer!$B$6="All Platforms",$B734=Company_Explorer!$B$6),OR(Company_Explorer!$B$7="All Roles",$D734=Company_Explorer!$B$7),OR(Company_Explorer!$B$8="All Ghost Labels",$AG734=Company_Explorer!$B$8)),1,0)</f>
        <v>0</v>
      </c>
    </row>
    <row r="735" spans="1:35" ht="15" customHeight="1" x14ac:dyDescent="0.3">
      <c r="A735" s="65" t="s">
        <v>2636</v>
      </c>
      <c r="B735" s="65" t="s">
        <v>80</v>
      </c>
      <c r="C735" s="65" t="s">
        <v>2637</v>
      </c>
      <c r="D735" s="65" t="s">
        <v>131</v>
      </c>
      <c r="E735" s="65" t="s">
        <v>381</v>
      </c>
      <c r="F735" s="65" t="b">
        <f>TRUE()</f>
        <v>1</v>
      </c>
      <c r="G735" s="65" t="s">
        <v>166</v>
      </c>
      <c r="H735" s="65" t="s">
        <v>235</v>
      </c>
      <c r="I735" s="66">
        <v>46129</v>
      </c>
      <c r="J735" s="66">
        <v>46210</v>
      </c>
      <c r="K735" s="65">
        <v>81</v>
      </c>
      <c r="L735" s="65" t="s">
        <v>192</v>
      </c>
      <c r="M735" s="65" t="s">
        <v>185</v>
      </c>
      <c r="N735" s="65" t="b">
        <f>FALSE()</f>
        <v>0</v>
      </c>
      <c r="O735" s="65"/>
      <c r="P735" s="65"/>
      <c r="Q735" s="65" t="s">
        <v>236</v>
      </c>
      <c r="R735" s="65" t="s">
        <v>237</v>
      </c>
      <c r="S735" s="65"/>
      <c r="T735" s="65" t="b">
        <f>FALSE()</f>
        <v>0</v>
      </c>
      <c r="U735" s="65" t="b">
        <f>FALSE()</f>
        <v>0</v>
      </c>
      <c r="V735" s="65">
        <v>372</v>
      </c>
      <c r="W735" s="67" t="s">
        <v>2638</v>
      </c>
      <c r="X735" s="65">
        <v>3</v>
      </c>
      <c r="Y735" s="68">
        <v>0.02</v>
      </c>
      <c r="Z735" s="65" t="b">
        <f>FALSE()</f>
        <v>0</v>
      </c>
      <c r="AA735" s="65" t="b">
        <f>TRUE()</f>
        <v>1</v>
      </c>
      <c r="AB735" s="65" t="b">
        <f>FALSE()</f>
        <v>0</v>
      </c>
      <c r="AC735" s="65" t="b">
        <f>TRUE()</f>
        <v>1</v>
      </c>
      <c r="AD735" s="65" t="b">
        <f>FALSE()</f>
        <v>0</v>
      </c>
      <c r="AE735" s="65">
        <v>2</v>
      </c>
      <c r="AF735" s="69">
        <v>28.6</v>
      </c>
      <c r="AG735" s="65" t="s">
        <v>73</v>
      </c>
      <c r="AH735" s="65" t="s">
        <v>2639</v>
      </c>
      <c r="AI735">
        <f>IF(AND(OR(Company_Explorer!$B$5="All Companies",$E735=Company_Explorer!$B$5),OR(Company_Explorer!$B$6="All Platforms",$B735=Company_Explorer!$B$6),OR(Company_Explorer!$B$7="All Roles",$D735=Company_Explorer!$B$7),OR(Company_Explorer!$B$8="All Ghost Labels",$AG735=Company_Explorer!$B$8)),1,0)</f>
        <v>0</v>
      </c>
    </row>
    <row r="736" spans="1:35" ht="15" customHeight="1" x14ac:dyDescent="0.3">
      <c r="A736" s="60" t="s">
        <v>2640</v>
      </c>
      <c r="B736" s="60" t="s">
        <v>80</v>
      </c>
      <c r="C736" s="60" t="s">
        <v>2641</v>
      </c>
      <c r="D736" s="60" t="s">
        <v>131</v>
      </c>
      <c r="E736" s="60" t="s">
        <v>2642</v>
      </c>
      <c r="F736" s="60" t="b">
        <f>TRUE()</f>
        <v>1</v>
      </c>
      <c r="G736" s="60" t="s">
        <v>179</v>
      </c>
      <c r="H736" s="60" t="s">
        <v>254</v>
      </c>
      <c r="I736" s="61">
        <v>45930</v>
      </c>
      <c r="J736" s="61">
        <v>46210</v>
      </c>
      <c r="K736" s="60">
        <v>280</v>
      </c>
      <c r="L736" s="60" t="s">
        <v>192</v>
      </c>
      <c r="M736" s="60" t="s">
        <v>184</v>
      </c>
      <c r="N736" s="60" t="b">
        <f>TRUE()</f>
        <v>1</v>
      </c>
      <c r="O736" s="70">
        <v>600000</v>
      </c>
      <c r="P736" s="70">
        <v>1200000</v>
      </c>
      <c r="Q736" s="60" t="s">
        <v>332</v>
      </c>
      <c r="R736" s="60" t="s">
        <v>237</v>
      </c>
      <c r="S736" s="60"/>
      <c r="T736" s="60" t="b">
        <f>FALSE()</f>
        <v>0</v>
      </c>
      <c r="U736" s="60" t="b">
        <f>FALSE()</f>
        <v>0</v>
      </c>
      <c r="V736" s="60">
        <v>575</v>
      </c>
      <c r="W736" s="60" t="s">
        <v>2643</v>
      </c>
      <c r="X736" s="60">
        <v>2</v>
      </c>
      <c r="Y736" s="63">
        <v>0.01</v>
      </c>
      <c r="Z736" s="60" t="b">
        <f>FALSE()</f>
        <v>0</v>
      </c>
      <c r="AA736" s="60" t="b">
        <f>FALSE()</f>
        <v>0</v>
      </c>
      <c r="AB736" s="60" t="b">
        <f>FALSE()</f>
        <v>0</v>
      </c>
      <c r="AC736" s="60" t="b">
        <f>TRUE()</f>
        <v>1</v>
      </c>
      <c r="AD736" s="60" t="b">
        <f>FALSE()</f>
        <v>0</v>
      </c>
      <c r="AE736" s="60">
        <v>1</v>
      </c>
      <c r="AF736" s="64">
        <v>14.3</v>
      </c>
      <c r="AG736" s="60" t="s">
        <v>74</v>
      </c>
      <c r="AH736" s="60" t="s">
        <v>2644</v>
      </c>
      <c r="AI736">
        <f>IF(AND(OR(Company_Explorer!$B$5="All Companies",$E736=Company_Explorer!$B$5),OR(Company_Explorer!$B$6="All Platforms",$B736=Company_Explorer!$B$6),OR(Company_Explorer!$B$7="All Roles",$D736=Company_Explorer!$B$7),OR(Company_Explorer!$B$8="All Ghost Labels",$AG736=Company_Explorer!$B$8)),1,0)</f>
        <v>0</v>
      </c>
    </row>
    <row r="737" spans="1:35" ht="15" customHeight="1" x14ac:dyDescent="0.3">
      <c r="A737" s="65" t="s">
        <v>2645</v>
      </c>
      <c r="B737" s="65" t="s">
        <v>80</v>
      </c>
      <c r="C737" s="65" t="s">
        <v>2646</v>
      </c>
      <c r="D737" s="65" t="s">
        <v>125</v>
      </c>
      <c r="E737" s="65" t="s">
        <v>2647</v>
      </c>
      <c r="F737" s="65" t="b">
        <f>TRUE()</f>
        <v>1</v>
      </c>
      <c r="G737" s="65" t="s">
        <v>169</v>
      </c>
      <c r="H737" s="65" t="s">
        <v>294</v>
      </c>
      <c r="I737" s="66">
        <v>46199</v>
      </c>
      <c r="J737" s="66">
        <v>46210</v>
      </c>
      <c r="K737" s="65">
        <v>11</v>
      </c>
      <c r="L737" s="65" t="s">
        <v>192</v>
      </c>
      <c r="M737" s="65" t="s">
        <v>185</v>
      </c>
      <c r="N737" s="65" t="b">
        <f>FALSE()</f>
        <v>0</v>
      </c>
      <c r="O737" s="65"/>
      <c r="P737" s="65"/>
      <c r="Q737" s="65" t="s">
        <v>236</v>
      </c>
      <c r="R737" s="65" t="s">
        <v>237</v>
      </c>
      <c r="S737" s="65"/>
      <c r="T737" s="65" t="b">
        <f>FALSE()</f>
        <v>0</v>
      </c>
      <c r="U737" s="65" t="b">
        <f>FALSE()</f>
        <v>0</v>
      </c>
      <c r="V737" s="65">
        <v>822</v>
      </c>
      <c r="W737" s="67" t="s">
        <v>2648</v>
      </c>
      <c r="X737" s="65">
        <v>1</v>
      </c>
      <c r="Y737" s="68">
        <v>0.01</v>
      </c>
      <c r="Z737" s="65" t="b">
        <f>FALSE()</f>
        <v>0</v>
      </c>
      <c r="AA737" s="65" t="b">
        <f>TRUE()</f>
        <v>1</v>
      </c>
      <c r="AB737" s="65" t="b">
        <f>FALSE()</f>
        <v>0</v>
      </c>
      <c r="AC737" s="65" t="b">
        <f>FALSE()</f>
        <v>0</v>
      </c>
      <c r="AD737" s="65" t="b">
        <f>FALSE()</f>
        <v>0</v>
      </c>
      <c r="AE737" s="65">
        <v>1</v>
      </c>
      <c r="AF737" s="69">
        <v>14.3</v>
      </c>
      <c r="AG737" s="65" t="s">
        <v>74</v>
      </c>
      <c r="AH737" s="65" t="s">
        <v>2649</v>
      </c>
      <c r="AI737">
        <f>IF(AND(OR(Company_Explorer!$B$5="All Companies",$E737=Company_Explorer!$B$5),OR(Company_Explorer!$B$6="All Platforms",$B737=Company_Explorer!$B$6),OR(Company_Explorer!$B$7="All Roles",$D737=Company_Explorer!$B$7),OR(Company_Explorer!$B$8="All Ghost Labels",$AG737=Company_Explorer!$B$8)),1,0)</f>
        <v>0</v>
      </c>
    </row>
    <row r="738" spans="1:35" ht="15" customHeight="1" x14ac:dyDescent="0.3">
      <c r="A738" s="60" t="s">
        <v>2650</v>
      </c>
      <c r="B738" s="60" t="s">
        <v>80</v>
      </c>
      <c r="C738" s="60" t="s">
        <v>125</v>
      </c>
      <c r="D738" s="60" t="s">
        <v>125</v>
      </c>
      <c r="E738" s="60" t="s">
        <v>2651</v>
      </c>
      <c r="F738" s="60" t="b">
        <f>TRUE()</f>
        <v>1</v>
      </c>
      <c r="G738" s="60" t="s">
        <v>168</v>
      </c>
      <c r="H738" s="60" t="s">
        <v>254</v>
      </c>
      <c r="I738" s="61">
        <v>46207</v>
      </c>
      <c r="J738" s="61">
        <v>46210</v>
      </c>
      <c r="K738" s="60">
        <v>3</v>
      </c>
      <c r="L738" s="60" t="s">
        <v>192</v>
      </c>
      <c r="M738" s="60" t="s">
        <v>185</v>
      </c>
      <c r="N738" s="60" t="b">
        <f>FALSE()</f>
        <v>0</v>
      </c>
      <c r="O738" s="60"/>
      <c r="P738" s="60"/>
      <c r="Q738" s="60" t="s">
        <v>236</v>
      </c>
      <c r="R738" s="60" t="s">
        <v>237</v>
      </c>
      <c r="S738" s="60"/>
      <c r="T738" s="60" t="b">
        <f>FALSE()</f>
        <v>0</v>
      </c>
      <c r="U738" s="60" t="b">
        <f>FALSE()</f>
        <v>0</v>
      </c>
      <c r="V738" s="60">
        <v>275</v>
      </c>
      <c r="W738" s="60" t="s">
        <v>2652</v>
      </c>
      <c r="X738" s="60">
        <v>1</v>
      </c>
      <c r="Y738" s="63">
        <v>0.01</v>
      </c>
      <c r="Z738" s="60" t="b">
        <f>FALSE()</f>
        <v>0</v>
      </c>
      <c r="AA738" s="60" t="b">
        <f>TRUE()</f>
        <v>1</v>
      </c>
      <c r="AB738" s="60" t="b">
        <f>FALSE()</f>
        <v>0</v>
      </c>
      <c r="AC738" s="60" t="b">
        <f>FALSE()</f>
        <v>0</v>
      </c>
      <c r="AD738" s="60" t="b">
        <f>FALSE()</f>
        <v>0</v>
      </c>
      <c r="AE738" s="60">
        <v>1</v>
      </c>
      <c r="AF738" s="64">
        <v>14.3</v>
      </c>
      <c r="AG738" s="60" t="s">
        <v>74</v>
      </c>
      <c r="AH738" s="60" t="s">
        <v>2653</v>
      </c>
      <c r="AI738">
        <f>IF(AND(OR(Company_Explorer!$B$5="All Companies",$E738=Company_Explorer!$B$5),OR(Company_Explorer!$B$6="All Platforms",$B738=Company_Explorer!$B$6),OR(Company_Explorer!$B$7="All Roles",$D738=Company_Explorer!$B$7),OR(Company_Explorer!$B$8="All Ghost Labels",$AG738=Company_Explorer!$B$8)),1,0)</f>
        <v>0</v>
      </c>
    </row>
    <row r="739" spans="1:35" ht="15" customHeight="1" x14ac:dyDescent="0.3">
      <c r="A739" s="65" t="s">
        <v>2654</v>
      </c>
      <c r="B739" s="65" t="s">
        <v>80</v>
      </c>
      <c r="C739" s="65" t="s">
        <v>2655</v>
      </c>
      <c r="D739" s="65" t="s">
        <v>125</v>
      </c>
      <c r="E739" s="65" t="s">
        <v>781</v>
      </c>
      <c r="F739" s="65" t="b">
        <f>TRUE()</f>
        <v>1</v>
      </c>
      <c r="G739" s="65" t="s">
        <v>169</v>
      </c>
      <c r="H739" s="65" t="s">
        <v>294</v>
      </c>
      <c r="I739" s="66">
        <v>46184</v>
      </c>
      <c r="J739" s="66">
        <v>46210</v>
      </c>
      <c r="K739" s="65">
        <v>26</v>
      </c>
      <c r="L739" s="65" t="s">
        <v>192</v>
      </c>
      <c r="M739" s="65" t="s">
        <v>184</v>
      </c>
      <c r="N739" s="65" t="b">
        <f>FALSE()</f>
        <v>0</v>
      </c>
      <c r="O739" s="65"/>
      <c r="P739" s="65"/>
      <c r="Q739" s="65" t="s">
        <v>236</v>
      </c>
      <c r="R739" s="65" t="s">
        <v>237</v>
      </c>
      <c r="S739" s="65"/>
      <c r="T739" s="65" t="b">
        <f>FALSE()</f>
        <v>0</v>
      </c>
      <c r="U739" s="65" t="b">
        <f>FALSE()</f>
        <v>0</v>
      </c>
      <c r="V739" s="65">
        <v>555</v>
      </c>
      <c r="W739" s="67" t="s">
        <v>782</v>
      </c>
      <c r="X739" s="65">
        <v>3</v>
      </c>
      <c r="Y739" s="68">
        <v>0.02</v>
      </c>
      <c r="Z739" s="65" t="b">
        <f>FALSE()</f>
        <v>0</v>
      </c>
      <c r="AA739" s="65" t="b">
        <f>TRUE()</f>
        <v>1</v>
      </c>
      <c r="AB739" s="65" t="b">
        <f>FALSE()</f>
        <v>0</v>
      </c>
      <c r="AC739" s="65" t="b">
        <f>TRUE()</f>
        <v>1</v>
      </c>
      <c r="AD739" s="65" t="b">
        <f>FALSE()</f>
        <v>0</v>
      </c>
      <c r="AE739" s="65">
        <v>2</v>
      </c>
      <c r="AF739" s="69">
        <v>28.6</v>
      </c>
      <c r="AG739" s="65" t="s">
        <v>73</v>
      </c>
      <c r="AH739" s="65" t="s">
        <v>2656</v>
      </c>
      <c r="AI739">
        <f>IF(AND(OR(Company_Explorer!$B$5="All Companies",$E739=Company_Explorer!$B$5),OR(Company_Explorer!$B$6="All Platforms",$B739=Company_Explorer!$B$6),OR(Company_Explorer!$B$7="All Roles",$D739=Company_Explorer!$B$7),OR(Company_Explorer!$B$8="All Ghost Labels",$AG739=Company_Explorer!$B$8)),1,0)</f>
        <v>0</v>
      </c>
    </row>
    <row r="740" spans="1:35" ht="15" customHeight="1" x14ac:dyDescent="0.3">
      <c r="A740" s="60" t="s">
        <v>2657</v>
      </c>
      <c r="B740" s="60" t="s">
        <v>80</v>
      </c>
      <c r="C740" s="60" t="s">
        <v>2658</v>
      </c>
      <c r="D740" s="60" t="s">
        <v>131</v>
      </c>
      <c r="E740" s="60" t="s">
        <v>2659</v>
      </c>
      <c r="F740" s="60" t="b">
        <f>TRUE()</f>
        <v>1</v>
      </c>
      <c r="G740" s="60" t="s">
        <v>166</v>
      </c>
      <c r="H740" s="60" t="s">
        <v>235</v>
      </c>
      <c r="I740" s="61">
        <v>46182</v>
      </c>
      <c r="J740" s="61">
        <v>46210</v>
      </c>
      <c r="K740" s="60">
        <v>28</v>
      </c>
      <c r="L740" s="60" t="s">
        <v>192</v>
      </c>
      <c r="M740" s="60" t="s">
        <v>185</v>
      </c>
      <c r="N740" s="60" t="b">
        <f>FALSE()</f>
        <v>0</v>
      </c>
      <c r="O740" s="60"/>
      <c r="P740" s="60"/>
      <c r="Q740" s="60" t="s">
        <v>236</v>
      </c>
      <c r="R740" s="60" t="s">
        <v>237</v>
      </c>
      <c r="S740" s="60"/>
      <c r="T740" s="60" t="b">
        <f>FALSE()</f>
        <v>0</v>
      </c>
      <c r="U740" s="60" t="b">
        <f>FALSE()</f>
        <v>0</v>
      </c>
      <c r="V740" s="60">
        <v>1217</v>
      </c>
      <c r="W740" s="60" t="s">
        <v>2660</v>
      </c>
      <c r="X740" s="60">
        <v>2</v>
      </c>
      <c r="Y740" s="63">
        <v>0.01</v>
      </c>
      <c r="Z740" s="60" t="b">
        <f>FALSE()</f>
        <v>0</v>
      </c>
      <c r="AA740" s="60" t="b">
        <f>TRUE()</f>
        <v>1</v>
      </c>
      <c r="AB740" s="60" t="b">
        <f>FALSE()</f>
        <v>0</v>
      </c>
      <c r="AC740" s="60" t="b">
        <f>TRUE()</f>
        <v>1</v>
      </c>
      <c r="AD740" s="60" t="b">
        <f>FALSE()</f>
        <v>0</v>
      </c>
      <c r="AE740" s="60">
        <v>2</v>
      </c>
      <c r="AF740" s="64">
        <v>28.6</v>
      </c>
      <c r="AG740" s="60" t="s">
        <v>73</v>
      </c>
      <c r="AH740" s="60" t="s">
        <v>2661</v>
      </c>
      <c r="AI740">
        <f>IF(AND(OR(Company_Explorer!$B$5="All Companies",$E740=Company_Explorer!$B$5),OR(Company_Explorer!$B$6="All Platforms",$B740=Company_Explorer!$B$6),OR(Company_Explorer!$B$7="All Roles",$D740=Company_Explorer!$B$7),OR(Company_Explorer!$B$8="All Ghost Labels",$AG740=Company_Explorer!$B$8)),1,0)</f>
        <v>0</v>
      </c>
    </row>
    <row r="741" spans="1:35" ht="15" customHeight="1" x14ac:dyDescent="0.3">
      <c r="A741" s="65" t="s">
        <v>2662</v>
      </c>
      <c r="B741" s="65" t="s">
        <v>80</v>
      </c>
      <c r="C741" s="65" t="s">
        <v>2663</v>
      </c>
      <c r="D741" s="65" t="s">
        <v>125</v>
      </c>
      <c r="E741" s="65" t="s">
        <v>2664</v>
      </c>
      <c r="F741" s="65" t="b">
        <f>TRUE()</f>
        <v>1</v>
      </c>
      <c r="G741" s="65" t="s">
        <v>167</v>
      </c>
      <c r="H741" s="65" t="s">
        <v>276</v>
      </c>
      <c r="I741" s="66">
        <v>46193</v>
      </c>
      <c r="J741" s="66">
        <v>46210</v>
      </c>
      <c r="K741" s="65">
        <v>17</v>
      </c>
      <c r="L741" s="65" t="s">
        <v>192</v>
      </c>
      <c r="M741" s="65" t="s">
        <v>185</v>
      </c>
      <c r="N741" s="65" t="b">
        <f>FALSE()</f>
        <v>0</v>
      </c>
      <c r="O741" s="65"/>
      <c r="P741" s="65"/>
      <c r="Q741" s="65" t="s">
        <v>236</v>
      </c>
      <c r="R741" s="65" t="s">
        <v>237</v>
      </c>
      <c r="S741" s="65"/>
      <c r="T741" s="65" t="b">
        <f>FALSE()</f>
        <v>0</v>
      </c>
      <c r="U741" s="65" t="b">
        <f>FALSE()</f>
        <v>0</v>
      </c>
      <c r="V741" s="65">
        <v>409</v>
      </c>
      <c r="W741" s="67" t="s">
        <v>2665</v>
      </c>
      <c r="X741" s="65">
        <v>1</v>
      </c>
      <c r="Y741" s="68">
        <v>0.01</v>
      </c>
      <c r="Z741" s="65" t="b">
        <f>FALSE()</f>
        <v>0</v>
      </c>
      <c r="AA741" s="65" t="b">
        <f>TRUE()</f>
        <v>1</v>
      </c>
      <c r="AB741" s="65" t="b">
        <f>FALSE()</f>
        <v>0</v>
      </c>
      <c r="AC741" s="65" t="b">
        <f>FALSE()</f>
        <v>0</v>
      </c>
      <c r="AD741" s="65" t="b">
        <f>FALSE()</f>
        <v>0</v>
      </c>
      <c r="AE741" s="65">
        <v>1</v>
      </c>
      <c r="AF741" s="69">
        <v>14.3</v>
      </c>
      <c r="AG741" s="65" t="s">
        <v>74</v>
      </c>
      <c r="AH741" s="65" t="s">
        <v>2666</v>
      </c>
      <c r="AI741">
        <f>IF(AND(OR(Company_Explorer!$B$5="All Companies",$E741=Company_Explorer!$B$5),OR(Company_Explorer!$B$6="All Platforms",$B741=Company_Explorer!$B$6),OR(Company_Explorer!$B$7="All Roles",$D741=Company_Explorer!$B$7),OR(Company_Explorer!$B$8="All Ghost Labels",$AG741=Company_Explorer!$B$8)),1,0)</f>
        <v>0</v>
      </c>
    </row>
    <row r="742" spans="1:35" ht="15" customHeight="1" x14ac:dyDescent="0.3">
      <c r="A742" s="60" t="s">
        <v>2667</v>
      </c>
      <c r="B742" s="60" t="s">
        <v>80</v>
      </c>
      <c r="C742" s="60" t="s">
        <v>2096</v>
      </c>
      <c r="D742" s="60" t="s">
        <v>125</v>
      </c>
      <c r="E742" s="60" t="s">
        <v>2668</v>
      </c>
      <c r="F742" s="60" t="b">
        <f>TRUE()</f>
        <v>1</v>
      </c>
      <c r="G742" s="60" t="s">
        <v>178</v>
      </c>
      <c r="H742" s="60" t="s">
        <v>165</v>
      </c>
      <c r="I742" s="61">
        <v>46199</v>
      </c>
      <c r="J742" s="61">
        <v>46210</v>
      </c>
      <c r="K742" s="60">
        <v>11</v>
      </c>
      <c r="L742" s="60" t="s">
        <v>192</v>
      </c>
      <c r="M742" s="60" t="s">
        <v>184</v>
      </c>
      <c r="N742" s="60" t="b">
        <f>FALSE()</f>
        <v>0</v>
      </c>
      <c r="O742" s="60"/>
      <c r="P742" s="60"/>
      <c r="Q742" s="60" t="s">
        <v>236</v>
      </c>
      <c r="R742" s="60" t="s">
        <v>237</v>
      </c>
      <c r="S742" s="60"/>
      <c r="T742" s="60" t="b">
        <f>FALSE()</f>
        <v>0</v>
      </c>
      <c r="U742" s="60" t="b">
        <f>FALSE()</f>
        <v>0</v>
      </c>
      <c r="V742" s="60">
        <v>132</v>
      </c>
      <c r="W742" s="62" t="s">
        <v>2669</v>
      </c>
      <c r="X742" s="60">
        <v>1</v>
      </c>
      <c r="Y742" s="63">
        <v>0.01</v>
      </c>
      <c r="Z742" s="60" t="b">
        <f>FALSE()</f>
        <v>0</v>
      </c>
      <c r="AA742" s="60" t="b">
        <f>TRUE()</f>
        <v>1</v>
      </c>
      <c r="AB742" s="60" t="b">
        <f>TRUE()</f>
        <v>1</v>
      </c>
      <c r="AC742" s="60" t="b">
        <f>FALSE()</f>
        <v>0</v>
      </c>
      <c r="AD742" s="60" t="b">
        <f>FALSE()</f>
        <v>0</v>
      </c>
      <c r="AE742" s="60">
        <v>2</v>
      </c>
      <c r="AF742" s="64">
        <v>28.6</v>
      </c>
      <c r="AG742" s="60" t="s">
        <v>73</v>
      </c>
      <c r="AH742" s="60" t="s">
        <v>2670</v>
      </c>
      <c r="AI742">
        <f>IF(AND(OR(Company_Explorer!$B$5="All Companies",$E742=Company_Explorer!$B$5),OR(Company_Explorer!$B$6="All Platforms",$B742=Company_Explorer!$B$6),OR(Company_Explorer!$B$7="All Roles",$D742=Company_Explorer!$B$7),OR(Company_Explorer!$B$8="All Ghost Labels",$AG742=Company_Explorer!$B$8)),1,0)</f>
        <v>0</v>
      </c>
    </row>
    <row r="743" spans="1:35" ht="15" customHeight="1" x14ac:dyDescent="0.3">
      <c r="A743" s="65" t="s">
        <v>2671</v>
      </c>
      <c r="B743" s="65" t="s">
        <v>80</v>
      </c>
      <c r="C743" s="65" t="s">
        <v>2672</v>
      </c>
      <c r="D743" s="65" t="s">
        <v>125</v>
      </c>
      <c r="E743" s="65" t="s">
        <v>2673</v>
      </c>
      <c r="F743" s="65" t="b">
        <f>TRUE()</f>
        <v>1</v>
      </c>
      <c r="G743" s="65" t="s">
        <v>176</v>
      </c>
      <c r="H743" s="65" t="s">
        <v>302</v>
      </c>
      <c r="I743" s="66">
        <v>46077</v>
      </c>
      <c r="J743" s="66">
        <v>46210</v>
      </c>
      <c r="K743" s="65">
        <v>133</v>
      </c>
      <c r="L743" s="65" t="s">
        <v>192</v>
      </c>
      <c r="M743" s="65" t="s">
        <v>185</v>
      </c>
      <c r="N743" s="65" t="b">
        <f>FALSE()</f>
        <v>0</v>
      </c>
      <c r="O743" s="65"/>
      <c r="P743" s="65"/>
      <c r="Q743" s="65" t="s">
        <v>236</v>
      </c>
      <c r="R743" s="65" t="s">
        <v>237</v>
      </c>
      <c r="S743" s="65"/>
      <c r="T743" s="65" t="b">
        <f>FALSE()</f>
        <v>0</v>
      </c>
      <c r="U743" s="65" t="b">
        <f>FALSE()</f>
        <v>0</v>
      </c>
      <c r="V743" s="65">
        <v>476</v>
      </c>
      <c r="W743" s="65" t="s">
        <v>2674</v>
      </c>
      <c r="X743" s="65">
        <v>1</v>
      </c>
      <c r="Y743" s="68">
        <v>0.01</v>
      </c>
      <c r="Z743" s="65" t="b">
        <f>FALSE()</f>
        <v>0</v>
      </c>
      <c r="AA743" s="65" t="b">
        <f>TRUE()</f>
        <v>1</v>
      </c>
      <c r="AB743" s="65" t="b">
        <f>FALSE()</f>
        <v>0</v>
      </c>
      <c r="AC743" s="65" t="b">
        <f>TRUE()</f>
        <v>1</v>
      </c>
      <c r="AD743" s="65" t="b">
        <f>FALSE()</f>
        <v>0</v>
      </c>
      <c r="AE743" s="65">
        <v>2</v>
      </c>
      <c r="AF743" s="69">
        <v>28.6</v>
      </c>
      <c r="AG743" s="65" t="s">
        <v>73</v>
      </c>
      <c r="AH743" s="65" t="s">
        <v>2675</v>
      </c>
      <c r="AI743">
        <f>IF(AND(OR(Company_Explorer!$B$5="All Companies",$E743=Company_Explorer!$B$5),OR(Company_Explorer!$B$6="All Platforms",$B743=Company_Explorer!$B$6),OR(Company_Explorer!$B$7="All Roles",$D743=Company_Explorer!$B$7),OR(Company_Explorer!$B$8="All Ghost Labels",$AG743=Company_Explorer!$B$8)),1,0)</f>
        <v>0</v>
      </c>
    </row>
    <row r="744" spans="1:35" ht="15" customHeight="1" x14ac:dyDescent="0.3">
      <c r="A744" s="60" t="s">
        <v>2676</v>
      </c>
      <c r="B744" s="60" t="s">
        <v>80</v>
      </c>
      <c r="C744" s="60" t="s">
        <v>1811</v>
      </c>
      <c r="D744" s="60" t="s">
        <v>125</v>
      </c>
      <c r="E744" s="60" t="s">
        <v>2677</v>
      </c>
      <c r="F744" s="60" t="b">
        <f>TRUE()</f>
        <v>1</v>
      </c>
      <c r="G744" s="60" t="s">
        <v>170</v>
      </c>
      <c r="H744" s="60" t="s">
        <v>165</v>
      </c>
      <c r="I744" s="61">
        <v>46203</v>
      </c>
      <c r="J744" s="61">
        <v>46210</v>
      </c>
      <c r="K744" s="60">
        <v>7</v>
      </c>
      <c r="L744" s="60" t="s">
        <v>192</v>
      </c>
      <c r="M744" s="60" t="s">
        <v>184</v>
      </c>
      <c r="N744" s="60" t="b">
        <f>FALSE()</f>
        <v>0</v>
      </c>
      <c r="O744" s="60"/>
      <c r="P744" s="60"/>
      <c r="Q744" s="60" t="s">
        <v>236</v>
      </c>
      <c r="R744" s="60" t="s">
        <v>237</v>
      </c>
      <c r="S744" s="60"/>
      <c r="T744" s="60" t="b">
        <f>FALSE()</f>
        <v>0</v>
      </c>
      <c r="U744" s="60" t="b">
        <f>FALSE()</f>
        <v>0</v>
      </c>
      <c r="V744" s="60">
        <v>92</v>
      </c>
      <c r="W744" s="62" t="s">
        <v>2678</v>
      </c>
      <c r="X744" s="60">
        <v>1</v>
      </c>
      <c r="Y744" s="63">
        <v>0.01</v>
      </c>
      <c r="Z744" s="60" t="b">
        <f>FALSE()</f>
        <v>0</v>
      </c>
      <c r="AA744" s="60" t="b">
        <f>TRUE()</f>
        <v>1</v>
      </c>
      <c r="AB744" s="60" t="b">
        <f>TRUE()</f>
        <v>1</v>
      </c>
      <c r="AC744" s="60" t="b">
        <f>FALSE()</f>
        <v>0</v>
      </c>
      <c r="AD744" s="60" t="b">
        <f>FALSE()</f>
        <v>0</v>
      </c>
      <c r="AE744" s="60">
        <v>2</v>
      </c>
      <c r="AF744" s="64">
        <v>28.6</v>
      </c>
      <c r="AG744" s="60" t="s">
        <v>73</v>
      </c>
      <c r="AH744" s="60" t="s">
        <v>2679</v>
      </c>
      <c r="AI744">
        <f>IF(AND(OR(Company_Explorer!$B$5="All Companies",$E744=Company_Explorer!$B$5),OR(Company_Explorer!$B$6="All Platforms",$B744=Company_Explorer!$B$6),OR(Company_Explorer!$B$7="All Roles",$D744=Company_Explorer!$B$7),OR(Company_Explorer!$B$8="All Ghost Labels",$AG744=Company_Explorer!$B$8)),1,0)</f>
        <v>0</v>
      </c>
    </row>
    <row r="745" spans="1:35" ht="15" customHeight="1" x14ac:dyDescent="0.3">
      <c r="A745" s="65" t="s">
        <v>2680</v>
      </c>
      <c r="B745" s="65" t="s">
        <v>80</v>
      </c>
      <c r="C745" s="65" t="s">
        <v>2248</v>
      </c>
      <c r="D745" s="65" t="s">
        <v>125</v>
      </c>
      <c r="E745" s="65" t="s">
        <v>2681</v>
      </c>
      <c r="F745" s="65" t="b">
        <f>TRUE()</f>
        <v>1</v>
      </c>
      <c r="G745" s="65" t="s">
        <v>170</v>
      </c>
      <c r="H745" s="65" t="s">
        <v>165</v>
      </c>
      <c r="I745" s="66">
        <v>45875</v>
      </c>
      <c r="J745" s="66">
        <v>46210</v>
      </c>
      <c r="K745" s="65">
        <v>335</v>
      </c>
      <c r="L745" s="65" t="s">
        <v>192</v>
      </c>
      <c r="M745" s="65" t="s">
        <v>186</v>
      </c>
      <c r="N745" s="65" t="b">
        <f>TRUE()</f>
        <v>1</v>
      </c>
      <c r="O745" s="71">
        <v>400000</v>
      </c>
      <c r="P745" s="71">
        <v>800000</v>
      </c>
      <c r="Q745" s="65" t="s">
        <v>332</v>
      </c>
      <c r="R745" s="65" t="s">
        <v>237</v>
      </c>
      <c r="S745" s="65"/>
      <c r="T745" s="65" t="b">
        <f>FALSE()</f>
        <v>0</v>
      </c>
      <c r="U745" s="65" t="b">
        <f>FALSE()</f>
        <v>0</v>
      </c>
      <c r="V745" s="65">
        <v>102</v>
      </c>
      <c r="W745" s="67" t="s">
        <v>2682</v>
      </c>
      <c r="X745" s="65">
        <v>2</v>
      </c>
      <c r="Y745" s="68">
        <v>0.01</v>
      </c>
      <c r="Z745" s="65" t="b">
        <f>FALSE()</f>
        <v>0</v>
      </c>
      <c r="AA745" s="65" t="b">
        <f>FALSE()</f>
        <v>0</v>
      </c>
      <c r="AB745" s="65" t="b">
        <f>TRUE()</f>
        <v>1</v>
      </c>
      <c r="AC745" s="65" t="b">
        <f>TRUE()</f>
        <v>1</v>
      </c>
      <c r="AD745" s="65" t="b">
        <f>FALSE()</f>
        <v>0</v>
      </c>
      <c r="AE745" s="65">
        <v>2</v>
      </c>
      <c r="AF745" s="69">
        <v>28.6</v>
      </c>
      <c r="AG745" s="65" t="s">
        <v>73</v>
      </c>
      <c r="AH745" s="65" t="s">
        <v>2683</v>
      </c>
      <c r="AI745">
        <f>IF(AND(OR(Company_Explorer!$B$5="All Companies",$E745=Company_Explorer!$B$5),OR(Company_Explorer!$B$6="All Platforms",$B745=Company_Explorer!$B$6),OR(Company_Explorer!$B$7="All Roles",$D745=Company_Explorer!$B$7),OR(Company_Explorer!$B$8="All Ghost Labels",$AG745=Company_Explorer!$B$8)),1,0)</f>
        <v>0</v>
      </c>
    </row>
    <row r="746" spans="1:35" ht="15" customHeight="1" x14ac:dyDescent="0.3">
      <c r="A746" s="60" t="s">
        <v>2684</v>
      </c>
      <c r="B746" s="60" t="s">
        <v>80</v>
      </c>
      <c r="C746" s="60" t="s">
        <v>2349</v>
      </c>
      <c r="D746" s="60" t="s">
        <v>131</v>
      </c>
      <c r="E746" s="60" t="s">
        <v>2685</v>
      </c>
      <c r="F746" s="60" t="b">
        <f>TRUE()</f>
        <v>1</v>
      </c>
      <c r="G746" s="60" t="s">
        <v>167</v>
      </c>
      <c r="H746" s="60" t="s">
        <v>276</v>
      </c>
      <c r="I746" s="61">
        <v>46209</v>
      </c>
      <c r="J746" s="61">
        <v>46210</v>
      </c>
      <c r="K746" s="60">
        <v>1</v>
      </c>
      <c r="L746" s="60" t="s">
        <v>192</v>
      </c>
      <c r="M746" s="60" t="s">
        <v>186</v>
      </c>
      <c r="N746" s="60" t="b">
        <f>FALSE()</f>
        <v>0</v>
      </c>
      <c r="O746" s="60"/>
      <c r="P746" s="60"/>
      <c r="Q746" s="60" t="s">
        <v>236</v>
      </c>
      <c r="R746" s="60" t="s">
        <v>237</v>
      </c>
      <c r="S746" s="60"/>
      <c r="T746" s="60" t="b">
        <f>FALSE()</f>
        <v>0</v>
      </c>
      <c r="U746" s="60" t="b">
        <f>FALSE()</f>
        <v>0</v>
      </c>
      <c r="V746" s="60">
        <v>605</v>
      </c>
      <c r="W746" s="62" t="s">
        <v>2686</v>
      </c>
      <c r="X746" s="60">
        <v>1</v>
      </c>
      <c r="Y746" s="63">
        <v>0.01</v>
      </c>
      <c r="Z746" s="60" t="b">
        <f>FALSE()</f>
        <v>0</v>
      </c>
      <c r="AA746" s="60" t="b">
        <f>TRUE()</f>
        <v>1</v>
      </c>
      <c r="AB746" s="60" t="b">
        <f>FALSE()</f>
        <v>0</v>
      </c>
      <c r="AC746" s="60" t="b">
        <f>FALSE()</f>
        <v>0</v>
      </c>
      <c r="AD746" s="60" t="b">
        <f>FALSE()</f>
        <v>0</v>
      </c>
      <c r="AE746" s="60">
        <v>1</v>
      </c>
      <c r="AF746" s="64">
        <v>14.3</v>
      </c>
      <c r="AG746" s="60" t="s">
        <v>74</v>
      </c>
      <c r="AH746" s="60" t="s">
        <v>2687</v>
      </c>
      <c r="AI746">
        <f>IF(AND(OR(Company_Explorer!$B$5="All Companies",$E746=Company_Explorer!$B$5),OR(Company_Explorer!$B$6="All Platforms",$B746=Company_Explorer!$B$6),OR(Company_Explorer!$B$7="All Roles",$D746=Company_Explorer!$B$7),OR(Company_Explorer!$B$8="All Ghost Labels",$AG746=Company_Explorer!$B$8)),1,0)</f>
        <v>0</v>
      </c>
    </row>
    <row r="747" spans="1:35" ht="15" customHeight="1" x14ac:dyDescent="0.3">
      <c r="A747" s="65" t="s">
        <v>2688</v>
      </c>
      <c r="B747" s="65" t="s">
        <v>80</v>
      </c>
      <c r="C747" s="65" t="s">
        <v>2689</v>
      </c>
      <c r="D747" s="65" t="s">
        <v>125</v>
      </c>
      <c r="E747" s="65" t="s">
        <v>2690</v>
      </c>
      <c r="F747" s="65" t="b">
        <f>TRUE()</f>
        <v>1</v>
      </c>
      <c r="G747" s="65" t="s">
        <v>166</v>
      </c>
      <c r="H747" s="65" t="s">
        <v>235</v>
      </c>
      <c r="I747" s="66">
        <v>46203</v>
      </c>
      <c r="J747" s="66">
        <v>46210</v>
      </c>
      <c r="K747" s="65">
        <v>7</v>
      </c>
      <c r="L747" s="65" t="s">
        <v>192</v>
      </c>
      <c r="M747" s="65" t="s">
        <v>184</v>
      </c>
      <c r="N747" s="65" t="b">
        <f>FALSE()</f>
        <v>0</v>
      </c>
      <c r="O747" s="65"/>
      <c r="P747" s="65"/>
      <c r="Q747" s="65" t="s">
        <v>236</v>
      </c>
      <c r="R747" s="65" t="s">
        <v>237</v>
      </c>
      <c r="S747" s="65"/>
      <c r="T747" s="65" t="b">
        <f>FALSE()</f>
        <v>0</v>
      </c>
      <c r="U747" s="65" t="b">
        <f>FALSE()</f>
        <v>0</v>
      </c>
      <c r="V747" s="65">
        <v>653</v>
      </c>
      <c r="W747" s="67" t="s">
        <v>2691</v>
      </c>
      <c r="X747" s="65">
        <v>3</v>
      </c>
      <c r="Y747" s="68">
        <v>0.02</v>
      </c>
      <c r="Z747" s="65" t="b">
        <f>FALSE()</f>
        <v>0</v>
      </c>
      <c r="AA747" s="65" t="b">
        <f>TRUE()</f>
        <v>1</v>
      </c>
      <c r="AB747" s="65" t="b">
        <f>FALSE()</f>
        <v>0</v>
      </c>
      <c r="AC747" s="65" t="b">
        <f>FALSE()</f>
        <v>0</v>
      </c>
      <c r="AD747" s="65" t="b">
        <f>FALSE()</f>
        <v>0</v>
      </c>
      <c r="AE747" s="65">
        <v>1</v>
      </c>
      <c r="AF747" s="69">
        <v>14.3</v>
      </c>
      <c r="AG747" s="65" t="s">
        <v>74</v>
      </c>
      <c r="AH747" s="65" t="s">
        <v>2692</v>
      </c>
      <c r="AI747">
        <f>IF(AND(OR(Company_Explorer!$B$5="All Companies",$E747=Company_Explorer!$B$5),OR(Company_Explorer!$B$6="All Platforms",$B747=Company_Explorer!$B$6),OR(Company_Explorer!$B$7="All Roles",$D747=Company_Explorer!$B$7),OR(Company_Explorer!$B$8="All Ghost Labels",$AG747=Company_Explorer!$B$8)),1,0)</f>
        <v>0</v>
      </c>
    </row>
    <row r="748" spans="1:35" ht="15" customHeight="1" x14ac:dyDescent="0.3">
      <c r="A748" s="60" t="s">
        <v>2693</v>
      </c>
      <c r="B748" s="60" t="s">
        <v>80</v>
      </c>
      <c r="C748" s="60" t="s">
        <v>2694</v>
      </c>
      <c r="D748" s="60" t="s">
        <v>130</v>
      </c>
      <c r="E748" s="60" t="s">
        <v>2695</v>
      </c>
      <c r="F748" s="60" t="b">
        <f>TRUE()</f>
        <v>1</v>
      </c>
      <c r="G748" s="60" t="s">
        <v>166</v>
      </c>
      <c r="H748" s="60" t="s">
        <v>235</v>
      </c>
      <c r="I748" s="61">
        <v>46206</v>
      </c>
      <c r="J748" s="61">
        <v>46210</v>
      </c>
      <c r="K748" s="60">
        <v>4</v>
      </c>
      <c r="L748" s="60" t="s">
        <v>192</v>
      </c>
      <c r="M748" s="60" t="s">
        <v>184</v>
      </c>
      <c r="N748" s="60" t="b">
        <f>FALSE()</f>
        <v>0</v>
      </c>
      <c r="O748" s="60"/>
      <c r="P748" s="60"/>
      <c r="Q748" s="60" t="s">
        <v>236</v>
      </c>
      <c r="R748" s="60" t="s">
        <v>237</v>
      </c>
      <c r="S748" s="60"/>
      <c r="T748" s="60" t="b">
        <f>FALSE()</f>
        <v>0</v>
      </c>
      <c r="U748" s="60" t="b">
        <f>FALSE()</f>
        <v>0</v>
      </c>
      <c r="V748" s="60">
        <v>328</v>
      </c>
      <c r="W748" s="62" t="s">
        <v>2696</v>
      </c>
      <c r="X748" s="60">
        <v>1</v>
      </c>
      <c r="Y748" s="63">
        <v>0.01</v>
      </c>
      <c r="Z748" s="60" t="b">
        <f>FALSE()</f>
        <v>0</v>
      </c>
      <c r="AA748" s="60" t="b">
        <f>TRUE()</f>
        <v>1</v>
      </c>
      <c r="AB748" s="60" t="b">
        <f>FALSE()</f>
        <v>0</v>
      </c>
      <c r="AC748" s="60" t="b">
        <f>FALSE()</f>
        <v>0</v>
      </c>
      <c r="AD748" s="60" t="b">
        <f>FALSE()</f>
        <v>0</v>
      </c>
      <c r="AE748" s="60">
        <v>1</v>
      </c>
      <c r="AF748" s="64">
        <v>14.3</v>
      </c>
      <c r="AG748" s="60" t="s">
        <v>74</v>
      </c>
      <c r="AH748" s="60" t="s">
        <v>2697</v>
      </c>
      <c r="AI748">
        <f>IF(AND(OR(Company_Explorer!$B$5="All Companies",$E748=Company_Explorer!$B$5),OR(Company_Explorer!$B$6="All Platforms",$B748=Company_Explorer!$B$6),OR(Company_Explorer!$B$7="All Roles",$D748=Company_Explorer!$B$7),OR(Company_Explorer!$B$8="All Ghost Labels",$AG748=Company_Explorer!$B$8)),1,0)</f>
        <v>0</v>
      </c>
    </row>
    <row r="749" spans="1:35" ht="15" customHeight="1" x14ac:dyDescent="0.3">
      <c r="A749" s="65" t="s">
        <v>2698</v>
      </c>
      <c r="B749" s="65" t="s">
        <v>80</v>
      </c>
      <c r="C749" s="65" t="s">
        <v>130</v>
      </c>
      <c r="D749" s="65" t="s">
        <v>130</v>
      </c>
      <c r="E749" s="65" t="s">
        <v>2699</v>
      </c>
      <c r="F749" s="65" t="b">
        <f>TRUE()</f>
        <v>1</v>
      </c>
      <c r="G749" s="65" t="s">
        <v>168</v>
      </c>
      <c r="H749" s="65" t="s">
        <v>254</v>
      </c>
      <c r="I749" s="66">
        <v>46006</v>
      </c>
      <c r="J749" s="66">
        <v>46210</v>
      </c>
      <c r="K749" s="65">
        <v>204</v>
      </c>
      <c r="L749" s="65" t="s">
        <v>192</v>
      </c>
      <c r="M749" s="65" t="s">
        <v>184</v>
      </c>
      <c r="N749" s="65" t="b">
        <f>FALSE()</f>
        <v>0</v>
      </c>
      <c r="O749" s="65"/>
      <c r="P749" s="65"/>
      <c r="Q749" s="65" t="s">
        <v>236</v>
      </c>
      <c r="R749" s="65" t="s">
        <v>237</v>
      </c>
      <c r="S749" s="65"/>
      <c r="T749" s="65" t="b">
        <f>FALSE()</f>
        <v>0</v>
      </c>
      <c r="U749" s="65" t="b">
        <f>FALSE()</f>
        <v>0</v>
      </c>
      <c r="V749" s="65">
        <v>563</v>
      </c>
      <c r="W749" s="67" t="s">
        <v>2700</v>
      </c>
      <c r="X749" s="65">
        <v>1</v>
      </c>
      <c r="Y749" s="68">
        <v>0.01</v>
      </c>
      <c r="Z749" s="65" t="b">
        <f>FALSE()</f>
        <v>0</v>
      </c>
      <c r="AA749" s="65" t="b">
        <f>TRUE()</f>
        <v>1</v>
      </c>
      <c r="AB749" s="65" t="b">
        <f>FALSE()</f>
        <v>0</v>
      </c>
      <c r="AC749" s="65" t="b">
        <f>TRUE()</f>
        <v>1</v>
      </c>
      <c r="AD749" s="65" t="b">
        <f>FALSE()</f>
        <v>0</v>
      </c>
      <c r="AE749" s="65">
        <v>2</v>
      </c>
      <c r="AF749" s="69">
        <v>28.6</v>
      </c>
      <c r="AG749" s="65" t="s">
        <v>73</v>
      </c>
      <c r="AH749" s="65" t="s">
        <v>2701</v>
      </c>
      <c r="AI749">
        <f>IF(AND(OR(Company_Explorer!$B$5="All Companies",$E749=Company_Explorer!$B$5),OR(Company_Explorer!$B$6="All Platforms",$B749=Company_Explorer!$B$6),OR(Company_Explorer!$B$7="All Roles",$D749=Company_Explorer!$B$7),OR(Company_Explorer!$B$8="All Ghost Labels",$AG749=Company_Explorer!$B$8)),1,0)</f>
        <v>0</v>
      </c>
    </row>
    <row r="750" spans="1:35" ht="15" customHeight="1" x14ac:dyDescent="0.3">
      <c r="A750" s="60" t="s">
        <v>2702</v>
      </c>
      <c r="B750" s="60" t="s">
        <v>80</v>
      </c>
      <c r="C750" s="60" t="s">
        <v>1811</v>
      </c>
      <c r="D750" s="60" t="s">
        <v>125</v>
      </c>
      <c r="E750" s="60" t="s">
        <v>2703</v>
      </c>
      <c r="F750" s="60" t="b">
        <f>TRUE()</f>
        <v>1</v>
      </c>
      <c r="G750" s="60" t="s">
        <v>174</v>
      </c>
      <c r="H750" s="60" t="s">
        <v>302</v>
      </c>
      <c r="I750" s="61">
        <v>46207</v>
      </c>
      <c r="J750" s="61">
        <v>46210</v>
      </c>
      <c r="K750" s="60">
        <v>3</v>
      </c>
      <c r="L750" s="60" t="s">
        <v>192</v>
      </c>
      <c r="M750" s="60" t="s">
        <v>184</v>
      </c>
      <c r="N750" s="60" t="b">
        <f>FALSE()</f>
        <v>0</v>
      </c>
      <c r="O750" s="60"/>
      <c r="P750" s="60"/>
      <c r="Q750" s="60" t="s">
        <v>236</v>
      </c>
      <c r="R750" s="60" t="s">
        <v>237</v>
      </c>
      <c r="S750" s="60"/>
      <c r="T750" s="60" t="b">
        <f>FALSE()</f>
        <v>0</v>
      </c>
      <c r="U750" s="60" t="b">
        <f>FALSE()</f>
        <v>0</v>
      </c>
      <c r="V750" s="60">
        <v>77</v>
      </c>
      <c r="W750" s="62" t="s">
        <v>2704</v>
      </c>
      <c r="X750" s="60">
        <v>1</v>
      </c>
      <c r="Y750" s="63">
        <v>0.01</v>
      </c>
      <c r="Z750" s="60" t="b">
        <f>FALSE()</f>
        <v>0</v>
      </c>
      <c r="AA750" s="60" t="b">
        <f>TRUE()</f>
        <v>1</v>
      </c>
      <c r="AB750" s="60" t="b">
        <f>TRUE()</f>
        <v>1</v>
      </c>
      <c r="AC750" s="60" t="b">
        <f>FALSE()</f>
        <v>0</v>
      </c>
      <c r="AD750" s="60" t="b">
        <f>FALSE()</f>
        <v>0</v>
      </c>
      <c r="AE750" s="60">
        <v>2</v>
      </c>
      <c r="AF750" s="64">
        <v>28.6</v>
      </c>
      <c r="AG750" s="60" t="s">
        <v>73</v>
      </c>
      <c r="AH750" s="60" t="s">
        <v>2705</v>
      </c>
      <c r="AI750">
        <f>IF(AND(OR(Company_Explorer!$B$5="All Companies",$E750=Company_Explorer!$B$5),OR(Company_Explorer!$B$6="All Platforms",$B750=Company_Explorer!$B$6),OR(Company_Explorer!$B$7="All Roles",$D750=Company_Explorer!$B$7),OR(Company_Explorer!$B$8="All Ghost Labels",$AG750=Company_Explorer!$B$8)),1,0)</f>
        <v>0</v>
      </c>
    </row>
    <row r="751" spans="1:35" ht="15" customHeight="1" x14ac:dyDescent="0.3">
      <c r="A751" s="65" t="s">
        <v>2706</v>
      </c>
      <c r="B751" s="65" t="s">
        <v>80</v>
      </c>
      <c r="C751" s="65" t="s">
        <v>2707</v>
      </c>
      <c r="D751" s="65" t="s">
        <v>125</v>
      </c>
      <c r="E751" s="65" t="s">
        <v>147</v>
      </c>
      <c r="F751" s="65" t="b">
        <f>TRUE()</f>
        <v>1</v>
      </c>
      <c r="G751" s="65" t="s">
        <v>168</v>
      </c>
      <c r="H751" s="65" t="s">
        <v>254</v>
      </c>
      <c r="I751" s="66">
        <v>46203</v>
      </c>
      <c r="J751" s="66">
        <v>46210</v>
      </c>
      <c r="K751" s="65">
        <v>7</v>
      </c>
      <c r="L751" s="65" t="s">
        <v>192</v>
      </c>
      <c r="M751" s="65" t="s">
        <v>185</v>
      </c>
      <c r="N751" s="65" t="b">
        <f>FALSE()</f>
        <v>0</v>
      </c>
      <c r="O751" s="65"/>
      <c r="P751" s="65"/>
      <c r="Q751" s="65" t="s">
        <v>236</v>
      </c>
      <c r="R751" s="65" t="s">
        <v>237</v>
      </c>
      <c r="S751" s="65"/>
      <c r="T751" s="65" t="b">
        <f>FALSE()</f>
        <v>0</v>
      </c>
      <c r="U751" s="65" t="b">
        <f>FALSE()</f>
        <v>0</v>
      </c>
      <c r="V751" s="65">
        <v>298</v>
      </c>
      <c r="W751" s="67" t="s">
        <v>2708</v>
      </c>
      <c r="X751" s="65">
        <v>8</v>
      </c>
      <c r="Y751" s="68">
        <v>0.05</v>
      </c>
      <c r="Z751" s="65" t="b">
        <f>FALSE()</f>
        <v>0</v>
      </c>
      <c r="AA751" s="65" t="b">
        <f>TRUE()</f>
        <v>1</v>
      </c>
      <c r="AB751" s="65" t="b">
        <f>FALSE()</f>
        <v>0</v>
      </c>
      <c r="AC751" s="65" t="b">
        <f>FALSE()</f>
        <v>0</v>
      </c>
      <c r="AD751" s="65" t="b">
        <f>FALSE()</f>
        <v>0</v>
      </c>
      <c r="AE751" s="65">
        <v>1</v>
      </c>
      <c r="AF751" s="69">
        <v>14.3</v>
      </c>
      <c r="AG751" s="65" t="s">
        <v>74</v>
      </c>
      <c r="AH751" s="65" t="s">
        <v>2709</v>
      </c>
      <c r="AI751">
        <f>IF(AND(OR(Company_Explorer!$B$5="All Companies",$E751=Company_Explorer!$B$5),OR(Company_Explorer!$B$6="All Platforms",$B751=Company_Explorer!$B$6),OR(Company_Explorer!$B$7="All Roles",$D751=Company_Explorer!$B$7),OR(Company_Explorer!$B$8="All Ghost Labels",$AG751=Company_Explorer!$B$8)),1,0)</f>
        <v>1</v>
      </c>
    </row>
    <row r="752" spans="1:35" ht="15" customHeight="1" x14ac:dyDescent="0.3">
      <c r="A752" s="60" t="s">
        <v>2710</v>
      </c>
      <c r="B752" s="60" t="s">
        <v>80</v>
      </c>
      <c r="C752" s="60" t="s">
        <v>2711</v>
      </c>
      <c r="D752" s="60" t="s">
        <v>125</v>
      </c>
      <c r="E752" s="60" t="s">
        <v>2712</v>
      </c>
      <c r="F752" s="60" t="b">
        <f>TRUE()</f>
        <v>1</v>
      </c>
      <c r="G752" s="60" t="s">
        <v>2713</v>
      </c>
      <c r="H752" s="60" t="s">
        <v>326</v>
      </c>
      <c r="I752" s="61">
        <v>45969</v>
      </c>
      <c r="J752" s="61">
        <v>46210</v>
      </c>
      <c r="K752" s="60">
        <v>241</v>
      </c>
      <c r="L752" s="60" t="s">
        <v>192</v>
      </c>
      <c r="M752" s="60" t="s">
        <v>185</v>
      </c>
      <c r="N752" s="60" t="b">
        <f>FALSE()</f>
        <v>0</v>
      </c>
      <c r="O752" s="60"/>
      <c r="P752" s="60"/>
      <c r="Q752" s="60" t="s">
        <v>236</v>
      </c>
      <c r="R752" s="60" t="s">
        <v>237</v>
      </c>
      <c r="S752" s="60"/>
      <c r="T752" s="60" t="b">
        <f>FALSE()</f>
        <v>0</v>
      </c>
      <c r="U752" s="60" t="b">
        <f>FALSE()</f>
        <v>0</v>
      </c>
      <c r="V752" s="60">
        <v>365</v>
      </c>
      <c r="W752" s="62" t="s">
        <v>2714</v>
      </c>
      <c r="X752" s="60">
        <v>1</v>
      </c>
      <c r="Y752" s="63">
        <v>0.01</v>
      </c>
      <c r="Z752" s="60" t="b">
        <f>FALSE()</f>
        <v>0</v>
      </c>
      <c r="AA752" s="60" t="b">
        <f>TRUE()</f>
        <v>1</v>
      </c>
      <c r="AB752" s="60" t="b">
        <f>FALSE()</f>
        <v>0</v>
      </c>
      <c r="AC752" s="60" t="b">
        <f>TRUE()</f>
        <v>1</v>
      </c>
      <c r="AD752" s="60" t="b">
        <f>FALSE()</f>
        <v>0</v>
      </c>
      <c r="AE752" s="60">
        <v>2</v>
      </c>
      <c r="AF752" s="64">
        <v>28.6</v>
      </c>
      <c r="AG752" s="60" t="s">
        <v>73</v>
      </c>
      <c r="AH752" s="60" t="s">
        <v>2715</v>
      </c>
      <c r="AI752">
        <f>IF(AND(OR(Company_Explorer!$B$5="All Companies",$E752=Company_Explorer!$B$5),OR(Company_Explorer!$B$6="All Platforms",$B752=Company_Explorer!$B$6),OR(Company_Explorer!$B$7="All Roles",$D752=Company_Explorer!$B$7),OR(Company_Explorer!$B$8="All Ghost Labels",$AG752=Company_Explorer!$B$8)),1,0)</f>
        <v>0</v>
      </c>
    </row>
    <row r="753" spans="1:35" ht="15" customHeight="1" x14ac:dyDescent="0.3">
      <c r="A753" s="65" t="s">
        <v>2716</v>
      </c>
      <c r="B753" s="65" t="s">
        <v>80</v>
      </c>
      <c r="C753" s="65" t="s">
        <v>2717</v>
      </c>
      <c r="D753" s="65" t="s">
        <v>131</v>
      </c>
      <c r="E753" s="65" t="s">
        <v>158</v>
      </c>
      <c r="F753" s="65" t="b">
        <f>TRUE()</f>
        <v>1</v>
      </c>
      <c r="G753" s="65" t="s">
        <v>166</v>
      </c>
      <c r="H753" s="65" t="s">
        <v>235</v>
      </c>
      <c r="I753" s="66">
        <v>46206</v>
      </c>
      <c r="J753" s="66">
        <v>46210</v>
      </c>
      <c r="K753" s="65">
        <v>4</v>
      </c>
      <c r="L753" s="65" t="s">
        <v>192</v>
      </c>
      <c r="M753" s="65" t="s">
        <v>185</v>
      </c>
      <c r="N753" s="65" t="b">
        <f>FALSE()</f>
        <v>0</v>
      </c>
      <c r="O753" s="65"/>
      <c r="P753" s="65"/>
      <c r="Q753" s="65" t="s">
        <v>236</v>
      </c>
      <c r="R753" s="65" t="s">
        <v>237</v>
      </c>
      <c r="S753" s="65"/>
      <c r="T753" s="65" t="b">
        <f>FALSE()</f>
        <v>0</v>
      </c>
      <c r="U753" s="65" t="b">
        <f>FALSE()</f>
        <v>0</v>
      </c>
      <c r="V753" s="65">
        <v>736</v>
      </c>
      <c r="W753" s="67" t="s">
        <v>2718</v>
      </c>
      <c r="X753" s="65">
        <v>14</v>
      </c>
      <c r="Y753" s="68">
        <v>0.09</v>
      </c>
      <c r="Z753" s="65" t="b">
        <f>FALSE()</f>
        <v>0</v>
      </c>
      <c r="AA753" s="65" t="b">
        <f>TRUE()</f>
        <v>1</v>
      </c>
      <c r="AB753" s="65" t="b">
        <f>FALSE()</f>
        <v>0</v>
      </c>
      <c r="AC753" s="65" t="b">
        <f>FALSE()</f>
        <v>0</v>
      </c>
      <c r="AD753" s="65" t="b">
        <f>FALSE()</f>
        <v>0</v>
      </c>
      <c r="AE753" s="65">
        <v>1</v>
      </c>
      <c r="AF753" s="69">
        <v>14.3</v>
      </c>
      <c r="AG753" s="65" t="s">
        <v>74</v>
      </c>
      <c r="AH753" s="65" t="s">
        <v>2719</v>
      </c>
      <c r="AI753">
        <f>IF(AND(OR(Company_Explorer!$B$5="All Companies",$E753=Company_Explorer!$B$5),OR(Company_Explorer!$B$6="All Platforms",$B753=Company_Explorer!$B$6),OR(Company_Explorer!$B$7="All Roles",$D753=Company_Explorer!$B$7),OR(Company_Explorer!$B$8="All Ghost Labels",$AG753=Company_Explorer!$B$8)),1,0)</f>
        <v>0</v>
      </c>
    </row>
    <row r="754" spans="1:35" ht="15" customHeight="1" x14ac:dyDescent="0.3">
      <c r="A754" s="60" t="s">
        <v>2720</v>
      </c>
      <c r="B754" s="60" t="s">
        <v>80</v>
      </c>
      <c r="C754" s="60" t="s">
        <v>131</v>
      </c>
      <c r="D754" s="60" t="s">
        <v>131</v>
      </c>
      <c r="E754" s="60" t="s">
        <v>2721</v>
      </c>
      <c r="F754" s="60" t="b">
        <f>TRUE()</f>
        <v>1</v>
      </c>
      <c r="G754" s="60" t="s">
        <v>166</v>
      </c>
      <c r="H754" s="60" t="s">
        <v>235</v>
      </c>
      <c r="I754" s="61">
        <v>46125</v>
      </c>
      <c r="J754" s="61">
        <v>46210</v>
      </c>
      <c r="K754" s="60">
        <v>85</v>
      </c>
      <c r="L754" s="60" t="s">
        <v>192</v>
      </c>
      <c r="M754" s="60" t="s">
        <v>185</v>
      </c>
      <c r="N754" s="60" t="b">
        <f>FALSE()</f>
        <v>0</v>
      </c>
      <c r="O754" s="60"/>
      <c r="P754" s="60"/>
      <c r="Q754" s="60" t="s">
        <v>236</v>
      </c>
      <c r="R754" s="60" t="s">
        <v>237</v>
      </c>
      <c r="S754" s="60"/>
      <c r="T754" s="60" t="b">
        <f>FALSE()</f>
        <v>0</v>
      </c>
      <c r="U754" s="60" t="b">
        <f>FALSE()</f>
        <v>0</v>
      </c>
      <c r="V754" s="60">
        <v>200</v>
      </c>
      <c r="W754" s="62" t="s">
        <v>2722</v>
      </c>
      <c r="X754" s="60">
        <v>1</v>
      </c>
      <c r="Y754" s="63">
        <v>0.01</v>
      </c>
      <c r="Z754" s="60" t="b">
        <f>FALSE()</f>
        <v>0</v>
      </c>
      <c r="AA754" s="60" t="b">
        <f>TRUE()</f>
        <v>1</v>
      </c>
      <c r="AB754" s="60" t="b">
        <f>TRUE()</f>
        <v>1</v>
      </c>
      <c r="AC754" s="60" t="b">
        <f>TRUE()</f>
        <v>1</v>
      </c>
      <c r="AD754" s="60" t="b">
        <f>FALSE()</f>
        <v>0</v>
      </c>
      <c r="AE754" s="60">
        <v>3</v>
      </c>
      <c r="AF754" s="64">
        <v>42.9</v>
      </c>
      <c r="AG754" s="60" t="s">
        <v>73</v>
      </c>
      <c r="AH754" s="60" t="s">
        <v>2723</v>
      </c>
      <c r="AI754">
        <f>IF(AND(OR(Company_Explorer!$B$5="All Companies",$E754=Company_Explorer!$B$5),OR(Company_Explorer!$B$6="All Platforms",$B754=Company_Explorer!$B$6),OR(Company_Explorer!$B$7="All Roles",$D754=Company_Explorer!$B$7),OR(Company_Explorer!$B$8="All Ghost Labels",$AG754=Company_Explorer!$B$8)),1,0)</f>
        <v>0</v>
      </c>
    </row>
    <row r="755" spans="1:35" ht="15" customHeight="1" x14ac:dyDescent="0.3">
      <c r="A755" s="65" t="s">
        <v>2724</v>
      </c>
      <c r="B755" s="65" t="s">
        <v>80</v>
      </c>
      <c r="C755" s="65" t="s">
        <v>2725</v>
      </c>
      <c r="D755" s="65" t="s">
        <v>131</v>
      </c>
      <c r="E755" s="65" t="s">
        <v>2726</v>
      </c>
      <c r="F755" s="65" t="b">
        <f>TRUE()</f>
        <v>1</v>
      </c>
      <c r="G755" s="65" t="s">
        <v>166</v>
      </c>
      <c r="H755" s="65" t="s">
        <v>235</v>
      </c>
      <c r="I755" s="66">
        <v>46197</v>
      </c>
      <c r="J755" s="66">
        <v>46210</v>
      </c>
      <c r="K755" s="65">
        <v>13</v>
      </c>
      <c r="L755" s="65" t="s">
        <v>192</v>
      </c>
      <c r="M755" s="65" t="s">
        <v>185</v>
      </c>
      <c r="N755" s="65" t="b">
        <f>FALSE()</f>
        <v>0</v>
      </c>
      <c r="O755" s="65"/>
      <c r="P755" s="65"/>
      <c r="Q755" s="65" t="s">
        <v>236</v>
      </c>
      <c r="R755" s="65" t="s">
        <v>237</v>
      </c>
      <c r="S755" s="65"/>
      <c r="T755" s="65" t="b">
        <f>FALSE()</f>
        <v>0</v>
      </c>
      <c r="U755" s="65" t="b">
        <f>FALSE()</f>
        <v>0</v>
      </c>
      <c r="V755" s="65">
        <v>977</v>
      </c>
      <c r="W755" s="67" t="s">
        <v>2727</v>
      </c>
      <c r="X755" s="65">
        <v>1</v>
      </c>
      <c r="Y755" s="68">
        <v>0.01</v>
      </c>
      <c r="Z755" s="65" t="b">
        <f>FALSE()</f>
        <v>0</v>
      </c>
      <c r="AA755" s="65" t="b">
        <f>TRUE()</f>
        <v>1</v>
      </c>
      <c r="AB755" s="65" t="b">
        <f>FALSE()</f>
        <v>0</v>
      </c>
      <c r="AC755" s="65" t="b">
        <f>FALSE()</f>
        <v>0</v>
      </c>
      <c r="AD755" s="65" t="b">
        <f>FALSE()</f>
        <v>0</v>
      </c>
      <c r="AE755" s="65">
        <v>1</v>
      </c>
      <c r="AF755" s="69">
        <v>14.3</v>
      </c>
      <c r="AG755" s="65" t="s">
        <v>74</v>
      </c>
      <c r="AH755" s="65" t="s">
        <v>2728</v>
      </c>
      <c r="AI755">
        <f>IF(AND(OR(Company_Explorer!$B$5="All Companies",$E755=Company_Explorer!$B$5),OR(Company_Explorer!$B$6="All Platforms",$B755=Company_Explorer!$B$6),OR(Company_Explorer!$B$7="All Roles",$D755=Company_Explorer!$B$7),OR(Company_Explorer!$B$8="All Ghost Labels",$AG755=Company_Explorer!$B$8)),1,0)</f>
        <v>0</v>
      </c>
    </row>
    <row r="756" spans="1:35" ht="15" customHeight="1" x14ac:dyDescent="0.3">
      <c r="A756" s="60" t="s">
        <v>2729</v>
      </c>
      <c r="B756" s="60" t="s">
        <v>80</v>
      </c>
      <c r="C756" s="60" t="s">
        <v>130</v>
      </c>
      <c r="D756" s="60" t="s">
        <v>130</v>
      </c>
      <c r="E756" s="60" t="s">
        <v>141</v>
      </c>
      <c r="F756" s="60" t="b">
        <f>TRUE()</f>
        <v>1</v>
      </c>
      <c r="G756" s="60" t="s">
        <v>170</v>
      </c>
      <c r="H756" s="60" t="s">
        <v>165</v>
      </c>
      <c r="I756" s="61">
        <v>46198</v>
      </c>
      <c r="J756" s="61">
        <v>46210</v>
      </c>
      <c r="K756" s="60">
        <v>12</v>
      </c>
      <c r="L756" s="60" t="s">
        <v>192</v>
      </c>
      <c r="M756" s="60" t="s">
        <v>184</v>
      </c>
      <c r="N756" s="60" t="b">
        <f>FALSE()</f>
        <v>0</v>
      </c>
      <c r="O756" s="60"/>
      <c r="P756" s="60"/>
      <c r="Q756" s="60" t="s">
        <v>236</v>
      </c>
      <c r="R756" s="60" t="s">
        <v>237</v>
      </c>
      <c r="S756" s="60"/>
      <c r="T756" s="60" t="b">
        <f>FALSE()</f>
        <v>0</v>
      </c>
      <c r="U756" s="60" t="b">
        <f>FALSE()</f>
        <v>0</v>
      </c>
      <c r="V756" s="60">
        <v>308</v>
      </c>
      <c r="W756" s="62" t="s">
        <v>861</v>
      </c>
      <c r="X756" s="60">
        <v>429</v>
      </c>
      <c r="Y756" s="63">
        <v>2.66</v>
      </c>
      <c r="Z756" s="60" t="b">
        <f>FALSE()</f>
        <v>0</v>
      </c>
      <c r="AA756" s="60" t="b">
        <f>TRUE()</f>
        <v>1</v>
      </c>
      <c r="AB756" s="60" t="b">
        <f>FALSE()</f>
        <v>0</v>
      </c>
      <c r="AC756" s="60" t="b">
        <f>FALSE()</f>
        <v>0</v>
      </c>
      <c r="AD756" s="60" t="b">
        <f>TRUE()</f>
        <v>1</v>
      </c>
      <c r="AE756" s="60">
        <v>3</v>
      </c>
      <c r="AF756" s="64">
        <v>42.9</v>
      </c>
      <c r="AG756" s="60" t="s">
        <v>73</v>
      </c>
      <c r="AH756" s="60" t="s">
        <v>2730</v>
      </c>
      <c r="AI756">
        <f>IF(AND(OR(Company_Explorer!$B$5="All Companies",$E756=Company_Explorer!$B$5),OR(Company_Explorer!$B$6="All Platforms",$B756=Company_Explorer!$B$6),OR(Company_Explorer!$B$7="All Roles",$D756=Company_Explorer!$B$7),OR(Company_Explorer!$B$8="All Ghost Labels",$AG756=Company_Explorer!$B$8)),1,0)</f>
        <v>0</v>
      </c>
    </row>
    <row r="757" spans="1:35" ht="15" customHeight="1" x14ac:dyDescent="0.3">
      <c r="A757" s="65" t="s">
        <v>2731</v>
      </c>
      <c r="B757" s="65" t="s">
        <v>80</v>
      </c>
      <c r="C757" s="65" t="s">
        <v>125</v>
      </c>
      <c r="D757" s="65" t="s">
        <v>125</v>
      </c>
      <c r="E757" s="65" t="s">
        <v>2732</v>
      </c>
      <c r="F757" s="65" t="b">
        <f>TRUE()</f>
        <v>1</v>
      </c>
      <c r="G757" s="65" t="s">
        <v>269</v>
      </c>
      <c r="H757" s="65" t="s">
        <v>270</v>
      </c>
      <c r="I757" s="66">
        <v>46192</v>
      </c>
      <c r="J757" s="66">
        <v>46210</v>
      </c>
      <c r="K757" s="65">
        <v>18</v>
      </c>
      <c r="L757" s="65" t="s">
        <v>192</v>
      </c>
      <c r="M757" s="65" t="s">
        <v>185</v>
      </c>
      <c r="N757" s="65" t="b">
        <f>FALSE()</f>
        <v>0</v>
      </c>
      <c r="O757" s="65"/>
      <c r="P757" s="65"/>
      <c r="Q757" s="65" t="s">
        <v>236</v>
      </c>
      <c r="R757" s="65" t="s">
        <v>237</v>
      </c>
      <c r="S757" s="65"/>
      <c r="T757" s="65" t="b">
        <f>FALSE()</f>
        <v>0</v>
      </c>
      <c r="U757" s="65" t="b">
        <f>FALSE()</f>
        <v>0</v>
      </c>
      <c r="V757" s="65">
        <v>263</v>
      </c>
      <c r="W757" s="67" t="s">
        <v>2733</v>
      </c>
      <c r="X757" s="65">
        <v>1</v>
      </c>
      <c r="Y757" s="68">
        <v>0.01</v>
      </c>
      <c r="Z757" s="65" t="b">
        <f>FALSE()</f>
        <v>0</v>
      </c>
      <c r="AA757" s="65" t="b">
        <f>TRUE()</f>
        <v>1</v>
      </c>
      <c r="AB757" s="65" t="b">
        <f>TRUE()</f>
        <v>1</v>
      </c>
      <c r="AC757" s="65" t="b">
        <f>FALSE()</f>
        <v>0</v>
      </c>
      <c r="AD757" s="65" t="b">
        <f>FALSE()</f>
        <v>0</v>
      </c>
      <c r="AE757" s="65">
        <v>2</v>
      </c>
      <c r="AF757" s="69">
        <v>28.6</v>
      </c>
      <c r="AG757" s="65" t="s">
        <v>73</v>
      </c>
      <c r="AH757" s="65" t="s">
        <v>2734</v>
      </c>
      <c r="AI757">
        <f>IF(AND(OR(Company_Explorer!$B$5="All Companies",$E757=Company_Explorer!$B$5),OR(Company_Explorer!$B$6="All Platforms",$B757=Company_Explorer!$B$6),OR(Company_Explorer!$B$7="All Roles",$D757=Company_Explorer!$B$7),OR(Company_Explorer!$B$8="All Ghost Labels",$AG757=Company_Explorer!$B$8)),1,0)</f>
        <v>0</v>
      </c>
    </row>
    <row r="758" spans="1:35" ht="15" customHeight="1" x14ac:dyDescent="0.3">
      <c r="A758" s="60" t="s">
        <v>2735</v>
      </c>
      <c r="B758" s="60" t="s">
        <v>80</v>
      </c>
      <c r="C758" s="60" t="s">
        <v>2736</v>
      </c>
      <c r="D758" s="60" t="s">
        <v>131</v>
      </c>
      <c r="E758" s="60" t="s">
        <v>2737</v>
      </c>
      <c r="F758" s="60" t="b">
        <f>TRUE()</f>
        <v>1</v>
      </c>
      <c r="G758" s="60" t="s">
        <v>168</v>
      </c>
      <c r="H758" s="60" t="s">
        <v>254</v>
      </c>
      <c r="I758" s="61">
        <v>46193</v>
      </c>
      <c r="J758" s="61">
        <v>46210</v>
      </c>
      <c r="K758" s="60">
        <v>17</v>
      </c>
      <c r="L758" s="60" t="s">
        <v>192</v>
      </c>
      <c r="M758" s="60" t="s">
        <v>185</v>
      </c>
      <c r="N758" s="60" t="b">
        <f>FALSE()</f>
        <v>0</v>
      </c>
      <c r="O758" s="60"/>
      <c r="P758" s="60"/>
      <c r="Q758" s="60" t="s">
        <v>236</v>
      </c>
      <c r="R758" s="60" t="s">
        <v>237</v>
      </c>
      <c r="S758" s="60"/>
      <c r="T758" s="60" t="b">
        <f>FALSE()</f>
        <v>0</v>
      </c>
      <c r="U758" s="60" t="b">
        <f>FALSE()</f>
        <v>0</v>
      </c>
      <c r="V758" s="60">
        <v>563</v>
      </c>
      <c r="W758" s="62" t="s">
        <v>2738</v>
      </c>
      <c r="X758" s="60">
        <v>1</v>
      </c>
      <c r="Y758" s="63">
        <v>0.01</v>
      </c>
      <c r="Z758" s="60" t="b">
        <f>FALSE()</f>
        <v>0</v>
      </c>
      <c r="AA758" s="60" t="b">
        <f>TRUE()</f>
        <v>1</v>
      </c>
      <c r="AB758" s="60" t="b">
        <f>FALSE()</f>
        <v>0</v>
      </c>
      <c r="AC758" s="60" t="b">
        <f>FALSE()</f>
        <v>0</v>
      </c>
      <c r="AD758" s="60" t="b">
        <f>FALSE()</f>
        <v>0</v>
      </c>
      <c r="AE758" s="60">
        <v>1</v>
      </c>
      <c r="AF758" s="64">
        <v>14.3</v>
      </c>
      <c r="AG758" s="60" t="s">
        <v>74</v>
      </c>
      <c r="AH758" s="60" t="s">
        <v>2739</v>
      </c>
      <c r="AI758">
        <f>IF(AND(OR(Company_Explorer!$B$5="All Companies",$E758=Company_Explorer!$B$5),OR(Company_Explorer!$B$6="All Platforms",$B758=Company_Explorer!$B$6),OR(Company_Explorer!$B$7="All Roles",$D758=Company_Explorer!$B$7),OR(Company_Explorer!$B$8="All Ghost Labels",$AG758=Company_Explorer!$B$8)),1,0)</f>
        <v>0</v>
      </c>
    </row>
    <row r="759" spans="1:35" ht="15" customHeight="1" x14ac:dyDescent="0.3">
      <c r="A759" s="65" t="s">
        <v>2740</v>
      </c>
      <c r="B759" s="65" t="s">
        <v>80</v>
      </c>
      <c r="C759" s="65" t="s">
        <v>2741</v>
      </c>
      <c r="D759" s="65" t="s">
        <v>131</v>
      </c>
      <c r="E759" s="65" t="s">
        <v>2742</v>
      </c>
      <c r="F759" s="65" t="b">
        <f>TRUE()</f>
        <v>1</v>
      </c>
      <c r="G759" s="65" t="s">
        <v>2743</v>
      </c>
      <c r="H759" s="65" t="s">
        <v>165</v>
      </c>
      <c r="I759" s="66">
        <v>46205</v>
      </c>
      <c r="J759" s="66">
        <v>46210</v>
      </c>
      <c r="K759" s="65">
        <v>5</v>
      </c>
      <c r="L759" s="65" t="s">
        <v>192</v>
      </c>
      <c r="M759" s="65" t="s">
        <v>186</v>
      </c>
      <c r="N759" s="65" t="b">
        <f>FALSE()</f>
        <v>0</v>
      </c>
      <c r="O759" s="65"/>
      <c r="P759" s="65"/>
      <c r="Q759" s="65" t="s">
        <v>236</v>
      </c>
      <c r="R759" s="65" t="s">
        <v>237</v>
      </c>
      <c r="S759" s="65"/>
      <c r="T759" s="65" t="b">
        <f>FALSE()</f>
        <v>0</v>
      </c>
      <c r="U759" s="65" t="b">
        <f>FALSE()</f>
        <v>0</v>
      </c>
      <c r="V759" s="65">
        <v>1026</v>
      </c>
      <c r="W759" s="65" t="s">
        <v>2744</v>
      </c>
      <c r="X759" s="65">
        <v>1</v>
      </c>
      <c r="Y759" s="68">
        <v>0.01</v>
      </c>
      <c r="Z759" s="65" t="b">
        <f>FALSE()</f>
        <v>0</v>
      </c>
      <c r="AA759" s="65" t="b">
        <f>TRUE()</f>
        <v>1</v>
      </c>
      <c r="AB759" s="65" t="b">
        <f>FALSE()</f>
        <v>0</v>
      </c>
      <c r="AC759" s="65" t="b">
        <f>FALSE()</f>
        <v>0</v>
      </c>
      <c r="AD759" s="65" t="b">
        <f>FALSE()</f>
        <v>0</v>
      </c>
      <c r="AE759" s="65">
        <v>1</v>
      </c>
      <c r="AF759" s="69">
        <v>14.3</v>
      </c>
      <c r="AG759" s="65" t="s">
        <v>74</v>
      </c>
      <c r="AH759" s="65" t="s">
        <v>2745</v>
      </c>
      <c r="AI759">
        <f>IF(AND(OR(Company_Explorer!$B$5="All Companies",$E759=Company_Explorer!$B$5),OR(Company_Explorer!$B$6="All Platforms",$B759=Company_Explorer!$B$6),OR(Company_Explorer!$B$7="All Roles",$D759=Company_Explorer!$B$7),OR(Company_Explorer!$B$8="All Ghost Labels",$AG759=Company_Explorer!$B$8)),1,0)</f>
        <v>0</v>
      </c>
    </row>
    <row r="760" spans="1:35" ht="15" customHeight="1" x14ac:dyDescent="0.3">
      <c r="A760" s="60" t="s">
        <v>2746</v>
      </c>
      <c r="B760" s="60" t="s">
        <v>80</v>
      </c>
      <c r="C760" s="60" t="s">
        <v>2747</v>
      </c>
      <c r="D760" s="60" t="s">
        <v>131</v>
      </c>
      <c r="E760" s="60" t="s">
        <v>624</v>
      </c>
      <c r="F760" s="60" t="b">
        <f>TRUE()</f>
        <v>1</v>
      </c>
      <c r="G760" s="60" t="s">
        <v>235</v>
      </c>
      <c r="H760" s="60" t="s">
        <v>178</v>
      </c>
      <c r="I760" s="61">
        <v>46197</v>
      </c>
      <c r="J760" s="61">
        <v>46210</v>
      </c>
      <c r="K760" s="60">
        <v>13</v>
      </c>
      <c r="L760" s="60" t="s">
        <v>192</v>
      </c>
      <c r="M760" s="60" t="s">
        <v>185</v>
      </c>
      <c r="N760" s="60" t="b">
        <f>FALSE()</f>
        <v>0</v>
      </c>
      <c r="O760" s="60"/>
      <c r="P760" s="60"/>
      <c r="Q760" s="60" t="s">
        <v>236</v>
      </c>
      <c r="R760" s="60" t="s">
        <v>237</v>
      </c>
      <c r="S760" s="60"/>
      <c r="T760" s="60" t="b">
        <f>FALSE()</f>
        <v>0</v>
      </c>
      <c r="U760" s="60" t="b">
        <f>FALSE()</f>
        <v>0</v>
      </c>
      <c r="V760" s="60">
        <v>533</v>
      </c>
      <c r="W760" s="62" t="s">
        <v>2748</v>
      </c>
      <c r="X760" s="60">
        <v>4</v>
      </c>
      <c r="Y760" s="63">
        <v>0.02</v>
      </c>
      <c r="Z760" s="60" t="b">
        <f>FALSE()</f>
        <v>0</v>
      </c>
      <c r="AA760" s="60" t="b">
        <f>TRUE()</f>
        <v>1</v>
      </c>
      <c r="AB760" s="60" t="b">
        <f>FALSE()</f>
        <v>0</v>
      </c>
      <c r="AC760" s="60" t="b">
        <f>FALSE()</f>
        <v>0</v>
      </c>
      <c r="AD760" s="60" t="b">
        <f>FALSE()</f>
        <v>0</v>
      </c>
      <c r="AE760" s="60">
        <v>1</v>
      </c>
      <c r="AF760" s="64">
        <v>14.3</v>
      </c>
      <c r="AG760" s="60" t="s">
        <v>74</v>
      </c>
      <c r="AH760" s="60" t="s">
        <v>2749</v>
      </c>
      <c r="AI760">
        <f>IF(AND(OR(Company_Explorer!$B$5="All Companies",$E760=Company_Explorer!$B$5),OR(Company_Explorer!$B$6="All Platforms",$B760=Company_Explorer!$B$6),OR(Company_Explorer!$B$7="All Roles",$D760=Company_Explorer!$B$7),OR(Company_Explorer!$B$8="All Ghost Labels",$AG760=Company_Explorer!$B$8)),1,0)</f>
        <v>0</v>
      </c>
    </row>
    <row r="761" spans="1:35" ht="15" customHeight="1" x14ac:dyDescent="0.3">
      <c r="A761" s="65" t="s">
        <v>2750</v>
      </c>
      <c r="B761" s="65" t="s">
        <v>80</v>
      </c>
      <c r="C761" s="65" t="s">
        <v>125</v>
      </c>
      <c r="D761" s="65" t="s">
        <v>125</v>
      </c>
      <c r="E761" s="65" t="s">
        <v>2751</v>
      </c>
      <c r="F761" s="65" t="b">
        <f>TRUE()</f>
        <v>1</v>
      </c>
      <c r="G761" s="65" t="s">
        <v>176</v>
      </c>
      <c r="H761" s="65" t="s">
        <v>302</v>
      </c>
      <c r="I761" s="66">
        <v>46077</v>
      </c>
      <c r="J761" s="66">
        <v>46210</v>
      </c>
      <c r="K761" s="65">
        <v>133</v>
      </c>
      <c r="L761" s="65" t="s">
        <v>192</v>
      </c>
      <c r="M761" s="65" t="s">
        <v>185</v>
      </c>
      <c r="N761" s="65" t="b">
        <f>FALSE()</f>
        <v>0</v>
      </c>
      <c r="O761" s="65"/>
      <c r="P761" s="65"/>
      <c r="Q761" s="65" t="s">
        <v>236</v>
      </c>
      <c r="R761" s="65" t="s">
        <v>237</v>
      </c>
      <c r="S761" s="65"/>
      <c r="T761" s="65" t="b">
        <f>FALSE()</f>
        <v>0</v>
      </c>
      <c r="U761" s="65" t="b">
        <f>FALSE()</f>
        <v>0</v>
      </c>
      <c r="V761" s="65">
        <v>84</v>
      </c>
      <c r="W761" s="67" t="s">
        <v>2752</v>
      </c>
      <c r="X761" s="65">
        <v>1</v>
      </c>
      <c r="Y761" s="68">
        <v>0.01</v>
      </c>
      <c r="Z761" s="65" t="b">
        <f>FALSE()</f>
        <v>0</v>
      </c>
      <c r="AA761" s="65" t="b">
        <f>TRUE()</f>
        <v>1</v>
      </c>
      <c r="AB761" s="65" t="b">
        <f>TRUE()</f>
        <v>1</v>
      </c>
      <c r="AC761" s="65" t="b">
        <f>TRUE()</f>
        <v>1</v>
      </c>
      <c r="AD761" s="65" t="b">
        <f>FALSE()</f>
        <v>0</v>
      </c>
      <c r="AE761" s="65">
        <v>3</v>
      </c>
      <c r="AF761" s="69">
        <v>42.9</v>
      </c>
      <c r="AG761" s="65" t="s">
        <v>73</v>
      </c>
      <c r="AH761" s="65" t="s">
        <v>2753</v>
      </c>
      <c r="AI761">
        <f>IF(AND(OR(Company_Explorer!$B$5="All Companies",$E761=Company_Explorer!$B$5),OR(Company_Explorer!$B$6="All Platforms",$B761=Company_Explorer!$B$6),OR(Company_Explorer!$B$7="All Roles",$D761=Company_Explorer!$B$7),OR(Company_Explorer!$B$8="All Ghost Labels",$AG761=Company_Explorer!$B$8)),1,0)</f>
        <v>0</v>
      </c>
    </row>
    <row r="762" spans="1:35" ht="15" customHeight="1" x14ac:dyDescent="0.3">
      <c r="A762" s="60" t="s">
        <v>2754</v>
      </c>
      <c r="B762" s="60" t="s">
        <v>80</v>
      </c>
      <c r="C762" s="60" t="s">
        <v>258</v>
      </c>
      <c r="D762" s="60" t="s">
        <v>125</v>
      </c>
      <c r="E762" s="60" t="s">
        <v>141</v>
      </c>
      <c r="F762" s="60" t="b">
        <f>TRUE()</f>
        <v>1</v>
      </c>
      <c r="G762" s="60" t="s">
        <v>168</v>
      </c>
      <c r="H762" s="60" t="s">
        <v>254</v>
      </c>
      <c r="I762" s="61">
        <v>46206</v>
      </c>
      <c r="J762" s="61">
        <v>46210</v>
      </c>
      <c r="K762" s="60">
        <v>4</v>
      </c>
      <c r="L762" s="60" t="s">
        <v>192</v>
      </c>
      <c r="M762" s="60" t="s">
        <v>184</v>
      </c>
      <c r="N762" s="60" t="b">
        <f>FALSE()</f>
        <v>0</v>
      </c>
      <c r="O762" s="60"/>
      <c r="P762" s="60"/>
      <c r="Q762" s="60" t="s">
        <v>236</v>
      </c>
      <c r="R762" s="60" t="s">
        <v>237</v>
      </c>
      <c r="S762" s="60"/>
      <c r="T762" s="60" t="b">
        <f>FALSE()</f>
        <v>0</v>
      </c>
      <c r="U762" s="60" t="b">
        <f>FALSE()</f>
        <v>0</v>
      </c>
      <c r="V762" s="60">
        <v>363</v>
      </c>
      <c r="W762" s="62" t="s">
        <v>259</v>
      </c>
      <c r="X762" s="60">
        <v>429</v>
      </c>
      <c r="Y762" s="63">
        <v>2.66</v>
      </c>
      <c r="Z762" s="60" t="b">
        <f>FALSE()</f>
        <v>0</v>
      </c>
      <c r="AA762" s="60" t="b">
        <f>TRUE()</f>
        <v>1</v>
      </c>
      <c r="AB762" s="60" t="b">
        <f>FALSE()</f>
        <v>0</v>
      </c>
      <c r="AC762" s="60" t="b">
        <f>FALSE()</f>
        <v>0</v>
      </c>
      <c r="AD762" s="60" t="b">
        <f>TRUE()</f>
        <v>1</v>
      </c>
      <c r="AE762" s="60">
        <v>3</v>
      </c>
      <c r="AF762" s="64">
        <v>42.9</v>
      </c>
      <c r="AG762" s="60" t="s">
        <v>73</v>
      </c>
      <c r="AH762" s="60" t="s">
        <v>2755</v>
      </c>
      <c r="AI762">
        <f>IF(AND(OR(Company_Explorer!$B$5="All Companies",$E762=Company_Explorer!$B$5),OR(Company_Explorer!$B$6="All Platforms",$B762=Company_Explorer!$B$6),OR(Company_Explorer!$B$7="All Roles",$D762=Company_Explorer!$B$7),OR(Company_Explorer!$B$8="All Ghost Labels",$AG762=Company_Explorer!$B$8)),1,0)</f>
        <v>0</v>
      </c>
    </row>
    <row r="763" spans="1:35" ht="15" customHeight="1" x14ac:dyDescent="0.3">
      <c r="A763" s="65" t="s">
        <v>2756</v>
      </c>
      <c r="B763" s="65" t="s">
        <v>80</v>
      </c>
      <c r="C763" s="65" t="s">
        <v>2757</v>
      </c>
      <c r="D763" s="65" t="s">
        <v>125</v>
      </c>
      <c r="E763" s="65" t="s">
        <v>2758</v>
      </c>
      <c r="F763" s="65" t="b">
        <f>TRUE()</f>
        <v>1</v>
      </c>
      <c r="G763" s="65" t="s">
        <v>2326</v>
      </c>
      <c r="H763" s="65" t="s">
        <v>2066</v>
      </c>
      <c r="I763" s="66">
        <v>46189</v>
      </c>
      <c r="J763" s="66">
        <v>46210</v>
      </c>
      <c r="K763" s="65">
        <v>21</v>
      </c>
      <c r="L763" s="65" t="s">
        <v>192</v>
      </c>
      <c r="M763" s="65" t="s">
        <v>185</v>
      </c>
      <c r="N763" s="65" t="b">
        <f>FALSE()</f>
        <v>0</v>
      </c>
      <c r="O763" s="65"/>
      <c r="P763" s="65"/>
      <c r="Q763" s="65" t="s">
        <v>236</v>
      </c>
      <c r="R763" s="65" t="s">
        <v>237</v>
      </c>
      <c r="S763" s="65"/>
      <c r="T763" s="65" t="b">
        <f>FALSE()</f>
        <v>0</v>
      </c>
      <c r="U763" s="65" t="b">
        <f>FALSE()</f>
        <v>0</v>
      </c>
      <c r="V763" s="65">
        <v>161</v>
      </c>
      <c r="W763" s="67" t="s">
        <v>2759</v>
      </c>
      <c r="X763" s="65">
        <v>2</v>
      </c>
      <c r="Y763" s="68">
        <v>0.01</v>
      </c>
      <c r="Z763" s="65" t="b">
        <f>FALSE()</f>
        <v>0</v>
      </c>
      <c r="AA763" s="65" t="b">
        <f>TRUE()</f>
        <v>1</v>
      </c>
      <c r="AB763" s="65" t="b">
        <f>TRUE()</f>
        <v>1</v>
      </c>
      <c r="AC763" s="65" t="b">
        <f>TRUE()</f>
        <v>1</v>
      </c>
      <c r="AD763" s="65" t="b">
        <f>FALSE()</f>
        <v>0</v>
      </c>
      <c r="AE763" s="65">
        <v>3</v>
      </c>
      <c r="AF763" s="69">
        <v>42.9</v>
      </c>
      <c r="AG763" s="65" t="s">
        <v>73</v>
      </c>
      <c r="AH763" s="65" t="s">
        <v>2760</v>
      </c>
      <c r="AI763">
        <f>IF(AND(OR(Company_Explorer!$B$5="All Companies",$E763=Company_Explorer!$B$5),OR(Company_Explorer!$B$6="All Platforms",$B763=Company_Explorer!$B$6),OR(Company_Explorer!$B$7="All Roles",$D763=Company_Explorer!$B$7),OR(Company_Explorer!$B$8="All Ghost Labels",$AG763=Company_Explorer!$B$8)),1,0)</f>
        <v>0</v>
      </c>
    </row>
    <row r="764" spans="1:35" ht="15" customHeight="1" x14ac:dyDescent="0.3">
      <c r="A764" s="60" t="s">
        <v>2761</v>
      </c>
      <c r="B764" s="60" t="s">
        <v>80</v>
      </c>
      <c r="C764" s="60" t="s">
        <v>2058</v>
      </c>
      <c r="D764" s="60" t="s">
        <v>131</v>
      </c>
      <c r="E764" s="60" t="s">
        <v>2762</v>
      </c>
      <c r="F764" s="60" t="b">
        <f>TRUE()</f>
        <v>1</v>
      </c>
      <c r="G764" s="60" t="s">
        <v>2763</v>
      </c>
      <c r="H764" s="60" t="s">
        <v>585</v>
      </c>
      <c r="I764" s="61">
        <v>46205</v>
      </c>
      <c r="J764" s="61">
        <v>46210</v>
      </c>
      <c r="K764" s="60">
        <v>5</v>
      </c>
      <c r="L764" s="60" t="s">
        <v>192</v>
      </c>
      <c r="M764" s="60" t="s">
        <v>187</v>
      </c>
      <c r="N764" s="60" t="b">
        <f>FALSE()</f>
        <v>0</v>
      </c>
      <c r="O764" s="60"/>
      <c r="P764" s="60"/>
      <c r="Q764" s="60" t="s">
        <v>236</v>
      </c>
      <c r="R764" s="60" t="s">
        <v>237</v>
      </c>
      <c r="S764" s="60"/>
      <c r="T764" s="60" t="b">
        <f>FALSE()</f>
        <v>0</v>
      </c>
      <c r="U764" s="60" t="b">
        <f>FALSE()</f>
        <v>0</v>
      </c>
      <c r="V764" s="60">
        <v>225</v>
      </c>
      <c r="W764" s="62" t="s">
        <v>2764</v>
      </c>
      <c r="X764" s="60">
        <v>1</v>
      </c>
      <c r="Y764" s="63">
        <v>0.01</v>
      </c>
      <c r="Z764" s="60" t="b">
        <f>FALSE()</f>
        <v>0</v>
      </c>
      <c r="AA764" s="60" t="b">
        <f>TRUE()</f>
        <v>1</v>
      </c>
      <c r="AB764" s="60" t="b">
        <f>TRUE()</f>
        <v>1</v>
      </c>
      <c r="AC764" s="60" t="b">
        <f>FALSE()</f>
        <v>0</v>
      </c>
      <c r="AD764" s="60" t="b">
        <f>FALSE()</f>
        <v>0</v>
      </c>
      <c r="AE764" s="60">
        <v>2</v>
      </c>
      <c r="AF764" s="64">
        <v>28.6</v>
      </c>
      <c r="AG764" s="60" t="s">
        <v>73</v>
      </c>
      <c r="AH764" s="60" t="s">
        <v>2765</v>
      </c>
      <c r="AI764">
        <f>IF(AND(OR(Company_Explorer!$B$5="All Companies",$E764=Company_Explorer!$B$5),OR(Company_Explorer!$B$6="All Platforms",$B764=Company_Explorer!$B$6),OR(Company_Explorer!$B$7="All Roles",$D764=Company_Explorer!$B$7),OR(Company_Explorer!$B$8="All Ghost Labels",$AG764=Company_Explorer!$B$8)),1,0)</f>
        <v>0</v>
      </c>
    </row>
    <row r="765" spans="1:35" ht="15" customHeight="1" x14ac:dyDescent="0.3">
      <c r="A765" s="65" t="s">
        <v>2766</v>
      </c>
      <c r="B765" s="65" t="s">
        <v>80</v>
      </c>
      <c r="C765" s="65" t="s">
        <v>2767</v>
      </c>
      <c r="D765" s="65" t="s">
        <v>131</v>
      </c>
      <c r="E765" s="65" t="s">
        <v>2768</v>
      </c>
      <c r="F765" s="65" t="b">
        <f>TRUE()</f>
        <v>1</v>
      </c>
      <c r="G765" s="65" t="s">
        <v>166</v>
      </c>
      <c r="H765" s="65" t="s">
        <v>235</v>
      </c>
      <c r="I765" s="66">
        <v>46204</v>
      </c>
      <c r="J765" s="66">
        <v>46210</v>
      </c>
      <c r="K765" s="65">
        <v>6</v>
      </c>
      <c r="L765" s="65" t="s">
        <v>192</v>
      </c>
      <c r="M765" s="65" t="s">
        <v>184</v>
      </c>
      <c r="N765" s="65" t="b">
        <f>FALSE()</f>
        <v>0</v>
      </c>
      <c r="O765" s="65"/>
      <c r="P765" s="65"/>
      <c r="Q765" s="65" t="s">
        <v>236</v>
      </c>
      <c r="R765" s="65" t="s">
        <v>237</v>
      </c>
      <c r="S765" s="65"/>
      <c r="T765" s="65" t="b">
        <f>FALSE()</f>
        <v>0</v>
      </c>
      <c r="U765" s="65" t="b">
        <f>FALSE()</f>
        <v>0</v>
      </c>
      <c r="V765" s="65">
        <v>149</v>
      </c>
      <c r="W765" s="67" t="s">
        <v>2769</v>
      </c>
      <c r="X765" s="65">
        <v>1</v>
      </c>
      <c r="Y765" s="68">
        <v>0.01</v>
      </c>
      <c r="Z765" s="65" t="b">
        <f>FALSE()</f>
        <v>0</v>
      </c>
      <c r="AA765" s="65" t="b">
        <f>TRUE()</f>
        <v>1</v>
      </c>
      <c r="AB765" s="65" t="b">
        <f>TRUE()</f>
        <v>1</v>
      </c>
      <c r="AC765" s="65" t="b">
        <f>FALSE()</f>
        <v>0</v>
      </c>
      <c r="AD765" s="65" t="b">
        <f>FALSE()</f>
        <v>0</v>
      </c>
      <c r="AE765" s="65">
        <v>2</v>
      </c>
      <c r="AF765" s="69">
        <v>28.6</v>
      </c>
      <c r="AG765" s="65" t="s">
        <v>73</v>
      </c>
      <c r="AH765" s="65" t="s">
        <v>2770</v>
      </c>
      <c r="AI765">
        <f>IF(AND(OR(Company_Explorer!$B$5="All Companies",$E765=Company_Explorer!$B$5),OR(Company_Explorer!$B$6="All Platforms",$B765=Company_Explorer!$B$6),OR(Company_Explorer!$B$7="All Roles",$D765=Company_Explorer!$B$7),OR(Company_Explorer!$B$8="All Ghost Labels",$AG765=Company_Explorer!$B$8)),1,0)</f>
        <v>0</v>
      </c>
    </row>
    <row r="766" spans="1:35" ht="15" customHeight="1" x14ac:dyDescent="0.3">
      <c r="A766" s="60" t="s">
        <v>2771</v>
      </c>
      <c r="B766" s="60" t="s">
        <v>80</v>
      </c>
      <c r="C766" s="60" t="s">
        <v>2196</v>
      </c>
      <c r="D766" s="60" t="s">
        <v>125</v>
      </c>
      <c r="E766" s="60" t="s">
        <v>2772</v>
      </c>
      <c r="F766" s="60" t="b">
        <f>TRUE()</f>
        <v>1</v>
      </c>
      <c r="G766" s="60" t="s">
        <v>171</v>
      </c>
      <c r="H766" s="60" t="s">
        <v>254</v>
      </c>
      <c r="I766" s="61">
        <v>46202</v>
      </c>
      <c r="J766" s="61">
        <v>46210</v>
      </c>
      <c r="K766" s="60">
        <v>8</v>
      </c>
      <c r="L766" s="60" t="s">
        <v>192</v>
      </c>
      <c r="M766" s="60" t="s">
        <v>185</v>
      </c>
      <c r="N766" s="60" t="b">
        <f>FALSE()</f>
        <v>0</v>
      </c>
      <c r="O766" s="60"/>
      <c r="P766" s="60"/>
      <c r="Q766" s="60" t="s">
        <v>236</v>
      </c>
      <c r="R766" s="60" t="s">
        <v>237</v>
      </c>
      <c r="S766" s="60"/>
      <c r="T766" s="60" t="b">
        <f>FALSE()</f>
        <v>0</v>
      </c>
      <c r="U766" s="60" t="b">
        <f>FALSE()</f>
        <v>0</v>
      </c>
      <c r="V766" s="60">
        <v>81</v>
      </c>
      <c r="W766" s="60" t="s">
        <v>2773</v>
      </c>
      <c r="X766" s="60">
        <v>1</v>
      </c>
      <c r="Y766" s="63">
        <v>0.01</v>
      </c>
      <c r="Z766" s="60" t="b">
        <f>FALSE()</f>
        <v>0</v>
      </c>
      <c r="AA766" s="60" t="b">
        <f>TRUE()</f>
        <v>1</v>
      </c>
      <c r="AB766" s="60" t="b">
        <f>TRUE()</f>
        <v>1</v>
      </c>
      <c r="AC766" s="60" t="b">
        <f>FALSE()</f>
        <v>0</v>
      </c>
      <c r="AD766" s="60" t="b">
        <f>FALSE()</f>
        <v>0</v>
      </c>
      <c r="AE766" s="60">
        <v>2</v>
      </c>
      <c r="AF766" s="64">
        <v>28.6</v>
      </c>
      <c r="AG766" s="60" t="s">
        <v>73</v>
      </c>
      <c r="AH766" s="60" t="s">
        <v>2774</v>
      </c>
      <c r="AI766">
        <f>IF(AND(OR(Company_Explorer!$B$5="All Companies",$E766=Company_Explorer!$B$5),OR(Company_Explorer!$B$6="All Platforms",$B766=Company_Explorer!$B$6),OR(Company_Explorer!$B$7="All Roles",$D766=Company_Explorer!$B$7),OR(Company_Explorer!$B$8="All Ghost Labels",$AG766=Company_Explorer!$B$8)),1,0)</f>
        <v>0</v>
      </c>
    </row>
    <row r="767" spans="1:35" ht="15" customHeight="1" x14ac:dyDescent="0.3">
      <c r="A767" s="65" t="s">
        <v>2775</v>
      </c>
      <c r="B767" s="65" t="s">
        <v>80</v>
      </c>
      <c r="C767" s="65" t="s">
        <v>2776</v>
      </c>
      <c r="D767" s="65" t="s">
        <v>126</v>
      </c>
      <c r="E767" s="65" t="s">
        <v>2777</v>
      </c>
      <c r="F767" s="65" t="b">
        <f>TRUE()</f>
        <v>1</v>
      </c>
      <c r="G767" s="65" t="s">
        <v>170</v>
      </c>
      <c r="H767" s="65" t="s">
        <v>165</v>
      </c>
      <c r="I767" s="66">
        <v>46189</v>
      </c>
      <c r="J767" s="66">
        <v>46210</v>
      </c>
      <c r="K767" s="65">
        <v>21</v>
      </c>
      <c r="L767" s="65" t="s">
        <v>192</v>
      </c>
      <c r="M767" s="65" t="s">
        <v>185</v>
      </c>
      <c r="N767" s="65" t="b">
        <f>FALSE()</f>
        <v>0</v>
      </c>
      <c r="O767" s="65"/>
      <c r="P767" s="65"/>
      <c r="Q767" s="65" t="s">
        <v>236</v>
      </c>
      <c r="R767" s="65" t="s">
        <v>237</v>
      </c>
      <c r="S767" s="65"/>
      <c r="T767" s="65" t="b">
        <f>FALSE()</f>
        <v>0</v>
      </c>
      <c r="U767" s="65" t="b">
        <f>FALSE()</f>
        <v>0</v>
      </c>
      <c r="V767" s="65">
        <v>338</v>
      </c>
      <c r="W767" s="67" t="s">
        <v>2778</v>
      </c>
      <c r="X767" s="65">
        <v>1</v>
      </c>
      <c r="Y767" s="68">
        <v>0.01</v>
      </c>
      <c r="Z767" s="65" t="b">
        <f>FALSE()</f>
        <v>0</v>
      </c>
      <c r="AA767" s="65" t="b">
        <f>TRUE()</f>
        <v>1</v>
      </c>
      <c r="AB767" s="65" t="b">
        <f>FALSE()</f>
        <v>0</v>
      </c>
      <c r="AC767" s="65" t="b">
        <f>TRUE()</f>
        <v>1</v>
      </c>
      <c r="AD767" s="65" t="b">
        <f>FALSE()</f>
        <v>0</v>
      </c>
      <c r="AE767" s="65">
        <v>2</v>
      </c>
      <c r="AF767" s="69">
        <v>28.6</v>
      </c>
      <c r="AG767" s="65" t="s">
        <v>73</v>
      </c>
      <c r="AH767" s="65" t="s">
        <v>2779</v>
      </c>
      <c r="AI767">
        <f>IF(AND(OR(Company_Explorer!$B$5="All Companies",$E767=Company_Explorer!$B$5),OR(Company_Explorer!$B$6="All Platforms",$B767=Company_Explorer!$B$6),OR(Company_Explorer!$B$7="All Roles",$D767=Company_Explorer!$B$7),OR(Company_Explorer!$B$8="All Ghost Labels",$AG767=Company_Explorer!$B$8)),1,0)</f>
        <v>0</v>
      </c>
    </row>
    <row r="768" spans="1:35" ht="15" customHeight="1" x14ac:dyDescent="0.3">
      <c r="A768" s="60" t="s">
        <v>2780</v>
      </c>
      <c r="B768" s="60" t="s">
        <v>80</v>
      </c>
      <c r="C768" s="60" t="s">
        <v>2637</v>
      </c>
      <c r="D768" s="60" t="s">
        <v>131</v>
      </c>
      <c r="E768" s="60" t="s">
        <v>2781</v>
      </c>
      <c r="F768" s="60" t="b">
        <f>TRUE()</f>
        <v>1</v>
      </c>
      <c r="G768" s="60" t="s">
        <v>253</v>
      </c>
      <c r="H768" s="60" t="s">
        <v>254</v>
      </c>
      <c r="I768" s="61">
        <v>46196</v>
      </c>
      <c r="J768" s="61">
        <v>46210</v>
      </c>
      <c r="K768" s="60">
        <v>14</v>
      </c>
      <c r="L768" s="60" t="s">
        <v>192</v>
      </c>
      <c r="M768" s="60" t="s">
        <v>185</v>
      </c>
      <c r="N768" s="60" t="b">
        <f>FALSE()</f>
        <v>0</v>
      </c>
      <c r="O768" s="60"/>
      <c r="P768" s="60"/>
      <c r="Q768" s="60" t="s">
        <v>236</v>
      </c>
      <c r="R768" s="60" t="s">
        <v>237</v>
      </c>
      <c r="S768" s="60"/>
      <c r="T768" s="60" t="b">
        <f>FALSE()</f>
        <v>0</v>
      </c>
      <c r="U768" s="60" t="b">
        <f>FALSE()</f>
        <v>0</v>
      </c>
      <c r="V768" s="60">
        <v>827</v>
      </c>
      <c r="W768" s="62" t="s">
        <v>2782</v>
      </c>
      <c r="X768" s="60">
        <v>1</v>
      </c>
      <c r="Y768" s="63">
        <v>0.01</v>
      </c>
      <c r="Z768" s="60" t="b">
        <f>FALSE()</f>
        <v>0</v>
      </c>
      <c r="AA768" s="60" t="b">
        <f>TRUE()</f>
        <v>1</v>
      </c>
      <c r="AB768" s="60" t="b">
        <f>FALSE()</f>
        <v>0</v>
      </c>
      <c r="AC768" s="60" t="b">
        <f>FALSE()</f>
        <v>0</v>
      </c>
      <c r="AD768" s="60" t="b">
        <f>FALSE()</f>
        <v>0</v>
      </c>
      <c r="AE768" s="60">
        <v>1</v>
      </c>
      <c r="AF768" s="64">
        <v>14.3</v>
      </c>
      <c r="AG768" s="60" t="s">
        <v>74</v>
      </c>
      <c r="AH768" s="60" t="s">
        <v>2783</v>
      </c>
      <c r="AI768">
        <f>IF(AND(OR(Company_Explorer!$B$5="All Companies",$E768=Company_Explorer!$B$5),OR(Company_Explorer!$B$6="All Platforms",$B768=Company_Explorer!$B$6),OR(Company_Explorer!$B$7="All Roles",$D768=Company_Explorer!$B$7),OR(Company_Explorer!$B$8="All Ghost Labels",$AG768=Company_Explorer!$B$8)),1,0)</f>
        <v>0</v>
      </c>
    </row>
    <row r="769" spans="1:35" ht="15" customHeight="1" x14ac:dyDescent="0.3">
      <c r="A769" s="65" t="s">
        <v>2784</v>
      </c>
      <c r="B769" s="65" t="s">
        <v>80</v>
      </c>
      <c r="C769" s="65" t="s">
        <v>2248</v>
      </c>
      <c r="D769" s="65" t="s">
        <v>125</v>
      </c>
      <c r="E769" s="65" t="s">
        <v>2785</v>
      </c>
      <c r="F769" s="65" t="b">
        <f>TRUE()</f>
        <v>1</v>
      </c>
      <c r="G769" s="65" t="s">
        <v>167</v>
      </c>
      <c r="H769" s="65" t="s">
        <v>276</v>
      </c>
      <c r="I769" s="66">
        <v>46203</v>
      </c>
      <c r="J769" s="66">
        <v>46210</v>
      </c>
      <c r="K769" s="65">
        <v>7</v>
      </c>
      <c r="L769" s="65" t="s">
        <v>192</v>
      </c>
      <c r="M769" s="65" t="s">
        <v>184</v>
      </c>
      <c r="N769" s="65" t="b">
        <f>FALSE()</f>
        <v>0</v>
      </c>
      <c r="O769" s="65"/>
      <c r="P769" s="65"/>
      <c r="Q769" s="65" t="s">
        <v>236</v>
      </c>
      <c r="R769" s="65" t="s">
        <v>237</v>
      </c>
      <c r="S769" s="65"/>
      <c r="T769" s="65" t="b">
        <f>FALSE()</f>
        <v>0</v>
      </c>
      <c r="U769" s="65" t="b">
        <f>FALSE()</f>
        <v>0</v>
      </c>
      <c r="V769" s="65">
        <v>137</v>
      </c>
      <c r="W769" s="67" t="s">
        <v>2786</v>
      </c>
      <c r="X769" s="65">
        <v>1</v>
      </c>
      <c r="Y769" s="68">
        <v>0.01</v>
      </c>
      <c r="Z769" s="65" t="b">
        <f>FALSE()</f>
        <v>0</v>
      </c>
      <c r="AA769" s="65" t="b">
        <f>TRUE()</f>
        <v>1</v>
      </c>
      <c r="AB769" s="65" t="b">
        <f>TRUE()</f>
        <v>1</v>
      </c>
      <c r="AC769" s="65" t="b">
        <f>FALSE()</f>
        <v>0</v>
      </c>
      <c r="AD769" s="65" t="b">
        <f>FALSE()</f>
        <v>0</v>
      </c>
      <c r="AE769" s="65">
        <v>2</v>
      </c>
      <c r="AF769" s="69">
        <v>28.6</v>
      </c>
      <c r="AG769" s="65" t="s">
        <v>73</v>
      </c>
      <c r="AH769" s="65" t="s">
        <v>2787</v>
      </c>
      <c r="AI769">
        <f>IF(AND(OR(Company_Explorer!$B$5="All Companies",$E769=Company_Explorer!$B$5),OR(Company_Explorer!$B$6="All Platforms",$B769=Company_Explorer!$B$6),OR(Company_Explorer!$B$7="All Roles",$D769=Company_Explorer!$B$7),OR(Company_Explorer!$B$8="All Ghost Labels",$AG769=Company_Explorer!$B$8)),1,0)</f>
        <v>0</v>
      </c>
    </row>
    <row r="770" spans="1:35" ht="15" customHeight="1" x14ac:dyDescent="0.3">
      <c r="A770" s="60" t="s">
        <v>2788</v>
      </c>
      <c r="B770" s="60" t="s">
        <v>80</v>
      </c>
      <c r="C770" s="60" t="s">
        <v>2261</v>
      </c>
      <c r="D770" s="60" t="s">
        <v>125</v>
      </c>
      <c r="E770" s="60" t="s">
        <v>2681</v>
      </c>
      <c r="F770" s="60" t="b">
        <f>TRUE()</f>
        <v>1</v>
      </c>
      <c r="G770" s="60" t="s">
        <v>170</v>
      </c>
      <c r="H770" s="60" t="s">
        <v>165</v>
      </c>
      <c r="I770" s="61">
        <v>45871</v>
      </c>
      <c r="J770" s="61">
        <v>46210</v>
      </c>
      <c r="K770" s="60">
        <v>339</v>
      </c>
      <c r="L770" s="60" t="s">
        <v>192</v>
      </c>
      <c r="M770" s="60" t="s">
        <v>184</v>
      </c>
      <c r="N770" s="60" t="b">
        <f>TRUE()</f>
        <v>1</v>
      </c>
      <c r="O770" s="70">
        <v>400000</v>
      </c>
      <c r="P770" s="70">
        <v>1500000</v>
      </c>
      <c r="Q770" s="60" t="s">
        <v>332</v>
      </c>
      <c r="R770" s="60" t="s">
        <v>237</v>
      </c>
      <c r="S770" s="60"/>
      <c r="T770" s="60" t="b">
        <f>FALSE()</f>
        <v>0</v>
      </c>
      <c r="U770" s="60" t="b">
        <f>FALSE()</f>
        <v>0</v>
      </c>
      <c r="V770" s="60">
        <v>88</v>
      </c>
      <c r="W770" s="62" t="s">
        <v>2789</v>
      </c>
      <c r="X770" s="60">
        <v>2</v>
      </c>
      <c r="Y770" s="63">
        <v>0.01</v>
      </c>
      <c r="Z770" s="60" t="b">
        <f>FALSE()</f>
        <v>0</v>
      </c>
      <c r="AA770" s="60" t="b">
        <f>FALSE()</f>
        <v>0</v>
      </c>
      <c r="AB770" s="60" t="b">
        <f>TRUE()</f>
        <v>1</v>
      </c>
      <c r="AC770" s="60" t="b">
        <f>TRUE()</f>
        <v>1</v>
      </c>
      <c r="AD770" s="60" t="b">
        <f>FALSE()</f>
        <v>0</v>
      </c>
      <c r="AE770" s="60">
        <v>2</v>
      </c>
      <c r="AF770" s="64">
        <v>28.6</v>
      </c>
      <c r="AG770" s="60" t="s">
        <v>73</v>
      </c>
      <c r="AH770" s="60" t="s">
        <v>2790</v>
      </c>
      <c r="AI770">
        <f>IF(AND(OR(Company_Explorer!$B$5="All Companies",$E770=Company_Explorer!$B$5),OR(Company_Explorer!$B$6="All Platforms",$B770=Company_Explorer!$B$6),OR(Company_Explorer!$B$7="All Roles",$D770=Company_Explorer!$B$7),OR(Company_Explorer!$B$8="All Ghost Labels",$AG770=Company_Explorer!$B$8)),1,0)</f>
        <v>0</v>
      </c>
    </row>
    <row r="771" spans="1:35" ht="15" customHeight="1" x14ac:dyDescent="0.3">
      <c r="A771" s="65" t="s">
        <v>2791</v>
      </c>
      <c r="B771" s="65" t="s">
        <v>80</v>
      </c>
      <c r="C771" s="65" t="s">
        <v>2792</v>
      </c>
      <c r="D771" s="65" t="s">
        <v>125</v>
      </c>
      <c r="E771" s="65" t="s">
        <v>2793</v>
      </c>
      <c r="F771" s="65" t="b">
        <f>TRUE()</f>
        <v>1</v>
      </c>
      <c r="G771" s="65" t="s">
        <v>171</v>
      </c>
      <c r="H771" s="65" t="s">
        <v>254</v>
      </c>
      <c r="I771" s="66">
        <v>46188</v>
      </c>
      <c r="J771" s="66">
        <v>46210</v>
      </c>
      <c r="K771" s="65">
        <v>22</v>
      </c>
      <c r="L771" s="65" t="s">
        <v>192</v>
      </c>
      <c r="M771" s="65" t="s">
        <v>186</v>
      </c>
      <c r="N771" s="65" t="b">
        <f>FALSE()</f>
        <v>0</v>
      </c>
      <c r="O771" s="65"/>
      <c r="P771" s="65"/>
      <c r="Q771" s="65" t="s">
        <v>236</v>
      </c>
      <c r="R771" s="65" t="s">
        <v>237</v>
      </c>
      <c r="S771" s="65"/>
      <c r="T771" s="65" t="b">
        <f>FALSE()</f>
        <v>0</v>
      </c>
      <c r="U771" s="65" t="b">
        <f>FALSE()</f>
        <v>0</v>
      </c>
      <c r="V771" s="65">
        <v>208</v>
      </c>
      <c r="W771" s="67" t="s">
        <v>2794</v>
      </c>
      <c r="X771" s="65">
        <v>1</v>
      </c>
      <c r="Y771" s="68">
        <v>0.01</v>
      </c>
      <c r="Z771" s="65" t="b">
        <f>FALSE()</f>
        <v>0</v>
      </c>
      <c r="AA771" s="65" t="b">
        <f>TRUE()</f>
        <v>1</v>
      </c>
      <c r="AB771" s="65" t="b">
        <f>TRUE()</f>
        <v>1</v>
      </c>
      <c r="AC771" s="65" t="b">
        <f>TRUE()</f>
        <v>1</v>
      </c>
      <c r="AD771" s="65" t="b">
        <f>FALSE()</f>
        <v>0</v>
      </c>
      <c r="AE771" s="65">
        <v>3</v>
      </c>
      <c r="AF771" s="69">
        <v>42.9</v>
      </c>
      <c r="AG771" s="65" t="s">
        <v>73</v>
      </c>
      <c r="AH771" s="65" t="s">
        <v>2795</v>
      </c>
      <c r="AI771">
        <f>IF(AND(OR(Company_Explorer!$B$5="All Companies",$E771=Company_Explorer!$B$5),OR(Company_Explorer!$B$6="All Platforms",$B771=Company_Explorer!$B$6),OR(Company_Explorer!$B$7="All Roles",$D771=Company_Explorer!$B$7),OR(Company_Explorer!$B$8="All Ghost Labels",$AG771=Company_Explorer!$B$8)),1,0)</f>
        <v>0</v>
      </c>
    </row>
    <row r="772" spans="1:35" ht="15" customHeight="1" x14ac:dyDescent="0.3">
      <c r="A772" s="60" t="s">
        <v>2796</v>
      </c>
      <c r="B772" s="60" t="s">
        <v>80</v>
      </c>
      <c r="C772" s="60" t="s">
        <v>2797</v>
      </c>
      <c r="D772" s="60" t="s">
        <v>131</v>
      </c>
      <c r="E772" s="60" t="s">
        <v>2798</v>
      </c>
      <c r="F772" s="60" t="b">
        <f>TRUE()</f>
        <v>1</v>
      </c>
      <c r="G772" s="60" t="s">
        <v>171</v>
      </c>
      <c r="H772" s="60" t="s">
        <v>254</v>
      </c>
      <c r="I772" s="61">
        <v>46181</v>
      </c>
      <c r="J772" s="61">
        <v>46210</v>
      </c>
      <c r="K772" s="60">
        <v>29</v>
      </c>
      <c r="L772" s="60" t="s">
        <v>192</v>
      </c>
      <c r="M772" s="60" t="s">
        <v>184</v>
      </c>
      <c r="N772" s="60" t="b">
        <f>FALSE()</f>
        <v>0</v>
      </c>
      <c r="O772" s="60"/>
      <c r="P772" s="60"/>
      <c r="Q772" s="60" t="s">
        <v>236</v>
      </c>
      <c r="R772" s="60" t="s">
        <v>237</v>
      </c>
      <c r="S772" s="60"/>
      <c r="T772" s="60" t="b">
        <f>FALSE()</f>
        <v>0</v>
      </c>
      <c r="U772" s="60" t="b">
        <f>FALSE()</f>
        <v>0</v>
      </c>
      <c r="V772" s="60">
        <v>1066</v>
      </c>
      <c r="W772" s="62" t="s">
        <v>2799</v>
      </c>
      <c r="X772" s="60">
        <v>2</v>
      </c>
      <c r="Y772" s="63">
        <v>0.01</v>
      </c>
      <c r="Z772" s="60" t="b">
        <f>FALSE()</f>
        <v>0</v>
      </c>
      <c r="AA772" s="60" t="b">
        <f>TRUE()</f>
        <v>1</v>
      </c>
      <c r="AB772" s="60" t="b">
        <f>FALSE()</f>
        <v>0</v>
      </c>
      <c r="AC772" s="60" t="b">
        <f>TRUE()</f>
        <v>1</v>
      </c>
      <c r="AD772" s="60" t="b">
        <f>FALSE()</f>
        <v>0</v>
      </c>
      <c r="AE772" s="60">
        <v>2</v>
      </c>
      <c r="AF772" s="64">
        <v>28.6</v>
      </c>
      <c r="AG772" s="60" t="s">
        <v>73</v>
      </c>
      <c r="AH772" s="60" t="s">
        <v>2800</v>
      </c>
      <c r="AI772">
        <f>IF(AND(OR(Company_Explorer!$B$5="All Companies",$E772=Company_Explorer!$B$5),OR(Company_Explorer!$B$6="All Platforms",$B772=Company_Explorer!$B$6),OR(Company_Explorer!$B$7="All Roles",$D772=Company_Explorer!$B$7),OR(Company_Explorer!$B$8="All Ghost Labels",$AG772=Company_Explorer!$B$8)),1,0)</f>
        <v>0</v>
      </c>
    </row>
    <row r="773" spans="1:35" ht="15" customHeight="1" x14ac:dyDescent="0.3">
      <c r="A773" s="65" t="s">
        <v>2801</v>
      </c>
      <c r="B773" s="65" t="s">
        <v>80</v>
      </c>
      <c r="C773" s="65" t="s">
        <v>2802</v>
      </c>
      <c r="D773" s="65" t="s">
        <v>130</v>
      </c>
      <c r="E773" s="65" t="s">
        <v>2803</v>
      </c>
      <c r="F773" s="65" t="b">
        <f>TRUE()</f>
        <v>1</v>
      </c>
      <c r="G773" s="65" t="s">
        <v>168</v>
      </c>
      <c r="H773" s="65" t="s">
        <v>254</v>
      </c>
      <c r="I773" s="66">
        <v>46185</v>
      </c>
      <c r="J773" s="66">
        <v>46210</v>
      </c>
      <c r="K773" s="65">
        <v>25</v>
      </c>
      <c r="L773" s="65" t="s">
        <v>188</v>
      </c>
      <c r="M773" s="65" t="s">
        <v>188</v>
      </c>
      <c r="N773" s="65" t="b">
        <f>FALSE()</f>
        <v>0</v>
      </c>
      <c r="O773" s="65"/>
      <c r="P773" s="65"/>
      <c r="Q773" s="65" t="s">
        <v>236</v>
      </c>
      <c r="R773" s="65" t="s">
        <v>237</v>
      </c>
      <c r="S773" s="65"/>
      <c r="T773" s="65" t="b">
        <f>FALSE()</f>
        <v>0</v>
      </c>
      <c r="U773" s="65" t="b">
        <f>FALSE()</f>
        <v>0</v>
      </c>
      <c r="V773" s="65">
        <v>175</v>
      </c>
      <c r="W773" s="65" t="s">
        <v>2804</v>
      </c>
      <c r="X773" s="65">
        <v>1</v>
      </c>
      <c r="Y773" s="68">
        <v>0.01</v>
      </c>
      <c r="Z773" s="65" t="b">
        <f>FALSE()</f>
        <v>0</v>
      </c>
      <c r="AA773" s="65" t="b">
        <f>TRUE()</f>
        <v>1</v>
      </c>
      <c r="AB773" s="65" t="b">
        <f>TRUE()</f>
        <v>1</v>
      </c>
      <c r="AC773" s="65" t="b">
        <f>TRUE()</f>
        <v>1</v>
      </c>
      <c r="AD773" s="65" t="b">
        <f>FALSE()</f>
        <v>0</v>
      </c>
      <c r="AE773" s="65">
        <v>3</v>
      </c>
      <c r="AF773" s="69">
        <v>42.9</v>
      </c>
      <c r="AG773" s="65" t="s">
        <v>73</v>
      </c>
      <c r="AH773" s="65" t="s">
        <v>2805</v>
      </c>
      <c r="AI773">
        <f>IF(AND(OR(Company_Explorer!$B$5="All Companies",$E773=Company_Explorer!$B$5),OR(Company_Explorer!$B$6="All Platforms",$B773=Company_Explorer!$B$6),OR(Company_Explorer!$B$7="All Roles",$D773=Company_Explorer!$B$7),OR(Company_Explorer!$B$8="All Ghost Labels",$AG773=Company_Explorer!$B$8)),1,0)</f>
        <v>0</v>
      </c>
    </row>
    <row r="774" spans="1:35" ht="15" customHeight="1" x14ac:dyDescent="0.3">
      <c r="A774" s="60" t="s">
        <v>2806</v>
      </c>
      <c r="B774" s="60" t="s">
        <v>80</v>
      </c>
      <c r="C774" s="60" t="s">
        <v>2807</v>
      </c>
      <c r="D774" s="60" t="s">
        <v>125</v>
      </c>
      <c r="E774" s="60" t="s">
        <v>2808</v>
      </c>
      <c r="F774" s="60" t="b">
        <f>TRUE()</f>
        <v>1</v>
      </c>
      <c r="G774" s="60" t="s">
        <v>2809</v>
      </c>
      <c r="H774" s="60" t="s">
        <v>178</v>
      </c>
      <c r="I774" s="61">
        <v>46199</v>
      </c>
      <c r="J774" s="61">
        <v>46210</v>
      </c>
      <c r="K774" s="60">
        <v>11</v>
      </c>
      <c r="L774" s="60" t="s">
        <v>192</v>
      </c>
      <c r="M774" s="60" t="s">
        <v>186</v>
      </c>
      <c r="N774" s="60" t="b">
        <f>TRUE()</f>
        <v>1</v>
      </c>
      <c r="O774" s="70">
        <v>1000000</v>
      </c>
      <c r="P774" s="70">
        <v>1200000</v>
      </c>
      <c r="Q774" s="60" t="s">
        <v>332</v>
      </c>
      <c r="R774" s="60" t="s">
        <v>237</v>
      </c>
      <c r="S774" s="60"/>
      <c r="T774" s="60" t="b">
        <f>FALSE()</f>
        <v>0</v>
      </c>
      <c r="U774" s="60" t="b">
        <f>FALSE()</f>
        <v>0</v>
      </c>
      <c r="V774" s="60">
        <v>480</v>
      </c>
      <c r="W774" s="60" t="s">
        <v>2810</v>
      </c>
      <c r="X774" s="60">
        <v>1</v>
      </c>
      <c r="Y774" s="63">
        <v>0.01</v>
      </c>
      <c r="Z774" s="60" t="b">
        <f>FALSE()</f>
        <v>0</v>
      </c>
      <c r="AA774" s="60" t="b">
        <f>FALSE()</f>
        <v>0</v>
      </c>
      <c r="AB774" s="60" t="b">
        <f>FALSE()</f>
        <v>0</v>
      </c>
      <c r="AC774" s="60" t="b">
        <f>FALSE()</f>
        <v>0</v>
      </c>
      <c r="AD774" s="60" t="b">
        <f>FALSE()</f>
        <v>0</v>
      </c>
      <c r="AE774" s="60">
        <v>0</v>
      </c>
      <c r="AF774" s="64">
        <v>0</v>
      </c>
      <c r="AG774" s="60" t="s">
        <v>74</v>
      </c>
      <c r="AH774" s="60" t="s">
        <v>2811</v>
      </c>
      <c r="AI774">
        <f>IF(AND(OR(Company_Explorer!$B$5="All Companies",$E774=Company_Explorer!$B$5),OR(Company_Explorer!$B$6="All Platforms",$B774=Company_Explorer!$B$6),OR(Company_Explorer!$B$7="All Roles",$D774=Company_Explorer!$B$7),OR(Company_Explorer!$B$8="All Ghost Labels",$AG774=Company_Explorer!$B$8)),1,0)</f>
        <v>0</v>
      </c>
    </row>
    <row r="775" spans="1:35" ht="15" customHeight="1" x14ac:dyDescent="0.3">
      <c r="A775" s="65" t="s">
        <v>2812</v>
      </c>
      <c r="B775" s="65" t="s">
        <v>80</v>
      </c>
      <c r="C775" s="65" t="s">
        <v>2058</v>
      </c>
      <c r="D775" s="65" t="s">
        <v>131</v>
      </c>
      <c r="E775" s="65" t="s">
        <v>2813</v>
      </c>
      <c r="F775" s="65" t="b">
        <f>TRUE()</f>
        <v>1</v>
      </c>
      <c r="G775" s="65" t="s">
        <v>462</v>
      </c>
      <c r="H775" s="65" t="s">
        <v>254</v>
      </c>
      <c r="I775" s="66">
        <v>46185</v>
      </c>
      <c r="J775" s="66">
        <v>46210</v>
      </c>
      <c r="K775" s="65">
        <v>25</v>
      </c>
      <c r="L775" s="65" t="s">
        <v>192</v>
      </c>
      <c r="M775" s="65" t="s">
        <v>184</v>
      </c>
      <c r="N775" s="65" t="b">
        <f>FALSE()</f>
        <v>0</v>
      </c>
      <c r="O775" s="65"/>
      <c r="P775" s="65"/>
      <c r="Q775" s="65" t="s">
        <v>236</v>
      </c>
      <c r="R775" s="65" t="s">
        <v>237</v>
      </c>
      <c r="S775" s="65"/>
      <c r="T775" s="65" t="b">
        <f>FALSE()</f>
        <v>0</v>
      </c>
      <c r="U775" s="65" t="b">
        <f>FALSE()</f>
        <v>0</v>
      </c>
      <c r="V775" s="65">
        <v>584</v>
      </c>
      <c r="W775" s="67" t="s">
        <v>2814</v>
      </c>
      <c r="X775" s="65">
        <v>1</v>
      </c>
      <c r="Y775" s="68">
        <v>0.01</v>
      </c>
      <c r="Z775" s="65" t="b">
        <f>FALSE()</f>
        <v>0</v>
      </c>
      <c r="AA775" s="65" t="b">
        <f>TRUE()</f>
        <v>1</v>
      </c>
      <c r="AB775" s="65" t="b">
        <f>FALSE()</f>
        <v>0</v>
      </c>
      <c r="AC775" s="65" t="b">
        <f>TRUE()</f>
        <v>1</v>
      </c>
      <c r="AD775" s="65" t="b">
        <f>FALSE()</f>
        <v>0</v>
      </c>
      <c r="AE775" s="65">
        <v>2</v>
      </c>
      <c r="AF775" s="69">
        <v>28.6</v>
      </c>
      <c r="AG775" s="65" t="s">
        <v>73</v>
      </c>
      <c r="AH775" s="65" t="s">
        <v>2815</v>
      </c>
      <c r="AI775">
        <f>IF(AND(OR(Company_Explorer!$B$5="All Companies",$E775=Company_Explorer!$B$5),OR(Company_Explorer!$B$6="All Platforms",$B775=Company_Explorer!$B$6),OR(Company_Explorer!$B$7="All Roles",$D775=Company_Explorer!$B$7),OR(Company_Explorer!$B$8="All Ghost Labels",$AG775=Company_Explorer!$B$8)),1,0)</f>
        <v>0</v>
      </c>
    </row>
    <row r="776" spans="1:35" ht="15" customHeight="1" x14ac:dyDescent="0.3">
      <c r="A776" s="60" t="s">
        <v>2816</v>
      </c>
      <c r="B776" s="60" t="s">
        <v>80</v>
      </c>
      <c r="C776" s="60" t="s">
        <v>2817</v>
      </c>
      <c r="D776" s="60" t="s">
        <v>131</v>
      </c>
      <c r="E776" s="60" t="s">
        <v>2818</v>
      </c>
      <c r="F776" s="60" t="b">
        <f>TRUE()</f>
        <v>1</v>
      </c>
      <c r="G776" s="60" t="s">
        <v>170</v>
      </c>
      <c r="H776" s="60" t="s">
        <v>165</v>
      </c>
      <c r="I776" s="61">
        <v>46091</v>
      </c>
      <c r="J776" s="61">
        <v>46210</v>
      </c>
      <c r="K776" s="60">
        <v>119</v>
      </c>
      <c r="L776" s="60" t="s">
        <v>192</v>
      </c>
      <c r="M776" s="60" t="s">
        <v>186</v>
      </c>
      <c r="N776" s="60" t="b">
        <f>FALSE()</f>
        <v>0</v>
      </c>
      <c r="O776" s="60"/>
      <c r="P776" s="60"/>
      <c r="Q776" s="60" t="s">
        <v>236</v>
      </c>
      <c r="R776" s="60" t="s">
        <v>237</v>
      </c>
      <c r="S776" s="60"/>
      <c r="T776" s="60" t="b">
        <f>FALSE()</f>
        <v>0</v>
      </c>
      <c r="U776" s="60" t="b">
        <f>FALSE()</f>
        <v>0</v>
      </c>
      <c r="V776" s="60">
        <v>358</v>
      </c>
      <c r="W776" s="62" t="s">
        <v>2819</v>
      </c>
      <c r="X776" s="60">
        <v>1</v>
      </c>
      <c r="Y776" s="63">
        <v>0.01</v>
      </c>
      <c r="Z776" s="60" t="b">
        <f>FALSE()</f>
        <v>0</v>
      </c>
      <c r="AA776" s="60" t="b">
        <f>TRUE()</f>
        <v>1</v>
      </c>
      <c r="AB776" s="60" t="b">
        <f>FALSE()</f>
        <v>0</v>
      </c>
      <c r="AC776" s="60" t="b">
        <f>TRUE()</f>
        <v>1</v>
      </c>
      <c r="AD776" s="60" t="b">
        <f>FALSE()</f>
        <v>0</v>
      </c>
      <c r="AE776" s="60">
        <v>2</v>
      </c>
      <c r="AF776" s="64">
        <v>28.6</v>
      </c>
      <c r="AG776" s="60" t="s">
        <v>73</v>
      </c>
      <c r="AH776" s="60" t="s">
        <v>2820</v>
      </c>
      <c r="AI776">
        <f>IF(AND(OR(Company_Explorer!$B$5="All Companies",$E776=Company_Explorer!$B$5),OR(Company_Explorer!$B$6="All Platforms",$B776=Company_Explorer!$B$6),OR(Company_Explorer!$B$7="All Roles",$D776=Company_Explorer!$B$7),OR(Company_Explorer!$B$8="All Ghost Labels",$AG776=Company_Explorer!$B$8)),1,0)</f>
        <v>0</v>
      </c>
    </row>
    <row r="777" spans="1:35" ht="15" customHeight="1" x14ac:dyDescent="0.3">
      <c r="A777" s="65" t="s">
        <v>2821</v>
      </c>
      <c r="B777" s="65" t="s">
        <v>80</v>
      </c>
      <c r="C777" s="65" t="s">
        <v>131</v>
      </c>
      <c r="D777" s="65" t="s">
        <v>131</v>
      </c>
      <c r="E777" s="65" t="s">
        <v>2822</v>
      </c>
      <c r="F777" s="65" t="b">
        <f>TRUE()</f>
        <v>1</v>
      </c>
      <c r="G777" s="65" t="s">
        <v>2823</v>
      </c>
      <c r="H777" s="65" t="s">
        <v>585</v>
      </c>
      <c r="I777" s="66">
        <v>46144</v>
      </c>
      <c r="J777" s="66">
        <v>46210</v>
      </c>
      <c r="K777" s="65">
        <v>66</v>
      </c>
      <c r="L777" s="65" t="s">
        <v>192</v>
      </c>
      <c r="M777" s="65" t="s">
        <v>185</v>
      </c>
      <c r="N777" s="65" t="b">
        <f>FALSE()</f>
        <v>0</v>
      </c>
      <c r="O777" s="65"/>
      <c r="P777" s="65"/>
      <c r="Q777" s="65" t="s">
        <v>236</v>
      </c>
      <c r="R777" s="65" t="s">
        <v>237</v>
      </c>
      <c r="S777" s="65"/>
      <c r="T777" s="65" t="b">
        <f>FALSE()</f>
        <v>0</v>
      </c>
      <c r="U777" s="65" t="b">
        <f>FALSE()</f>
        <v>0</v>
      </c>
      <c r="V777" s="65">
        <v>274</v>
      </c>
      <c r="W777" s="67" t="s">
        <v>2824</v>
      </c>
      <c r="X777" s="65">
        <v>1</v>
      </c>
      <c r="Y777" s="68">
        <v>0.01</v>
      </c>
      <c r="Z777" s="65" t="b">
        <f>FALSE()</f>
        <v>0</v>
      </c>
      <c r="AA777" s="65" t="b">
        <f>TRUE()</f>
        <v>1</v>
      </c>
      <c r="AB777" s="65" t="b">
        <f>FALSE()</f>
        <v>0</v>
      </c>
      <c r="AC777" s="65" t="b">
        <f>TRUE()</f>
        <v>1</v>
      </c>
      <c r="AD777" s="65" t="b">
        <f>FALSE()</f>
        <v>0</v>
      </c>
      <c r="AE777" s="65">
        <v>2</v>
      </c>
      <c r="AF777" s="69">
        <v>28.6</v>
      </c>
      <c r="AG777" s="65" t="s">
        <v>73</v>
      </c>
      <c r="AH777" s="65" t="s">
        <v>2825</v>
      </c>
      <c r="AI777">
        <f>IF(AND(OR(Company_Explorer!$B$5="All Companies",$E777=Company_Explorer!$B$5),OR(Company_Explorer!$B$6="All Platforms",$B777=Company_Explorer!$B$6),OR(Company_Explorer!$B$7="All Roles",$D777=Company_Explorer!$B$7),OR(Company_Explorer!$B$8="All Ghost Labels",$AG777=Company_Explorer!$B$8)),1,0)</f>
        <v>0</v>
      </c>
    </row>
    <row r="778" spans="1:35" ht="15" customHeight="1" x14ac:dyDescent="0.3">
      <c r="A778" s="60" t="s">
        <v>2826</v>
      </c>
      <c r="B778" s="60" t="s">
        <v>80</v>
      </c>
      <c r="C778" s="60" t="s">
        <v>1811</v>
      </c>
      <c r="D778" s="60" t="s">
        <v>125</v>
      </c>
      <c r="E778" s="60" t="s">
        <v>2827</v>
      </c>
      <c r="F778" s="60" t="b">
        <f>TRUE()</f>
        <v>1</v>
      </c>
      <c r="G778" s="60" t="s">
        <v>2284</v>
      </c>
      <c r="H778" s="60" t="s">
        <v>2285</v>
      </c>
      <c r="I778" s="61">
        <v>46189</v>
      </c>
      <c r="J778" s="61">
        <v>46210</v>
      </c>
      <c r="K778" s="60">
        <v>21</v>
      </c>
      <c r="L778" s="60" t="s">
        <v>192</v>
      </c>
      <c r="M778" s="60" t="s">
        <v>185</v>
      </c>
      <c r="N778" s="60" t="b">
        <f>FALSE()</f>
        <v>0</v>
      </c>
      <c r="O778" s="60"/>
      <c r="P778" s="60"/>
      <c r="Q778" s="60" t="s">
        <v>236</v>
      </c>
      <c r="R778" s="60" t="s">
        <v>237</v>
      </c>
      <c r="S778" s="60"/>
      <c r="T778" s="60" t="b">
        <f>FALSE()</f>
        <v>0</v>
      </c>
      <c r="U778" s="60" t="b">
        <f>FALSE()</f>
        <v>0</v>
      </c>
      <c r="V778" s="60">
        <v>764</v>
      </c>
      <c r="W778" s="62" t="s">
        <v>2828</v>
      </c>
      <c r="X778" s="60">
        <v>1</v>
      </c>
      <c r="Y778" s="63">
        <v>0.01</v>
      </c>
      <c r="Z778" s="60" t="b">
        <f>FALSE()</f>
        <v>0</v>
      </c>
      <c r="AA778" s="60" t="b">
        <f>TRUE()</f>
        <v>1</v>
      </c>
      <c r="AB778" s="60" t="b">
        <f>FALSE()</f>
        <v>0</v>
      </c>
      <c r="AC778" s="60" t="b">
        <f>TRUE()</f>
        <v>1</v>
      </c>
      <c r="AD778" s="60" t="b">
        <f>FALSE()</f>
        <v>0</v>
      </c>
      <c r="AE778" s="60">
        <v>2</v>
      </c>
      <c r="AF778" s="64">
        <v>28.6</v>
      </c>
      <c r="AG778" s="60" t="s">
        <v>73</v>
      </c>
      <c r="AH778" s="60" t="s">
        <v>2829</v>
      </c>
      <c r="AI778">
        <f>IF(AND(OR(Company_Explorer!$B$5="All Companies",$E778=Company_Explorer!$B$5),OR(Company_Explorer!$B$6="All Platforms",$B778=Company_Explorer!$B$6),OR(Company_Explorer!$B$7="All Roles",$D778=Company_Explorer!$B$7),OR(Company_Explorer!$B$8="All Ghost Labels",$AG778=Company_Explorer!$B$8)),1,0)</f>
        <v>0</v>
      </c>
    </row>
    <row r="779" spans="1:35" ht="15" customHeight="1" x14ac:dyDescent="0.3">
      <c r="A779" s="65" t="s">
        <v>2830</v>
      </c>
      <c r="B779" s="65" t="s">
        <v>80</v>
      </c>
      <c r="C779" s="65" t="s">
        <v>2831</v>
      </c>
      <c r="D779" s="65" t="s">
        <v>130</v>
      </c>
      <c r="E779" s="65" t="s">
        <v>2832</v>
      </c>
      <c r="F779" s="65" t="b">
        <f>TRUE()</f>
        <v>1</v>
      </c>
      <c r="G779" s="65" t="s">
        <v>166</v>
      </c>
      <c r="H779" s="65" t="s">
        <v>235</v>
      </c>
      <c r="I779" s="66">
        <v>46197</v>
      </c>
      <c r="J779" s="66">
        <v>46210</v>
      </c>
      <c r="K779" s="65">
        <v>13</v>
      </c>
      <c r="L779" s="65" t="s">
        <v>192</v>
      </c>
      <c r="M779" s="65" t="s">
        <v>184</v>
      </c>
      <c r="N779" s="65" t="b">
        <f>FALSE()</f>
        <v>0</v>
      </c>
      <c r="O779" s="65"/>
      <c r="P779" s="65"/>
      <c r="Q779" s="65" t="s">
        <v>236</v>
      </c>
      <c r="R779" s="65" t="s">
        <v>237</v>
      </c>
      <c r="S779" s="65"/>
      <c r="T779" s="65" t="b">
        <f>FALSE()</f>
        <v>0</v>
      </c>
      <c r="U779" s="65" t="b">
        <f>FALSE()</f>
        <v>0</v>
      </c>
      <c r="V779" s="65">
        <v>592</v>
      </c>
      <c r="W779" s="67" t="s">
        <v>2833</v>
      </c>
      <c r="X779" s="65">
        <v>1</v>
      </c>
      <c r="Y779" s="68">
        <v>0.01</v>
      </c>
      <c r="Z779" s="65" t="b">
        <f>FALSE()</f>
        <v>0</v>
      </c>
      <c r="AA779" s="65" t="b">
        <f>TRUE()</f>
        <v>1</v>
      </c>
      <c r="AB779" s="65" t="b">
        <f>FALSE()</f>
        <v>0</v>
      </c>
      <c r="AC779" s="65" t="b">
        <f>FALSE()</f>
        <v>0</v>
      </c>
      <c r="AD779" s="65" t="b">
        <f>FALSE()</f>
        <v>0</v>
      </c>
      <c r="AE779" s="65">
        <v>1</v>
      </c>
      <c r="AF779" s="69">
        <v>14.3</v>
      </c>
      <c r="AG779" s="65" t="s">
        <v>74</v>
      </c>
      <c r="AH779" s="65" t="s">
        <v>2834</v>
      </c>
      <c r="AI779">
        <f>IF(AND(OR(Company_Explorer!$B$5="All Companies",$E779=Company_Explorer!$B$5),OR(Company_Explorer!$B$6="All Platforms",$B779=Company_Explorer!$B$6),OR(Company_Explorer!$B$7="All Roles",$D779=Company_Explorer!$B$7),OR(Company_Explorer!$B$8="All Ghost Labels",$AG779=Company_Explorer!$B$8)),1,0)</f>
        <v>0</v>
      </c>
    </row>
    <row r="780" spans="1:35" ht="15" customHeight="1" x14ac:dyDescent="0.3">
      <c r="A780" s="60" t="s">
        <v>2835</v>
      </c>
      <c r="B780" s="60" t="s">
        <v>80</v>
      </c>
      <c r="C780" s="60" t="s">
        <v>2034</v>
      </c>
      <c r="D780" s="60" t="s">
        <v>130</v>
      </c>
      <c r="E780" s="60" t="s">
        <v>2836</v>
      </c>
      <c r="F780" s="60" t="b">
        <f>TRUE()</f>
        <v>1</v>
      </c>
      <c r="G780" s="60" t="s">
        <v>949</v>
      </c>
      <c r="H780" s="60" t="s">
        <v>254</v>
      </c>
      <c r="I780" s="61">
        <v>46171</v>
      </c>
      <c r="J780" s="61">
        <v>46210</v>
      </c>
      <c r="K780" s="60">
        <v>39</v>
      </c>
      <c r="L780" s="60" t="s">
        <v>192</v>
      </c>
      <c r="M780" s="60" t="s">
        <v>185</v>
      </c>
      <c r="N780" s="60" t="b">
        <f>FALSE()</f>
        <v>0</v>
      </c>
      <c r="O780" s="60"/>
      <c r="P780" s="60"/>
      <c r="Q780" s="60" t="s">
        <v>236</v>
      </c>
      <c r="R780" s="60" t="s">
        <v>237</v>
      </c>
      <c r="S780" s="60"/>
      <c r="T780" s="60" t="b">
        <f>FALSE()</f>
        <v>0</v>
      </c>
      <c r="U780" s="60" t="b">
        <f>FALSE()</f>
        <v>0</v>
      </c>
      <c r="V780" s="60">
        <v>334</v>
      </c>
      <c r="W780" s="62" t="s">
        <v>2837</v>
      </c>
      <c r="X780" s="60">
        <v>1</v>
      </c>
      <c r="Y780" s="63">
        <v>0.01</v>
      </c>
      <c r="Z780" s="60" t="b">
        <f>FALSE()</f>
        <v>0</v>
      </c>
      <c r="AA780" s="60" t="b">
        <f>TRUE()</f>
        <v>1</v>
      </c>
      <c r="AB780" s="60" t="b">
        <f>FALSE()</f>
        <v>0</v>
      </c>
      <c r="AC780" s="60" t="b">
        <f>TRUE()</f>
        <v>1</v>
      </c>
      <c r="AD780" s="60" t="b">
        <f>FALSE()</f>
        <v>0</v>
      </c>
      <c r="AE780" s="60">
        <v>2</v>
      </c>
      <c r="AF780" s="64">
        <v>28.6</v>
      </c>
      <c r="AG780" s="60" t="s">
        <v>73</v>
      </c>
      <c r="AH780" s="60" t="s">
        <v>2838</v>
      </c>
      <c r="AI780">
        <f>IF(AND(OR(Company_Explorer!$B$5="All Companies",$E780=Company_Explorer!$B$5),OR(Company_Explorer!$B$6="All Platforms",$B780=Company_Explorer!$B$6),OR(Company_Explorer!$B$7="All Roles",$D780=Company_Explorer!$B$7),OR(Company_Explorer!$B$8="All Ghost Labels",$AG780=Company_Explorer!$B$8)),1,0)</f>
        <v>0</v>
      </c>
    </row>
    <row r="781" spans="1:35" ht="15" customHeight="1" x14ac:dyDescent="0.3">
      <c r="A781" s="65" t="s">
        <v>2839</v>
      </c>
      <c r="B781" s="65" t="s">
        <v>80</v>
      </c>
      <c r="C781" s="65" t="s">
        <v>2840</v>
      </c>
      <c r="D781" s="65" t="s">
        <v>131</v>
      </c>
      <c r="E781" s="65" t="s">
        <v>2841</v>
      </c>
      <c r="F781" s="65" t="b">
        <f>TRUE()</f>
        <v>1</v>
      </c>
      <c r="G781" s="65" t="s">
        <v>2823</v>
      </c>
      <c r="H781" s="65" t="s">
        <v>585</v>
      </c>
      <c r="I781" s="66">
        <v>46051</v>
      </c>
      <c r="J781" s="66">
        <v>46210</v>
      </c>
      <c r="K781" s="65">
        <v>159</v>
      </c>
      <c r="L781" s="65" t="s">
        <v>192</v>
      </c>
      <c r="M781" s="65" t="s">
        <v>185</v>
      </c>
      <c r="N781" s="65" t="b">
        <f>FALSE()</f>
        <v>0</v>
      </c>
      <c r="O781" s="65"/>
      <c r="P781" s="65"/>
      <c r="Q781" s="65" t="s">
        <v>236</v>
      </c>
      <c r="R781" s="65" t="s">
        <v>237</v>
      </c>
      <c r="S781" s="65"/>
      <c r="T781" s="65" t="b">
        <f>FALSE()</f>
        <v>0</v>
      </c>
      <c r="U781" s="65" t="b">
        <f>FALSE()</f>
        <v>0</v>
      </c>
      <c r="V781" s="65">
        <v>217</v>
      </c>
      <c r="W781" s="67" t="s">
        <v>2842</v>
      </c>
      <c r="X781" s="65">
        <v>1</v>
      </c>
      <c r="Y781" s="68">
        <v>0.01</v>
      </c>
      <c r="Z781" s="65" t="b">
        <f>FALSE()</f>
        <v>0</v>
      </c>
      <c r="AA781" s="65" t="b">
        <f>TRUE()</f>
        <v>1</v>
      </c>
      <c r="AB781" s="65" t="b">
        <f>TRUE()</f>
        <v>1</v>
      </c>
      <c r="AC781" s="65" t="b">
        <f>TRUE()</f>
        <v>1</v>
      </c>
      <c r="AD781" s="65" t="b">
        <f>FALSE()</f>
        <v>0</v>
      </c>
      <c r="AE781" s="65">
        <v>3</v>
      </c>
      <c r="AF781" s="69">
        <v>42.9</v>
      </c>
      <c r="AG781" s="65" t="s">
        <v>73</v>
      </c>
      <c r="AH781" s="65" t="s">
        <v>2843</v>
      </c>
      <c r="AI781">
        <f>IF(AND(OR(Company_Explorer!$B$5="All Companies",$E781=Company_Explorer!$B$5),OR(Company_Explorer!$B$6="All Platforms",$B781=Company_Explorer!$B$6),OR(Company_Explorer!$B$7="All Roles",$D781=Company_Explorer!$B$7),OR(Company_Explorer!$B$8="All Ghost Labels",$AG781=Company_Explorer!$B$8)),1,0)</f>
        <v>0</v>
      </c>
    </row>
    <row r="782" spans="1:35" ht="15" customHeight="1" x14ac:dyDescent="0.3">
      <c r="A782" s="60" t="s">
        <v>2844</v>
      </c>
      <c r="B782" s="60" t="s">
        <v>80</v>
      </c>
      <c r="C782" s="60" t="s">
        <v>2845</v>
      </c>
      <c r="D782" s="60" t="s">
        <v>131</v>
      </c>
      <c r="E782" s="60" t="s">
        <v>2846</v>
      </c>
      <c r="F782" s="60" t="b">
        <f>TRUE()</f>
        <v>1</v>
      </c>
      <c r="G782" s="60" t="s">
        <v>166</v>
      </c>
      <c r="H782" s="60" t="s">
        <v>235</v>
      </c>
      <c r="I782" s="61">
        <v>46056</v>
      </c>
      <c r="J782" s="61">
        <v>46210</v>
      </c>
      <c r="K782" s="60">
        <v>154</v>
      </c>
      <c r="L782" s="60" t="s">
        <v>192</v>
      </c>
      <c r="M782" s="60" t="s">
        <v>185</v>
      </c>
      <c r="N782" s="60" t="b">
        <f>FALSE()</f>
        <v>0</v>
      </c>
      <c r="O782" s="60"/>
      <c r="P782" s="60"/>
      <c r="Q782" s="60" t="s">
        <v>236</v>
      </c>
      <c r="R782" s="60" t="s">
        <v>237</v>
      </c>
      <c r="S782" s="60"/>
      <c r="T782" s="60" t="b">
        <f>FALSE()</f>
        <v>0</v>
      </c>
      <c r="U782" s="60" t="b">
        <f>FALSE()</f>
        <v>0</v>
      </c>
      <c r="V782" s="60">
        <v>164</v>
      </c>
      <c r="W782" s="62" t="s">
        <v>2847</v>
      </c>
      <c r="X782" s="60">
        <v>1</v>
      </c>
      <c r="Y782" s="63">
        <v>0.01</v>
      </c>
      <c r="Z782" s="60" t="b">
        <f>FALSE()</f>
        <v>0</v>
      </c>
      <c r="AA782" s="60" t="b">
        <f>TRUE()</f>
        <v>1</v>
      </c>
      <c r="AB782" s="60" t="b">
        <f>TRUE()</f>
        <v>1</v>
      </c>
      <c r="AC782" s="60" t="b">
        <f>TRUE()</f>
        <v>1</v>
      </c>
      <c r="AD782" s="60" t="b">
        <f>FALSE()</f>
        <v>0</v>
      </c>
      <c r="AE782" s="60">
        <v>3</v>
      </c>
      <c r="AF782" s="64">
        <v>42.9</v>
      </c>
      <c r="AG782" s="60" t="s">
        <v>73</v>
      </c>
      <c r="AH782" s="60" t="s">
        <v>2848</v>
      </c>
      <c r="AI782">
        <f>IF(AND(OR(Company_Explorer!$B$5="All Companies",$E782=Company_Explorer!$B$5),OR(Company_Explorer!$B$6="All Platforms",$B782=Company_Explorer!$B$6),OR(Company_Explorer!$B$7="All Roles",$D782=Company_Explorer!$B$7),OR(Company_Explorer!$B$8="All Ghost Labels",$AG782=Company_Explorer!$B$8)),1,0)</f>
        <v>0</v>
      </c>
    </row>
    <row r="783" spans="1:35" ht="15" customHeight="1" x14ac:dyDescent="0.3">
      <c r="A783" s="65" t="s">
        <v>2849</v>
      </c>
      <c r="B783" s="65" t="s">
        <v>80</v>
      </c>
      <c r="C783" s="65" t="s">
        <v>2850</v>
      </c>
      <c r="D783" s="65" t="s">
        <v>131</v>
      </c>
      <c r="E783" s="65" t="s">
        <v>773</v>
      </c>
      <c r="F783" s="65" t="b">
        <f>TRUE()</f>
        <v>1</v>
      </c>
      <c r="G783" s="65" t="s">
        <v>2851</v>
      </c>
      <c r="H783" s="65" t="s">
        <v>2852</v>
      </c>
      <c r="I783" s="66">
        <v>46182</v>
      </c>
      <c r="J783" s="66">
        <v>46210</v>
      </c>
      <c r="K783" s="65">
        <v>28</v>
      </c>
      <c r="L783" s="65" t="s">
        <v>192</v>
      </c>
      <c r="M783" s="65" t="s">
        <v>184</v>
      </c>
      <c r="N783" s="65" t="b">
        <f>FALSE()</f>
        <v>0</v>
      </c>
      <c r="O783" s="65"/>
      <c r="P783" s="65"/>
      <c r="Q783" s="65" t="s">
        <v>236</v>
      </c>
      <c r="R783" s="65" t="s">
        <v>237</v>
      </c>
      <c r="S783" s="65"/>
      <c r="T783" s="65" t="b">
        <f>FALSE()</f>
        <v>0</v>
      </c>
      <c r="U783" s="65" t="b">
        <f>FALSE()</f>
        <v>0</v>
      </c>
      <c r="V783" s="65">
        <v>85</v>
      </c>
      <c r="W783" s="67" t="s">
        <v>2853</v>
      </c>
      <c r="X783" s="65">
        <v>2</v>
      </c>
      <c r="Y783" s="68">
        <v>0.01</v>
      </c>
      <c r="Z783" s="65" t="b">
        <f>FALSE()</f>
        <v>0</v>
      </c>
      <c r="AA783" s="65" t="b">
        <f>TRUE()</f>
        <v>1</v>
      </c>
      <c r="AB783" s="65" t="b">
        <f>TRUE()</f>
        <v>1</v>
      </c>
      <c r="AC783" s="65" t="b">
        <f>TRUE()</f>
        <v>1</v>
      </c>
      <c r="AD783" s="65" t="b">
        <f>FALSE()</f>
        <v>0</v>
      </c>
      <c r="AE783" s="65">
        <v>3</v>
      </c>
      <c r="AF783" s="69">
        <v>42.9</v>
      </c>
      <c r="AG783" s="65" t="s">
        <v>73</v>
      </c>
      <c r="AH783" s="65" t="s">
        <v>2854</v>
      </c>
      <c r="AI783">
        <f>IF(AND(OR(Company_Explorer!$B$5="All Companies",$E783=Company_Explorer!$B$5),OR(Company_Explorer!$B$6="All Platforms",$B783=Company_Explorer!$B$6),OR(Company_Explorer!$B$7="All Roles",$D783=Company_Explorer!$B$7),OR(Company_Explorer!$B$8="All Ghost Labels",$AG783=Company_Explorer!$B$8)),1,0)</f>
        <v>0</v>
      </c>
    </row>
    <row r="784" spans="1:35" ht="15" customHeight="1" x14ac:dyDescent="0.3">
      <c r="A784" s="60" t="s">
        <v>2855</v>
      </c>
      <c r="B784" s="60" t="s">
        <v>80</v>
      </c>
      <c r="C784" s="60" t="s">
        <v>2856</v>
      </c>
      <c r="D784" s="60" t="s">
        <v>131</v>
      </c>
      <c r="E784" s="60" t="s">
        <v>1193</v>
      </c>
      <c r="F784" s="60" t="b">
        <f>TRUE()</f>
        <v>1</v>
      </c>
      <c r="G784" s="60" t="s">
        <v>170</v>
      </c>
      <c r="H784" s="60" t="s">
        <v>165</v>
      </c>
      <c r="I784" s="61">
        <v>46021</v>
      </c>
      <c r="J784" s="61">
        <v>46210</v>
      </c>
      <c r="K784" s="60">
        <v>189</v>
      </c>
      <c r="L784" s="60" t="s">
        <v>192</v>
      </c>
      <c r="M784" s="60" t="s">
        <v>185</v>
      </c>
      <c r="N784" s="60" t="b">
        <f>FALSE()</f>
        <v>0</v>
      </c>
      <c r="O784" s="60"/>
      <c r="P784" s="60"/>
      <c r="Q784" s="60" t="s">
        <v>236</v>
      </c>
      <c r="R784" s="60" t="s">
        <v>237</v>
      </c>
      <c r="S784" s="60"/>
      <c r="T784" s="60" t="b">
        <f>FALSE()</f>
        <v>0</v>
      </c>
      <c r="U784" s="60" t="b">
        <f>FALSE()</f>
        <v>0</v>
      </c>
      <c r="V784" s="60">
        <v>422</v>
      </c>
      <c r="W784" s="60" t="s">
        <v>2857</v>
      </c>
      <c r="X784" s="60">
        <v>3</v>
      </c>
      <c r="Y784" s="63">
        <v>0.02</v>
      </c>
      <c r="Z784" s="60" t="b">
        <f>FALSE()</f>
        <v>0</v>
      </c>
      <c r="AA784" s="60" t="b">
        <f>TRUE()</f>
        <v>1</v>
      </c>
      <c r="AB784" s="60" t="b">
        <f>FALSE()</f>
        <v>0</v>
      </c>
      <c r="AC784" s="60" t="b">
        <f>TRUE()</f>
        <v>1</v>
      </c>
      <c r="AD784" s="60" t="b">
        <f>FALSE()</f>
        <v>0</v>
      </c>
      <c r="AE784" s="60">
        <v>2</v>
      </c>
      <c r="AF784" s="64">
        <v>28.6</v>
      </c>
      <c r="AG784" s="60" t="s">
        <v>73</v>
      </c>
      <c r="AH784" s="60" t="s">
        <v>2858</v>
      </c>
      <c r="AI784">
        <f>IF(AND(OR(Company_Explorer!$B$5="All Companies",$E784=Company_Explorer!$B$5),OR(Company_Explorer!$B$6="All Platforms",$B784=Company_Explorer!$B$6),OR(Company_Explorer!$B$7="All Roles",$D784=Company_Explorer!$B$7),OR(Company_Explorer!$B$8="All Ghost Labels",$AG784=Company_Explorer!$B$8)),1,0)</f>
        <v>0</v>
      </c>
    </row>
    <row r="785" spans="1:35" ht="15" customHeight="1" x14ac:dyDescent="0.3">
      <c r="A785" s="65" t="s">
        <v>2859</v>
      </c>
      <c r="B785" s="65" t="s">
        <v>80</v>
      </c>
      <c r="C785" s="65" t="s">
        <v>2860</v>
      </c>
      <c r="D785" s="65" t="s">
        <v>131</v>
      </c>
      <c r="E785" s="65" t="s">
        <v>2861</v>
      </c>
      <c r="F785" s="65" t="b">
        <f>TRUE()</f>
        <v>1</v>
      </c>
      <c r="G785" s="65" t="s">
        <v>169</v>
      </c>
      <c r="H785" s="65" t="s">
        <v>294</v>
      </c>
      <c r="I785" s="66">
        <v>46164</v>
      </c>
      <c r="J785" s="66">
        <v>46210</v>
      </c>
      <c r="K785" s="65">
        <v>46</v>
      </c>
      <c r="L785" s="65" t="s">
        <v>192</v>
      </c>
      <c r="M785" s="65" t="s">
        <v>184</v>
      </c>
      <c r="N785" s="65" t="b">
        <f>FALSE()</f>
        <v>0</v>
      </c>
      <c r="O785" s="65"/>
      <c r="P785" s="65"/>
      <c r="Q785" s="65" t="s">
        <v>236</v>
      </c>
      <c r="R785" s="65" t="s">
        <v>237</v>
      </c>
      <c r="S785" s="65"/>
      <c r="T785" s="65" t="b">
        <f>FALSE()</f>
        <v>0</v>
      </c>
      <c r="U785" s="65" t="b">
        <f>FALSE()</f>
        <v>0</v>
      </c>
      <c r="V785" s="65">
        <v>369</v>
      </c>
      <c r="W785" s="67" t="s">
        <v>2862</v>
      </c>
      <c r="X785" s="65">
        <v>1</v>
      </c>
      <c r="Y785" s="68">
        <v>0.01</v>
      </c>
      <c r="Z785" s="65" t="b">
        <f>FALSE()</f>
        <v>0</v>
      </c>
      <c r="AA785" s="65" t="b">
        <f>TRUE()</f>
        <v>1</v>
      </c>
      <c r="AB785" s="65" t="b">
        <f>FALSE()</f>
        <v>0</v>
      </c>
      <c r="AC785" s="65" t="b">
        <f>TRUE()</f>
        <v>1</v>
      </c>
      <c r="AD785" s="65" t="b">
        <f>FALSE()</f>
        <v>0</v>
      </c>
      <c r="AE785" s="65">
        <v>2</v>
      </c>
      <c r="AF785" s="69">
        <v>28.6</v>
      </c>
      <c r="AG785" s="65" t="s">
        <v>73</v>
      </c>
      <c r="AH785" s="65" t="s">
        <v>2863</v>
      </c>
      <c r="AI785">
        <f>IF(AND(OR(Company_Explorer!$B$5="All Companies",$E785=Company_Explorer!$B$5),OR(Company_Explorer!$B$6="All Platforms",$B785=Company_Explorer!$B$6),OR(Company_Explorer!$B$7="All Roles",$D785=Company_Explorer!$B$7),OR(Company_Explorer!$B$8="All Ghost Labels",$AG785=Company_Explorer!$B$8)),1,0)</f>
        <v>0</v>
      </c>
    </row>
    <row r="786" spans="1:35" ht="15" customHeight="1" x14ac:dyDescent="0.3">
      <c r="A786" s="60" t="s">
        <v>2864</v>
      </c>
      <c r="B786" s="60" t="s">
        <v>80</v>
      </c>
      <c r="C786" s="60" t="s">
        <v>2767</v>
      </c>
      <c r="D786" s="60" t="s">
        <v>131</v>
      </c>
      <c r="E786" s="60" t="s">
        <v>2865</v>
      </c>
      <c r="F786" s="60" t="b">
        <f>TRUE()</f>
        <v>1</v>
      </c>
      <c r="G786" s="60" t="s">
        <v>176</v>
      </c>
      <c r="H786" s="60" t="s">
        <v>302</v>
      </c>
      <c r="I786" s="61">
        <v>46210</v>
      </c>
      <c r="J786" s="61">
        <v>46210</v>
      </c>
      <c r="K786" s="60">
        <v>0</v>
      </c>
      <c r="L786" s="60" t="s">
        <v>192</v>
      </c>
      <c r="M786" s="60" t="s">
        <v>189</v>
      </c>
      <c r="N786" s="60" t="b">
        <f>FALSE()</f>
        <v>0</v>
      </c>
      <c r="O786" s="60"/>
      <c r="P786" s="60"/>
      <c r="Q786" s="60" t="s">
        <v>236</v>
      </c>
      <c r="R786" s="60" t="s">
        <v>237</v>
      </c>
      <c r="S786" s="60"/>
      <c r="T786" s="60" t="b">
        <f>FALSE()</f>
        <v>0</v>
      </c>
      <c r="U786" s="60" t="b">
        <f>FALSE()</f>
        <v>0</v>
      </c>
      <c r="V786" s="60">
        <v>613</v>
      </c>
      <c r="W786" s="62" t="s">
        <v>2866</v>
      </c>
      <c r="X786" s="60">
        <v>1</v>
      </c>
      <c r="Y786" s="63">
        <v>0.01</v>
      </c>
      <c r="Z786" s="60" t="b">
        <f>FALSE()</f>
        <v>0</v>
      </c>
      <c r="AA786" s="60" t="b">
        <f>TRUE()</f>
        <v>1</v>
      </c>
      <c r="AB786" s="60" t="b">
        <f>FALSE()</f>
        <v>0</v>
      </c>
      <c r="AC786" s="60" t="b">
        <f>FALSE()</f>
        <v>0</v>
      </c>
      <c r="AD786" s="60" t="b">
        <f>FALSE()</f>
        <v>0</v>
      </c>
      <c r="AE786" s="60">
        <v>1</v>
      </c>
      <c r="AF786" s="64">
        <v>14.3</v>
      </c>
      <c r="AG786" s="60" t="s">
        <v>74</v>
      </c>
      <c r="AH786" s="60" t="s">
        <v>2867</v>
      </c>
      <c r="AI786">
        <f>IF(AND(OR(Company_Explorer!$B$5="All Companies",$E786=Company_Explorer!$B$5),OR(Company_Explorer!$B$6="All Platforms",$B786=Company_Explorer!$B$6),OR(Company_Explorer!$B$7="All Roles",$D786=Company_Explorer!$B$7),OR(Company_Explorer!$B$8="All Ghost Labels",$AG786=Company_Explorer!$B$8)),1,0)</f>
        <v>0</v>
      </c>
    </row>
    <row r="787" spans="1:35" ht="15" customHeight="1" x14ac:dyDescent="0.3">
      <c r="A787" s="65" t="s">
        <v>2868</v>
      </c>
      <c r="B787" s="65" t="s">
        <v>80</v>
      </c>
      <c r="C787" s="65" t="s">
        <v>2869</v>
      </c>
      <c r="D787" s="65" t="s">
        <v>125</v>
      </c>
      <c r="E787" s="65" t="s">
        <v>141</v>
      </c>
      <c r="F787" s="65" t="b">
        <f>TRUE()</f>
        <v>1</v>
      </c>
      <c r="G787" s="65" t="s">
        <v>179</v>
      </c>
      <c r="H787" s="65" t="s">
        <v>254</v>
      </c>
      <c r="I787" s="66">
        <v>46198</v>
      </c>
      <c r="J787" s="66">
        <v>46210</v>
      </c>
      <c r="K787" s="65">
        <v>12</v>
      </c>
      <c r="L787" s="65" t="s">
        <v>192</v>
      </c>
      <c r="M787" s="65" t="s">
        <v>184</v>
      </c>
      <c r="N787" s="65" t="b">
        <f>FALSE()</f>
        <v>0</v>
      </c>
      <c r="O787" s="65"/>
      <c r="P787" s="65"/>
      <c r="Q787" s="65" t="s">
        <v>236</v>
      </c>
      <c r="R787" s="65" t="s">
        <v>237</v>
      </c>
      <c r="S787" s="65"/>
      <c r="T787" s="65" t="b">
        <f>FALSE()</f>
        <v>0</v>
      </c>
      <c r="U787" s="65" t="b">
        <f>FALSE()</f>
        <v>0</v>
      </c>
      <c r="V787" s="65">
        <v>263</v>
      </c>
      <c r="W787" s="67" t="s">
        <v>2870</v>
      </c>
      <c r="X787" s="65">
        <v>429</v>
      </c>
      <c r="Y787" s="68">
        <v>2.66</v>
      </c>
      <c r="Z787" s="65" t="b">
        <f>FALSE()</f>
        <v>0</v>
      </c>
      <c r="AA787" s="65" t="b">
        <f>TRUE()</f>
        <v>1</v>
      </c>
      <c r="AB787" s="65" t="b">
        <f>TRUE()</f>
        <v>1</v>
      </c>
      <c r="AC787" s="65" t="b">
        <f>FALSE()</f>
        <v>0</v>
      </c>
      <c r="AD787" s="65" t="b">
        <f>TRUE()</f>
        <v>1</v>
      </c>
      <c r="AE787" s="65">
        <v>4</v>
      </c>
      <c r="AF787" s="69">
        <v>57.1</v>
      </c>
      <c r="AG787" s="65" t="s">
        <v>72</v>
      </c>
      <c r="AH787" s="65" t="s">
        <v>2871</v>
      </c>
      <c r="AI787">
        <f>IF(AND(OR(Company_Explorer!$B$5="All Companies",$E787=Company_Explorer!$B$5),OR(Company_Explorer!$B$6="All Platforms",$B787=Company_Explorer!$B$6),OR(Company_Explorer!$B$7="All Roles",$D787=Company_Explorer!$B$7),OR(Company_Explorer!$B$8="All Ghost Labels",$AG787=Company_Explorer!$B$8)),1,0)</f>
        <v>0</v>
      </c>
    </row>
    <row r="788" spans="1:35" ht="15" customHeight="1" x14ac:dyDescent="0.3">
      <c r="A788" s="60" t="s">
        <v>2872</v>
      </c>
      <c r="B788" s="60" t="s">
        <v>80</v>
      </c>
      <c r="C788" s="60" t="s">
        <v>2063</v>
      </c>
      <c r="D788" s="60" t="s">
        <v>125</v>
      </c>
      <c r="E788" s="60" t="s">
        <v>2873</v>
      </c>
      <c r="F788" s="60" t="b">
        <f>TRUE()</f>
        <v>1</v>
      </c>
      <c r="G788" s="60" t="s">
        <v>325</v>
      </c>
      <c r="H788" s="60" t="s">
        <v>326</v>
      </c>
      <c r="I788" s="61">
        <v>45930</v>
      </c>
      <c r="J788" s="61">
        <v>46210</v>
      </c>
      <c r="K788" s="60">
        <v>280</v>
      </c>
      <c r="L788" s="60" t="s">
        <v>192</v>
      </c>
      <c r="M788" s="60" t="s">
        <v>184</v>
      </c>
      <c r="N788" s="60" t="b">
        <f>TRUE()</f>
        <v>1</v>
      </c>
      <c r="O788" s="70">
        <v>800000</v>
      </c>
      <c r="P788" s="70">
        <v>1500000</v>
      </c>
      <c r="Q788" s="60" t="s">
        <v>332</v>
      </c>
      <c r="R788" s="60" t="s">
        <v>237</v>
      </c>
      <c r="S788" s="60"/>
      <c r="T788" s="60" t="b">
        <f>FALSE()</f>
        <v>0</v>
      </c>
      <c r="U788" s="60" t="b">
        <f>FALSE()</f>
        <v>0</v>
      </c>
      <c r="V788" s="60">
        <v>453</v>
      </c>
      <c r="W788" s="62" t="s">
        <v>2874</v>
      </c>
      <c r="X788" s="60">
        <v>1</v>
      </c>
      <c r="Y788" s="63">
        <v>0.01</v>
      </c>
      <c r="Z788" s="60" t="b">
        <f>FALSE()</f>
        <v>0</v>
      </c>
      <c r="AA788" s="60" t="b">
        <f>FALSE()</f>
        <v>0</v>
      </c>
      <c r="AB788" s="60" t="b">
        <f>FALSE()</f>
        <v>0</v>
      </c>
      <c r="AC788" s="60" t="b">
        <f>TRUE()</f>
        <v>1</v>
      </c>
      <c r="AD788" s="60" t="b">
        <f>FALSE()</f>
        <v>0</v>
      </c>
      <c r="AE788" s="60">
        <v>1</v>
      </c>
      <c r="AF788" s="64">
        <v>14.3</v>
      </c>
      <c r="AG788" s="60" t="s">
        <v>74</v>
      </c>
      <c r="AH788" s="60" t="s">
        <v>2875</v>
      </c>
      <c r="AI788">
        <f>IF(AND(OR(Company_Explorer!$B$5="All Companies",$E788=Company_Explorer!$B$5),OR(Company_Explorer!$B$6="All Platforms",$B788=Company_Explorer!$B$6),OR(Company_Explorer!$B$7="All Roles",$D788=Company_Explorer!$B$7),OR(Company_Explorer!$B$8="All Ghost Labels",$AG788=Company_Explorer!$B$8)),1,0)</f>
        <v>0</v>
      </c>
    </row>
    <row r="789" spans="1:35" ht="15" customHeight="1" x14ac:dyDescent="0.3">
      <c r="A789" s="65" t="s">
        <v>2876</v>
      </c>
      <c r="B789" s="65" t="s">
        <v>80</v>
      </c>
      <c r="C789" s="65" t="s">
        <v>258</v>
      </c>
      <c r="D789" s="65" t="s">
        <v>125</v>
      </c>
      <c r="E789" s="65" t="s">
        <v>141</v>
      </c>
      <c r="F789" s="65" t="b">
        <f>TRUE()</f>
        <v>1</v>
      </c>
      <c r="G789" s="65" t="s">
        <v>168</v>
      </c>
      <c r="H789" s="65" t="s">
        <v>254</v>
      </c>
      <c r="I789" s="66">
        <v>46209</v>
      </c>
      <c r="J789" s="66">
        <v>46210</v>
      </c>
      <c r="K789" s="65">
        <v>1</v>
      </c>
      <c r="L789" s="65" t="s">
        <v>192</v>
      </c>
      <c r="M789" s="65" t="s">
        <v>184</v>
      </c>
      <c r="N789" s="65" t="b">
        <f>FALSE()</f>
        <v>0</v>
      </c>
      <c r="O789" s="65"/>
      <c r="P789" s="65"/>
      <c r="Q789" s="65" t="s">
        <v>236</v>
      </c>
      <c r="R789" s="65" t="s">
        <v>237</v>
      </c>
      <c r="S789" s="65"/>
      <c r="T789" s="65" t="b">
        <f>FALSE()</f>
        <v>0</v>
      </c>
      <c r="U789" s="65" t="b">
        <f>FALSE()</f>
        <v>0</v>
      </c>
      <c r="V789" s="65">
        <v>173</v>
      </c>
      <c r="W789" s="67" t="s">
        <v>259</v>
      </c>
      <c r="X789" s="65">
        <v>429</v>
      </c>
      <c r="Y789" s="68">
        <v>2.66</v>
      </c>
      <c r="Z789" s="65" t="b">
        <f>FALSE()</f>
        <v>0</v>
      </c>
      <c r="AA789" s="65" t="b">
        <f>TRUE()</f>
        <v>1</v>
      </c>
      <c r="AB789" s="65" t="b">
        <f>TRUE()</f>
        <v>1</v>
      </c>
      <c r="AC789" s="65" t="b">
        <f>FALSE()</f>
        <v>0</v>
      </c>
      <c r="AD789" s="65" t="b">
        <f>TRUE()</f>
        <v>1</v>
      </c>
      <c r="AE789" s="65">
        <v>4</v>
      </c>
      <c r="AF789" s="69">
        <v>57.1</v>
      </c>
      <c r="AG789" s="65" t="s">
        <v>72</v>
      </c>
      <c r="AH789" s="65" t="s">
        <v>2877</v>
      </c>
      <c r="AI789">
        <f>IF(AND(OR(Company_Explorer!$B$5="All Companies",$E789=Company_Explorer!$B$5),OR(Company_Explorer!$B$6="All Platforms",$B789=Company_Explorer!$B$6),OR(Company_Explorer!$B$7="All Roles",$D789=Company_Explorer!$B$7),OR(Company_Explorer!$B$8="All Ghost Labels",$AG789=Company_Explorer!$B$8)),1,0)</f>
        <v>0</v>
      </c>
    </row>
    <row r="790" spans="1:35" ht="15" customHeight="1" x14ac:dyDescent="0.3">
      <c r="A790" s="60" t="s">
        <v>2878</v>
      </c>
      <c r="B790" s="60" t="s">
        <v>80</v>
      </c>
      <c r="C790" s="60" t="s">
        <v>131</v>
      </c>
      <c r="D790" s="60" t="s">
        <v>131</v>
      </c>
      <c r="E790" s="60" t="s">
        <v>2879</v>
      </c>
      <c r="F790" s="60" t="b">
        <f>TRUE()</f>
        <v>1</v>
      </c>
      <c r="G790" s="60" t="s">
        <v>1198</v>
      </c>
      <c r="H790" s="60" t="s">
        <v>165</v>
      </c>
      <c r="I790" s="61">
        <v>46119</v>
      </c>
      <c r="J790" s="61">
        <v>46210</v>
      </c>
      <c r="K790" s="60">
        <v>91</v>
      </c>
      <c r="L790" s="60" t="s">
        <v>192</v>
      </c>
      <c r="M790" s="60" t="s">
        <v>184</v>
      </c>
      <c r="N790" s="60" t="b">
        <f>FALSE()</f>
        <v>0</v>
      </c>
      <c r="O790" s="60"/>
      <c r="P790" s="60"/>
      <c r="Q790" s="60" t="s">
        <v>236</v>
      </c>
      <c r="R790" s="60" t="s">
        <v>237</v>
      </c>
      <c r="S790" s="60"/>
      <c r="T790" s="60" t="b">
        <f>FALSE()</f>
        <v>0</v>
      </c>
      <c r="U790" s="60" t="b">
        <f>FALSE()</f>
        <v>0</v>
      </c>
      <c r="V790" s="60">
        <v>375</v>
      </c>
      <c r="W790" s="62" t="s">
        <v>2880</v>
      </c>
      <c r="X790" s="60">
        <v>1</v>
      </c>
      <c r="Y790" s="63">
        <v>0.01</v>
      </c>
      <c r="Z790" s="60" t="b">
        <f>FALSE()</f>
        <v>0</v>
      </c>
      <c r="AA790" s="60" t="b">
        <f>TRUE()</f>
        <v>1</v>
      </c>
      <c r="AB790" s="60" t="b">
        <f>FALSE()</f>
        <v>0</v>
      </c>
      <c r="AC790" s="60" t="b">
        <f>TRUE()</f>
        <v>1</v>
      </c>
      <c r="AD790" s="60" t="b">
        <f>FALSE()</f>
        <v>0</v>
      </c>
      <c r="AE790" s="60">
        <v>2</v>
      </c>
      <c r="AF790" s="64">
        <v>28.6</v>
      </c>
      <c r="AG790" s="60" t="s">
        <v>73</v>
      </c>
      <c r="AH790" s="60" t="s">
        <v>2881</v>
      </c>
      <c r="AI790">
        <f>IF(AND(OR(Company_Explorer!$B$5="All Companies",$E790=Company_Explorer!$B$5),OR(Company_Explorer!$B$6="All Platforms",$B790=Company_Explorer!$B$6),OR(Company_Explorer!$B$7="All Roles",$D790=Company_Explorer!$B$7),OR(Company_Explorer!$B$8="All Ghost Labels",$AG790=Company_Explorer!$B$8)),1,0)</f>
        <v>0</v>
      </c>
    </row>
    <row r="791" spans="1:35" ht="15" customHeight="1" x14ac:dyDescent="0.3">
      <c r="A791" s="65" t="s">
        <v>2882</v>
      </c>
      <c r="B791" s="65" t="s">
        <v>80</v>
      </c>
      <c r="C791" s="65" t="s">
        <v>125</v>
      </c>
      <c r="D791" s="65" t="s">
        <v>125</v>
      </c>
      <c r="E791" s="65" t="s">
        <v>2883</v>
      </c>
      <c r="F791" s="65" t="b">
        <f>TRUE()</f>
        <v>1</v>
      </c>
      <c r="G791" s="65" t="s">
        <v>2381</v>
      </c>
      <c r="H791" s="65" t="s">
        <v>2066</v>
      </c>
      <c r="I791" s="66">
        <v>46205</v>
      </c>
      <c r="J791" s="66">
        <v>46210</v>
      </c>
      <c r="K791" s="65">
        <v>5</v>
      </c>
      <c r="L791" s="65" t="s">
        <v>192</v>
      </c>
      <c r="M791" s="65" t="s">
        <v>184</v>
      </c>
      <c r="N791" s="65" t="b">
        <f>FALSE()</f>
        <v>0</v>
      </c>
      <c r="O791" s="65"/>
      <c r="P791" s="65"/>
      <c r="Q791" s="65" t="s">
        <v>236</v>
      </c>
      <c r="R791" s="65" t="s">
        <v>237</v>
      </c>
      <c r="S791" s="65"/>
      <c r="T791" s="65" t="b">
        <f>FALSE()</f>
        <v>0</v>
      </c>
      <c r="U791" s="65" t="b">
        <f>FALSE()</f>
        <v>0</v>
      </c>
      <c r="V791" s="65">
        <v>849</v>
      </c>
      <c r="W791" s="67" t="s">
        <v>2884</v>
      </c>
      <c r="X791" s="65">
        <v>1</v>
      </c>
      <c r="Y791" s="68">
        <v>0.01</v>
      </c>
      <c r="Z791" s="65" t="b">
        <f>FALSE()</f>
        <v>0</v>
      </c>
      <c r="AA791" s="65" t="b">
        <f>TRUE()</f>
        <v>1</v>
      </c>
      <c r="AB791" s="65" t="b">
        <f>FALSE()</f>
        <v>0</v>
      </c>
      <c r="AC791" s="65" t="b">
        <f>FALSE()</f>
        <v>0</v>
      </c>
      <c r="AD791" s="65" t="b">
        <f>FALSE()</f>
        <v>0</v>
      </c>
      <c r="AE791" s="65">
        <v>1</v>
      </c>
      <c r="AF791" s="69">
        <v>14.3</v>
      </c>
      <c r="AG791" s="65" t="s">
        <v>74</v>
      </c>
      <c r="AH791" s="65" t="s">
        <v>2885</v>
      </c>
      <c r="AI791">
        <f>IF(AND(OR(Company_Explorer!$B$5="All Companies",$E791=Company_Explorer!$B$5),OR(Company_Explorer!$B$6="All Platforms",$B791=Company_Explorer!$B$6),OR(Company_Explorer!$B$7="All Roles",$D791=Company_Explorer!$B$7),OR(Company_Explorer!$B$8="All Ghost Labels",$AG791=Company_Explorer!$B$8)),1,0)</f>
        <v>0</v>
      </c>
    </row>
    <row r="792" spans="1:35" ht="15" customHeight="1" x14ac:dyDescent="0.3">
      <c r="A792" s="60" t="s">
        <v>2886</v>
      </c>
      <c r="B792" s="60" t="s">
        <v>80</v>
      </c>
      <c r="C792" s="60" t="s">
        <v>2248</v>
      </c>
      <c r="D792" s="60" t="s">
        <v>125</v>
      </c>
      <c r="E792" s="60" t="s">
        <v>2887</v>
      </c>
      <c r="F792" s="60" t="b">
        <f>TRUE()</f>
        <v>1</v>
      </c>
      <c r="G792" s="60" t="s">
        <v>167</v>
      </c>
      <c r="H792" s="60" t="s">
        <v>276</v>
      </c>
      <c r="I792" s="61">
        <v>46171</v>
      </c>
      <c r="J792" s="61">
        <v>46210</v>
      </c>
      <c r="K792" s="60">
        <v>39</v>
      </c>
      <c r="L792" s="60" t="s">
        <v>192</v>
      </c>
      <c r="M792" s="60" t="s">
        <v>184</v>
      </c>
      <c r="N792" s="60" t="b">
        <f>FALSE()</f>
        <v>0</v>
      </c>
      <c r="O792" s="60"/>
      <c r="P792" s="60"/>
      <c r="Q792" s="60" t="s">
        <v>236</v>
      </c>
      <c r="R792" s="60" t="s">
        <v>237</v>
      </c>
      <c r="S792" s="60"/>
      <c r="T792" s="60" t="b">
        <f>FALSE()</f>
        <v>0</v>
      </c>
      <c r="U792" s="60" t="b">
        <f>FALSE()</f>
        <v>0</v>
      </c>
      <c r="V792" s="60">
        <v>117</v>
      </c>
      <c r="W792" s="62" t="s">
        <v>2888</v>
      </c>
      <c r="X792" s="60">
        <v>1</v>
      </c>
      <c r="Y792" s="63">
        <v>0.01</v>
      </c>
      <c r="Z792" s="60" t="b">
        <f>FALSE()</f>
        <v>0</v>
      </c>
      <c r="AA792" s="60" t="b">
        <f>TRUE()</f>
        <v>1</v>
      </c>
      <c r="AB792" s="60" t="b">
        <f>TRUE()</f>
        <v>1</v>
      </c>
      <c r="AC792" s="60" t="b">
        <f>TRUE()</f>
        <v>1</v>
      </c>
      <c r="AD792" s="60" t="b">
        <f>FALSE()</f>
        <v>0</v>
      </c>
      <c r="AE792" s="60">
        <v>3</v>
      </c>
      <c r="AF792" s="64">
        <v>42.9</v>
      </c>
      <c r="AG792" s="60" t="s">
        <v>73</v>
      </c>
      <c r="AH792" s="60" t="s">
        <v>2889</v>
      </c>
      <c r="AI792">
        <f>IF(AND(OR(Company_Explorer!$B$5="All Companies",$E792=Company_Explorer!$B$5),OR(Company_Explorer!$B$6="All Platforms",$B792=Company_Explorer!$B$6),OR(Company_Explorer!$B$7="All Roles",$D792=Company_Explorer!$B$7),OR(Company_Explorer!$B$8="All Ghost Labels",$AG792=Company_Explorer!$B$8)),1,0)</f>
        <v>0</v>
      </c>
    </row>
    <row r="793" spans="1:35" ht="15" customHeight="1" x14ac:dyDescent="0.3">
      <c r="A793" s="65" t="s">
        <v>2890</v>
      </c>
      <c r="B793" s="65" t="s">
        <v>80</v>
      </c>
      <c r="C793" s="65" t="s">
        <v>2261</v>
      </c>
      <c r="D793" s="65" t="s">
        <v>125</v>
      </c>
      <c r="E793" s="65" t="s">
        <v>2891</v>
      </c>
      <c r="F793" s="65" t="b">
        <f>TRUE()</f>
        <v>1</v>
      </c>
      <c r="G793" s="65" t="s">
        <v>2065</v>
      </c>
      <c r="H793" s="65" t="s">
        <v>2066</v>
      </c>
      <c r="I793" s="66">
        <v>46139</v>
      </c>
      <c r="J793" s="66">
        <v>46210</v>
      </c>
      <c r="K793" s="65">
        <v>71</v>
      </c>
      <c r="L793" s="65" t="s">
        <v>192</v>
      </c>
      <c r="M793" s="65" t="s">
        <v>185</v>
      </c>
      <c r="N793" s="65" t="b">
        <f>FALSE()</f>
        <v>0</v>
      </c>
      <c r="O793" s="65"/>
      <c r="P793" s="65"/>
      <c r="Q793" s="65" t="s">
        <v>236</v>
      </c>
      <c r="R793" s="65" t="s">
        <v>237</v>
      </c>
      <c r="S793" s="65"/>
      <c r="T793" s="65" t="b">
        <f>FALSE()</f>
        <v>0</v>
      </c>
      <c r="U793" s="65" t="b">
        <f>FALSE()</f>
        <v>0</v>
      </c>
      <c r="V793" s="65">
        <v>263</v>
      </c>
      <c r="W793" s="67" t="s">
        <v>2892</v>
      </c>
      <c r="X793" s="65">
        <v>2</v>
      </c>
      <c r="Y793" s="68">
        <v>0.01</v>
      </c>
      <c r="Z793" s="65" t="b">
        <f>FALSE()</f>
        <v>0</v>
      </c>
      <c r="AA793" s="65" t="b">
        <f>TRUE()</f>
        <v>1</v>
      </c>
      <c r="AB793" s="65" t="b">
        <f>TRUE()</f>
        <v>1</v>
      </c>
      <c r="AC793" s="65" t="b">
        <f>TRUE()</f>
        <v>1</v>
      </c>
      <c r="AD793" s="65" t="b">
        <f>FALSE()</f>
        <v>0</v>
      </c>
      <c r="AE793" s="65">
        <v>3</v>
      </c>
      <c r="AF793" s="69">
        <v>42.9</v>
      </c>
      <c r="AG793" s="65" t="s">
        <v>73</v>
      </c>
      <c r="AH793" s="65" t="s">
        <v>2893</v>
      </c>
      <c r="AI793">
        <f>IF(AND(OR(Company_Explorer!$B$5="All Companies",$E793=Company_Explorer!$B$5),OR(Company_Explorer!$B$6="All Platforms",$B793=Company_Explorer!$B$6),OR(Company_Explorer!$B$7="All Roles",$D793=Company_Explorer!$B$7),OR(Company_Explorer!$B$8="All Ghost Labels",$AG793=Company_Explorer!$B$8)),1,0)</f>
        <v>0</v>
      </c>
    </row>
    <row r="794" spans="1:35" ht="15" customHeight="1" x14ac:dyDescent="0.3">
      <c r="A794" s="60" t="s">
        <v>2894</v>
      </c>
      <c r="B794" s="60" t="s">
        <v>80</v>
      </c>
      <c r="C794" s="60" t="s">
        <v>2869</v>
      </c>
      <c r="D794" s="60" t="s">
        <v>125</v>
      </c>
      <c r="E794" s="60" t="s">
        <v>141</v>
      </c>
      <c r="F794" s="60" t="b">
        <f>TRUE()</f>
        <v>1</v>
      </c>
      <c r="G794" s="60" t="s">
        <v>166</v>
      </c>
      <c r="H794" s="60" t="s">
        <v>235</v>
      </c>
      <c r="I794" s="61">
        <v>46206</v>
      </c>
      <c r="J794" s="61">
        <v>46210</v>
      </c>
      <c r="K794" s="60">
        <v>4</v>
      </c>
      <c r="L794" s="60" t="s">
        <v>192</v>
      </c>
      <c r="M794" s="60" t="s">
        <v>184</v>
      </c>
      <c r="N794" s="60" t="b">
        <f>FALSE()</f>
        <v>0</v>
      </c>
      <c r="O794" s="60"/>
      <c r="P794" s="60"/>
      <c r="Q794" s="60" t="s">
        <v>236</v>
      </c>
      <c r="R794" s="60" t="s">
        <v>237</v>
      </c>
      <c r="S794" s="60"/>
      <c r="T794" s="60" t="b">
        <f>FALSE()</f>
        <v>0</v>
      </c>
      <c r="U794" s="60" t="b">
        <f>FALSE()</f>
        <v>0</v>
      </c>
      <c r="V794" s="60">
        <v>244</v>
      </c>
      <c r="W794" s="62" t="s">
        <v>2870</v>
      </c>
      <c r="X794" s="60">
        <v>429</v>
      </c>
      <c r="Y794" s="63">
        <v>2.66</v>
      </c>
      <c r="Z794" s="60" t="b">
        <f>FALSE()</f>
        <v>0</v>
      </c>
      <c r="AA794" s="60" t="b">
        <f>TRUE()</f>
        <v>1</v>
      </c>
      <c r="AB794" s="60" t="b">
        <f>TRUE()</f>
        <v>1</v>
      </c>
      <c r="AC794" s="60" t="b">
        <f>FALSE()</f>
        <v>0</v>
      </c>
      <c r="AD794" s="60" t="b">
        <f>TRUE()</f>
        <v>1</v>
      </c>
      <c r="AE794" s="60">
        <v>4</v>
      </c>
      <c r="AF794" s="64">
        <v>57.1</v>
      </c>
      <c r="AG794" s="60" t="s">
        <v>72</v>
      </c>
      <c r="AH794" s="60" t="s">
        <v>2895</v>
      </c>
      <c r="AI794">
        <f>IF(AND(OR(Company_Explorer!$B$5="All Companies",$E794=Company_Explorer!$B$5),OR(Company_Explorer!$B$6="All Platforms",$B794=Company_Explorer!$B$6),OR(Company_Explorer!$B$7="All Roles",$D794=Company_Explorer!$B$7),OR(Company_Explorer!$B$8="All Ghost Labels",$AG794=Company_Explorer!$B$8)),1,0)</f>
        <v>0</v>
      </c>
    </row>
    <row r="795" spans="1:35" ht="15" customHeight="1" x14ac:dyDescent="0.3">
      <c r="A795" s="65" t="s">
        <v>2896</v>
      </c>
      <c r="B795" s="65" t="s">
        <v>80</v>
      </c>
      <c r="C795" s="65" t="s">
        <v>2897</v>
      </c>
      <c r="D795" s="65" t="s">
        <v>131</v>
      </c>
      <c r="E795" s="65" t="s">
        <v>2898</v>
      </c>
      <c r="F795" s="65" t="b">
        <f>TRUE()</f>
        <v>1</v>
      </c>
      <c r="G795" s="65" t="s">
        <v>169</v>
      </c>
      <c r="H795" s="65" t="s">
        <v>294</v>
      </c>
      <c r="I795" s="66">
        <v>46192</v>
      </c>
      <c r="J795" s="66">
        <v>46210</v>
      </c>
      <c r="K795" s="65">
        <v>18</v>
      </c>
      <c r="L795" s="65" t="s">
        <v>192</v>
      </c>
      <c r="M795" s="65" t="s">
        <v>186</v>
      </c>
      <c r="N795" s="65" t="b">
        <f>FALSE()</f>
        <v>0</v>
      </c>
      <c r="O795" s="65"/>
      <c r="P795" s="65"/>
      <c r="Q795" s="65" t="s">
        <v>236</v>
      </c>
      <c r="R795" s="65" t="s">
        <v>237</v>
      </c>
      <c r="S795" s="65"/>
      <c r="T795" s="65" t="b">
        <f>FALSE()</f>
        <v>0</v>
      </c>
      <c r="U795" s="65" t="b">
        <f>FALSE()</f>
        <v>0</v>
      </c>
      <c r="V795" s="65">
        <v>466</v>
      </c>
      <c r="W795" s="65" t="s">
        <v>2899</v>
      </c>
      <c r="X795" s="65">
        <v>1</v>
      </c>
      <c r="Y795" s="68">
        <v>0.01</v>
      </c>
      <c r="Z795" s="65" t="b">
        <f>FALSE()</f>
        <v>0</v>
      </c>
      <c r="AA795" s="65" t="b">
        <f>TRUE()</f>
        <v>1</v>
      </c>
      <c r="AB795" s="65" t="b">
        <f>FALSE()</f>
        <v>0</v>
      </c>
      <c r="AC795" s="65" t="b">
        <f>FALSE()</f>
        <v>0</v>
      </c>
      <c r="AD795" s="65" t="b">
        <f>FALSE()</f>
        <v>0</v>
      </c>
      <c r="AE795" s="65">
        <v>1</v>
      </c>
      <c r="AF795" s="69">
        <v>14.3</v>
      </c>
      <c r="AG795" s="65" t="s">
        <v>74</v>
      </c>
      <c r="AH795" s="65" t="s">
        <v>2900</v>
      </c>
      <c r="AI795">
        <f>IF(AND(OR(Company_Explorer!$B$5="All Companies",$E795=Company_Explorer!$B$5),OR(Company_Explorer!$B$6="All Platforms",$B795=Company_Explorer!$B$6),OR(Company_Explorer!$B$7="All Roles",$D795=Company_Explorer!$B$7),OR(Company_Explorer!$B$8="All Ghost Labels",$AG795=Company_Explorer!$B$8)),1,0)</f>
        <v>0</v>
      </c>
    </row>
    <row r="796" spans="1:35" ht="15" customHeight="1" x14ac:dyDescent="0.3">
      <c r="A796" s="60" t="s">
        <v>2901</v>
      </c>
      <c r="B796" s="60" t="s">
        <v>80</v>
      </c>
      <c r="C796" s="60" t="s">
        <v>258</v>
      </c>
      <c r="D796" s="60" t="s">
        <v>125</v>
      </c>
      <c r="E796" s="60" t="s">
        <v>141</v>
      </c>
      <c r="F796" s="60" t="b">
        <f>TRUE()</f>
        <v>1</v>
      </c>
      <c r="G796" s="60" t="s">
        <v>609</v>
      </c>
      <c r="H796" s="60" t="s">
        <v>165</v>
      </c>
      <c r="I796" s="61">
        <v>46198</v>
      </c>
      <c r="J796" s="61">
        <v>46210</v>
      </c>
      <c r="K796" s="60">
        <v>12</v>
      </c>
      <c r="L796" s="60" t="s">
        <v>192</v>
      </c>
      <c r="M796" s="60" t="s">
        <v>184</v>
      </c>
      <c r="N796" s="60" t="b">
        <f>FALSE()</f>
        <v>0</v>
      </c>
      <c r="O796" s="60"/>
      <c r="P796" s="60"/>
      <c r="Q796" s="60" t="s">
        <v>236</v>
      </c>
      <c r="R796" s="60" t="s">
        <v>237</v>
      </c>
      <c r="S796" s="60"/>
      <c r="T796" s="60" t="b">
        <f>FALSE()</f>
        <v>0</v>
      </c>
      <c r="U796" s="60" t="b">
        <f>FALSE()</f>
        <v>0</v>
      </c>
      <c r="V796" s="60">
        <v>267</v>
      </c>
      <c r="W796" s="62" t="s">
        <v>259</v>
      </c>
      <c r="X796" s="60">
        <v>429</v>
      </c>
      <c r="Y796" s="63">
        <v>2.66</v>
      </c>
      <c r="Z796" s="60" t="b">
        <f>FALSE()</f>
        <v>0</v>
      </c>
      <c r="AA796" s="60" t="b">
        <f>TRUE()</f>
        <v>1</v>
      </c>
      <c r="AB796" s="60" t="b">
        <f>TRUE()</f>
        <v>1</v>
      </c>
      <c r="AC796" s="60" t="b">
        <f>FALSE()</f>
        <v>0</v>
      </c>
      <c r="AD796" s="60" t="b">
        <f>TRUE()</f>
        <v>1</v>
      </c>
      <c r="AE796" s="60">
        <v>4</v>
      </c>
      <c r="AF796" s="64">
        <v>57.1</v>
      </c>
      <c r="AG796" s="60" t="s">
        <v>72</v>
      </c>
      <c r="AH796" s="60" t="s">
        <v>2902</v>
      </c>
      <c r="AI796">
        <f>IF(AND(OR(Company_Explorer!$B$5="All Companies",$E796=Company_Explorer!$B$5),OR(Company_Explorer!$B$6="All Platforms",$B796=Company_Explorer!$B$6),OR(Company_Explorer!$B$7="All Roles",$D796=Company_Explorer!$B$7),OR(Company_Explorer!$B$8="All Ghost Labels",$AG796=Company_Explorer!$B$8)),1,0)</f>
        <v>0</v>
      </c>
    </row>
    <row r="797" spans="1:35" ht="15" customHeight="1" x14ac:dyDescent="0.3">
      <c r="A797" s="65" t="s">
        <v>2903</v>
      </c>
      <c r="B797" s="65" t="s">
        <v>80</v>
      </c>
      <c r="C797" s="65" t="s">
        <v>1622</v>
      </c>
      <c r="D797" s="65" t="s">
        <v>126</v>
      </c>
      <c r="E797" s="65" t="s">
        <v>2904</v>
      </c>
      <c r="F797" s="65" t="b">
        <f>TRUE()</f>
        <v>1</v>
      </c>
      <c r="G797" s="65" t="s">
        <v>174</v>
      </c>
      <c r="H797" s="65" t="s">
        <v>302</v>
      </c>
      <c r="I797" s="66">
        <v>46195</v>
      </c>
      <c r="J797" s="66">
        <v>46210</v>
      </c>
      <c r="K797" s="65">
        <v>15</v>
      </c>
      <c r="L797" s="65" t="s">
        <v>192</v>
      </c>
      <c r="M797" s="65" t="s">
        <v>187</v>
      </c>
      <c r="N797" s="65" t="b">
        <f>FALSE()</f>
        <v>0</v>
      </c>
      <c r="O797" s="65"/>
      <c r="P797" s="65"/>
      <c r="Q797" s="65" t="s">
        <v>236</v>
      </c>
      <c r="R797" s="65" t="s">
        <v>237</v>
      </c>
      <c r="S797" s="65"/>
      <c r="T797" s="65" t="b">
        <f>FALSE()</f>
        <v>0</v>
      </c>
      <c r="U797" s="65" t="b">
        <f>FALSE()</f>
        <v>0</v>
      </c>
      <c r="V797" s="65">
        <v>382</v>
      </c>
      <c r="W797" s="67" t="s">
        <v>2905</v>
      </c>
      <c r="X797" s="65">
        <v>1</v>
      </c>
      <c r="Y797" s="68">
        <v>0.01</v>
      </c>
      <c r="Z797" s="65" t="b">
        <f>FALSE()</f>
        <v>0</v>
      </c>
      <c r="AA797" s="65" t="b">
        <f>TRUE()</f>
        <v>1</v>
      </c>
      <c r="AB797" s="65" t="b">
        <f>FALSE()</f>
        <v>0</v>
      </c>
      <c r="AC797" s="65" t="b">
        <f>FALSE()</f>
        <v>0</v>
      </c>
      <c r="AD797" s="65" t="b">
        <f>FALSE()</f>
        <v>0</v>
      </c>
      <c r="AE797" s="65">
        <v>1</v>
      </c>
      <c r="AF797" s="69">
        <v>14.3</v>
      </c>
      <c r="AG797" s="65" t="s">
        <v>74</v>
      </c>
      <c r="AH797" s="65" t="s">
        <v>2906</v>
      </c>
      <c r="AI797">
        <f>IF(AND(OR(Company_Explorer!$B$5="All Companies",$E797=Company_Explorer!$B$5),OR(Company_Explorer!$B$6="All Platforms",$B797=Company_Explorer!$B$6),OR(Company_Explorer!$B$7="All Roles",$D797=Company_Explorer!$B$7),OR(Company_Explorer!$B$8="All Ghost Labels",$AG797=Company_Explorer!$B$8)),1,0)</f>
        <v>0</v>
      </c>
    </row>
    <row r="798" spans="1:35" ht="15" customHeight="1" x14ac:dyDescent="0.3">
      <c r="A798" s="60" t="s">
        <v>2907</v>
      </c>
      <c r="B798" s="60" t="s">
        <v>80</v>
      </c>
      <c r="C798" s="60" t="s">
        <v>694</v>
      </c>
      <c r="D798" s="60" t="s">
        <v>125</v>
      </c>
      <c r="E798" s="60" t="s">
        <v>2908</v>
      </c>
      <c r="F798" s="60" t="b">
        <f>TRUE()</f>
        <v>1</v>
      </c>
      <c r="G798" s="60" t="s">
        <v>173</v>
      </c>
      <c r="H798" s="60" t="s">
        <v>827</v>
      </c>
      <c r="I798" s="61">
        <v>46192</v>
      </c>
      <c r="J798" s="61">
        <v>46210</v>
      </c>
      <c r="K798" s="60">
        <v>18</v>
      </c>
      <c r="L798" s="60" t="s">
        <v>192</v>
      </c>
      <c r="M798" s="60" t="s">
        <v>184</v>
      </c>
      <c r="N798" s="60" t="b">
        <f>FALSE()</f>
        <v>0</v>
      </c>
      <c r="O798" s="60"/>
      <c r="P798" s="60"/>
      <c r="Q798" s="60" t="s">
        <v>236</v>
      </c>
      <c r="R798" s="60" t="s">
        <v>237</v>
      </c>
      <c r="S798" s="60"/>
      <c r="T798" s="60" t="b">
        <f>FALSE()</f>
        <v>0</v>
      </c>
      <c r="U798" s="60" t="b">
        <f>FALSE()</f>
        <v>0</v>
      </c>
      <c r="V798" s="60">
        <v>299</v>
      </c>
      <c r="W798" s="62" t="s">
        <v>2909</v>
      </c>
      <c r="X798" s="60">
        <v>1</v>
      </c>
      <c r="Y798" s="63">
        <v>0.01</v>
      </c>
      <c r="Z798" s="60" t="b">
        <f>FALSE()</f>
        <v>0</v>
      </c>
      <c r="AA798" s="60" t="b">
        <f>TRUE()</f>
        <v>1</v>
      </c>
      <c r="AB798" s="60" t="b">
        <f>FALSE()</f>
        <v>0</v>
      </c>
      <c r="AC798" s="60" t="b">
        <f>FALSE()</f>
        <v>0</v>
      </c>
      <c r="AD798" s="60" t="b">
        <f>FALSE()</f>
        <v>0</v>
      </c>
      <c r="AE798" s="60">
        <v>1</v>
      </c>
      <c r="AF798" s="64">
        <v>14.3</v>
      </c>
      <c r="AG798" s="60" t="s">
        <v>74</v>
      </c>
      <c r="AH798" s="60" t="s">
        <v>2910</v>
      </c>
      <c r="AI798">
        <f>IF(AND(OR(Company_Explorer!$B$5="All Companies",$E798=Company_Explorer!$B$5),OR(Company_Explorer!$B$6="All Platforms",$B798=Company_Explorer!$B$6),OR(Company_Explorer!$B$7="All Roles",$D798=Company_Explorer!$B$7),OR(Company_Explorer!$B$8="All Ghost Labels",$AG798=Company_Explorer!$B$8)),1,0)</f>
        <v>0</v>
      </c>
    </row>
    <row r="799" spans="1:35" ht="15" customHeight="1" x14ac:dyDescent="0.3">
      <c r="A799" s="65" t="s">
        <v>2911</v>
      </c>
      <c r="B799" s="65" t="s">
        <v>80</v>
      </c>
      <c r="C799" s="65" t="s">
        <v>2261</v>
      </c>
      <c r="D799" s="65" t="s">
        <v>125</v>
      </c>
      <c r="E799" s="65" t="s">
        <v>2912</v>
      </c>
      <c r="F799" s="65" t="b">
        <f>TRUE()</f>
        <v>1</v>
      </c>
      <c r="G799" s="65" t="s">
        <v>325</v>
      </c>
      <c r="H799" s="65" t="s">
        <v>326</v>
      </c>
      <c r="I799" s="66">
        <v>45930</v>
      </c>
      <c r="J799" s="66">
        <v>46210</v>
      </c>
      <c r="K799" s="65">
        <v>280</v>
      </c>
      <c r="L799" s="65" t="s">
        <v>192</v>
      </c>
      <c r="M799" s="65" t="s">
        <v>184</v>
      </c>
      <c r="N799" s="65" t="b">
        <f>TRUE()</f>
        <v>1</v>
      </c>
      <c r="O799" s="71">
        <v>180000</v>
      </c>
      <c r="P799" s="71">
        <v>700000</v>
      </c>
      <c r="Q799" s="65" t="s">
        <v>332</v>
      </c>
      <c r="R799" s="65" t="s">
        <v>237</v>
      </c>
      <c r="S799" s="65"/>
      <c r="T799" s="65" t="b">
        <f>FALSE()</f>
        <v>0</v>
      </c>
      <c r="U799" s="65" t="b">
        <f>FALSE()</f>
        <v>0</v>
      </c>
      <c r="V799" s="65">
        <v>78</v>
      </c>
      <c r="W799" s="67" t="s">
        <v>2913</v>
      </c>
      <c r="X799" s="65">
        <v>1</v>
      </c>
      <c r="Y799" s="68">
        <v>0.01</v>
      </c>
      <c r="Z799" s="65" t="b">
        <f>FALSE()</f>
        <v>0</v>
      </c>
      <c r="AA799" s="65" t="b">
        <f>FALSE()</f>
        <v>0</v>
      </c>
      <c r="AB799" s="65" t="b">
        <f>TRUE()</f>
        <v>1</v>
      </c>
      <c r="AC799" s="65" t="b">
        <f>TRUE()</f>
        <v>1</v>
      </c>
      <c r="AD799" s="65" t="b">
        <f>FALSE()</f>
        <v>0</v>
      </c>
      <c r="AE799" s="65">
        <v>2</v>
      </c>
      <c r="AF799" s="69">
        <v>28.6</v>
      </c>
      <c r="AG799" s="65" t="s">
        <v>73</v>
      </c>
      <c r="AH799" s="65" t="s">
        <v>2914</v>
      </c>
      <c r="AI799">
        <f>IF(AND(OR(Company_Explorer!$B$5="All Companies",$E799=Company_Explorer!$B$5),OR(Company_Explorer!$B$6="All Platforms",$B799=Company_Explorer!$B$6),OR(Company_Explorer!$B$7="All Roles",$D799=Company_Explorer!$B$7),OR(Company_Explorer!$B$8="All Ghost Labels",$AG799=Company_Explorer!$B$8)),1,0)</f>
        <v>0</v>
      </c>
    </row>
    <row r="800" spans="1:35" ht="15" customHeight="1" x14ac:dyDescent="0.3">
      <c r="A800" s="60" t="s">
        <v>2915</v>
      </c>
      <c r="B800" s="60" t="s">
        <v>80</v>
      </c>
      <c r="C800" s="60" t="s">
        <v>258</v>
      </c>
      <c r="D800" s="60" t="s">
        <v>125</v>
      </c>
      <c r="E800" s="60" t="s">
        <v>141</v>
      </c>
      <c r="F800" s="60" t="b">
        <f>TRUE()</f>
        <v>1</v>
      </c>
      <c r="G800" s="60" t="s">
        <v>168</v>
      </c>
      <c r="H800" s="60" t="s">
        <v>254</v>
      </c>
      <c r="I800" s="61">
        <v>46206</v>
      </c>
      <c r="J800" s="61">
        <v>46210</v>
      </c>
      <c r="K800" s="60">
        <v>4</v>
      </c>
      <c r="L800" s="60" t="s">
        <v>192</v>
      </c>
      <c r="M800" s="60" t="s">
        <v>184</v>
      </c>
      <c r="N800" s="60" t="b">
        <f>FALSE()</f>
        <v>0</v>
      </c>
      <c r="O800" s="60"/>
      <c r="P800" s="60"/>
      <c r="Q800" s="60" t="s">
        <v>236</v>
      </c>
      <c r="R800" s="60" t="s">
        <v>237</v>
      </c>
      <c r="S800" s="60"/>
      <c r="T800" s="60" t="b">
        <f>FALSE()</f>
        <v>0</v>
      </c>
      <c r="U800" s="60" t="b">
        <f>FALSE()</f>
        <v>0</v>
      </c>
      <c r="V800" s="60">
        <v>329</v>
      </c>
      <c r="W800" s="62" t="s">
        <v>259</v>
      </c>
      <c r="X800" s="60">
        <v>429</v>
      </c>
      <c r="Y800" s="63">
        <v>2.66</v>
      </c>
      <c r="Z800" s="60" t="b">
        <f>FALSE()</f>
        <v>0</v>
      </c>
      <c r="AA800" s="60" t="b">
        <f>TRUE()</f>
        <v>1</v>
      </c>
      <c r="AB800" s="60" t="b">
        <f>FALSE()</f>
        <v>0</v>
      </c>
      <c r="AC800" s="60" t="b">
        <f>FALSE()</f>
        <v>0</v>
      </c>
      <c r="AD800" s="60" t="b">
        <f>TRUE()</f>
        <v>1</v>
      </c>
      <c r="AE800" s="60">
        <v>3</v>
      </c>
      <c r="AF800" s="64">
        <v>42.9</v>
      </c>
      <c r="AG800" s="60" t="s">
        <v>73</v>
      </c>
      <c r="AH800" s="60" t="s">
        <v>2916</v>
      </c>
      <c r="AI800">
        <f>IF(AND(OR(Company_Explorer!$B$5="All Companies",$E800=Company_Explorer!$B$5),OR(Company_Explorer!$B$6="All Platforms",$B800=Company_Explorer!$B$6),OR(Company_Explorer!$B$7="All Roles",$D800=Company_Explorer!$B$7),OR(Company_Explorer!$B$8="All Ghost Labels",$AG800=Company_Explorer!$B$8)),1,0)</f>
        <v>0</v>
      </c>
    </row>
    <row r="801" spans="1:35" ht="15" customHeight="1" x14ac:dyDescent="0.3">
      <c r="A801" s="65" t="s">
        <v>2917</v>
      </c>
      <c r="B801" s="65" t="s">
        <v>80</v>
      </c>
      <c r="C801" s="65" t="s">
        <v>718</v>
      </c>
      <c r="D801" s="65" t="s">
        <v>125</v>
      </c>
      <c r="E801" s="65" t="s">
        <v>2918</v>
      </c>
      <c r="F801" s="65" t="b">
        <f>TRUE()</f>
        <v>1</v>
      </c>
      <c r="G801" s="65" t="s">
        <v>167</v>
      </c>
      <c r="H801" s="65" t="s">
        <v>276</v>
      </c>
      <c r="I801" s="66">
        <v>46204</v>
      </c>
      <c r="J801" s="66">
        <v>46210</v>
      </c>
      <c r="K801" s="65">
        <v>6</v>
      </c>
      <c r="L801" s="65" t="s">
        <v>192</v>
      </c>
      <c r="M801" s="65" t="s">
        <v>185</v>
      </c>
      <c r="N801" s="65" t="b">
        <f>FALSE()</f>
        <v>0</v>
      </c>
      <c r="O801" s="65"/>
      <c r="P801" s="65"/>
      <c r="Q801" s="65" t="s">
        <v>236</v>
      </c>
      <c r="R801" s="65" t="s">
        <v>237</v>
      </c>
      <c r="S801" s="65"/>
      <c r="T801" s="65" t="b">
        <f>FALSE()</f>
        <v>0</v>
      </c>
      <c r="U801" s="65" t="b">
        <f>FALSE()</f>
        <v>0</v>
      </c>
      <c r="V801" s="65">
        <v>606</v>
      </c>
      <c r="W801" s="65" t="s">
        <v>2919</v>
      </c>
      <c r="X801" s="65">
        <v>1</v>
      </c>
      <c r="Y801" s="68">
        <v>0.01</v>
      </c>
      <c r="Z801" s="65" t="b">
        <f>FALSE()</f>
        <v>0</v>
      </c>
      <c r="AA801" s="65" t="b">
        <f>TRUE()</f>
        <v>1</v>
      </c>
      <c r="AB801" s="65" t="b">
        <f>FALSE()</f>
        <v>0</v>
      </c>
      <c r="AC801" s="65" t="b">
        <f>FALSE()</f>
        <v>0</v>
      </c>
      <c r="AD801" s="65" t="b">
        <f>FALSE()</f>
        <v>0</v>
      </c>
      <c r="AE801" s="65">
        <v>1</v>
      </c>
      <c r="AF801" s="69">
        <v>14.3</v>
      </c>
      <c r="AG801" s="65" t="s">
        <v>74</v>
      </c>
      <c r="AH801" s="65" t="s">
        <v>2920</v>
      </c>
      <c r="AI801">
        <f>IF(AND(OR(Company_Explorer!$B$5="All Companies",$E801=Company_Explorer!$B$5),OR(Company_Explorer!$B$6="All Platforms",$B801=Company_Explorer!$B$6),OR(Company_Explorer!$B$7="All Roles",$D801=Company_Explorer!$B$7),OR(Company_Explorer!$B$8="All Ghost Labels",$AG801=Company_Explorer!$B$8)),1,0)</f>
        <v>0</v>
      </c>
    </row>
    <row r="802" spans="1:35" ht="15" customHeight="1" x14ac:dyDescent="0.3">
      <c r="A802" s="60" t="s">
        <v>2921</v>
      </c>
      <c r="B802" s="60" t="s">
        <v>80</v>
      </c>
      <c r="C802" s="60" t="s">
        <v>258</v>
      </c>
      <c r="D802" s="60" t="s">
        <v>125</v>
      </c>
      <c r="E802" s="60" t="s">
        <v>141</v>
      </c>
      <c r="F802" s="60" t="b">
        <f>TRUE()</f>
        <v>1</v>
      </c>
      <c r="G802" s="60" t="s">
        <v>167</v>
      </c>
      <c r="H802" s="60" t="s">
        <v>276</v>
      </c>
      <c r="I802" s="61">
        <v>46198</v>
      </c>
      <c r="J802" s="61">
        <v>46210</v>
      </c>
      <c r="K802" s="60">
        <v>12</v>
      </c>
      <c r="L802" s="60" t="s">
        <v>192</v>
      </c>
      <c r="M802" s="60" t="s">
        <v>184</v>
      </c>
      <c r="N802" s="60" t="b">
        <f>FALSE()</f>
        <v>0</v>
      </c>
      <c r="O802" s="60"/>
      <c r="P802" s="60"/>
      <c r="Q802" s="60" t="s">
        <v>236</v>
      </c>
      <c r="R802" s="60" t="s">
        <v>237</v>
      </c>
      <c r="S802" s="60"/>
      <c r="T802" s="60" t="b">
        <f>FALSE()</f>
        <v>0</v>
      </c>
      <c r="U802" s="60" t="b">
        <f>FALSE()</f>
        <v>0</v>
      </c>
      <c r="V802" s="60">
        <v>319</v>
      </c>
      <c r="W802" s="62" t="s">
        <v>259</v>
      </c>
      <c r="X802" s="60">
        <v>429</v>
      </c>
      <c r="Y802" s="63">
        <v>2.66</v>
      </c>
      <c r="Z802" s="60" t="b">
        <f>FALSE()</f>
        <v>0</v>
      </c>
      <c r="AA802" s="60" t="b">
        <f>TRUE()</f>
        <v>1</v>
      </c>
      <c r="AB802" s="60" t="b">
        <f>FALSE()</f>
        <v>0</v>
      </c>
      <c r="AC802" s="60" t="b">
        <f>FALSE()</f>
        <v>0</v>
      </c>
      <c r="AD802" s="60" t="b">
        <f>TRUE()</f>
        <v>1</v>
      </c>
      <c r="AE802" s="60">
        <v>3</v>
      </c>
      <c r="AF802" s="64">
        <v>42.9</v>
      </c>
      <c r="AG802" s="60" t="s">
        <v>73</v>
      </c>
      <c r="AH802" s="60" t="s">
        <v>2922</v>
      </c>
      <c r="AI802">
        <f>IF(AND(OR(Company_Explorer!$B$5="All Companies",$E802=Company_Explorer!$B$5),OR(Company_Explorer!$B$6="All Platforms",$B802=Company_Explorer!$B$6),OR(Company_Explorer!$B$7="All Roles",$D802=Company_Explorer!$B$7),OR(Company_Explorer!$B$8="All Ghost Labels",$AG802=Company_Explorer!$B$8)),1,0)</f>
        <v>0</v>
      </c>
    </row>
    <row r="803" spans="1:35" ht="15" customHeight="1" x14ac:dyDescent="0.3">
      <c r="A803" s="65" t="s">
        <v>2923</v>
      </c>
      <c r="B803" s="65" t="s">
        <v>80</v>
      </c>
      <c r="C803" s="65" t="s">
        <v>2924</v>
      </c>
      <c r="D803" s="65" t="s">
        <v>125</v>
      </c>
      <c r="E803" s="65" t="s">
        <v>2925</v>
      </c>
      <c r="F803" s="65" t="b">
        <f>TRUE()</f>
        <v>1</v>
      </c>
      <c r="G803" s="65" t="s">
        <v>174</v>
      </c>
      <c r="H803" s="65" t="s">
        <v>302</v>
      </c>
      <c r="I803" s="66">
        <v>46121</v>
      </c>
      <c r="J803" s="66">
        <v>46210</v>
      </c>
      <c r="K803" s="65">
        <v>89</v>
      </c>
      <c r="L803" s="65" t="s">
        <v>192</v>
      </c>
      <c r="M803" s="65" t="s">
        <v>185</v>
      </c>
      <c r="N803" s="65" t="b">
        <f>FALSE()</f>
        <v>0</v>
      </c>
      <c r="O803" s="65"/>
      <c r="P803" s="65"/>
      <c r="Q803" s="65" t="s">
        <v>236</v>
      </c>
      <c r="R803" s="65" t="s">
        <v>237</v>
      </c>
      <c r="S803" s="65"/>
      <c r="T803" s="65" t="b">
        <f>FALSE()</f>
        <v>0</v>
      </c>
      <c r="U803" s="65" t="b">
        <f>FALSE()</f>
        <v>0</v>
      </c>
      <c r="V803" s="65">
        <v>361</v>
      </c>
      <c r="W803" s="67" t="s">
        <v>2926</v>
      </c>
      <c r="X803" s="65">
        <v>2</v>
      </c>
      <c r="Y803" s="68">
        <v>0.01</v>
      </c>
      <c r="Z803" s="65" t="b">
        <f>FALSE()</f>
        <v>0</v>
      </c>
      <c r="AA803" s="65" t="b">
        <f>TRUE()</f>
        <v>1</v>
      </c>
      <c r="AB803" s="65" t="b">
        <f>FALSE()</f>
        <v>0</v>
      </c>
      <c r="AC803" s="65" t="b">
        <f>TRUE()</f>
        <v>1</v>
      </c>
      <c r="AD803" s="65" t="b">
        <f>FALSE()</f>
        <v>0</v>
      </c>
      <c r="AE803" s="65">
        <v>2</v>
      </c>
      <c r="AF803" s="69">
        <v>28.6</v>
      </c>
      <c r="AG803" s="65" t="s">
        <v>73</v>
      </c>
      <c r="AH803" s="65" t="s">
        <v>2927</v>
      </c>
      <c r="AI803">
        <f>IF(AND(OR(Company_Explorer!$B$5="All Companies",$E803=Company_Explorer!$B$5),OR(Company_Explorer!$B$6="All Platforms",$B803=Company_Explorer!$B$6),OR(Company_Explorer!$B$7="All Roles",$D803=Company_Explorer!$B$7),OR(Company_Explorer!$B$8="All Ghost Labels",$AG803=Company_Explorer!$B$8)),1,0)</f>
        <v>0</v>
      </c>
    </row>
    <row r="804" spans="1:35" ht="15" customHeight="1" x14ac:dyDescent="0.3">
      <c r="A804" s="60" t="s">
        <v>2928</v>
      </c>
      <c r="B804" s="60" t="s">
        <v>80</v>
      </c>
      <c r="C804" s="60" t="s">
        <v>2658</v>
      </c>
      <c r="D804" s="60" t="s">
        <v>131</v>
      </c>
      <c r="E804" s="60" t="s">
        <v>2659</v>
      </c>
      <c r="F804" s="60" t="b">
        <f>TRUE()</f>
        <v>1</v>
      </c>
      <c r="G804" s="60" t="s">
        <v>1417</v>
      </c>
      <c r="H804" s="60" t="s">
        <v>165</v>
      </c>
      <c r="I804" s="61">
        <v>46182</v>
      </c>
      <c r="J804" s="61">
        <v>46210</v>
      </c>
      <c r="K804" s="60">
        <v>28</v>
      </c>
      <c r="L804" s="60" t="s">
        <v>192</v>
      </c>
      <c r="M804" s="60" t="s">
        <v>185</v>
      </c>
      <c r="N804" s="60" t="b">
        <f>FALSE()</f>
        <v>0</v>
      </c>
      <c r="O804" s="60"/>
      <c r="P804" s="60"/>
      <c r="Q804" s="60" t="s">
        <v>236</v>
      </c>
      <c r="R804" s="60" t="s">
        <v>237</v>
      </c>
      <c r="S804" s="60"/>
      <c r="T804" s="60" t="b">
        <f>FALSE()</f>
        <v>0</v>
      </c>
      <c r="U804" s="60" t="b">
        <f>FALSE()</f>
        <v>0</v>
      </c>
      <c r="V804" s="60">
        <v>1217</v>
      </c>
      <c r="W804" s="60" t="s">
        <v>2660</v>
      </c>
      <c r="X804" s="60">
        <v>2</v>
      </c>
      <c r="Y804" s="63">
        <v>0.01</v>
      </c>
      <c r="Z804" s="60" t="b">
        <f>FALSE()</f>
        <v>0</v>
      </c>
      <c r="AA804" s="60" t="b">
        <f>TRUE()</f>
        <v>1</v>
      </c>
      <c r="AB804" s="60" t="b">
        <f>FALSE()</f>
        <v>0</v>
      </c>
      <c r="AC804" s="60" t="b">
        <f>TRUE()</f>
        <v>1</v>
      </c>
      <c r="AD804" s="60" t="b">
        <f>FALSE()</f>
        <v>0</v>
      </c>
      <c r="AE804" s="60">
        <v>2</v>
      </c>
      <c r="AF804" s="64">
        <v>28.6</v>
      </c>
      <c r="AG804" s="60" t="s">
        <v>73</v>
      </c>
      <c r="AH804" s="60" t="s">
        <v>2929</v>
      </c>
      <c r="AI804">
        <f>IF(AND(OR(Company_Explorer!$B$5="All Companies",$E804=Company_Explorer!$B$5),OR(Company_Explorer!$B$6="All Platforms",$B804=Company_Explorer!$B$6),OR(Company_Explorer!$B$7="All Roles",$D804=Company_Explorer!$B$7),OR(Company_Explorer!$B$8="All Ghost Labels",$AG804=Company_Explorer!$B$8)),1,0)</f>
        <v>0</v>
      </c>
    </row>
    <row r="805" spans="1:35" ht="15" customHeight="1" x14ac:dyDescent="0.3">
      <c r="A805" s="65" t="s">
        <v>2930</v>
      </c>
      <c r="B805" s="65" t="s">
        <v>80</v>
      </c>
      <c r="C805" s="65" t="s">
        <v>2931</v>
      </c>
      <c r="D805" s="65" t="s">
        <v>130</v>
      </c>
      <c r="E805" s="65" t="s">
        <v>2932</v>
      </c>
      <c r="F805" s="65" t="b">
        <f>TRUE()</f>
        <v>1</v>
      </c>
      <c r="G805" s="65" t="s">
        <v>2933</v>
      </c>
      <c r="H805" s="65" t="s">
        <v>754</v>
      </c>
      <c r="I805" s="66">
        <v>45930</v>
      </c>
      <c r="J805" s="66">
        <v>46210</v>
      </c>
      <c r="K805" s="65">
        <v>280</v>
      </c>
      <c r="L805" s="65" t="s">
        <v>192</v>
      </c>
      <c r="M805" s="65" t="s">
        <v>184</v>
      </c>
      <c r="N805" s="65" t="b">
        <f>TRUE()</f>
        <v>1</v>
      </c>
      <c r="O805" s="71">
        <v>200000</v>
      </c>
      <c r="P805" s="71">
        <v>2000000</v>
      </c>
      <c r="Q805" s="65" t="s">
        <v>332</v>
      </c>
      <c r="R805" s="65" t="s">
        <v>237</v>
      </c>
      <c r="S805" s="65"/>
      <c r="T805" s="65" t="b">
        <f>FALSE()</f>
        <v>0</v>
      </c>
      <c r="U805" s="65" t="b">
        <f>FALSE()</f>
        <v>0</v>
      </c>
      <c r="V805" s="65">
        <v>173</v>
      </c>
      <c r="W805" s="67" t="s">
        <v>2934</v>
      </c>
      <c r="X805" s="65">
        <v>1</v>
      </c>
      <c r="Y805" s="68">
        <v>0.01</v>
      </c>
      <c r="Z805" s="65" t="b">
        <f>FALSE()</f>
        <v>0</v>
      </c>
      <c r="AA805" s="65" t="b">
        <f>FALSE()</f>
        <v>0</v>
      </c>
      <c r="AB805" s="65" t="b">
        <f>TRUE()</f>
        <v>1</v>
      </c>
      <c r="AC805" s="65" t="b">
        <f>TRUE()</f>
        <v>1</v>
      </c>
      <c r="AD805" s="65" t="b">
        <f>FALSE()</f>
        <v>0</v>
      </c>
      <c r="AE805" s="65">
        <v>2</v>
      </c>
      <c r="AF805" s="69">
        <v>28.6</v>
      </c>
      <c r="AG805" s="65" t="s">
        <v>73</v>
      </c>
      <c r="AH805" s="65" t="s">
        <v>2935</v>
      </c>
      <c r="AI805">
        <f>IF(AND(OR(Company_Explorer!$B$5="All Companies",$E805=Company_Explorer!$B$5),OR(Company_Explorer!$B$6="All Platforms",$B805=Company_Explorer!$B$6),OR(Company_Explorer!$B$7="All Roles",$D805=Company_Explorer!$B$7),OR(Company_Explorer!$B$8="All Ghost Labels",$AG805=Company_Explorer!$B$8)),1,0)</f>
        <v>0</v>
      </c>
    </row>
    <row r="806" spans="1:35" ht="15" customHeight="1" x14ac:dyDescent="0.3">
      <c r="A806" s="60" t="s">
        <v>2936</v>
      </c>
      <c r="B806" s="60" t="s">
        <v>80</v>
      </c>
      <c r="C806" s="60" t="s">
        <v>258</v>
      </c>
      <c r="D806" s="60" t="s">
        <v>125</v>
      </c>
      <c r="E806" s="60" t="s">
        <v>141</v>
      </c>
      <c r="F806" s="60" t="b">
        <f>TRUE()</f>
        <v>1</v>
      </c>
      <c r="G806" s="60" t="s">
        <v>174</v>
      </c>
      <c r="H806" s="60" t="s">
        <v>302</v>
      </c>
      <c r="I806" s="61">
        <v>46198</v>
      </c>
      <c r="J806" s="61">
        <v>46210</v>
      </c>
      <c r="K806" s="60">
        <v>12</v>
      </c>
      <c r="L806" s="60" t="s">
        <v>192</v>
      </c>
      <c r="M806" s="60" t="s">
        <v>184</v>
      </c>
      <c r="N806" s="60" t="b">
        <f>FALSE()</f>
        <v>0</v>
      </c>
      <c r="O806" s="60"/>
      <c r="P806" s="60"/>
      <c r="Q806" s="60" t="s">
        <v>236</v>
      </c>
      <c r="R806" s="60" t="s">
        <v>237</v>
      </c>
      <c r="S806" s="60"/>
      <c r="T806" s="60" t="b">
        <f>FALSE()</f>
        <v>0</v>
      </c>
      <c r="U806" s="60" t="b">
        <f>FALSE()</f>
        <v>0</v>
      </c>
      <c r="V806" s="60">
        <v>321</v>
      </c>
      <c r="W806" s="62" t="s">
        <v>2937</v>
      </c>
      <c r="X806" s="60">
        <v>429</v>
      </c>
      <c r="Y806" s="63">
        <v>2.66</v>
      </c>
      <c r="Z806" s="60" t="b">
        <f>FALSE()</f>
        <v>0</v>
      </c>
      <c r="AA806" s="60" t="b">
        <f>TRUE()</f>
        <v>1</v>
      </c>
      <c r="AB806" s="60" t="b">
        <f>FALSE()</f>
        <v>0</v>
      </c>
      <c r="AC806" s="60" t="b">
        <f>FALSE()</f>
        <v>0</v>
      </c>
      <c r="AD806" s="60" t="b">
        <f>TRUE()</f>
        <v>1</v>
      </c>
      <c r="AE806" s="60">
        <v>3</v>
      </c>
      <c r="AF806" s="64">
        <v>42.9</v>
      </c>
      <c r="AG806" s="60" t="s">
        <v>73</v>
      </c>
      <c r="AH806" s="60" t="s">
        <v>2938</v>
      </c>
      <c r="AI806">
        <f>IF(AND(OR(Company_Explorer!$B$5="All Companies",$E806=Company_Explorer!$B$5),OR(Company_Explorer!$B$6="All Platforms",$B806=Company_Explorer!$B$6),OR(Company_Explorer!$B$7="All Roles",$D806=Company_Explorer!$B$7),OR(Company_Explorer!$B$8="All Ghost Labels",$AG806=Company_Explorer!$B$8)),1,0)</f>
        <v>0</v>
      </c>
    </row>
    <row r="807" spans="1:35" ht="15" customHeight="1" x14ac:dyDescent="0.3">
      <c r="A807" s="65" t="s">
        <v>2939</v>
      </c>
      <c r="B807" s="65" t="s">
        <v>80</v>
      </c>
      <c r="C807" s="65" t="s">
        <v>2940</v>
      </c>
      <c r="D807" s="65" t="s">
        <v>125</v>
      </c>
      <c r="E807" s="65" t="s">
        <v>2941</v>
      </c>
      <c r="F807" s="65" t="b">
        <f>TRUE()</f>
        <v>1</v>
      </c>
      <c r="G807" s="65" t="s">
        <v>174</v>
      </c>
      <c r="H807" s="65" t="s">
        <v>302</v>
      </c>
      <c r="I807" s="66">
        <v>46197</v>
      </c>
      <c r="J807" s="66">
        <v>46210</v>
      </c>
      <c r="K807" s="65">
        <v>13</v>
      </c>
      <c r="L807" s="65" t="s">
        <v>192</v>
      </c>
      <c r="M807" s="65" t="s">
        <v>184</v>
      </c>
      <c r="N807" s="65" t="b">
        <f>FALSE()</f>
        <v>0</v>
      </c>
      <c r="O807" s="65"/>
      <c r="P807" s="65"/>
      <c r="Q807" s="65" t="s">
        <v>236</v>
      </c>
      <c r="R807" s="65" t="s">
        <v>237</v>
      </c>
      <c r="S807" s="65"/>
      <c r="T807" s="65" t="b">
        <f>FALSE()</f>
        <v>0</v>
      </c>
      <c r="U807" s="65" t="b">
        <f>FALSE()</f>
        <v>0</v>
      </c>
      <c r="V807" s="65">
        <v>857</v>
      </c>
      <c r="W807" s="67" t="s">
        <v>2942</v>
      </c>
      <c r="X807" s="65">
        <v>1</v>
      </c>
      <c r="Y807" s="68">
        <v>0.01</v>
      </c>
      <c r="Z807" s="65" t="b">
        <f>FALSE()</f>
        <v>0</v>
      </c>
      <c r="AA807" s="65" t="b">
        <f>TRUE()</f>
        <v>1</v>
      </c>
      <c r="AB807" s="65" t="b">
        <f>FALSE()</f>
        <v>0</v>
      </c>
      <c r="AC807" s="65" t="b">
        <f>FALSE()</f>
        <v>0</v>
      </c>
      <c r="AD807" s="65" t="b">
        <f>FALSE()</f>
        <v>0</v>
      </c>
      <c r="AE807" s="65">
        <v>1</v>
      </c>
      <c r="AF807" s="69">
        <v>14.3</v>
      </c>
      <c r="AG807" s="65" t="s">
        <v>74</v>
      </c>
      <c r="AH807" s="65" t="s">
        <v>2943</v>
      </c>
      <c r="AI807">
        <f>IF(AND(OR(Company_Explorer!$B$5="All Companies",$E807=Company_Explorer!$B$5),OR(Company_Explorer!$B$6="All Platforms",$B807=Company_Explorer!$B$6),OR(Company_Explorer!$B$7="All Roles",$D807=Company_Explorer!$B$7),OR(Company_Explorer!$B$8="All Ghost Labels",$AG807=Company_Explorer!$B$8)),1,0)</f>
        <v>0</v>
      </c>
    </row>
    <row r="808" spans="1:35" ht="15" customHeight="1" x14ac:dyDescent="0.3">
      <c r="A808" s="60" t="s">
        <v>2944</v>
      </c>
      <c r="B808" s="60" t="s">
        <v>80</v>
      </c>
      <c r="C808" s="60" t="s">
        <v>2034</v>
      </c>
      <c r="D808" s="60" t="s">
        <v>130</v>
      </c>
      <c r="E808" s="60" t="s">
        <v>614</v>
      </c>
      <c r="F808" s="60" t="b">
        <f>TRUE()</f>
        <v>1</v>
      </c>
      <c r="G808" s="60" t="s">
        <v>168</v>
      </c>
      <c r="H808" s="60" t="s">
        <v>254</v>
      </c>
      <c r="I808" s="61">
        <v>46205</v>
      </c>
      <c r="J808" s="61">
        <v>46210</v>
      </c>
      <c r="K808" s="60">
        <v>5</v>
      </c>
      <c r="L808" s="60" t="s">
        <v>192</v>
      </c>
      <c r="M808" s="60" t="s">
        <v>185</v>
      </c>
      <c r="N808" s="60" t="b">
        <f>FALSE()</f>
        <v>0</v>
      </c>
      <c r="O808" s="60"/>
      <c r="P808" s="60"/>
      <c r="Q808" s="60" t="s">
        <v>236</v>
      </c>
      <c r="R808" s="60" t="s">
        <v>237</v>
      </c>
      <c r="S808" s="60"/>
      <c r="T808" s="60" t="b">
        <f>FALSE()</f>
        <v>0</v>
      </c>
      <c r="U808" s="60" t="b">
        <f>FALSE()</f>
        <v>0</v>
      </c>
      <c r="V808" s="60">
        <v>543</v>
      </c>
      <c r="W808" s="62" t="s">
        <v>2945</v>
      </c>
      <c r="X808" s="60">
        <v>7</v>
      </c>
      <c r="Y808" s="63">
        <v>0.04</v>
      </c>
      <c r="Z808" s="60" t="b">
        <f>FALSE()</f>
        <v>0</v>
      </c>
      <c r="AA808" s="60" t="b">
        <f>TRUE()</f>
        <v>1</v>
      </c>
      <c r="AB808" s="60" t="b">
        <f>FALSE()</f>
        <v>0</v>
      </c>
      <c r="AC808" s="60" t="b">
        <f>FALSE()</f>
        <v>0</v>
      </c>
      <c r="AD808" s="60" t="b">
        <f>FALSE()</f>
        <v>0</v>
      </c>
      <c r="AE808" s="60">
        <v>1</v>
      </c>
      <c r="AF808" s="64">
        <v>14.3</v>
      </c>
      <c r="AG808" s="60" t="s">
        <v>74</v>
      </c>
      <c r="AH808" s="60" t="s">
        <v>2946</v>
      </c>
      <c r="AI808">
        <f>IF(AND(OR(Company_Explorer!$B$5="All Companies",$E808=Company_Explorer!$B$5),OR(Company_Explorer!$B$6="All Platforms",$B808=Company_Explorer!$B$6),OR(Company_Explorer!$B$7="All Roles",$D808=Company_Explorer!$B$7),OR(Company_Explorer!$B$8="All Ghost Labels",$AG808=Company_Explorer!$B$8)),1,0)</f>
        <v>0</v>
      </c>
    </row>
    <row r="809" spans="1:35" ht="15" customHeight="1" x14ac:dyDescent="0.3">
      <c r="A809" s="65" t="s">
        <v>2947</v>
      </c>
      <c r="B809" s="65" t="s">
        <v>80</v>
      </c>
      <c r="C809" s="65" t="s">
        <v>258</v>
      </c>
      <c r="D809" s="65" t="s">
        <v>125</v>
      </c>
      <c r="E809" s="65" t="s">
        <v>141</v>
      </c>
      <c r="F809" s="65" t="b">
        <f>TRUE()</f>
        <v>1</v>
      </c>
      <c r="G809" s="65" t="s">
        <v>949</v>
      </c>
      <c r="H809" s="65" t="s">
        <v>254</v>
      </c>
      <c r="I809" s="66">
        <v>46198</v>
      </c>
      <c r="J809" s="66">
        <v>46210</v>
      </c>
      <c r="K809" s="65">
        <v>12</v>
      </c>
      <c r="L809" s="65" t="s">
        <v>192</v>
      </c>
      <c r="M809" s="65" t="s">
        <v>184</v>
      </c>
      <c r="N809" s="65" t="b">
        <f>FALSE()</f>
        <v>0</v>
      </c>
      <c r="O809" s="65"/>
      <c r="P809" s="65"/>
      <c r="Q809" s="65" t="s">
        <v>236</v>
      </c>
      <c r="R809" s="65" t="s">
        <v>237</v>
      </c>
      <c r="S809" s="65"/>
      <c r="T809" s="65" t="b">
        <f>FALSE()</f>
        <v>0</v>
      </c>
      <c r="U809" s="65" t="b">
        <f>FALSE()</f>
        <v>0</v>
      </c>
      <c r="V809" s="65">
        <v>302</v>
      </c>
      <c r="W809" s="67" t="s">
        <v>2948</v>
      </c>
      <c r="X809" s="65">
        <v>429</v>
      </c>
      <c r="Y809" s="68">
        <v>2.66</v>
      </c>
      <c r="Z809" s="65" t="b">
        <f>FALSE()</f>
        <v>0</v>
      </c>
      <c r="AA809" s="65" t="b">
        <f>TRUE()</f>
        <v>1</v>
      </c>
      <c r="AB809" s="65" t="b">
        <f>FALSE()</f>
        <v>0</v>
      </c>
      <c r="AC809" s="65" t="b">
        <f>FALSE()</f>
        <v>0</v>
      </c>
      <c r="AD809" s="65" t="b">
        <f>TRUE()</f>
        <v>1</v>
      </c>
      <c r="AE809" s="65">
        <v>3</v>
      </c>
      <c r="AF809" s="69">
        <v>42.9</v>
      </c>
      <c r="AG809" s="65" t="s">
        <v>73</v>
      </c>
      <c r="AH809" s="65" t="s">
        <v>2949</v>
      </c>
      <c r="AI809">
        <f>IF(AND(OR(Company_Explorer!$B$5="All Companies",$E809=Company_Explorer!$B$5),OR(Company_Explorer!$B$6="All Platforms",$B809=Company_Explorer!$B$6),OR(Company_Explorer!$B$7="All Roles",$D809=Company_Explorer!$B$7),OR(Company_Explorer!$B$8="All Ghost Labels",$AG809=Company_Explorer!$B$8)),1,0)</f>
        <v>0</v>
      </c>
    </row>
    <row r="810" spans="1:35" ht="15" customHeight="1" x14ac:dyDescent="0.3">
      <c r="A810" s="60" t="s">
        <v>2950</v>
      </c>
      <c r="B810" s="60" t="s">
        <v>80</v>
      </c>
      <c r="C810" s="60" t="s">
        <v>258</v>
      </c>
      <c r="D810" s="60" t="s">
        <v>125</v>
      </c>
      <c r="E810" s="60" t="s">
        <v>141</v>
      </c>
      <c r="F810" s="60" t="b">
        <f>TRUE()</f>
        <v>1</v>
      </c>
      <c r="G810" s="60" t="s">
        <v>168</v>
      </c>
      <c r="H810" s="60" t="s">
        <v>254</v>
      </c>
      <c r="I810" s="61">
        <v>46209</v>
      </c>
      <c r="J810" s="61">
        <v>46210</v>
      </c>
      <c r="K810" s="60">
        <v>1</v>
      </c>
      <c r="L810" s="60" t="s">
        <v>192</v>
      </c>
      <c r="M810" s="60" t="s">
        <v>184</v>
      </c>
      <c r="N810" s="60" t="b">
        <f>FALSE()</f>
        <v>0</v>
      </c>
      <c r="O810" s="60"/>
      <c r="P810" s="60"/>
      <c r="Q810" s="60" t="s">
        <v>236</v>
      </c>
      <c r="R810" s="60" t="s">
        <v>237</v>
      </c>
      <c r="S810" s="60"/>
      <c r="T810" s="60" t="b">
        <f>FALSE()</f>
        <v>0</v>
      </c>
      <c r="U810" s="60" t="b">
        <f>FALSE()</f>
        <v>0</v>
      </c>
      <c r="V810" s="60">
        <v>173</v>
      </c>
      <c r="W810" s="62" t="s">
        <v>259</v>
      </c>
      <c r="X810" s="60">
        <v>429</v>
      </c>
      <c r="Y810" s="63">
        <v>2.66</v>
      </c>
      <c r="Z810" s="60" t="b">
        <f>FALSE()</f>
        <v>0</v>
      </c>
      <c r="AA810" s="60" t="b">
        <f>TRUE()</f>
        <v>1</v>
      </c>
      <c r="AB810" s="60" t="b">
        <f>TRUE()</f>
        <v>1</v>
      </c>
      <c r="AC810" s="60" t="b">
        <f>FALSE()</f>
        <v>0</v>
      </c>
      <c r="AD810" s="60" t="b">
        <f>TRUE()</f>
        <v>1</v>
      </c>
      <c r="AE810" s="60">
        <v>4</v>
      </c>
      <c r="AF810" s="64">
        <v>57.1</v>
      </c>
      <c r="AG810" s="60" t="s">
        <v>72</v>
      </c>
      <c r="AH810" s="60" t="s">
        <v>2951</v>
      </c>
      <c r="AI810">
        <f>IF(AND(OR(Company_Explorer!$B$5="All Companies",$E810=Company_Explorer!$B$5),OR(Company_Explorer!$B$6="All Platforms",$B810=Company_Explorer!$B$6),OR(Company_Explorer!$B$7="All Roles",$D810=Company_Explorer!$B$7),OR(Company_Explorer!$B$8="All Ghost Labels",$AG810=Company_Explorer!$B$8)),1,0)</f>
        <v>0</v>
      </c>
    </row>
    <row r="811" spans="1:35" ht="15" customHeight="1" x14ac:dyDescent="0.3">
      <c r="A811" s="65" t="s">
        <v>2952</v>
      </c>
      <c r="B811" s="65" t="s">
        <v>80</v>
      </c>
      <c r="C811" s="65" t="s">
        <v>2953</v>
      </c>
      <c r="D811" s="65" t="s">
        <v>125</v>
      </c>
      <c r="E811" s="65" t="s">
        <v>331</v>
      </c>
      <c r="F811" s="65" t="b">
        <f>TRUE()</f>
        <v>1</v>
      </c>
      <c r="G811" s="65" t="s">
        <v>178</v>
      </c>
      <c r="H811" s="65" t="s">
        <v>165</v>
      </c>
      <c r="I811" s="66">
        <v>46199</v>
      </c>
      <c r="J811" s="66">
        <v>46210</v>
      </c>
      <c r="K811" s="65">
        <v>11</v>
      </c>
      <c r="L811" s="65" t="s">
        <v>194</v>
      </c>
      <c r="M811" s="65" t="s">
        <v>185</v>
      </c>
      <c r="N811" s="65" t="b">
        <f>TRUE()</f>
        <v>1</v>
      </c>
      <c r="O811" s="71">
        <v>27</v>
      </c>
      <c r="P811" s="71">
        <v>27</v>
      </c>
      <c r="Q811" s="65" t="s">
        <v>332</v>
      </c>
      <c r="R811" s="65" t="s">
        <v>237</v>
      </c>
      <c r="S811" s="65"/>
      <c r="T811" s="65" t="b">
        <f>FALSE()</f>
        <v>0</v>
      </c>
      <c r="U811" s="65" t="b">
        <f>FALSE()</f>
        <v>0</v>
      </c>
      <c r="V811" s="65">
        <v>162</v>
      </c>
      <c r="W811" s="67" t="s">
        <v>2954</v>
      </c>
      <c r="X811" s="65">
        <v>7</v>
      </c>
      <c r="Y811" s="68">
        <v>0.04</v>
      </c>
      <c r="Z811" s="65" t="b">
        <f>FALSE()</f>
        <v>0</v>
      </c>
      <c r="AA811" s="65" t="b">
        <f>FALSE()</f>
        <v>0</v>
      </c>
      <c r="AB811" s="65" t="b">
        <f>TRUE()</f>
        <v>1</v>
      </c>
      <c r="AC811" s="65" t="b">
        <f>FALSE()</f>
        <v>0</v>
      </c>
      <c r="AD811" s="65" t="b">
        <f>FALSE()</f>
        <v>0</v>
      </c>
      <c r="AE811" s="65">
        <v>1</v>
      </c>
      <c r="AF811" s="69">
        <v>14.3</v>
      </c>
      <c r="AG811" s="65" t="s">
        <v>74</v>
      </c>
      <c r="AH811" s="65" t="s">
        <v>2955</v>
      </c>
      <c r="AI811">
        <f>IF(AND(OR(Company_Explorer!$B$5="All Companies",$E811=Company_Explorer!$B$5),OR(Company_Explorer!$B$6="All Platforms",$B811=Company_Explorer!$B$6),OR(Company_Explorer!$B$7="All Roles",$D811=Company_Explorer!$B$7),OR(Company_Explorer!$B$8="All Ghost Labels",$AG811=Company_Explorer!$B$8)),1,0)</f>
        <v>0</v>
      </c>
    </row>
    <row r="812" spans="1:35" ht="15" customHeight="1" x14ac:dyDescent="0.3">
      <c r="A812" s="60" t="s">
        <v>2956</v>
      </c>
      <c r="B812" s="60" t="s">
        <v>80</v>
      </c>
      <c r="C812" s="60" t="s">
        <v>452</v>
      </c>
      <c r="D812" s="60" t="s">
        <v>129</v>
      </c>
      <c r="E812" s="60" t="s">
        <v>453</v>
      </c>
      <c r="F812" s="60" t="b">
        <f>TRUE()</f>
        <v>1</v>
      </c>
      <c r="G812" s="60" t="s">
        <v>166</v>
      </c>
      <c r="H812" s="60" t="s">
        <v>235</v>
      </c>
      <c r="I812" s="61">
        <v>46206</v>
      </c>
      <c r="J812" s="61">
        <v>46210</v>
      </c>
      <c r="K812" s="60">
        <v>4</v>
      </c>
      <c r="L812" s="60" t="s">
        <v>192</v>
      </c>
      <c r="M812" s="60" t="s">
        <v>184</v>
      </c>
      <c r="N812" s="60" t="b">
        <f>FALSE()</f>
        <v>0</v>
      </c>
      <c r="O812" s="60"/>
      <c r="P812" s="60"/>
      <c r="Q812" s="60" t="s">
        <v>236</v>
      </c>
      <c r="R812" s="60" t="s">
        <v>237</v>
      </c>
      <c r="S812" s="60"/>
      <c r="T812" s="60" t="b">
        <f>FALSE()</f>
        <v>0</v>
      </c>
      <c r="U812" s="60" t="b">
        <f>FALSE()</f>
        <v>0</v>
      </c>
      <c r="V812" s="60">
        <v>527</v>
      </c>
      <c r="W812" s="62" t="s">
        <v>454</v>
      </c>
      <c r="X812" s="60">
        <v>2</v>
      </c>
      <c r="Y812" s="63">
        <v>0.01</v>
      </c>
      <c r="Z812" s="60" t="b">
        <f>FALSE()</f>
        <v>0</v>
      </c>
      <c r="AA812" s="60" t="b">
        <f>TRUE()</f>
        <v>1</v>
      </c>
      <c r="AB812" s="60" t="b">
        <f>FALSE()</f>
        <v>0</v>
      </c>
      <c r="AC812" s="60" t="b">
        <f>FALSE()</f>
        <v>0</v>
      </c>
      <c r="AD812" s="60" t="b">
        <f>FALSE()</f>
        <v>0</v>
      </c>
      <c r="AE812" s="60">
        <v>1</v>
      </c>
      <c r="AF812" s="64">
        <v>14.3</v>
      </c>
      <c r="AG812" s="60" t="s">
        <v>74</v>
      </c>
      <c r="AH812" s="60" t="s">
        <v>2957</v>
      </c>
      <c r="AI812">
        <f>IF(AND(OR(Company_Explorer!$B$5="All Companies",$E812=Company_Explorer!$B$5),OR(Company_Explorer!$B$6="All Platforms",$B812=Company_Explorer!$B$6),OR(Company_Explorer!$B$7="All Roles",$D812=Company_Explorer!$B$7),OR(Company_Explorer!$B$8="All Ghost Labels",$AG812=Company_Explorer!$B$8)),1,0)</f>
        <v>0</v>
      </c>
    </row>
    <row r="813" spans="1:35" ht="15" customHeight="1" x14ac:dyDescent="0.3">
      <c r="A813" s="65" t="s">
        <v>2958</v>
      </c>
      <c r="B813" s="65" t="s">
        <v>80</v>
      </c>
      <c r="C813" s="65" t="s">
        <v>2959</v>
      </c>
      <c r="D813" s="65" t="s">
        <v>131</v>
      </c>
      <c r="E813" s="65" t="s">
        <v>2960</v>
      </c>
      <c r="F813" s="65" t="b">
        <f>TRUE()</f>
        <v>1</v>
      </c>
      <c r="G813" s="65" t="s">
        <v>174</v>
      </c>
      <c r="H813" s="65" t="s">
        <v>302</v>
      </c>
      <c r="I813" s="66">
        <v>46056</v>
      </c>
      <c r="J813" s="66">
        <v>46210</v>
      </c>
      <c r="K813" s="65">
        <v>154</v>
      </c>
      <c r="L813" s="65" t="s">
        <v>192</v>
      </c>
      <c r="M813" s="65" t="s">
        <v>185</v>
      </c>
      <c r="N813" s="65" t="b">
        <f>TRUE()</f>
        <v>1</v>
      </c>
      <c r="O813" s="71">
        <v>240000</v>
      </c>
      <c r="P813" s="71">
        <v>420000</v>
      </c>
      <c r="Q813" s="65" t="s">
        <v>332</v>
      </c>
      <c r="R813" s="65" t="s">
        <v>237</v>
      </c>
      <c r="S813" s="65"/>
      <c r="T813" s="65" t="b">
        <f>FALSE()</f>
        <v>0</v>
      </c>
      <c r="U813" s="65" t="b">
        <f>FALSE()</f>
        <v>0</v>
      </c>
      <c r="V813" s="65">
        <v>437</v>
      </c>
      <c r="W813" s="67" t="s">
        <v>2961</v>
      </c>
      <c r="X813" s="65">
        <v>1</v>
      </c>
      <c r="Y813" s="68">
        <v>0.01</v>
      </c>
      <c r="Z813" s="65" t="b">
        <f>FALSE()</f>
        <v>0</v>
      </c>
      <c r="AA813" s="65" t="b">
        <f>FALSE()</f>
        <v>0</v>
      </c>
      <c r="AB813" s="65" t="b">
        <f>FALSE()</f>
        <v>0</v>
      </c>
      <c r="AC813" s="65" t="b">
        <f>TRUE()</f>
        <v>1</v>
      </c>
      <c r="AD813" s="65" t="b">
        <f>FALSE()</f>
        <v>0</v>
      </c>
      <c r="AE813" s="65">
        <v>1</v>
      </c>
      <c r="AF813" s="69">
        <v>14.3</v>
      </c>
      <c r="AG813" s="65" t="s">
        <v>74</v>
      </c>
      <c r="AH813" s="65" t="s">
        <v>2962</v>
      </c>
      <c r="AI813">
        <f>IF(AND(OR(Company_Explorer!$B$5="All Companies",$E813=Company_Explorer!$B$5),OR(Company_Explorer!$B$6="All Platforms",$B813=Company_Explorer!$B$6),OR(Company_Explorer!$B$7="All Roles",$D813=Company_Explorer!$B$7),OR(Company_Explorer!$B$8="All Ghost Labels",$AG813=Company_Explorer!$B$8)),1,0)</f>
        <v>0</v>
      </c>
    </row>
    <row r="814" spans="1:35" ht="15" customHeight="1" x14ac:dyDescent="0.3">
      <c r="A814" s="60" t="s">
        <v>2963</v>
      </c>
      <c r="B814" s="60" t="s">
        <v>80</v>
      </c>
      <c r="C814" s="60" t="s">
        <v>422</v>
      </c>
      <c r="D814" s="60" t="s">
        <v>125</v>
      </c>
      <c r="E814" s="60" t="s">
        <v>2964</v>
      </c>
      <c r="F814" s="60" t="b">
        <f>TRUE()</f>
        <v>1</v>
      </c>
      <c r="G814" s="60" t="s">
        <v>166</v>
      </c>
      <c r="H814" s="60" t="s">
        <v>235</v>
      </c>
      <c r="I814" s="61">
        <v>46190</v>
      </c>
      <c r="J814" s="61">
        <v>46210</v>
      </c>
      <c r="K814" s="60">
        <v>20</v>
      </c>
      <c r="L814" s="60" t="s">
        <v>192</v>
      </c>
      <c r="M814" s="60" t="s">
        <v>185</v>
      </c>
      <c r="N814" s="60" t="b">
        <f>FALSE()</f>
        <v>0</v>
      </c>
      <c r="O814" s="60"/>
      <c r="P814" s="60"/>
      <c r="Q814" s="60" t="s">
        <v>236</v>
      </c>
      <c r="R814" s="60" t="s">
        <v>237</v>
      </c>
      <c r="S814" s="60"/>
      <c r="T814" s="60" t="b">
        <f>FALSE()</f>
        <v>0</v>
      </c>
      <c r="U814" s="60" t="b">
        <f>FALSE()</f>
        <v>0</v>
      </c>
      <c r="V814" s="60">
        <v>467</v>
      </c>
      <c r="W814" s="62" t="s">
        <v>2965</v>
      </c>
      <c r="X814" s="60">
        <v>1</v>
      </c>
      <c r="Y814" s="63">
        <v>0.01</v>
      </c>
      <c r="Z814" s="60" t="b">
        <f>FALSE()</f>
        <v>0</v>
      </c>
      <c r="AA814" s="60" t="b">
        <f>TRUE()</f>
        <v>1</v>
      </c>
      <c r="AB814" s="60" t="b">
        <f>FALSE()</f>
        <v>0</v>
      </c>
      <c r="AC814" s="60" t="b">
        <f>TRUE()</f>
        <v>1</v>
      </c>
      <c r="AD814" s="60" t="b">
        <f>FALSE()</f>
        <v>0</v>
      </c>
      <c r="AE814" s="60">
        <v>2</v>
      </c>
      <c r="AF814" s="64">
        <v>28.6</v>
      </c>
      <c r="AG814" s="60" t="s">
        <v>73</v>
      </c>
      <c r="AH814" s="60" t="s">
        <v>2966</v>
      </c>
      <c r="AI814">
        <f>IF(AND(OR(Company_Explorer!$B$5="All Companies",$E814=Company_Explorer!$B$5),OR(Company_Explorer!$B$6="All Platforms",$B814=Company_Explorer!$B$6),OR(Company_Explorer!$B$7="All Roles",$D814=Company_Explorer!$B$7),OR(Company_Explorer!$B$8="All Ghost Labels",$AG814=Company_Explorer!$B$8)),1,0)</f>
        <v>0</v>
      </c>
    </row>
    <row r="815" spans="1:35" ht="15" customHeight="1" x14ac:dyDescent="0.3">
      <c r="A815" s="65" t="s">
        <v>2967</v>
      </c>
      <c r="B815" s="65" t="s">
        <v>80</v>
      </c>
      <c r="C815" s="65" t="s">
        <v>2968</v>
      </c>
      <c r="D815" s="65" t="s">
        <v>125</v>
      </c>
      <c r="E815" s="65" t="s">
        <v>2969</v>
      </c>
      <c r="F815" s="65" t="b">
        <f>TRUE()</f>
        <v>1</v>
      </c>
      <c r="G815" s="65" t="s">
        <v>166</v>
      </c>
      <c r="H815" s="65" t="s">
        <v>235</v>
      </c>
      <c r="I815" s="66">
        <v>46082</v>
      </c>
      <c r="J815" s="66">
        <v>46210</v>
      </c>
      <c r="K815" s="65">
        <v>128</v>
      </c>
      <c r="L815" s="65" t="s">
        <v>192</v>
      </c>
      <c r="M815" s="65" t="s">
        <v>185</v>
      </c>
      <c r="N815" s="65" t="b">
        <f>FALSE()</f>
        <v>0</v>
      </c>
      <c r="O815" s="65"/>
      <c r="P815" s="65"/>
      <c r="Q815" s="65" t="s">
        <v>236</v>
      </c>
      <c r="R815" s="65" t="s">
        <v>237</v>
      </c>
      <c r="S815" s="65"/>
      <c r="T815" s="65" t="b">
        <f>FALSE()</f>
        <v>0</v>
      </c>
      <c r="U815" s="65" t="b">
        <f>FALSE()</f>
        <v>0</v>
      </c>
      <c r="V815" s="65">
        <v>371</v>
      </c>
      <c r="W815" s="65" t="s">
        <v>2970</v>
      </c>
      <c r="X815" s="65">
        <v>1</v>
      </c>
      <c r="Y815" s="68">
        <v>0.01</v>
      </c>
      <c r="Z815" s="65" t="b">
        <f>FALSE()</f>
        <v>0</v>
      </c>
      <c r="AA815" s="65" t="b">
        <f>TRUE()</f>
        <v>1</v>
      </c>
      <c r="AB815" s="65" t="b">
        <f>FALSE()</f>
        <v>0</v>
      </c>
      <c r="AC815" s="65" t="b">
        <f>TRUE()</f>
        <v>1</v>
      </c>
      <c r="AD815" s="65" t="b">
        <f>FALSE()</f>
        <v>0</v>
      </c>
      <c r="AE815" s="65">
        <v>2</v>
      </c>
      <c r="AF815" s="69">
        <v>28.6</v>
      </c>
      <c r="AG815" s="65" t="s">
        <v>73</v>
      </c>
      <c r="AH815" s="65" t="s">
        <v>2971</v>
      </c>
      <c r="AI815">
        <f>IF(AND(OR(Company_Explorer!$B$5="All Companies",$E815=Company_Explorer!$B$5),OR(Company_Explorer!$B$6="All Platforms",$B815=Company_Explorer!$B$6),OR(Company_Explorer!$B$7="All Roles",$D815=Company_Explorer!$B$7),OR(Company_Explorer!$B$8="All Ghost Labels",$AG815=Company_Explorer!$B$8)),1,0)</f>
        <v>0</v>
      </c>
    </row>
    <row r="816" spans="1:35" ht="15" customHeight="1" x14ac:dyDescent="0.3">
      <c r="A816" s="60" t="s">
        <v>2972</v>
      </c>
      <c r="B816" s="60" t="s">
        <v>80</v>
      </c>
      <c r="C816" s="60" t="s">
        <v>2349</v>
      </c>
      <c r="D816" s="60" t="s">
        <v>131</v>
      </c>
      <c r="E816" s="60" t="s">
        <v>2973</v>
      </c>
      <c r="F816" s="60" t="b">
        <f>TRUE()</f>
        <v>1</v>
      </c>
      <c r="G816" s="60" t="s">
        <v>253</v>
      </c>
      <c r="H816" s="60" t="s">
        <v>254</v>
      </c>
      <c r="I816" s="61">
        <v>46193</v>
      </c>
      <c r="J816" s="61">
        <v>46210</v>
      </c>
      <c r="K816" s="60">
        <v>17</v>
      </c>
      <c r="L816" s="60" t="s">
        <v>192</v>
      </c>
      <c r="M816" s="60" t="s">
        <v>187</v>
      </c>
      <c r="N816" s="60" t="b">
        <f>FALSE()</f>
        <v>0</v>
      </c>
      <c r="O816" s="60"/>
      <c r="P816" s="60"/>
      <c r="Q816" s="60" t="s">
        <v>236</v>
      </c>
      <c r="R816" s="60" t="s">
        <v>237</v>
      </c>
      <c r="S816" s="60"/>
      <c r="T816" s="60" t="b">
        <f>FALSE()</f>
        <v>0</v>
      </c>
      <c r="U816" s="60" t="b">
        <f>FALSE()</f>
        <v>0</v>
      </c>
      <c r="V816" s="60">
        <v>297</v>
      </c>
      <c r="W816" s="62" t="s">
        <v>2974</v>
      </c>
      <c r="X816" s="60">
        <v>1</v>
      </c>
      <c r="Y816" s="63">
        <v>0.01</v>
      </c>
      <c r="Z816" s="60" t="b">
        <f>FALSE()</f>
        <v>0</v>
      </c>
      <c r="AA816" s="60" t="b">
        <f>TRUE()</f>
        <v>1</v>
      </c>
      <c r="AB816" s="60" t="b">
        <f>FALSE()</f>
        <v>0</v>
      </c>
      <c r="AC816" s="60" t="b">
        <f>FALSE()</f>
        <v>0</v>
      </c>
      <c r="AD816" s="60" t="b">
        <f>FALSE()</f>
        <v>0</v>
      </c>
      <c r="AE816" s="60">
        <v>1</v>
      </c>
      <c r="AF816" s="64">
        <v>14.3</v>
      </c>
      <c r="AG816" s="60" t="s">
        <v>74</v>
      </c>
      <c r="AH816" s="60" t="s">
        <v>2975</v>
      </c>
      <c r="AI816">
        <f>IF(AND(OR(Company_Explorer!$B$5="All Companies",$E816=Company_Explorer!$B$5),OR(Company_Explorer!$B$6="All Platforms",$B816=Company_Explorer!$B$6),OR(Company_Explorer!$B$7="All Roles",$D816=Company_Explorer!$B$7),OR(Company_Explorer!$B$8="All Ghost Labels",$AG816=Company_Explorer!$B$8)),1,0)</f>
        <v>0</v>
      </c>
    </row>
    <row r="817" spans="1:35" ht="15" customHeight="1" x14ac:dyDescent="0.3">
      <c r="A817" s="65" t="s">
        <v>2976</v>
      </c>
      <c r="B817" s="65" t="s">
        <v>80</v>
      </c>
      <c r="C817" s="65" t="s">
        <v>2977</v>
      </c>
      <c r="D817" s="65" t="s">
        <v>131</v>
      </c>
      <c r="E817" s="65" t="s">
        <v>2978</v>
      </c>
      <c r="F817" s="65" t="b">
        <f>TRUE()</f>
        <v>1</v>
      </c>
      <c r="G817" s="65" t="s">
        <v>166</v>
      </c>
      <c r="H817" s="65" t="s">
        <v>235</v>
      </c>
      <c r="I817" s="66">
        <v>46052</v>
      </c>
      <c r="J817" s="66">
        <v>46210</v>
      </c>
      <c r="K817" s="65">
        <v>158</v>
      </c>
      <c r="L817" s="65" t="s">
        <v>192</v>
      </c>
      <c r="M817" s="65" t="s">
        <v>185</v>
      </c>
      <c r="N817" s="65" t="b">
        <f>FALSE()</f>
        <v>0</v>
      </c>
      <c r="O817" s="65"/>
      <c r="P817" s="65"/>
      <c r="Q817" s="65" t="s">
        <v>236</v>
      </c>
      <c r="R817" s="65" t="s">
        <v>237</v>
      </c>
      <c r="S817" s="65"/>
      <c r="T817" s="65" t="b">
        <f>FALSE()</f>
        <v>0</v>
      </c>
      <c r="U817" s="65" t="b">
        <f>FALSE()</f>
        <v>0</v>
      </c>
      <c r="V817" s="65">
        <v>909</v>
      </c>
      <c r="W817" s="67" t="s">
        <v>2979</v>
      </c>
      <c r="X817" s="65">
        <v>1</v>
      </c>
      <c r="Y817" s="68">
        <v>0.01</v>
      </c>
      <c r="Z817" s="65" t="b">
        <f>FALSE()</f>
        <v>0</v>
      </c>
      <c r="AA817" s="65" t="b">
        <f>TRUE()</f>
        <v>1</v>
      </c>
      <c r="AB817" s="65" t="b">
        <f>FALSE()</f>
        <v>0</v>
      </c>
      <c r="AC817" s="65" t="b">
        <f>TRUE()</f>
        <v>1</v>
      </c>
      <c r="AD817" s="65" t="b">
        <f>FALSE()</f>
        <v>0</v>
      </c>
      <c r="AE817" s="65">
        <v>2</v>
      </c>
      <c r="AF817" s="69">
        <v>28.6</v>
      </c>
      <c r="AG817" s="65" t="s">
        <v>73</v>
      </c>
      <c r="AH817" s="65" t="s">
        <v>2980</v>
      </c>
      <c r="AI817">
        <f>IF(AND(OR(Company_Explorer!$B$5="All Companies",$E817=Company_Explorer!$B$5),OR(Company_Explorer!$B$6="All Platforms",$B817=Company_Explorer!$B$6),OR(Company_Explorer!$B$7="All Roles",$D817=Company_Explorer!$B$7),OR(Company_Explorer!$B$8="All Ghost Labels",$AG817=Company_Explorer!$B$8)),1,0)</f>
        <v>0</v>
      </c>
    </row>
    <row r="818" spans="1:35" ht="15" customHeight="1" x14ac:dyDescent="0.3">
      <c r="A818" s="60" t="s">
        <v>2981</v>
      </c>
      <c r="B818" s="60" t="s">
        <v>80</v>
      </c>
      <c r="C818" s="60" t="s">
        <v>258</v>
      </c>
      <c r="D818" s="60" t="s">
        <v>125</v>
      </c>
      <c r="E818" s="60" t="s">
        <v>141</v>
      </c>
      <c r="F818" s="60" t="b">
        <f>TRUE()</f>
        <v>1</v>
      </c>
      <c r="G818" s="60" t="s">
        <v>179</v>
      </c>
      <c r="H818" s="60" t="s">
        <v>254</v>
      </c>
      <c r="I818" s="61">
        <v>46198</v>
      </c>
      <c r="J818" s="61">
        <v>46210</v>
      </c>
      <c r="K818" s="60">
        <v>12</v>
      </c>
      <c r="L818" s="60" t="s">
        <v>192</v>
      </c>
      <c r="M818" s="60" t="s">
        <v>184</v>
      </c>
      <c r="N818" s="60" t="b">
        <f>FALSE()</f>
        <v>0</v>
      </c>
      <c r="O818" s="60"/>
      <c r="P818" s="60"/>
      <c r="Q818" s="60" t="s">
        <v>236</v>
      </c>
      <c r="R818" s="60" t="s">
        <v>237</v>
      </c>
      <c r="S818" s="60"/>
      <c r="T818" s="60" t="b">
        <f>FALSE()</f>
        <v>0</v>
      </c>
      <c r="U818" s="60" t="b">
        <f>FALSE()</f>
        <v>0</v>
      </c>
      <c r="V818" s="60">
        <v>320</v>
      </c>
      <c r="W818" s="62" t="s">
        <v>259</v>
      </c>
      <c r="X818" s="60">
        <v>429</v>
      </c>
      <c r="Y818" s="63">
        <v>2.66</v>
      </c>
      <c r="Z818" s="60" t="b">
        <f>FALSE()</f>
        <v>0</v>
      </c>
      <c r="AA818" s="60" t="b">
        <f>TRUE()</f>
        <v>1</v>
      </c>
      <c r="AB818" s="60" t="b">
        <f>FALSE()</f>
        <v>0</v>
      </c>
      <c r="AC818" s="60" t="b">
        <f>FALSE()</f>
        <v>0</v>
      </c>
      <c r="AD818" s="60" t="b">
        <f>TRUE()</f>
        <v>1</v>
      </c>
      <c r="AE818" s="60">
        <v>3</v>
      </c>
      <c r="AF818" s="64">
        <v>42.9</v>
      </c>
      <c r="AG818" s="60" t="s">
        <v>73</v>
      </c>
      <c r="AH818" s="60" t="s">
        <v>2982</v>
      </c>
      <c r="AI818">
        <f>IF(AND(OR(Company_Explorer!$B$5="All Companies",$E818=Company_Explorer!$B$5),OR(Company_Explorer!$B$6="All Platforms",$B818=Company_Explorer!$B$6),OR(Company_Explorer!$B$7="All Roles",$D818=Company_Explorer!$B$7),OR(Company_Explorer!$B$8="All Ghost Labels",$AG818=Company_Explorer!$B$8)),1,0)</f>
        <v>0</v>
      </c>
    </row>
    <row r="819" spans="1:35" ht="15" customHeight="1" x14ac:dyDescent="0.3">
      <c r="A819" s="65" t="s">
        <v>2983</v>
      </c>
      <c r="B819" s="65" t="s">
        <v>80</v>
      </c>
      <c r="C819" s="65" t="s">
        <v>258</v>
      </c>
      <c r="D819" s="65" t="s">
        <v>125</v>
      </c>
      <c r="E819" s="65" t="s">
        <v>141</v>
      </c>
      <c r="F819" s="65" t="b">
        <f>TRUE()</f>
        <v>1</v>
      </c>
      <c r="G819" s="65" t="s">
        <v>167</v>
      </c>
      <c r="H819" s="65" t="s">
        <v>276</v>
      </c>
      <c r="I819" s="66">
        <v>46198</v>
      </c>
      <c r="J819" s="66">
        <v>46210</v>
      </c>
      <c r="K819" s="65">
        <v>12</v>
      </c>
      <c r="L819" s="65" t="s">
        <v>192</v>
      </c>
      <c r="M819" s="65" t="s">
        <v>184</v>
      </c>
      <c r="N819" s="65" t="b">
        <f>FALSE()</f>
        <v>0</v>
      </c>
      <c r="O819" s="65"/>
      <c r="P819" s="65"/>
      <c r="Q819" s="65" t="s">
        <v>236</v>
      </c>
      <c r="R819" s="65" t="s">
        <v>237</v>
      </c>
      <c r="S819" s="65"/>
      <c r="T819" s="65" t="b">
        <f>FALSE()</f>
        <v>0</v>
      </c>
      <c r="U819" s="65" t="b">
        <f>FALSE()</f>
        <v>0</v>
      </c>
      <c r="V819" s="65">
        <v>314</v>
      </c>
      <c r="W819" s="67" t="s">
        <v>259</v>
      </c>
      <c r="X819" s="65">
        <v>429</v>
      </c>
      <c r="Y819" s="68">
        <v>2.66</v>
      </c>
      <c r="Z819" s="65" t="b">
        <f>FALSE()</f>
        <v>0</v>
      </c>
      <c r="AA819" s="65" t="b">
        <f>TRUE()</f>
        <v>1</v>
      </c>
      <c r="AB819" s="65" t="b">
        <f>FALSE()</f>
        <v>0</v>
      </c>
      <c r="AC819" s="65" t="b">
        <f>FALSE()</f>
        <v>0</v>
      </c>
      <c r="AD819" s="65" t="b">
        <f>TRUE()</f>
        <v>1</v>
      </c>
      <c r="AE819" s="65">
        <v>3</v>
      </c>
      <c r="AF819" s="69">
        <v>42.9</v>
      </c>
      <c r="AG819" s="65" t="s">
        <v>73</v>
      </c>
      <c r="AH819" s="65" t="s">
        <v>2984</v>
      </c>
      <c r="AI819">
        <f>IF(AND(OR(Company_Explorer!$B$5="All Companies",$E819=Company_Explorer!$B$5),OR(Company_Explorer!$B$6="All Platforms",$B819=Company_Explorer!$B$6),OR(Company_Explorer!$B$7="All Roles",$D819=Company_Explorer!$B$7),OR(Company_Explorer!$B$8="All Ghost Labels",$AG819=Company_Explorer!$B$8)),1,0)</f>
        <v>0</v>
      </c>
    </row>
    <row r="820" spans="1:35" ht="15" customHeight="1" x14ac:dyDescent="0.3">
      <c r="A820" s="60" t="s">
        <v>2985</v>
      </c>
      <c r="B820" s="60" t="s">
        <v>80</v>
      </c>
      <c r="C820" s="60" t="s">
        <v>258</v>
      </c>
      <c r="D820" s="60" t="s">
        <v>125</v>
      </c>
      <c r="E820" s="60" t="s">
        <v>141</v>
      </c>
      <c r="F820" s="60" t="b">
        <f>TRUE()</f>
        <v>1</v>
      </c>
      <c r="G820" s="60" t="s">
        <v>168</v>
      </c>
      <c r="H820" s="60" t="s">
        <v>254</v>
      </c>
      <c r="I820" s="61">
        <v>46198</v>
      </c>
      <c r="J820" s="61">
        <v>46210</v>
      </c>
      <c r="K820" s="60">
        <v>12</v>
      </c>
      <c r="L820" s="60" t="s">
        <v>192</v>
      </c>
      <c r="M820" s="60" t="s">
        <v>184</v>
      </c>
      <c r="N820" s="60" t="b">
        <f>FALSE()</f>
        <v>0</v>
      </c>
      <c r="O820" s="60"/>
      <c r="P820" s="60"/>
      <c r="Q820" s="60" t="s">
        <v>236</v>
      </c>
      <c r="R820" s="60" t="s">
        <v>237</v>
      </c>
      <c r="S820" s="60"/>
      <c r="T820" s="60" t="b">
        <f>FALSE()</f>
        <v>0</v>
      </c>
      <c r="U820" s="60" t="b">
        <f>FALSE()</f>
        <v>0</v>
      </c>
      <c r="V820" s="60">
        <v>270</v>
      </c>
      <c r="W820" s="62" t="s">
        <v>259</v>
      </c>
      <c r="X820" s="60">
        <v>429</v>
      </c>
      <c r="Y820" s="63">
        <v>2.66</v>
      </c>
      <c r="Z820" s="60" t="b">
        <f>FALSE()</f>
        <v>0</v>
      </c>
      <c r="AA820" s="60" t="b">
        <f>TRUE()</f>
        <v>1</v>
      </c>
      <c r="AB820" s="60" t="b">
        <f>TRUE()</f>
        <v>1</v>
      </c>
      <c r="AC820" s="60" t="b">
        <f>FALSE()</f>
        <v>0</v>
      </c>
      <c r="AD820" s="60" t="b">
        <f>TRUE()</f>
        <v>1</v>
      </c>
      <c r="AE820" s="60">
        <v>4</v>
      </c>
      <c r="AF820" s="64">
        <v>57.1</v>
      </c>
      <c r="AG820" s="60" t="s">
        <v>72</v>
      </c>
      <c r="AH820" s="60" t="s">
        <v>2986</v>
      </c>
      <c r="AI820">
        <f>IF(AND(OR(Company_Explorer!$B$5="All Companies",$E820=Company_Explorer!$B$5),OR(Company_Explorer!$B$6="All Platforms",$B820=Company_Explorer!$B$6),OR(Company_Explorer!$B$7="All Roles",$D820=Company_Explorer!$B$7),OR(Company_Explorer!$B$8="All Ghost Labels",$AG820=Company_Explorer!$B$8)),1,0)</f>
        <v>0</v>
      </c>
    </row>
    <row r="821" spans="1:35" ht="15" customHeight="1" x14ac:dyDescent="0.3">
      <c r="A821" s="65" t="s">
        <v>2987</v>
      </c>
      <c r="B821" s="65" t="s">
        <v>80</v>
      </c>
      <c r="C821" s="65" t="s">
        <v>2353</v>
      </c>
      <c r="D821" s="65" t="s">
        <v>131</v>
      </c>
      <c r="E821" s="65" t="s">
        <v>2988</v>
      </c>
      <c r="F821" s="65" t="b">
        <f>TRUE()</f>
        <v>1</v>
      </c>
      <c r="G821" s="65" t="s">
        <v>166</v>
      </c>
      <c r="H821" s="65" t="s">
        <v>235</v>
      </c>
      <c r="I821" s="66">
        <v>46199</v>
      </c>
      <c r="J821" s="66">
        <v>46210</v>
      </c>
      <c r="K821" s="65">
        <v>11</v>
      </c>
      <c r="L821" s="65" t="s">
        <v>192</v>
      </c>
      <c r="M821" s="65" t="s">
        <v>185</v>
      </c>
      <c r="N821" s="65" t="b">
        <f>FALSE()</f>
        <v>0</v>
      </c>
      <c r="O821" s="65"/>
      <c r="P821" s="65"/>
      <c r="Q821" s="65" t="s">
        <v>236</v>
      </c>
      <c r="R821" s="65" t="s">
        <v>237</v>
      </c>
      <c r="S821" s="65"/>
      <c r="T821" s="65" t="b">
        <f>FALSE()</f>
        <v>0</v>
      </c>
      <c r="U821" s="65" t="b">
        <f>FALSE()</f>
        <v>0</v>
      </c>
      <c r="V821" s="65">
        <v>492</v>
      </c>
      <c r="W821" s="67" t="s">
        <v>2989</v>
      </c>
      <c r="X821" s="65">
        <v>1</v>
      </c>
      <c r="Y821" s="68">
        <v>0.01</v>
      </c>
      <c r="Z821" s="65" t="b">
        <f>FALSE()</f>
        <v>0</v>
      </c>
      <c r="AA821" s="65" t="b">
        <f>TRUE()</f>
        <v>1</v>
      </c>
      <c r="AB821" s="65" t="b">
        <f>FALSE()</f>
        <v>0</v>
      </c>
      <c r="AC821" s="65" t="b">
        <f>FALSE()</f>
        <v>0</v>
      </c>
      <c r="AD821" s="65" t="b">
        <f>FALSE()</f>
        <v>0</v>
      </c>
      <c r="AE821" s="65">
        <v>1</v>
      </c>
      <c r="AF821" s="69">
        <v>14.3</v>
      </c>
      <c r="AG821" s="65" t="s">
        <v>74</v>
      </c>
      <c r="AH821" s="65" t="s">
        <v>2990</v>
      </c>
      <c r="AI821">
        <f>IF(AND(OR(Company_Explorer!$B$5="All Companies",$E821=Company_Explorer!$B$5),OR(Company_Explorer!$B$6="All Platforms",$B821=Company_Explorer!$B$6),OR(Company_Explorer!$B$7="All Roles",$D821=Company_Explorer!$B$7),OR(Company_Explorer!$B$8="All Ghost Labels",$AG821=Company_Explorer!$B$8)),1,0)</f>
        <v>0</v>
      </c>
    </row>
    <row r="822" spans="1:35" ht="15" customHeight="1" x14ac:dyDescent="0.3">
      <c r="A822" s="60" t="s">
        <v>2991</v>
      </c>
      <c r="B822" s="60" t="s">
        <v>80</v>
      </c>
      <c r="C822" s="60" t="s">
        <v>258</v>
      </c>
      <c r="D822" s="60" t="s">
        <v>125</v>
      </c>
      <c r="E822" s="60" t="s">
        <v>141</v>
      </c>
      <c r="F822" s="60" t="b">
        <f>TRUE()</f>
        <v>1</v>
      </c>
      <c r="G822" s="60" t="s">
        <v>174</v>
      </c>
      <c r="H822" s="60" t="s">
        <v>302</v>
      </c>
      <c r="I822" s="61">
        <v>46198</v>
      </c>
      <c r="J822" s="61">
        <v>46210</v>
      </c>
      <c r="K822" s="60">
        <v>12</v>
      </c>
      <c r="L822" s="60" t="s">
        <v>192</v>
      </c>
      <c r="M822" s="60" t="s">
        <v>184</v>
      </c>
      <c r="N822" s="60" t="b">
        <f>FALSE()</f>
        <v>0</v>
      </c>
      <c r="O822" s="60"/>
      <c r="P822" s="60"/>
      <c r="Q822" s="60" t="s">
        <v>236</v>
      </c>
      <c r="R822" s="60" t="s">
        <v>237</v>
      </c>
      <c r="S822" s="60"/>
      <c r="T822" s="60" t="b">
        <f>FALSE()</f>
        <v>0</v>
      </c>
      <c r="U822" s="60" t="b">
        <f>FALSE()</f>
        <v>0</v>
      </c>
      <c r="V822" s="60">
        <v>329</v>
      </c>
      <c r="W822" s="62" t="s">
        <v>259</v>
      </c>
      <c r="X822" s="60">
        <v>429</v>
      </c>
      <c r="Y822" s="63">
        <v>2.66</v>
      </c>
      <c r="Z822" s="60" t="b">
        <f>FALSE()</f>
        <v>0</v>
      </c>
      <c r="AA822" s="60" t="b">
        <f>TRUE()</f>
        <v>1</v>
      </c>
      <c r="AB822" s="60" t="b">
        <f>FALSE()</f>
        <v>0</v>
      </c>
      <c r="AC822" s="60" t="b">
        <f>FALSE()</f>
        <v>0</v>
      </c>
      <c r="AD822" s="60" t="b">
        <f>TRUE()</f>
        <v>1</v>
      </c>
      <c r="AE822" s="60">
        <v>3</v>
      </c>
      <c r="AF822" s="64">
        <v>42.9</v>
      </c>
      <c r="AG822" s="60" t="s">
        <v>73</v>
      </c>
      <c r="AH822" s="60" t="s">
        <v>2992</v>
      </c>
      <c r="AI822">
        <f>IF(AND(OR(Company_Explorer!$B$5="All Companies",$E822=Company_Explorer!$B$5),OR(Company_Explorer!$B$6="All Platforms",$B822=Company_Explorer!$B$6),OR(Company_Explorer!$B$7="All Roles",$D822=Company_Explorer!$B$7),OR(Company_Explorer!$B$8="All Ghost Labels",$AG822=Company_Explorer!$B$8)),1,0)</f>
        <v>0</v>
      </c>
    </row>
    <row r="823" spans="1:35" ht="15" customHeight="1" x14ac:dyDescent="0.3">
      <c r="A823" s="65" t="s">
        <v>2993</v>
      </c>
      <c r="B823" s="65" t="s">
        <v>80</v>
      </c>
      <c r="C823" s="65" t="s">
        <v>2637</v>
      </c>
      <c r="D823" s="65" t="s">
        <v>131</v>
      </c>
      <c r="E823" s="65" t="s">
        <v>2994</v>
      </c>
      <c r="F823" s="65" t="b">
        <f>TRUE()</f>
        <v>1</v>
      </c>
      <c r="G823" s="65" t="s">
        <v>167</v>
      </c>
      <c r="H823" s="65" t="s">
        <v>276</v>
      </c>
      <c r="I823" s="66">
        <v>46176</v>
      </c>
      <c r="J823" s="66">
        <v>46210</v>
      </c>
      <c r="K823" s="65">
        <v>34</v>
      </c>
      <c r="L823" s="65" t="s">
        <v>192</v>
      </c>
      <c r="M823" s="65" t="s">
        <v>185</v>
      </c>
      <c r="N823" s="65" t="b">
        <f>FALSE()</f>
        <v>0</v>
      </c>
      <c r="O823" s="65"/>
      <c r="P823" s="65"/>
      <c r="Q823" s="65" t="s">
        <v>236</v>
      </c>
      <c r="R823" s="65" t="s">
        <v>237</v>
      </c>
      <c r="S823" s="65"/>
      <c r="T823" s="65" t="b">
        <f>FALSE()</f>
        <v>0</v>
      </c>
      <c r="U823" s="65" t="b">
        <f>FALSE()</f>
        <v>0</v>
      </c>
      <c r="V823" s="65">
        <v>194</v>
      </c>
      <c r="W823" s="67" t="s">
        <v>2995</v>
      </c>
      <c r="X823" s="65">
        <v>1</v>
      </c>
      <c r="Y823" s="68">
        <v>0.01</v>
      </c>
      <c r="Z823" s="65" t="b">
        <f>FALSE()</f>
        <v>0</v>
      </c>
      <c r="AA823" s="65" t="b">
        <f>TRUE()</f>
        <v>1</v>
      </c>
      <c r="AB823" s="65" t="b">
        <f>TRUE()</f>
        <v>1</v>
      </c>
      <c r="AC823" s="65" t="b">
        <f>TRUE()</f>
        <v>1</v>
      </c>
      <c r="AD823" s="65" t="b">
        <f>FALSE()</f>
        <v>0</v>
      </c>
      <c r="AE823" s="65">
        <v>3</v>
      </c>
      <c r="AF823" s="69">
        <v>42.9</v>
      </c>
      <c r="AG823" s="65" t="s">
        <v>73</v>
      </c>
      <c r="AH823" s="65" t="s">
        <v>2996</v>
      </c>
      <c r="AI823">
        <f>IF(AND(OR(Company_Explorer!$B$5="All Companies",$E823=Company_Explorer!$B$5),OR(Company_Explorer!$B$6="All Platforms",$B823=Company_Explorer!$B$6),OR(Company_Explorer!$B$7="All Roles",$D823=Company_Explorer!$B$7),OR(Company_Explorer!$B$8="All Ghost Labels",$AG823=Company_Explorer!$B$8)),1,0)</f>
        <v>0</v>
      </c>
    </row>
    <row r="824" spans="1:35" ht="15" customHeight="1" x14ac:dyDescent="0.3">
      <c r="A824" s="60" t="s">
        <v>2997</v>
      </c>
      <c r="B824" s="60" t="s">
        <v>80</v>
      </c>
      <c r="C824" s="60" t="s">
        <v>258</v>
      </c>
      <c r="D824" s="60" t="s">
        <v>125</v>
      </c>
      <c r="E824" s="60" t="s">
        <v>141</v>
      </c>
      <c r="F824" s="60" t="b">
        <f>TRUE()</f>
        <v>1</v>
      </c>
      <c r="G824" s="60" t="s">
        <v>179</v>
      </c>
      <c r="H824" s="60" t="s">
        <v>254</v>
      </c>
      <c r="I824" s="61">
        <v>46198</v>
      </c>
      <c r="J824" s="61">
        <v>46210</v>
      </c>
      <c r="K824" s="60">
        <v>12</v>
      </c>
      <c r="L824" s="60" t="s">
        <v>192</v>
      </c>
      <c r="M824" s="60" t="s">
        <v>184</v>
      </c>
      <c r="N824" s="60" t="b">
        <f>FALSE()</f>
        <v>0</v>
      </c>
      <c r="O824" s="60"/>
      <c r="P824" s="60"/>
      <c r="Q824" s="60" t="s">
        <v>236</v>
      </c>
      <c r="R824" s="60" t="s">
        <v>237</v>
      </c>
      <c r="S824" s="60"/>
      <c r="T824" s="60" t="b">
        <f>FALSE()</f>
        <v>0</v>
      </c>
      <c r="U824" s="60" t="b">
        <f>FALSE()</f>
        <v>0</v>
      </c>
      <c r="V824" s="60">
        <v>320</v>
      </c>
      <c r="W824" s="62" t="s">
        <v>259</v>
      </c>
      <c r="X824" s="60">
        <v>429</v>
      </c>
      <c r="Y824" s="63">
        <v>2.66</v>
      </c>
      <c r="Z824" s="60" t="b">
        <f>FALSE()</f>
        <v>0</v>
      </c>
      <c r="AA824" s="60" t="b">
        <f>TRUE()</f>
        <v>1</v>
      </c>
      <c r="AB824" s="60" t="b">
        <f>FALSE()</f>
        <v>0</v>
      </c>
      <c r="AC824" s="60" t="b">
        <f>FALSE()</f>
        <v>0</v>
      </c>
      <c r="AD824" s="60" t="b">
        <f>TRUE()</f>
        <v>1</v>
      </c>
      <c r="AE824" s="60">
        <v>3</v>
      </c>
      <c r="AF824" s="64">
        <v>42.9</v>
      </c>
      <c r="AG824" s="60" t="s">
        <v>73</v>
      </c>
      <c r="AH824" s="60" t="s">
        <v>2998</v>
      </c>
      <c r="AI824">
        <f>IF(AND(OR(Company_Explorer!$B$5="All Companies",$E824=Company_Explorer!$B$5),OR(Company_Explorer!$B$6="All Platforms",$B824=Company_Explorer!$B$6),OR(Company_Explorer!$B$7="All Roles",$D824=Company_Explorer!$B$7),OR(Company_Explorer!$B$8="All Ghost Labels",$AG824=Company_Explorer!$B$8)),1,0)</f>
        <v>0</v>
      </c>
    </row>
    <row r="825" spans="1:35" ht="15" customHeight="1" x14ac:dyDescent="0.3">
      <c r="A825" s="65" t="s">
        <v>2999</v>
      </c>
      <c r="B825" s="65" t="s">
        <v>80</v>
      </c>
      <c r="C825" s="65" t="s">
        <v>258</v>
      </c>
      <c r="D825" s="65" t="s">
        <v>125</v>
      </c>
      <c r="E825" s="65" t="s">
        <v>141</v>
      </c>
      <c r="F825" s="65" t="b">
        <f>TRUE()</f>
        <v>1</v>
      </c>
      <c r="G825" s="65" t="s">
        <v>167</v>
      </c>
      <c r="H825" s="65" t="s">
        <v>276</v>
      </c>
      <c r="I825" s="66">
        <v>46200</v>
      </c>
      <c r="J825" s="66">
        <v>46210</v>
      </c>
      <c r="K825" s="65">
        <v>10</v>
      </c>
      <c r="L825" s="65" t="s">
        <v>192</v>
      </c>
      <c r="M825" s="65" t="s">
        <v>184</v>
      </c>
      <c r="N825" s="65" t="b">
        <f>FALSE()</f>
        <v>0</v>
      </c>
      <c r="O825" s="65"/>
      <c r="P825" s="65"/>
      <c r="Q825" s="65" t="s">
        <v>236</v>
      </c>
      <c r="R825" s="65" t="s">
        <v>237</v>
      </c>
      <c r="S825" s="65"/>
      <c r="T825" s="65" t="b">
        <f>FALSE()</f>
        <v>0</v>
      </c>
      <c r="U825" s="65" t="b">
        <f>FALSE()</f>
        <v>0</v>
      </c>
      <c r="V825" s="65">
        <v>309</v>
      </c>
      <c r="W825" s="67" t="s">
        <v>259</v>
      </c>
      <c r="X825" s="65">
        <v>429</v>
      </c>
      <c r="Y825" s="68">
        <v>2.66</v>
      </c>
      <c r="Z825" s="65" t="b">
        <f>FALSE()</f>
        <v>0</v>
      </c>
      <c r="AA825" s="65" t="b">
        <f>TRUE()</f>
        <v>1</v>
      </c>
      <c r="AB825" s="65" t="b">
        <f>FALSE()</f>
        <v>0</v>
      </c>
      <c r="AC825" s="65" t="b">
        <f>FALSE()</f>
        <v>0</v>
      </c>
      <c r="AD825" s="65" t="b">
        <f>TRUE()</f>
        <v>1</v>
      </c>
      <c r="AE825" s="65">
        <v>3</v>
      </c>
      <c r="AF825" s="69">
        <v>42.9</v>
      </c>
      <c r="AG825" s="65" t="s">
        <v>73</v>
      </c>
      <c r="AH825" s="65" t="s">
        <v>3000</v>
      </c>
      <c r="AI825">
        <f>IF(AND(OR(Company_Explorer!$B$5="All Companies",$E825=Company_Explorer!$B$5),OR(Company_Explorer!$B$6="All Platforms",$B825=Company_Explorer!$B$6),OR(Company_Explorer!$B$7="All Roles",$D825=Company_Explorer!$B$7),OR(Company_Explorer!$B$8="All Ghost Labels",$AG825=Company_Explorer!$B$8)),1,0)</f>
        <v>0</v>
      </c>
    </row>
    <row r="826" spans="1:35" ht="15" customHeight="1" x14ac:dyDescent="0.3">
      <c r="A826" s="60" t="s">
        <v>3001</v>
      </c>
      <c r="B826" s="60" t="s">
        <v>80</v>
      </c>
      <c r="C826" s="60" t="s">
        <v>3002</v>
      </c>
      <c r="D826" s="60" t="s">
        <v>131</v>
      </c>
      <c r="E826" s="60" t="s">
        <v>3003</v>
      </c>
      <c r="F826" s="60" t="b">
        <f>TRUE()</f>
        <v>1</v>
      </c>
      <c r="G826" s="60" t="s">
        <v>166</v>
      </c>
      <c r="H826" s="60" t="s">
        <v>235</v>
      </c>
      <c r="I826" s="61">
        <v>46190</v>
      </c>
      <c r="J826" s="61">
        <v>46210</v>
      </c>
      <c r="K826" s="60">
        <v>20</v>
      </c>
      <c r="L826" s="60" t="s">
        <v>192</v>
      </c>
      <c r="M826" s="60" t="s">
        <v>185</v>
      </c>
      <c r="N826" s="60" t="b">
        <f>FALSE()</f>
        <v>0</v>
      </c>
      <c r="O826" s="60"/>
      <c r="P826" s="60"/>
      <c r="Q826" s="60" t="s">
        <v>236</v>
      </c>
      <c r="R826" s="60" t="s">
        <v>237</v>
      </c>
      <c r="S826" s="60"/>
      <c r="T826" s="60" t="b">
        <f>FALSE()</f>
        <v>0</v>
      </c>
      <c r="U826" s="60" t="b">
        <f>FALSE()</f>
        <v>0</v>
      </c>
      <c r="V826" s="60">
        <v>615</v>
      </c>
      <c r="W826" s="62" t="s">
        <v>3004</v>
      </c>
      <c r="X826" s="60">
        <v>1</v>
      </c>
      <c r="Y826" s="63">
        <v>0.01</v>
      </c>
      <c r="Z826" s="60" t="b">
        <f>FALSE()</f>
        <v>0</v>
      </c>
      <c r="AA826" s="60" t="b">
        <f>TRUE()</f>
        <v>1</v>
      </c>
      <c r="AB826" s="60" t="b">
        <f>FALSE()</f>
        <v>0</v>
      </c>
      <c r="AC826" s="60" t="b">
        <f>TRUE()</f>
        <v>1</v>
      </c>
      <c r="AD826" s="60" t="b">
        <f>FALSE()</f>
        <v>0</v>
      </c>
      <c r="AE826" s="60">
        <v>2</v>
      </c>
      <c r="AF826" s="64">
        <v>28.6</v>
      </c>
      <c r="AG826" s="60" t="s">
        <v>73</v>
      </c>
      <c r="AH826" s="60" t="s">
        <v>3005</v>
      </c>
      <c r="AI826">
        <f>IF(AND(OR(Company_Explorer!$B$5="All Companies",$E826=Company_Explorer!$B$5),OR(Company_Explorer!$B$6="All Platforms",$B826=Company_Explorer!$B$6),OR(Company_Explorer!$B$7="All Roles",$D826=Company_Explorer!$B$7),OR(Company_Explorer!$B$8="All Ghost Labels",$AG826=Company_Explorer!$B$8)),1,0)</f>
        <v>0</v>
      </c>
    </row>
    <row r="827" spans="1:35" ht="15" customHeight="1" x14ac:dyDescent="0.3">
      <c r="A827" s="65" t="s">
        <v>3006</v>
      </c>
      <c r="B827" s="65" t="s">
        <v>80</v>
      </c>
      <c r="C827" s="65" t="s">
        <v>3007</v>
      </c>
      <c r="D827" s="65" t="s">
        <v>131</v>
      </c>
      <c r="E827" s="65" t="s">
        <v>3008</v>
      </c>
      <c r="F827" s="65" t="b">
        <f>TRUE()</f>
        <v>1</v>
      </c>
      <c r="G827" s="65" t="s">
        <v>166</v>
      </c>
      <c r="H827" s="65" t="s">
        <v>235</v>
      </c>
      <c r="I827" s="66">
        <v>46186</v>
      </c>
      <c r="J827" s="66">
        <v>46210</v>
      </c>
      <c r="K827" s="65">
        <v>24</v>
      </c>
      <c r="L827" s="65" t="s">
        <v>192</v>
      </c>
      <c r="M827" s="65" t="s">
        <v>185</v>
      </c>
      <c r="N827" s="65" t="b">
        <f>FALSE()</f>
        <v>0</v>
      </c>
      <c r="O827" s="65"/>
      <c r="P827" s="65"/>
      <c r="Q827" s="65" t="s">
        <v>236</v>
      </c>
      <c r="R827" s="65" t="s">
        <v>237</v>
      </c>
      <c r="S827" s="65"/>
      <c r="T827" s="65" t="b">
        <f>FALSE()</f>
        <v>0</v>
      </c>
      <c r="U827" s="65" t="b">
        <f>FALSE()</f>
        <v>0</v>
      </c>
      <c r="V827" s="65">
        <v>279</v>
      </c>
      <c r="W827" s="67" t="s">
        <v>3009</v>
      </c>
      <c r="X827" s="65">
        <v>1</v>
      </c>
      <c r="Y827" s="68">
        <v>0.01</v>
      </c>
      <c r="Z827" s="65" t="b">
        <f>FALSE()</f>
        <v>0</v>
      </c>
      <c r="AA827" s="65" t="b">
        <f>TRUE()</f>
        <v>1</v>
      </c>
      <c r="AB827" s="65" t="b">
        <f>FALSE()</f>
        <v>0</v>
      </c>
      <c r="AC827" s="65" t="b">
        <f>TRUE()</f>
        <v>1</v>
      </c>
      <c r="AD827" s="65" t="b">
        <f>FALSE()</f>
        <v>0</v>
      </c>
      <c r="AE827" s="65">
        <v>2</v>
      </c>
      <c r="AF827" s="69">
        <v>28.6</v>
      </c>
      <c r="AG827" s="65" t="s">
        <v>73</v>
      </c>
      <c r="AH827" s="65" t="s">
        <v>3010</v>
      </c>
      <c r="AI827">
        <f>IF(AND(OR(Company_Explorer!$B$5="All Companies",$E827=Company_Explorer!$B$5),OR(Company_Explorer!$B$6="All Platforms",$B827=Company_Explorer!$B$6),OR(Company_Explorer!$B$7="All Roles",$D827=Company_Explorer!$B$7),OR(Company_Explorer!$B$8="All Ghost Labels",$AG827=Company_Explorer!$B$8)),1,0)</f>
        <v>0</v>
      </c>
    </row>
    <row r="828" spans="1:35" ht="15" customHeight="1" x14ac:dyDescent="0.3">
      <c r="A828" s="60" t="s">
        <v>3011</v>
      </c>
      <c r="B828" s="60" t="s">
        <v>80</v>
      </c>
      <c r="C828" s="60" t="s">
        <v>3012</v>
      </c>
      <c r="D828" s="60" t="s">
        <v>131</v>
      </c>
      <c r="E828" s="60" t="s">
        <v>3013</v>
      </c>
      <c r="F828" s="60" t="b">
        <f>TRUE()</f>
        <v>1</v>
      </c>
      <c r="G828" s="60" t="s">
        <v>462</v>
      </c>
      <c r="H828" s="60" t="s">
        <v>254</v>
      </c>
      <c r="I828" s="61">
        <v>46204</v>
      </c>
      <c r="J828" s="61">
        <v>46210</v>
      </c>
      <c r="K828" s="60">
        <v>6</v>
      </c>
      <c r="L828" s="60" t="s">
        <v>192</v>
      </c>
      <c r="M828" s="60" t="s">
        <v>184</v>
      </c>
      <c r="N828" s="60" t="b">
        <f>FALSE()</f>
        <v>0</v>
      </c>
      <c r="O828" s="60"/>
      <c r="P828" s="60"/>
      <c r="Q828" s="60" t="s">
        <v>236</v>
      </c>
      <c r="R828" s="60" t="s">
        <v>237</v>
      </c>
      <c r="S828" s="60"/>
      <c r="T828" s="60" t="b">
        <f>FALSE()</f>
        <v>0</v>
      </c>
      <c r="U828" s="60" t="b">
        <f>FALSE()</f>
        <v>0</v>
      </c>
      <c r="V828" s="60">
        <v>1113</v>
      </c>
      <c r="W828" s="60" t="s">
        <v>3014</v>
      </c>
      <c r="X828" s="60">
        <v>1</v>
      </c>
      <c r="Y828" s="63">
        <v>0.01</v>
      </c>
      <c r="Z828" s="60" t="b">
        <f>FALSE()</f>
        <v>0</v>
      </c>
      <c r="AA828" s="60" t="b">
        <f>TRUE()</f>
        <v>1</v>
      </c>
      <c r="AB828" s="60" t="b">
        <f>FALSE()</f>
        <v>0</v>
      </c>
      <c r="AC828" s="60" t="b">
        <f>FALSE()</f>
        <v>0</v>
      </c>
      <c r="AD828" s="60" t="b">
        <f>FALSE()</f>
        <v>0</v>
      </c>
      <c r="AE828" s="60">
        <v>1</v>
      </c>
      <c r="AF828" s="64">
        <v>14.3</v>
      </c>
      <c r="AG828" s="60" t="s">
        <v>74</v>
      </c>
      <c r="AH828" s="60" t="s">
        <v>3015</v>
      </c>
      <c r="AI828">
        <f>IF(AND(OR(Company_Explorer!$B$5="All Companies",$E828=Company_Explorer!$B$5),OR(Company_Explorer!$B$6="All Platforms",$B828=Company_Explorer!$B$6),OR(Company_Explorer!$B$7="All Roles",$D828=Company_Explorer!$B$7),OR(Company_Explorer!$B$8="All Ghost Labels",$AG828=Company_Explorer!$B$8)),1,0)</f>
        <v>0</v>
      </c>
    </row>
    <row r="829" spans="1:35" ht="15" customHeight="1" x14ac:dyDescent="0.3">
      <c r="A829" s="65" t="s">
        <v>3016</v>
      </c>
      <c r="B829" s="65" t="s">
        <v>80</v>
      </c>
      <c r="C829" s="65" t="s">
        <v>258</v>
      </c>
      <c r="D829" s="65" t="s">
        <v>125</v>
      </c>
      <c r="E829" s="65" t="s">
        <v>141</v>
      </c>
      <c r="F829" s="65" t="b">
        <f>TRUE()</f>
        <v>1</v>
      </c>
      <c r="G829" s="65" t="s">
        <v>174</v>
      </c>
      <c r="H829" s="65" t="s">
        <v>302</v>
      </c>
      <c r="I829" s="66">
        <v>46198</v>
      </c>
      <c r="J829" s="66">
        <v>46210</v>
      </c>
      <c r="K829" s="65">
        <v>12</v>
      </c>
      <c r="L829" s="65" t="s">
        <v>192</v>
      </c>
      <c r="M829" s="65" t="s">
        <v>184</v>
      </c>
      <c r="N829" s="65" t="b">
        <f>FALSE()</f>
        <v>0</v>
      </c>
      <c r="O829" s="65"/>
      <c r="P829" s="65"/>
      <c r="Q829" s="65" t="s">
        <v>236</v>
      </c>
      <c r="R829" s="65" t="s">
        <v>237</v>
      </c>
      <c r="S829" s="65"/>
      <c r="T829" s="65" t="b">
        <f>FALSE()</f>
        <v>0</v>
      </c>
      <c r="U829" s="65" t="b">
        <f>FALSE()</f>
        <v>0</v>
      </c>
      <c r="V829" s="65">
        <v>329</v>
      </c>
      <c r="W829" s="67" t="s">
        <v>259</v>
      </c>
      <c r="X829" s="65">
        <v>429</v>
      </c>
      <c r="Y829" s="68">
        <v>2.66</v>
      </c>
      <c r="Z829" s="65" t="b">
        <f>FALSE()</f>
        <v>0</v>
      </c>
      <c r="AA829" s="65" t="b">
        <f>TRUE()</f>
        <v>1</v>
      </c>
      <c r="AB829" s="65" t="b">
        <f>FALSE()</f>
        <v>0</v>
      </c>
      <c r="AC829" s="65" t="b">
        <f>FALSE()</f>
        <v>0</v>
      </c>
      <c r="AD829" s="65" t="b">
        <f>TRUE()</f>
        <v>1</v>
      </c>
      <c r="AE829" s="65">
        <v>3</v>
      </c>
      <c r="AF829" s="69">
        <v>42.9</v>
      </c>
      <c r="AG829" s="65" t="s">
        <v>73</v>
      </c>
      <c r="AH829" s="65" t="s">
        <v>3017</v>
      </c>
      <c r="AI829">
        <f>IF(AND(OR(Company_Explorer!$B$5="All Companies",$E829=Company_Explorer!$B$5),OR(Company_Explorer!$B$6="All Platforms",$B829=Company_Explorer!$B$6),OR(Company_Explorer!$B$7="All Roles",$D829=Company_Explorer!$B$7),OR(Company_Explorer!$B$8="All Ghost Labels",$AG829=Company_Explorer!$B$8)),1,0)</f>
        <v>0</v>
      </c>
    </row>
    <row r="830" spans="1:35" ht="15" customHeight="1" x14ac:dyDescent="0.3">
      <c r="A830" s="60" t="s">
        <v>3018</v>
      </c>
      <c r="B830" s="60" t="s">
        <v>80</v>
      </c>
      <c r="C830" s="60" t="s">
        <v>258</v>
      </c>
      <c r="D830" s="60" t="s">
        <v>125</v>
      </c>
      <c r="E830" s="60" t="s">
        <v>141</v>
      </c>
      <c r="F830" s="60" t="b">
        <f>TRUE()</f>
        <v>1</v>
      </c>
      <c r="G830" s="60" t="s">
        <v>174</v>
      </c>
      <c r="H830" s="60" t="s">
        <v>302</v>
      </c>
      <c r="I830" s="61">
        <v>46198</v>
      </c>
      <c r="J830" s="61">
        <v>46210</v>
      </c>
      <c r="K830" s="60">
        <v>12</v>
      </c>
      <c r="L830" s="60" t="s">
        <v>192</v>
      </c>
      <c r="M830" s="60" t="s">
        <v>184</v>
      </c>
      <c r="N830" s="60" t="b">
        <f>FALSE()</f>
        <v>0</v>
      </c>
      <c r="O830" s="60"/>
      <c r="P830" s="60"/>
      <c r="Q830" s="60" t="s">
        <v>236</v>
      </c>
      <c r="R830" s="60" t="s">
        <v>237</v>
      </c>
      <c r="S830" s="60"/>
      <c r="T830" s="60" t="b">
        <f>FALSE()</f>
        <v>0</v>
      </c>
      <c r="U830" s="60" t="b">
        <f>FALSE()</f>
        <v>0</v>
      </c>
      <c r="V830" s="60">
        <v>329</v>
      </c>
      <c r="W830" s="62" t="s">
        <v>259</v>
      </c>
      <c r="X830" s="60">
        <v>429</v>
      </c>
      <c r="Y830" s="63">
        <v>2.66</v>
      </c>
      <c r="Z830" s="60" t="b">
        <f>FALSE()</f>
        <v>0</v>
      </c>
      <c r="AA830" s="60" t="b">
        <f>TRUE()</f>
        <v>1</v>
      </c>
      <c r="AB830" s="60" t="b">
        <f>FALSE()</f>
        <v>0</v>
      </c>
      <c r="AC830" s="60" t="b">
        <f>FALSE()</f>
        <v>0</v>
      </c>
      <c r="AD830" s="60" t="b">
        <f>TRUE()</f>
        <v>1</v>
      </c>
      <c r="AE830" s="60">
        <v>3</v>
      </c>
      <c r="AF830" s="64">
        <v>42.9</v>
      </c>
      <c r="AG830" s="60" t="s">
        <v>73</v>
      </c>
      <c r="AH830" s="60" t="s">
        <v>3019</v>
      </c>
      <c r="AI830">
        <f>IF(AND(OR(Company_Explorer!$B$5="All Companies",$E830=Company_Explorer!$B$5),OR(Company_Explorer!$B$6="All Platforms",$B830=Company_Explorer!$B$6),OR(Company_Explorer!$B$7="All Roles",$D830=Company_Explorer!$B$7),OR(Company_Explorer!$B$8="All Ghost Labels",$AG830=Company_Explorer!$B$8)),1,0)</f>
        <v>0</v>
      </c>
    </row>
    <row r="831" spans="1:35" ht="15" customHeight="1" x14ac:dyDescent="0.3">
      <c r="A831" s="65" t="s">
        <v>3020</v>
      </c>
      <c r="B831" s="65" t="s">
        <v>80</v>
      </c>
      <c r="C831" s="65" t="s">
        <v>3021</v>
      </c>
      <c r="D831" s="65" t="s">
        <v>131</v>
      </c>
      <c r="E831" s="65" t="s">
        <v>3022</v>
      </c>
      <c r="F831" s="65" t="b">
        <f>TRUE()</f>
        <v>1</v>
      </c>
      <c r="G831" s="65" t="s">
        <v>166</v>
      </c>
      <c r="H831" s="65" t="s">
        <v>235</v>
      </c>
      <c r="I831" s="66">
        <v>46199</v>
      </c>
      <c r="J831" s="66">
        <v>46210</v>
      </c>
      <c r="K831" s="65">
        <v>11</v>
      </c>
      <c r="L831" s="65" t="s">
        <v>192</v>
      </c>
      <c r="M831" s="65" t="s">
        <v>185</v>
      </c>
      <c r="N831" s="65" t="b">
        <f>FALSE()</f>
        <v>0</v>
      </c>
      <c r="O831" s="65"/>
      <c r="P831" s="65"/>
      <c r="Q831" s="65" t="s">
        <v>236</v>
      </c>
      <c r="R831" s="65" t="s">
        <v>237</v>
      </c>
      <c r="S831" s="65"/>
      <c r="T831" s="65" t="b">
        <f>FALSE()</f>
        <v>0</v>
      </c>
      <c r="U831" s="65" t="b">
        <f>FALSE()</f>
        <v>0</v>
      </c>
      <c r="V831" s="65">
        <v>942</v>
      </c>
      <c r="W831" s="67" t="s">
        <v>3023</v>
      </c>
      <c r="X831" s="65">
        <v>1</v>
      </c>
      <c r="Y831" s="68">
        <v>0.01</v>
      </c>
      <c r="Z831" s="65" t="b">
        <f>FALSE()</f>
        <v>0</v>
      </c>
      <c r="AA831" s="65" t="b">
        <f>TRUE()</f>
        <v>1</v>
      </c>
      <c r="AB831" s="65" t="b">
        <f>FALSE()</f>
        <v>0</v>
      </c>
      <c r="AC831" s="65" t="b">
        <f>FALSE()</f>
        <v>0</v>
      </c>
      <c r="AD831" s="65" t="b">
        <f>FALSE()</f>
        <v>0</v>
      </c>
      <c r="AE831" s="65">
        <v>1</v>
      </c>
      <c r="AF831" s="69">
        <v>14.3</v>
      </c>
      <c r="AG831" s="65" t="s">
        <v>74</v>
      </c>
      <c r="AH831" s="65" t="s">
        <v>3024</v>
      </c>
      <c r="AI831">
        <f>IF(AND(OR(Company_Explorer!$B$5="All Companies",$E831=Company_Explorer!$B$5),OR(Company_Explorer!$B$6="All Platforms",$B831=Company_Explorer!$B$6),OR(Company_Explorer!$B$7="All Roles",$D831=Company_Explorer!$B$7),OR(Company_Explorer!$B$8="All Ghost Labels",$AG831=Company_Explorer!$B$8)),1,0)</f>
        <v>0</v>
      </c>
    </row>
    <row r="832" spans="1:35" ht="15" customHeight="1" x14ac:dyDescent="0.3">
      <c r="A832" s="60" t="s">
        <v>3025</v>
      </c>
      <c r="B832" s="60" t="s">
        <v>80</v>
      </c>
      <c r="C832" s="60" t="s">
        <v>130</v>
      </c>
      <c r="D832" s="60" t="s">
        <v>130</v>
      </c>
      <c r="E832" s="60" t="s">
        <v>381</v>
      </c>
      <c r="F832" s="60" t="b">
        <f>TRUE()</f>
        <v>1</v>
      </c>
      <c r="G832" s="60" t="s">
        <v>166</v>
      </c>
      <c r="H832" s="60" t="s">
        <v>235</v>
      </c>
      <c r="I832" s="61">
        <v>46195</v>
      </c>
      <c r="J832" s="61">
        <v>46210</v>
      </c>
      <c r="K832" s="60">
        <v>15</v>
      </c>
      <c r="L832" s="60" t="s">
        <v>192</v>
      </c>
      <c r="M832" s="60" t="s">
        <v>186</v>
      </c>
      <c r="N832" s="60" t="b">
        <f>FALSE()</f>
        <v>0</v>
      </c>
      <c r="O832" s="60"/>
      <c r="P832" s="60"/>
      <c r="Q832" s="60" t="s">
        <v>236</v>
      </c>
      <c r="R832" s="60" t="s">
        <v>237</v>
      </c>
      <c r="S832" s="60"/>
      <c r="T832" s="60" t="b">
        <f>FALSE()</f>
        <v>0</v>
      </c>
      <c r="U832" s="60" t="b">
        <f>FALSE()</f>
        <v>0</v>
      </c>
      <c r="V832" s="60">
        <v>85</v>
      </c>
      <c r="W832" s="62" t="s">
        <v>3026</v>
      </c>
      <c r="X832" s="60">
        <v>3</v>
      </c>
      <c r="Y832" s="63">
        <v>0.02</v>
      </c>
      <c r="Z832" s="60" t="b">
        <f>FALSE()</f>
        <v>0</v>
      </c>
      <c r="AA832" s="60" t="b">
        <f>TRUE()</f>
        <v>1</v>
      </c>
      <c r="AB832" s="60" t="b">
        <f>TRUE()</f>
        <v>1</v>
      </c>
      <c r="AC832" s="60" t="b">
        <f>FALSE()</f>
        <v>0</v>
      </c>
      <c r="AD832" s="60" t="b">
        <f>FALSE()</f>
        <v>0</v>
      </c>
      <c r="AE832" s="60">
        <v>2</v>
      </c>
      <c r="AF832" s="64">
        <v>28.6</v>
      </c>
      <c r="AG832" s="60" t="s">
        <v>73</v>
      </c>
      <c r="AH832" s="60" t="s">
        <v>3027</v>
      </c>
      <c r="AI832">
        <f>IF(AND(OR(Company_Explorer!$B$5="All Companies",$E832=Company_Explorer!$B$5),OR(Company_Explorer!$B$6="All Platforms",$B832=Company_Explorer!$B$6),OR(Company_Explorer!$B$7="All Roles",$D832=Company_Explorer!$B$7),OR(Company_Explorer!$B$8="All Ghost Labels",$AG832=Company_Explorer!$B$8)),1,0)</f>
        <v>0</v>
      </c>
    </row>
    <row r="833" spans="1:35" ht="15" customHeight="1" x14ac:dyDescent="0.3">
      <c r="A833" s="65" t="s">
        <v>3028</v>
      </c>
      <c r="B833" s="65" t="s">
        <v>80</v>
      </c>
      <c r="C833" s="65" t="s">
        <v>258</v>
      </c>
      <c r="D833" s="65" t="s">
        <v>125</v>
      </c>
      <c r="E833" s="65" t="s">
        <v>141</v>
      </c>
      <c r="F833" s="65" t="b">
        <f>TRUE()</f>
        <v>1</v>
      </c>
      <c r="G833" s="65" t="s">
        <v>172</v>
      </c>
      <c r="H833" s="65" t="s">
        <v>276</v>
      </c>
      <c r="I833" s="66">
        <v>46198</v>
      </c>
      <c r="J833" s="66">
        <v>46210</v>
      </c>
      <c r="K833" s="65">
        <v>12</v>
      </c>
      <c r="L833" s="65" t="s">
        <v>192</v>
      </c>
      <c r="M833" s="65" t="s">
        <v>184</v>
      </c>
      <c r="N833" s="65" t="b">
        <f>FALSE()</f>
        <v>0</v>
      </c>
      <c r="O833" s="65"/>
      <c r="P833" s="65"/>
      <c r="Q833" s="65" t="s">
        <v>236</v>
      </c>
      <c r="R833" s="65" t="s">
        <v>237</v>
      </c>
      <c r="S833" s="65"/>
      <c r="T833" s="65" t="b">
        <f>FALSE()</f>
        <v>0</v>
      </c>
      <c r="U833" s="65" t="b">
        <f>FALSE()</f>
        <v>0</v>
      </c>
      <c r="V833" s="65">
        <v>297</v>
      </c>
      <c r="W833" s="67" t="s">
        <v>259</v>
      </c>
      <c r="X833" s="65">
        <v>429</v>
      </c>
      <c r="Y833" s="68">
        <v>2.66</v>
      </c>
      <c r="Z833" s="65" t="b">
        <f>FALSE()</f>
        <v>0</v>
      </c>
      <c r="AA833" s="65" t="b">
        <f>TRUE()</f>
        <v>1</v>
      </c>
      <c r="AB833" s="65" t="b">
        <f>FALSE()</f>
        <v>0</v>
      </c>
      <c r="AC833" s="65" t="b">
        <f>FALSE()</f>
        <v>0</v>
      </c>
      <c r="AD833" s="65" t="b">
        <f>TRUE()</f>
        <v>1</v>
      </c>
      <c r="AE833" s="65">
        <v>3</v>
      </c>
      <c r="AF833" s="69">
        <v>42.9</v>
      </c>
      <c r="AG833" s="65" t="s">
        <v>73</v>
      </c>
      <c r="AH833" s="65" t="s">
        <v>3029</v>
      </c>
      <c r="AI833">
        <f>IF(AND(OR(Company_Explorer!$B$5="All Companies",$E833=Company_Explorer!$B$5),OR(Company_Explorer!$B$6="All Platforms",$B833=Company_Explorer!$B$6),OR(Company_Explorer!$B$7="All Roles",$D833=Company_Explorer!$B$7),OR(Company_Explorer!$B$8="All Ghost Labels",$AG833=Company_Explorer!$B$8)),1,0)</f>
        <v>0</v>
      </c>
    </row>
    <row r="834" spans="1:35" ht="15" customHeight="1" x14ac:dyDescent="0.3">
      <c r="A834" s="60" t="s">
        <v>3030</v>
      </c>
      <c r="B834" s="60" t="s">
        <v>80</v>
      </c>
      <c r="C834" s="60" t="s">
        <v>258</v>
      </c>
      <c r="D834" s="60" t="s">
        <v>125</v>
      </c>
      <c r="E834" s="60" t="s">
        <v>141</v>
      </c>
      <c r="F834" s="60" t="b">
        <f>TRUE()</f>
        <v>1</v>
      </c>
      <c r="G834" s="60" t="s">
        <v>179</v>
      </c>
      <c r="H834" s="60" t="s">
        <v>254</v>
      </c>
      <c r="I834" s="61">
        <v>46198</v>
      </c>
      <c r="J834" s="61">
        <v>46210</v>
      </c>
      <c r="K834" s="60">
        <v>12</v>
      </c>
      <c r="L834" s="60" t="s">
        <v>192</v>
      </c>
      <c r="M834" s="60" t="s">
        <v>184</v>
      </c>
      <c r="N834" s="60" t="b">
        <f>FALSE()</f>
        <v>0</v>
      </c>
      <c r="O834" s="60"/>
      <c r="P834" s="60"/>
      <c r="Q834" s="60" t="s">
        <v>236</v>
      </c>
      <c r="R834" s="60" t="s">
        <v>237</v>
      </c>
      <c r="S834" s="60"/>
      <c r="T834" s="60" t="b">
        <f>FALSE()</f>
        <v>0</v>
      </c>
      <c r="U834" s="60" t="b">
        <f>FALSE()</f>
        <v>0</v>
      </c>
      <c r="V834" s="60">
        <v>289</v>
      </c>
      <c r="W834" s="62" t="s">
        <v>3031</v>
      </c>
      <c r="X834" s="60">
        <v>429</v>
      </c>
      <c r="Y834" s="63">
        <v>2.66</v>
      </c>
      <c r="Z834" s="60" t="b">
        <f>FALSE()</f>
        <v>0</v>
      </c>
      <c r="AA834" s="60" t="b">
        <f>TRUE()</f>
        <v>1</v>
      </c>
      <c r="AB834" s="60" t="b">
        <f>FALSE()</f>
        <v>0</v>
      </c>
      <c r="AC834" s="60" t="b">
        <f>FALSE()</f>
        <v>0</v>
      </c>
      <c r="AD834" s="60" t="b">
        <f>TRUE()</f>
        <v>1</v>
      </c>
      <c r="AE834" s="60">
        <v>3</v>
      </c>
      <c r="AF834" s="64">
        <v>42.9</v>
      </c>
      <c r="AG834" s="60" t="s">
        <v>73</v>
      </c>
      <c r="AH834" s="60" t="s">
        <v>3032</v>
      </c>
      <c r="AI834">
        <f>IF(AND(OR(Company_Explorer!$B$5="All Companies",$E834=Company_Explorer!$B$5),OR(Company_Explorer!$B$6="All Platforms",$B834=Company_Explorer!$B$6),OR(Company_Explorer!$B$7="All Roles",$D834=Company_Explorer!$B$7),OR(Company_Explorer!$B$8="All Ghost Labels",$AG834=Company_Explorer!$B$8)),1,0)</f>
        <v>0</v>
      </c>
    </row>
    <row r="835" spans="1:35" ht="15" customHeight="1" x14ac:dyDescent="0.3">
      <c r="A835" s="65" t="s">
        <v>3033</v>
      </c>
      <c r="B835" s="65" t="s">
        <v>80</v>
      </c>
      <c r="C835" s="65" t="s">
        <v>3034</v>
      </c>
      <c r="D835" s="65" t="s">
        <v>125</v>
      </c>
      <c r="E835" s="65" t="s">
        <v>331</v>
      </c>
      <c r="F835" s="65" t="b">
        <f>TRUE()</f>
        <v>1</v>
      </c>
      <c r="G835" s="65" t="s">
        <v>178</v>
      </c>
      <c r="H835" s="65" t="s">
        <v>165</v>
      </c>
      <c r="I835" s="66">
        <v>46191</v>
      </c>
      <c r="J835" s="66">
        <v>46210</v>
      </c>
      <c r="K835" s="65">
        <v>19</v>
      </c>
      <c r="L835" s="65" t="s">
        <v>194</v>
      </c>
      <c r="M835" s="65" t="s">
        <v>186</v>
      </c>
      <c r="N835" s="65" t="b">
        <f>TRUE()</f>
        <v>1</v>
      </c>
      <c r="O835" s="71">
        <v>30</v>
      </c>
      <c r="P835" s="71">
        <v>80</v>
      </c>
      <c r="Q835" s="65" t="s">
        <v>332</v>
      </c>
      <c r="R835" s="65" t="s">
        <v>237</v>
      </c>
      <c r="S835" s="65"/>
      <c r="T835" s="65" t="b">
        <f>FALSE()</f>
        <v>0</v>
      </c>
      <c r="U835" s="65" t="b">
        <f>FALSE()</f>
        <v>0</v>
      </c>
      <c r="V835" s="65">
        <v>172</v>
      </c>
      <c r="W835" s="67" t="s">
        <v>3035</v>
      </c>
      <c r="X835" s="65">
        <v>7</v>
      </c>
      <c r="Y835" s="68">
        <v>0.04</v>
      </c>
      <c r="Z835" s="65" t="b">
        <f>FALSE()</f>
        <v>0</v>
      </c>
      <c r="AA835" s="65" t="b">
        <f>FALSE()</f>
        <v>0</v>
      </c>
      <c r="AB835" s="65" t="b">
        <f>TRUE()</f>
        <v>1</v>
      </c>
      <c r="AC835" s="65" t="b">
        <f>TRUE()</f>
        <v>1</v>
      </c>
      <c r="AD835" s="65" t="b">
        <f>FALSE()</f>
        <v>0</v>
      </c>
      <c r="AE835" s="65">
        <v>2</v>
      </c>
      <c r="AF835" s="69">
        <v>28.6</v>
      </c>
      <c r="AG835" s="65" t="s">
        <v>73</v>
      </c>
      <c r="AH835" s="65" t="s">
        <v>3036</v>
      </c>
      <c r="AI835">
        <f>IF(AND(OR(Company_Explorer!$B$5="All Companies",$E835=Company_Explorer!$B$5),OR(Company_Explorer!$B$6="All Platforms",$B835=Company_Explorer!$B$6),OR(Company_Explorer!$B$7="All Roles",$D835=Company_Explorer!$B$7),OR(Company_Explorer!$B$8="All Ghost Labels",$AG835=Company_Explorer!$B$8)),1,0)</f>
        <v>0</v>
      </c>
    </row>
    <row r="836" spans="1:35" ht="15" customHeight="1" x14ac:dyDescent="0.3">
      <c r="A836" s="60" t="s">
        <v>3037</v>
      </c>
      <c r="B836" s="60" t="s">
        <v>80</v>
      </c>
      <c r="C836" s="60" t="s">
        <v>2840</v>
      </c>
      <c r="D836" s="60" t="s">
        <v>131</v>
      </c>
      <c r="E836" s="60" t="s">
        <v>3038</v>
      </c>
      <c r="F836" s="60" t="b">
        <f>TRUE()</f>
        <v>1</v>
      </c>
      <c r="G836" s="60" t="s">
        <v>2763</v>
      </c>
      <c r="H836" s="60" t="s">
        <v>585</v>
      </c>
      <c r="I836" s="61">
        <v>46188</v>
      </c>
      <c r="J836" s="61">
        <v>46210</v>
      </c>
      <c r="K836" s="60">
        <v>22</v>
      </c>
      <c r="L836" s="60" t="s">
        <v>192</v>
      </c>
      <c r="M836" s="60" t="s">
        <v>184</v>
      </c>
      <c r="N836" s="60" t="b">
        <f>FALSE()</f>
        <v>0</v>
      </c>
      <c r="O836" s="60"/>
      <c r="P836" s="60"/>
      <c r="Q836" s="60" t="s">
        <v>236</v>
      </c>
      <c r="R836" s="60" t="s">
        <v>237</v>
      </c>
      <c r="S836" s="60"/>
      <c r="T836" s="60" t="b">
        <f>FALSE()</f>
        <v>0</v>
      </c>
      <c r="U836" s="60" t="b">
        <f>FALSE()</f>
        <v>0</v>
      </c>
      <c r="V836" s="60">
        <v>701</v>
      </c>
      <c r="W836" s="62" t="s">
        <v>3039</v>
      </c>
      <c r="X836" s="60">
        <v>1</v>
      </c>
      <c r="Y836" s="63">
        <v>0.01</v>
      </c>
      <c r="Z836" s="60" t="b">
        <f>FALSE()</f>
        <v>0</v>
      </c>
      <c r="AA836" s="60" t="b">
        <f>TRUE()</f>
        <v>1</v>
      </c>
      <c r="AB836" s="60" t="b">
        <f>FALSE()</f>
        <v>0</v>
      </c>
      <c r="AC836" s="60" t="b">
        <f>TRUE()</f>
        <v>1</v>
      </c>
      <c r="AD836" s="60" t="b">
        <f>FALSE()</f>
        <v>0</v>
      </c>
      <c r="AE836" s="60">
        <v>2</v>
      </c>
      <c r="AF836" s="64">
        <v>28.6</v>
      </c>
      <c r="AG836" s="60" t="s">
        <v>73</v>
      </c>
      <c r="AH836" s="60" t="s">
        <v>3040</v>
      </c>
      <c r="AI836">
        <f>IF(AND(OR(Company_Explorer!$B$5="All Companies",$E836=Company_Explorer!$B$5),OR(Company_Explorer!$B$6="All Platforms",$B836=Company_Explorer!$B$6),OR(Company_Explorer!$B$7="All Roles",$D836=Company_Explorer!$B$7),OR(Company_Explorer!$B$8="All Ghost Labels",$AG836=Company_Explorer!$B$8)),1,0)</f>
        <v>0</v>
      </c>
    </row>
    <row r="837" spans="1:35" ht="15" customHeight="1" x14ac:dyDescent="0.3">
      <c r="A837" s="65" t="s">
        <v>3041</v>
      </c>
      <c r="B837" s="65" t="s">
        <v>80</v>
      </c>
      <c r="C837" s="65" t="s">
        <v>2349</v>
      </c>
      <c r="D837" s="65" t="s">
        <v>131</v>
      </c>
      <c r="E837" s="65" t="s">
        <v>3042</v>
      </c>
      <c r="F837" s="65" t="b">
        <f>TRUE()</f>
        <v>1</v>
      </c>
      <c r="G837" s="65" t="s">
        <v>167</v>
      </c>
      <c r="H837" s="65" t="s">
        <v>276</v>
      </c>
      <c r="I837" s="66">
        <v>46149</v>
      </c>
      <c r="J837" s="66">
        <v>46210</v>
      </c>
      <c r="K837" s="65">
        <v>61</v>
      </c>
      <c r="L837" s="65" t="s">
        <v>192</v>
      </c>
      <c r="M837" s="65" t="s">
        <v>185</v>
      </c>
      <c r="N837" s="65" t="b">
        <f>FALSE()</f>
        <v>0</v>
      </c>
      <c r="O837" s="65"/>
      <c r="P837" s="65"/>
      <c r="Q837" s="65" t="s">
        <v>236</v>
      </c>
      <c r="R837" s="65" t="s">
        <v>237</v>
      </c>
      <c r="S837" s="65"/>
      <c r="T837" s="65" t="b">
        <f>FALSE()</f>
        <v>0</v>
      </c>
      <c r="U837" s="65" t="b">
        <f>FALSE()</f>
        <v>0</v>
      </c>
      <c r="V837" s="65">
        <v>541</v>
      </c>
      <c r="W837" s="65" t="s">
        <v>3043</v>
      </c>
      <c r="X837" s="65">
        <v>1</v>
      </c>
      <c r="Y837" s="68">
        <v>0.01</v>
      </c>
      <c r="Z837" s="65" t="b">
        <f>FALSE()</f>
        <v>0</v>
      </c>
      <c r="AA837" s="65" t="b">
        <f>TRUE()</f>
        <v>1</v>
      </c>
      <c r="AB837" s="65" t="b">
        <f>FALSE()</f>
        <v>0</v>
      </c>
      <c r="AC837" s="65" t="b">
        <f>TRUE()</f>
        <v>1</v>
      </c>
      <c r="AD837" s="65" t="b">
        <f>FALSE()</f>
        <v>0</v>
      </c>
      <c r="AE837" s="65">
        <v>2</v>
      </c>
      <c r="AF837" s="69">
        <v>28.6</v>
      </c>
      <c r="AG837" s="65" t="s">
        <v>73</v>
      </c>
      <c r="AH837" s="65" t="s">
        <v>3044</v>
      </c>
      <c r="AI837">
        <f>IF(AND(OR(Company_Explorer!$B$5="All Companies",$E837=Company_Explorer!$B$5),OR(Company_Explorer!$B$6="All Platforms",$B837=Company_Explorer!$B$6),OR(Company_Explorer!$B$7="All Roles",$D837=Company_Explorer!$B$7),OR(Company_Explorer!$B$8="All Ghost Labels",$AG837=Company_Explorer!$B$8)),1,0)</f>
        <v>0</v>
      </c>
    </row>
    <row r="838" spans="1:35" ht="15" customHeight="1" x14ac:dyDescent="0.3">
      <c r="A838" s="60" t="s">
        <v>3045</v>
      </c>
      <c r="B838" s="60" t="s">
        <v>80</v>
      </c>
      <c r="C838" s="60" t="s">
        <v>3046</v>
      </c>
      <c r="D838" s="60" t="s">
        <v>125</v>
      </c>
      <c r="E838" s="60" t="s">
        <v>331</v>
      </c>
      <c r="F838" s="60" t="b">
        <f>TRUE()</f>
        <v>1</v>
      </c>
      <c r="G838" s="60" t="s">
        <v>178</v>
      </c>
      <c r="H838" s="60" t="s">
        <v>165</v>
      </c>
      <c r="I838" s="61">
        <v>46190</v>
      </c>
      <c r="J838" s="61">
        <v>46210</v>
      </c>
      <c r="K838" s="60">
        <v>20</v>
      </c>
      <c r="L838" s="60" t="s">
        <v>194</v>
      </c>
      <c r="M838" s="60" t="s">
        <v>186</v>
      </c>
      <c r="N838" s="60" t="b">
        <f>TRUE()</f>
        <v>1</v>
      </c>
      <c r="O838" s="70">
        <v>30</v>
      </c>
      <c r="P838" s="70">
        <v>80</v>
      </c>
      <c r="Q838" s="60" t="s">
        <v>332</v>
      </c>
      <c r="R838" s="60" t="s">
        <v>237</v>
      </c>
      <c r="S838" s="60"/>
      <c r="T838" s="60" t="b">
        <f>FALSE()</f>
        <v>0</v>
      </c>
      <c r="U838" s="60" t="b">
        <f>FALSE()</f>
        <v>0</v>
      </c>
      <c r="V838" s="60">
        <v>163</v>
      </c>
      <c r="W838" s="62" t="s">
        <v>3047</v>
      </c>
      <c r="X838" s="60">
        <v>7</v>
      </c>
      <c r="Y838" s="63">
        <v>0.04</v>
      </c>
      <c r="Z838" s="60" t="b">
        <f>FALSE()</f>
        <v>0</v>
      </c>
      <c r="AA838" s="60" t="b">
        <f>FALSE()</f>
        <v>0</v>
      </c>
      <c r="AB838" s="60" t="b">
        <f>TRUE()</f>
        <v>1</v>
      </c>
      <c r="AC838" s="60" t="b">
        <f>TRUE()</f>
        <v>1</v>
      </c>
      <c r="AD838" s="60" t="b">
        <f>FALSE()</f>
        <v>0</v>
      </c>
      <c r="AE838" s="60">
        <v>2</v>
      </c>
      <c r="AF838" s="64">
        <v>28.6</v>
      </c>
      <c r="AG838" s="60" t="s">
        <v>73</v>
      </c>
      <c r="AH838" s="60" t="s">
        <v>3048</v>
      </c>
      <c r="AI838">
        <f>IF(AND(OR(Company_Explorer!$B$5="All Companies",$E838=Company_Explorer!$B$5),OR(Company_Explorer!$B$6="All Platforms",$B838=Company_Explorer!$B$6),OR(Company_Explorer!$B$7="All Roles",$D838=Company_Explorer!$B$7),OR(Company_Explorer!$B$8="All Ghost Labels",$AG838=Company_Explorer!$B$8)),1,0)</f>
        <v>0</v>
      </c>
    </row>
    <row r="839" spans="1:35" ht="15" customHeight="1" x14ac:dyDescent="0.3">
      <c r="A839" s="65" t="s">
        <v>3049</v>
      </c>
      <c r="B839" s="65" t="s">
        <v>80</v>
      </c>
      <c r="C839" s="65" t="s">
        <v>2034</v>
      </c>
      <c r="D839" s="65" t="s">
        <v>130</v>
      </c>
      <c r="E839" s="65" t="s">
        <v>3050</v>
      </c>
      <c r="F839" s="65" t="b">
        <f>TRUE()</f>
        <v>1</v>
      </c>
      <c r="G839" s="65" t="s">
        <v>171</v>
      </c>
      <c r="H839" s="65" t="s">
        <v>254</v>
      </c>
      <c r="I839" s="66">
        <v>46196</v>
      </c>
      <c r="J839" s="66">
        <v>46210</v>
      </c>
      <c r="K839" s="65">
        <v>14</v>
      </c>
      <c r="L839" s="65" t="s">
        <v>192</v>
      </c>
      <c r="M839" s="65" t="s">
        <v>185</v>
      </c>
      <c r="N839" s="65" t="b">
        <f>FALSE()</f>
        <v>0</v>
      </c>
      <c r="O839" s="65"/>
      <c r="P839" s="65"/>
      <c r="Q839" s="65" t="s">
        <v>236</v>
      </c>
      <c r="R839" s="65" t="s">
        <v>237</v>
      </c>
      <c r="S839" s="65"/>
      <c r="T839" s="65" t="b">
        <f>FALSE()</f>
        <v>0</v>
      </c>
      <c r="U839" s="65" t="b">
        <f>FALSE()</f>
        <v>0</v>
      </c>
      <c r="V839" s="65">
        <v>846</v>
      </c>
      <c r="W839" s="67" t="s">
        <v>3051</v>
      </c>
      <c r="X839" s="65">
        <v>1</v>
      </c>
      <c r="Y839" s="68">
        <v>0.01</v>
      </c>
      <c r="Z839" s="65" t="b">
        <f>FALSE()</f>
        <v>0</v>
      </c>
      <c r="AA839" s="65" t="b">
        <f>TRUE()</f>
        <v>1</v>
      </c>
      <c r="AB839" s="65" t="b">
        <f>FALSE()</f>
        <v>0</v>
      </c>
      <c r="AC839" s="65" t="b">
        <f>FALSE()</f>
        <v>0</v>
      </c>
      <c r="AD839" s="65" t="b">
        <f>FALSE()</f>
        <v>0</v>
      </c>
      <c r="AE839" s="65">
        <v>1</v>
      </c>
      <c r="AF839" s="69">
        <v>14.3</v>
      </c>
      <c r="AG839" s="65" t="s">
        <v>74</v>
      </c>
      <c r="AH839" s="65" t="s">
        <v>3052</v>
      </c>
      <c r="AI839">
        <f>IF(AND(OR(Company_Explorer!$B$5="All Companies",$E839=Company_Explorer!$B$5),OR(Company_Explorer!$B$6="All Platforms",$B839=Company_Explorer!$B$6),OR(Company_Explorer!$B$7="All Roles",$D839=Company_Explorer!$B$7),OR(Company_Explorer!$B$8="All Ghost Labels",$AG839=Company_Explorer!$B$8)),1,0)</f>
        <v>0</v>
      </c>
    </row>
    <row r="840" spans="1:35" ht="15" customHeight="1" x14ac:dyDescent="0.3">
      <c r="A840" s="60" t="s">
        <v>3053</v>
      </c>
      <c r="B840" s="60" t="s">
        <v>80</v>
      </c>
      <c r="C840" s="60" t="s">
        <v>3054</v>
      </c>
      <c r="D840" s="60" t="s">
        <v>130</v>
      </c>
      <c r="E840" s="60" t="s">
        <v>147</v>
      </c>
      <c r="F840" s="60" t="b">
        <f>TRUE()</f>
        <v>1</v>
      </c>
      <c r="G840" s="60" t="s">
        <v>311</v>
      </c>
      <c r="H840" s="60" t="s">
        <v>235</v>
      </c>
      <c r="I840" s="61">
        <v>46203</v>
      </c>
      <c r="J840" s="61">
        <v>46210</v>
      </c>
      <c r="K840" s="60">
        <v>7</v>
      </c>
      <c r="L840" s="60" t="s">
        <v>192</v>
      </c>
      <c r="M840" s="60" t="s">
        <v>185</v>
      </c>
      <c r="N840" s="60" t="b">
        <f>FALSE()</f>
        <v>0</v>
      </c>
      <c r="O840" s="60"/>
      <c r="P840" s="60"/>
      <c r="Q840" s="60" t="s">
        <v>236</v>
      </c>
      <c r="R840" s="60" t="s">
        <v>237</v>
      </c>
      <c r="S840" s="60"/>
      <c r="T840" s="60" t="b">
        <f>FALSE()</f>
        <v>0</v>
      </c>
      <c r="U840" s="60" t="b">
        <f>FALSE()</f>
        <v>0</v>
      </c>
      <c r="V840" s="60">
        <v>185</v>
      </c>
      <c r="W840" s="62" t="s">
        <v>3055</v>
      </c>
      <c r="X840" s="60">
        <v>8</v>
      </c>
      <c r="Y840" s="63">
        <v>0.05</v>
      </c>
      <c r="Z840" s="60" t="b">
        <f>FALSE()</f>
        <v>0</v>
      </c>
      <c r="AA840" s="60" t="b">
        <f>TRUE()</f>
        <v>1</v>
      </c>
      <c r="AB840" s="60" t="b">
        <f>TRUE()</f>
        <v>1</v>
      </c>
      <c r="AC840" s="60" t="b">
        <f>FALSE()</f>
        <v>0</v>
      </c>
      <c r="AD840" s="60" t="b">
        <f>FALSE()</f>
        <v>0</v>
      </c>
      <c r="AE840" s="60">
        <v>2</v>
      </c>
      <c r="AF840" s="64">
        <v>28.6</v>
      </c>
      <c r="AG840" s="60" t="s">
        <v>73</v>
      </c>
      <c r="AH840" s="60" t="s">
        <v>3056</v>
      </c>
      <c r="AI840">
        <f>IF(AND(OR(Company_Explorer!$B$5="All Companies",$E840=Company_Explorer!$B$5),OR(Company_Explorer!$B$6="All Platforms",$B840=Company_Explorer!$B$6),OR(Company_Explorer!$B$7="All Roles",$D840=Company_Explorer!$B$7),OR(Company_Explorer!$B$8="All Ghost Labels",$AG840=Company_Explorer!$B$8)),1,0)</f>
        <v>1</v>
      </c>
    </row>
    <row r="841" spans="1:35" ht="15" customHeight="1" x14ac:dyDescent="0.3">
      <c r="A841" s="65" t="s">
        <v>3057</v>
      </c>
      <c r="B841" s="65" t="s">
        <v>80</v>
      </c>
      <c r="C841" s="65" t="s">
        <v>2349</v>
      </c>
      <c r="D841" s="65" t="s">
        <v>131</v>
      </c>
      <c r="E841" s="65" t="s">
        <v>589</v>
      </c>
      <c r="F841" s="65" t="b">
        <f>TRUE()</f>
        <v>1</v>
      </c>
      <c r="G841" s="65" t="s">
        <v>171</v>
      </c>
      <c r="H841" s="65" t="s">
        <v>254</v>
      </c>
      <c r="I841" s="66">
        <v>46142</v>
      </c>
      <c r="J841" s="66">
        <v>46210</v>
      </c>
      <c r="K841" s="65">
        <v>68</v>
      </c>
      <c r="L841" s="65" t="s">
        <v>192</v>
      </c>
      <c r="M841" s="65" t="s">
        <v>185</v>
      </c>
      <c r="N841" s="65" t="b">
        <f>TRUE()</f>
        <v>1</v>
      </c>
      <c r="O841" s="71">
        <v>3000000</v>
      </c>
      <c r="P841" s="71">
        <v>4000000</v>
      </c>
      <c r="Q841" s="65" t="s">
        <v>332</v>
      </c>
      <c r="R841" s="65" t="s">
        <v>237</v>
      </c>
      <c r="S841" s="65"/>
      <c r="T841" s="65" t="b">
        <f>FALSE()</f>
        <v>0</v>
      </c>
      <c r="U841" s="65" t="b">
        <f>FALSE()</f>
        <v>0</v>
      </c>
      <c r="V841" s="65">
        <v>209</v>
      </c>
      <c r="W841" s="67" t="s">
        <v>3058</v>
      </c>
      <c r="X841" s="65">
        <v>6</v>
      </c>
      <c r="Y841" s="68">
        <v>0.04</v>
      </c>
      <c r="Z841" s="65" t="b">
        <f>FALSE()</f>
        <v>0</v>
      </c>
      <c r="AA841" s="65" t="b">
        <f>FALSE()</f>
        <v>0</v>
      </c>
      <c r="AB841" s="65" t="b">
        <f>TRUE()</f>
        <v>1</v>
      </c>
      <c r="AC841" s="65" t="b">
        <f>TRUE()</f>
        <v>1</v>
      </c>
      <c r="AD841" s="65" t="b">
        <f>FALSE()</f>
        <v>0</v>
      </c>
      <c r="AE841" s="65">
        <v>2</v>
      </c>
      <c r="AF841" s="69">
        <v>28.6</v>
      </c>
      <c r="AG841" s="65" t="s">
        <v>73</v>
      </c>
      <c r="AH841" s="65" t="s">
        <v>3059</v>
      </c>
      <c r="AI841">
        <f>IF(AND(OR(Company_Explorer!$B$5="All Companies",$E841=Company_Explorer!$B$5),OR(Company_Explorer!$B$6="All Platforms",$B841=Company_Explorer!$B$6),OR(Company_Explorer!$B$7="All Roles",$D841=Company_Explorer!$B$7),OR(Company_Explorer!$B$8="All Ghost Labels",$AG841=Company_Explorer!$B$8)),1,0)</f>
        <v>0</v>
      </c>
    </row>
    <row r="842" spans="1:35" ht="15" customHeight="1" x14ac:dyDescent="0.3">
      <c r="A842" s="60" t="s">
        <v>3060</v>
      </c>
      <c r="B842" s="60" t="s">
        <v>80</v>
      </c>
      <c r="C842" s="60" t="s">
        <v>2028</v>
      </c>
      <c r="D842" s="60" t="s">
        <v>125</v>
      </c>
      <c r="E842" s="60" t="s">
        <v>2029</v>
      </c>
      <c r="F842" s="60" t="b">
        <f>TRUE()</f>
        <v>1</v>
      </c>
      <c r="G842" s="60" t="s">
        <v>768</v>
      </c>
      <c r="H842" s="60" t="s">
        <v>769</v>
      </c>
      <c r="I842" s="61">
        <v>46056</v>
      </c>
      <c r="J842" s="61">
        <v>46210</v>
      </c>
      <c r="K842" s="60">
        <v>154</v>
      </c>
      <c r="L842" s="60" t="s">
        <v>192</v>
      </c>
      <c r="M842" s="60" t="s">
        <v>187</v>
      </c>
      <c r="N842" s="60" t="b">
        <f>FALSE()</f>
        <v>0</v>
      </c>
      <c r="O842" s="60"/>
      <c r="P842" s="60"/>
      <c r="Q842" s="60" t="s">
        <v>236</v>
      </c>
      <c r="R842" s="60" t="s">
        <v>237</v>
      </c>
      <c r="S842" s="60"/>
      <c r="T842" s="60" t="b">
        <f>FALSE()</f>
        <v>0</v>
      </c>
      <c r="U842" s="60" t="b">
        <f>FALSE()</f>
        <v>0</v>
      </c>
      <c r="V842" s="60">
        <v>133</v>
      </c>
      <c r="W842" s="62" t="s">
        <v>2031</v>
      </c>
      <c r="X842" s="60">
        <v>3</v>
      </c>
      <c r="Y842" s="63">
        <v>0.02</v>
      </c>
      <c r="Z842" s="60" t="b">
        <f>FALSE()</f>
        <v>0</v>
      </c>
      <c r="AA842" s="60" t="b">
        <f>TRUE()</f>
        <v>1</v>
      </c>
      <c r="AB842" s="60" t="b">
        <f>TRUE()</f>
        <v>1</v>
      </c>
      <c r="AC842" s="60" t="b">
        <f>TRUE()</f>
        <v>1</v>
      </c>
      <c r="AD842" s="60" t="b">
        <f>FALSE()</f>
        <v>0</v>
      </c>
      <c r="AE842" s="60">
        <v>3</v>
      </c>
      <c r="AF842" s="64">
        <v>42.9</v>
      </c>
      <c r="AG842" s="60" t="s">
        <v>73</v>
      </c>
      <c r="AH842" s="60" t="s">
        <v>3061</v>
      </c>
      <c r="AI842">
        <f>IF(AND(OR(Company_Explorer!$B$5="All Companies",$E842=Company_Explorer!$B$5),OR(Company_Explorer!$B$6="All Platforms",$B842=Company_Explorer!$B$6),OR(Company_Explorer!$B$7="All Roles",$D842=Company_Explorer!$B$7),OR(Company_Explorer!$B$8="All Ghost Labels",$AG842=Company_Explorer!$B$8)),1,0)</f>
        <v>0</v>
      </c>
    </row>
    <row r="843" spans="1:35" ht="15" customHeight="1" x14ac:dyDescent="0.3">
      <c r="A843" s="65" t="s">
        <v>3062</v>
      </c>
      <c r="B843" s="65" t="s">
        <v>80</v>
      </c>
      <c r="C843" s="65" t="s">
        <v>3063</v>
      </c>
      <c r="D843" s="65" t="s">
        <v>130</v>
      </c>
      <c r="E843" s="65" t="s">
        <v>624</v>
      </c>
      <c r="F843" s="65" t="b">
        <f>TRUE()</f>
        <v>1</v>
      </c>
      <c r="G843" s="65" t="s">
        <v>235</v>
      </c>
      <c r="H843" s="65" t="s">
        <v>178</v>
      </c>
      <c r="I843" s="66">
        <v>46209</v>
      </c>
      <c r="J843" s="66">
        <v>46210</v>
      </c>
      <c r="K843" s="65">
        <v>1</v>
      </c>
      <c r="L843" s="65" t="s">
        <v>192</v>
      </c>
      <c r="M843" s="65" t="s">
        <v>185</v>
      </c>
      <c r="N843" s="65" t="b">
        <f>FALSE()</f>
        <v>0</v>
      </c>
      <c r="O843" s="65"/>
      <c r="P843" s="65"/>
      <c r="Q843" s="65" t="s">
        <v>236</v>
      </c>
      <c r="R843" s="65" t="s">
        <v>237</v>
      </c>
      <c r="S843" s="65"/>
      <c r="T843" s="65" t="b">
        <f>FALSE()</f>
        <v>0</v>
      </c>
      <c r="U843" s="65" t="b">
        <f>FALSE()</f>
        <v>0</v>
      </c>
      <c r="V843" s="65">
        <v>537</v>
      </c>
      <c r="W843" s="67" t="s">
        <v>2748</v>
      </c>
      <c r="X843" s="65">
        <v>4</v>
      </c>
      <c r="Y843" s="68">
        <v>0.02</v>
      </c>
      <c r="Z843" s="65" t="b">
        <f>FALSE()</f>
        <v>0</v>
      </c>
      <c r="AA843" s="65" t="b">
        <f>TRUE()</f>
        <v>1</v>
      </c>
      <c r="AB843" s="65" t="b">
        <f>FALSE()</f>
        <v>0</v>
      </c>
      <c r="AC843" s="65" t="b">
        <f>FALSE()</f>
        <v>0</v>
      </c>
      <c r="AD843" s="65" t="b">
        <f>FALSE()</f>
        <v>0</v>
      </c>
      <c r="AE843" s="65">
        <v>1</v>
      </c>
      <c r="AF843" s="69">
        <v>14.3</v>
      </c>
      <c r="AG843" s="65" t="s">
        <v>74</v>
      </c>
      <c r="AH843" s="65" t="s">
        <v>3064</v>
      </c>
      <c r="AI843">
        <f>IF(AND(OR(Company_Explorer!$B$5="All Companies",$E843=Company_Explorer!$B$5),OR(Company_Explorer!$B$6="All Platforms",$B843=Company_Explorer!$B$6),OR(Company_Explorer!$B$7="All Roles",$D843=Company_Explorer!$B$7),OR(Company_Explorer!$B$8="All Ghost Labels",$AG843=Company_Explorer!$B$8)),1,0)</f>
        <v>0</v>
      </c>
    </row>
    <row r="844" spans="1:35" ht="15" customHeight="1" x14ac:dyDescent="0.3">
      <c r="A844" s="60" t="s">
        <v>3065</v>
      </c>
      <c r="B844" s="60" t="s">
        <v>80</v>
      </c>
      <c r="C844" s="60" t="s">
        <v>258</v>
      </c>
      <c r="D844" s="60" t="s">
        <v>125</v>
      </c>
      <c r="E844" s="60" t="s">
        <v>141</v>
      </c>
      <c r="F844" s="60" t="b">
        <f>TRUE()</f>
        <v>1</v>
      </c>
      <c r="G844" s="60" t="s">
        <v>166</v>
      </c>
      <c r="H844" s="60" t="s">
        <v>235</v>
      </c>
      <c r="I844" s="61">
        <v>46204</v>
      </c>
      <c r="J844" s="61">
        <v>46210</v>
      </c>
      <c r="K844" s="60">
        <v>6</v>
      </c>
      <c r="L844" s="60" t="s">
        <v>192</v>
      </c>
      <c r="M844" s="60" t="s">
        <v>184</v>
      </c>
      <c r="N844" s="60" t="b">
        <f>FALSE()</f>
        <v>0</v>
      </c>
      <c r="O844" s="60"/>
      <c r="P844" s="60"/>
      <c r="Q844" s="60" t="s">
        <v>236</v>
      </c>
      <c r="R844" s="60" t="s">
        <v>237</v>
      </c>
      <c r="S844" s="60"/>
      <c r="T844" s="60" t="b">
        <f>FALSE()</f>
        <v>0</v>
      </c>
      <c r="U844" s="60" t="b">
        <f>FALSE()</f>
        <v>0</v>
      </c>
      <c r="V844" s="60">
        <v>239</v>
      </c>
      <c r="W844" s="62" t="s">
        <v>3066</v>
      </c>
      <c r="X844" s="60">
        <v>429</v>
      </c>
      <c r="Y844" s="63">
        <v>2.66</v>
      </c>
      <c r="Z844" s="60" t="b">
        <f>FALSE()</f>
        <v>0</v>
      </c>
      <c r="AA844" s="60" t="b">
        <f>TRUE()</f>
        <v>1</v>
      </c>
      <c r="AB844" s="60" t="b">
        <f>TRUE()</f>
        <v>1</v>
      </c>
      <c r="AC844" s="60" t="b">
        <f>FALSE()</f>
        <v>0</v>
      </c>
      <c r="AD844" s="60" t="b">
        <f>TRUE()</f>
        <v>1</v>
      </c>
      <c r="AE844" s="60">
        <v>4</v>
      </c>
      <c r="AF844" s="64">
        <v>57.1</v>
      </c>
      <c r="AG844" s="60" t="s">
        <v>72</v>
      </c>
      <c r="AH844" s="60" t="s">
        <v>3067</v>
      </c>
      <c r="AI844">
        <f>IF(AND(OR(Company_Explorer!$B$5="All Companies",$E844=Company_Explorer!$B$5),OR(Company_Explorer!$B$6="All Platforms",$B844=Company_Explorer!$B$6),OR(Company_Explorer!$B$7="All Roles",$D844=Company_Explorer!$B$7),OR(Company_Explorer!$B$8="All Ghost Labels",$AG844=Company_Explorer!$B$8)),1,0)</f>
        <v>0</v>
      </c>
    </row>
    <row r="845" spans="1:35" ht="15" customHeight="1" x14ac:dyDescent="0.3">
      <c r="A845" s="65" t="s">
        <v>3068</v>
      </c>
      <c r="B845" s="65" t="s">
        <v>80</v>
      </c>
      <c r="C845" s="65" t="s">
        <v>258</v>
      </c>
      <c r="D845" s="65" t="s">
        <v>125</v>
      </c>
      <c r="E845" s="65" t="s">
        <v>141</v>
      </c>
      <c r="F845" s="65" t="b">
        <f>TRUE()</f>
        <v>1</v>
      </c>
      <c r="G845" s="65" t="s">
        <v>171</v>
      </c>
      <c r="H845" s="65" t="s">
        <v>254</v>
      </c>
      <c r="I845" s="66">
        <v>46198</v>
      </c>
      <c r="J845" s="66">
        <v>46210</v>
      </c>
      <c r="K845" s="65">
        <v>12</v>
      </c>
      <c r="L845" s="65" t="s">
        <v>192</v>
      </c>
      <c r="M845" s="65" t="s">
        <v>184</v>
      </c>
      <c r="N845" s="65" t="b">
        <f>FALSE()</f>
        <v>0</v>
      </c>
      <c r="O845" s="65"/>
      <c r="P845" s="65"/>
      <c r="Q845" s="65" t="s">
        <v>236</v>
      </c>
      <c r="R845" s="65" t="s">
        <v>237</v>
      </c>
      <c r="S845" s="65"/>
      <c r="T845" s="65" t="b">
        <f>FALSE()</f>
        <v>0</v>
      </c>
      <c r="U845" s="65" t="b">
        <f>FALSE()</f>
        <v>0</v>
      </c>
      <c r="V845" s="65">
        <v>253</v>
      </c>
      <c r="W845" s="67" t="s">
        <v>259</v>
      </c>
      <c r="X845" s="65">
        <v>429</v>
      </c>
      <c r="Y845" s="68">
        <v>2.66</v>
      </c>
      <c r="Z845" s="65" t="b">
        <f>FALSE()</f>
        <v>0</v>
      </c>
      <c r="AA845" s="65" t="b">
        <f>TRUE()</f>
        <v>1</v>
      </c>
      <c r="AB845" s="65" t="b">
        <f>TRUE()</f>
        <v>1</v>
      </c>
      <c r="AC845" s="65" t="b">
        <f>FALSE()</f>
        <v>0</v>
      </c>
      <c r="AD845" s="65" t="b">
        <f>TRUE()</f>
        <v>1</v>
      </c>
      <c r="AE845" s="65">
        <v>4</v>
      </c>
      <c r="AF845" s="69">
        <v>57.1</v>
      </c>
      <c r="AG845" s="65" t="s">
        <v>72</v>
      </c>
      <c r="AH845" s="65" t="s">
        <v>3069</v>
      </c>
      <c r="AI845">
        <f>IF(AND(OR(Company_Explorer!$B$5="All Companies",$E845=Company_Explorer!$B$5),OR(Company_Explorer!$B$6="All Platforms",$B845=Company_Explorer!$B$6),OR(Company_Explorer!$B$7="All Roles",$D845=Company_Explorer!$B$7),OR(Company_Explorer!$B$8="All Ghost Labels",$AG845=Company_Explorer!$B$8)),1,0)</f>
        <v>0</v>
      </c>
    </row>
    <row r="846" spans="1:35" ht="15" customHeight="1" x14ac:dyDescent="0.3">
      <c r="A846" s="60" t="s">
        <v>3070</v>
      </c>
      <c r="B846" s="60" t="s">
        <v>80</v>
      </c>
      <c r="C846" s="60" t="s">
        <v>258</v>
      </c>
      <c r="D846" s="60" t="s">
        <v>125</v>
      </c>
      <c r="E846" s="60" t="s">
        <v>141</v>
      </c>
      <c r="F846" s="60" t="b">
        <f>TRUE()</f>
        <v>1</v>
      </c>
      <c r="G846" s="60" t="s">
        <v>768</v>
      </c>
      <c r="H846" s="60" t="s">
        <v>769</v>
      </c>
      <c r="I846" s="61">
        <v>46200</v>
      </c>
      <c r="J846" s="61">
        <v>46210</v>
      </c>
      <c r="K846" s="60">
        <v>10</v>
      </c>
      <c r="L846" s="60" t="s">
        <v>192</v>
      </c>
      <c r="M846" s="60" t="s">
        <v>184</v>
      </c>
      <c r="N846" s="60" t="b">
        <f>FALSE()</f>
        <v>0</v>
      </c>
      <c r="O846" s="60"/>
      <c r="P846" s="60"/>
      <c r="Q846" s="60" t="s">
        <v>236</v>
      </c>
      <c r="R846" s="60" t="s">
        <v>237</v>
      </c>
      <c r="S846" s="60"/>
      <c r="T846" s="60" t="b">
        <f>FALSE()</f>
        <v>0</v>
      </c>
      <c r="U846" s="60" t="b">
        <f>FALSE()</f>
        <v>0</v>
      </c>
      <c r="V846" s="60">
        <v>313</v>
      </c>
      <c r="W846" s="62" t="s">
        <v>3071</v>
      </c>
      <c r="X846" s="60">
        <v>429</v>
      </c>
      <c r="Y846" s="63">
        <v>2.66</v>
      </c>
      <c r="Z846" s="60" t="b">
        <f>FALSE()</f>
        <v>0</v>
      </c>
      <c r="AA846" s="60" t="b">
        <f>TRUE()</f>
        <v>1</v>
      </c>
      <c r="AB846" s="60" t="b">
        <f>FALSE()</f>
        <v>0</v>
      </c>
      <c r="AC846" s="60" t="b">
        <f>FALSE()</f>
        <v>0</v>
      </c>
      <c r="AD846" s="60" t="b">
        <f>TRUE()</f>
        <v>1</v>
      </c>
      <c r="AE846" s="60">
        <v>3</v>
      </c>
      <c r="AF846" s="64">
        <v>42.9</v>
      </c>
      <c r="AG846" s="60" t="s">
        <v>73</v>
      </c>
      <c r="AH846" s="60" t="s">
        <v>3072</v>
      </c>
      <c r="AI846">
        <f>IF(AND(OR(Company_Explorer!$B$5="All Companies",$E846=Company_Explorer!$B$5),OR(Company_Explorer!$B$6="All Platforms",$B846=Company_Explorer!$B$6),OR(Company_Explorer!$B$7="All Roles",$D846=Company_Explorer!$B$7),OR(Company_Explorer!$B$8="All Ghost Labels",$AG846=Company_Explorer!$B$8)),1,0)</f>
        <v>0</v>
      </c>
    </row>
    <row r="847" spans="1:35" ht="15" customHeight="1" x14ac:dyDescent="0.3">
      <c r="A847" s="65" t="s">
        <v>3073</v>
      </c>
      <c r="B847" s="65" t="s">
        <v>80</v>
      </c>
      <c r="C847" s="65" t="s">
        <v>258</v>
      </c>
      <c r="D847" s="65" t="s">
        <v>125</v>
      </c>
      <c r="E847" s="65" t="s">
        <v>141</v>
      </c>
      <c r="F847" s="65" t="b">
        <f>TRUE()</f>
        <v>1</v>
      </c>
      <c r="G847" s="65" t="s">
        <v>179</v>
      </c>
      <c r="H847" s="65" t="s">
        <v>254</v>
      </c>
      <c r="I847" s="66">
        <v>46198</v>
      </c>
      <c r="J847" s="66">
        <v>46210</v>
      </c>
      <c r="K847" s="65">
        <v>12</v>
      </c>
      <c r="L847" s="65" t="s">
        <v>192</v>
      </c>
      <c r="M847" s="65" t="s">
        <v>184</v>
      </c>
      <c r="N847" s="65" t="b">
        <f>FALSE()</f>
        <v>0</v>
      </c>
      <c r="O847" s="65"/>
      <c r="P847" s="65"/>
      <c r="Q847" s="65" t="s">
        <v>236</v>
      </c>
      <c r="R847" s="65" t="s">
        <v>237</v>
      </c>
      <c r="S847" s="65"/>
      <c r="T847" s="65" t="b">
        <f>FALSE()</f>
        <v>0</v>
      </c>
      <c r="U847" s="65" t="b">
        <f>FALSE()</f>
        <v>0</v>
      </c>
      <c r="V847" s="65">
        <v>393</v>
      </c>
      <c r="W847" s="67" t="s">
        <v>259</v>
      </c>
      <c r="X847" s="65">
        <v>429</v>
      </c>
      <c r="Y847" s="68">
        <v>2.66</v>
      </c>
      <c r="Z847" s="65" t="b">
        <f>FALSE()</f>
        <v>0</v>
      </c>
      <c r="AA847" s="65" t="b">
        <f>TRUE()</f>
        <v>1</v>
      </c>
      <c r="AB847" s="65" t="b">
        <f>FALSE()</f>
        <v>0</v>
      </c>
      <c r="AC847" s="65" t="b">
        <f>FALSE()</f>
        <v>0</v>
      </c>
      <c r="AD847" s="65" t="b">
        <f>TRUE()</f>
        <v>1</v>
      </c>
      <c r="AE847" s="65">
        <v>3</v>
      </c>
      <c r="AF847" s="69">
        <v>42.9</v>
      </c>
      <c r="AG847" s="65" t="s">
        <v>73</v>
      </c>
      <c r="AH847" s="65" t="s">
        <v>3074</v>
      </c>
      <c r="AI847">
        <f>IF(AND(OR(Company_Explorer!$B$5="All Companies",$E847=Company_Explorer!$B$5),OR(Company_Explorer!$B$6="All Platforms",$B847=Company_Explorer!$B$6),OR(Company_Explorer!$B$7="All Roles",$D847=Company_Explorer!$B$7),OR(Company_Explorer!$B$8="All Ghost Labels",$AG847=Company_Explorer!$B$8)),1,0)</f>
        <v>0</v>
      </c>
    </row>
    <row r="848" spans="1:35" ht="15" customHeight="1" x14ac:dyDescent="0.3">
      <c r="A848" s="60" t="s">
        <v>3075</v>
      </c>
      <c r="B848" s="60" t="s">
        <v>80</v>
      </c>
      <c r="C848" s="60" t="s">
        <v>258</v>
      </c>
      <c r="D848" s="60" t="s">
        <v>125</v>
      </c>
      <c r="E848" s="60" t="s">
        <v>141</v>
      </c>
      <c r="F848" s="60" t="b">
        <f>TRUE()</f>
        <v>1</v>
      </c>
      <c r="G848" s="60" t="s">
        <v>171</v>
      </c>
      <c r="H848" s="60" t="s">
        <v>254</v>
      </c>
      <c r="I848" s="61">
        <v>46198</v>
      </c>
      <c r="J848" s="61">
        <v>46210</v>
      </c>
      <c r="K848" s="60">
        <v>12</v>
      </c>
      <c r="L848" s="60" t="s">
        <v>192</v>
      </c>
      <c r="M848" s="60" t="s">
        <v>184</v>
      </c>
      <c r="N848" s="60" t="b">
        <f>FALSE()</f>
        <v>0</v>
      </c>
      <c r="O848" s="60"/>
      <c r="P848" s="60"/>
      <c r="Q848" s="60" t="s">
        <v>236</v>
      </c>
      <c r="R848" s="60" t="s">
        <v>237</v>
      </c>
      <c r="S848" s="60"/>
      <c r="T848" s="60" t="b">
        <f>FALSE()</f>
        <v>0</v>
      </c>
      <c r="U848" s="60" t="b">
        <f>FALSE()</f>
        <v>0</v>
      </c>
      <c r="V848" s="60">
        <v>253</v>
      </c>
      <c r="W848" s="62" t="s">
        <v>259</v>
      </c>
      <c r="X848" s="60">
        <v>429</v>
      </c>
      <c r="Y848" s="63">
        <v>2.66</v>
      </c>
      <c r="Z848" s="60" t="b">
        <f>FALSE()</f>
        <v>0</v>
      </c>
      <c r="AA848" s="60" t="b">
        <f>TRUE()</f>
        <v>1</v>
      </c>
      <c r="AB848" s="60" t="b">
        <f>TRUE()</f>
        <v>1</v>
      </c>
      <c r="AC848" s="60" t="b">
        <f>FALSE()</f>
        <v>0</v>
      </c>
      <c r="AD848" s="60" t="b">
        <f>TRUE()</f>
        <v>1</v>
      </c>
      <c r="AE848" s="60">
        <v>4</v>
      </c>
      <c r="AF848" s="64">
        <v>57.1</v>
      </c>
      <c r="AG848" s="60" t="s">
        <v>72</v>
      </c>
      <c r="AH848" s="60" t="s">
        <v>3076</v>
      </c>
      <c r="AI848">
        <f>IF(AND(OR(Company_Explorer!$B$5="All Companies",$E848=Company_Explorer!$B$5),OR(Company_Explorer!$B$6="All Platforms",$B848=Company_Explorer!$B$6),OR(Company_Explorer!$B$7="All Roles",$D848=Company_Explorer!$B$7),OR(Company_Explorer!$B$8="All Ghost Labels",$AG848=Company_Explorer!$B$8)),1,0)</f>
        <v>0</v>
      </c>
    </row>
    <row r="849" spans="1:35" ht="15" customHeight="1" x14ac:dyDescent="0.3">
      <c r="A849" s="65" t="s">
        <v>3077</v>
      </c>
      <c r="B849" s="65" t="s">
        <v>80</v>
      </c>
      <c r="C849" s="65" t="s">
        <v>258</v>
      </c>
      <c r="D849" s="65" t="s">
        <v>125</v>
      </c>
      <c r="E849" s="65" t="s">
        <v>141</v>
      </c>
      <c r="F849" s="65" t="b">
        <f>TRUE()</f>
        <v>1</v>
      </c>
      <c r="G849" s="65" t="s">
        <v>171</v>
      </c>
      <c r="H849" s="65" t="s">
        <v>254</v>
      </c>
      <c r="I849" s="66">
        <v>46198</v>
      </c>
      <c r="J849" s="66">
        <v>46210</v>
      </c>
      <c r="K849" s="65">
        <v>12</v>
      </c>
      <c r="L849" s="65" t="s">
        <v>192</v>
      </c>
      <c r="M849" s="65" t="s">
        <v>184</v>
      </c>
      <c r="N849" s="65" t="b">
        <f>FALSE()</f>
        <v>0</v>
      </c>
      <c r="O849" s="65"/>
      <c r="P849" s="65"/>
      <c r="Q849" s="65" t="s">
        <v>236</v>
      </c>
      <c r="R849" s="65" t="s">
        <v>237</v>
      </c>
      <c r="S849" s="65"/>
      <c r="T849" s="65" t="b">
        <f>FALSE()</f>
        <v>0</v>
      </c>
      <c r="U849" s="65" t="b">
        <f>FALSE()</f>
        <v>0</v>
      </c>
      <c r="V849" s="65">
        <v>253</v>
      </c>
      <c r="W849" s="67" t="s">
        <v>259</v>
      </c>
      <c r="X849" s="65">
        <v>429</v>
      </c>
      <c r="Y849" s="68">
        <v>2.66</v>
      </c>
      <c r="Z849" s="65" t="b">
        <f>FALSE()</f>
        <v>0</v>
      </c>
      <c r="AA849" s="65" t="b">
        <f>TRUE()</f>
        <v>1</v>
      </c>
      <c r="AB849" s="65" t="b">
        <f>TRUE()</f>
        <v>1</v>
      </c>
      <c r="AC849" s="65" t="b">
        <f>FALSE()</f>
        <v>0</v>
      </c>
      <c r="AD849" s="65" t="b">
        <f>TRUE()</f>
        <v>1</v>
      </c>
      <c r="AE849" s="65">
        <v>4</v>
      </c>
      <c r="AF849" s="69">
        <v>57.1</v>
      </c>
      <c r="AG849" s="65" t="s">
        <v>72</v>
      </c>
      <c r="AH849" s="65" t="s">
        <v>3078</v>
      </c>
      <c r="AI849">
        <f>IF(AND(OR(Company_Explorer!$B$5="All Companies",$E849=Company_Explorer!$B$5),OR(Company_Explorer!$B$6="All Platforms",$B849=Company_Explorer!$B$6),OR(Company_Explorer!$B$7="All Roles",$D849=Company_Explorer!$B$7),OR(Company_Explorer!$B$8="All Ghost Labels",$AG849=Company_Explorer!$B$8)),1,0)</f>
        <v>0</v>
      </c>
    </row>
    <row r="850" spans="1:35" ht="15" customHeight="1" x14ac:dyDescent="0.3">
      <c r="A850" s="60" t="s">
        <v>3079</v>
      </c>
      <c r="B850" s="60" t="s">
        <v>80</v>
      </c>
      <c r="C850" s="60" t="s">
        <v>258</v>
      </c>
      <c r="D850" s="60" t="s">
        <v>125</v>
      </c>
      <c r="E850" s="60" t="s">
        <v>141</v>
      </c>
      <c r="F850" s="60" t="b">
        <f>TRUE()</f>
        <v>1</v>
      </c>
      <c r="G850" s="60" t="s">
        <v>768</v>
      </c>
      <c r="H850" s="60" t="s">
        <v>769</v>
      </c>
      <c r="I850" s="61">
        <v>46199</v>
      </c>
      <c r="J850" s="61">
        <v>46210</v>
      </c>
      <c r="K850" s="60">
        <v>11</v>
      </c>
      <c r="L850" s="60" t="s">
        <v>192</v>
      </c>
      <c r="M850" s="60" t="s">
        <v>184</v>
      </c>
      <c r="N850" s="60" t="b">
        <f>FALSE()</f>
        <v>0</v>
      </c>
      <c r="O850" s="60"/>
      <c r="P850" s="60"/>
      <c r="Q850" s="60" t="s">
        <v>236</v>
      </c>
      <c r="R850" s="60" t="s">
        <v>237</v>
      </c>
      <c r="S850" s="60"/>
      <c r="T850" s="60" t="b">
        <f>FALSE()</f>
        <v>0</v>
      </c>
      <c r="U850" s="60" t="b">
        <f>FALSE()</f>
        <v>0</v>
      </c>
      <c r="V850" s="60">
        <v>320</v>
      </c>
      <c r="W850" s="62" t="s">
        <v>259</v>
      </c>
      <c r="X850" s="60">
        <v>429</v>
      </c>
      <c r="Y850" s="63">
        <v>2.66</v>
      </c>
      <c r="Z850" s="60" t="b">
        <f>FALSE()</f>
        <v>0</v>
      </c>
      <c r="AA850" s="60" t="b">
        <f>TRUE()</f>
        <v>1</v>
      </c>
      <c r="AB850" s="60" t="b">
        <f>FALSE()</f>
        <v>0</v>
      </c>
      <c r="AC850" s="60" t="b">
        <f>FALSE()</f>
        <v>0</v>
      </c>
      <c r="AD850" s="60" t="b">
        <f>TRUE()</f>
        <v>1</v>
      </c>
      <c r="AE850" s="60">
        <v>3</v>
      </c>
      <c r="AF850" s="64">
        <v>42.9</v>
      </c>
      <c r="AG850" s="60" t="s">
        <v>73</v>
      </c>
      <c r="AH850" s="60" t="s">
        <v>3080</v>
      </c>
      <c r="AI850">
        <f>IF(AND(OR(Company_Explorer!$B$5="All Companies",$E850=Company_Explorer!$B$5),OR(Company_Explorer!$B$6="All Platforms",$B850=Company_Explorer!$B$6),OR(Company_Explorer!$B$7="All Roles",$D850=Company_Explorer!$B$7),OR(Company_Explorer!$B$8="All Ghost Labels",$AG850=Company_Explorer!$B$8)),1,0)</f>
        <v>0</v>
      </c>
    </row>
    <row r="851" spans="1:35" ht="15" customHeight="1" x14ac:dyDescent="0.3">
      <c r="A851" s="65" t="s">
        <v>3081</v>
      </c>
      <c r="B851" s="65" t="s">
        <v>80</v>
      </c>
      <c r="C851" s="65" t="s">
        <v>3082</v>
      </c>
      <c r="D851" s="65" t="s">
        <v>125</v>
      </c>
      <c r="E851" s="65" t="s">
        <v>2690</v>
      </c>
      <c r="F851" s="65" t="b">
        <f>TRUE()</f>
        <v>1</v>
      </c>
      <c r="G851" s="65" t="s">
        <v>166</v>
      </c>
      <c r="H851" s="65" t="s">
        <v>235</v>
      </c>
      <c r="I851" s="66">
        <v>46197</v>
      </c>
      <c r="J851" s="66">
        <v>46210</v>
      </c>
      <c r="K851" s="65">
        <v>13</v>
      </c>
      <c r="L851" s="65" t="s">
        <v>192</v>
      </c>
      <c r="M851" s="65" t="s">
        <v>186</v>
      </c>
      <c r="N851" s="65" t="b">
        <f>FALSE()</f>
        <v>0</v>
      </c>
      <c r="O851" s="65"/>
      <c r="P851" s="65"/>
      <c r="Q851" s="65" t="s">
        <v>236</v>
      </c>
      <c r="R851" s="65" t="s">
        <v>237</v>
      </c>
      <c r="S851" s="65"/>
      <c r="T851" s="65" t="b">
        <f>FALSE()</f>
        <v>0</v>
      </c>
      <c r="U851" s="65" t="b">
        <f>FALSE()</f>
        <v>0</v>
      </c>
      <c r="V851" s="65">
        <v>816</v>
      </c>
      <c r="W851" s="67" t="s">
        <v>3083</v>
      </c>
      <c r="X851" s="65">
        <v>3</v>
      </c>
      <c r="Y851" s="68">
        <v>0.02</v>
      </c>
      <c r="Z851" s="65" t="b">
        <f>FALSE()</f>
        <v>0</v>
      </c>
      <c r="AA851" s="65" t="b">
        <f>TRUE()</f>
        <v>1</v>
      </c>
      <c r="AB851" s="65" t="b">
        <f>FALSE()</f>
        <v>0</v>
      </c>
      <c r="AC851" s="65" t="b">
        <f>FALSE()</f>
        <v>0</v>
      </c>
      <c r="AD851" s="65" t="b">
        <f>FALSE()</f>
        <v>0</v>
      </c>
      <c r="AE851" s="65">
        <v>1</v>
      </c>
      <c r="AF851" s="69">
        <v>14.3</v>
      </c>
      <c r="AG851" s="65" t="s">
        <v>74</v>
      </c>
      <c r="AH851" s="65" t="s">
        <v>3084</v>
      </c>
      <c r="AI851">
        <f>IF(AND(OR(Company_Explorer!$B$5="All Companies",$E851=Company_Explorer!$B$5),OR(Company_Explorer!$B$6="All Platforms",$B851=Company_Explorer!$B$6),OR(Company_Explorer!$B$7="All Roles",$D851=Company_Explorer!$B$7),OR(Company_Explorer!$B$8="All Ghost Labels",$AG851=Company_Explorer!$B$8)),1,0)</f>
        <v>0</v>
      </c>
    </row>
    <row r="852" spans="1:35" ht="15" customHeight="1" x14ac:dyDescent="0.3">
      <c r="A852" s="60" t="s">
        <v>3085</v>
      </c>
      <c r="B852" s="60" t="s">
        <v>80</v>
      </c>
      <c r="C852" s="60" t="s">
        <v>258</v>
      </c>
      <c r="D852" s="60" t="s">
        <v>125</v>
      </c>
      <c r="E852" s="60" t="s">
        <v>141</v>
      </c>
      <c r="F852" s="60" t="b">
        <f>TRUE()</f>
        <v>1</v>
      </c>
      <c r="G852" s="60" t="s">
        <v>168</v>
      </c>
      <c r="H852" s="60" t="s">
        <v>254</v>
      </c>
      <c r="I852" s="61">
        <v>46198</v>
      </c>
      <c r="J852" s="61">
        <v>46210</v>
      </c>
      <c r="K852" s="60">
        <v>12</v>
      </c>
      <c r="L852" s="60" t="s">
        <v>192</v>
      </c>
      <c r="M852" s="60" t="s">
        <v>184</v>
      </c>
      <c r="N852" s="60" t="b">
        <f>FALSE()</f>
        <v>0</v>
      </c>
      <c r="O852" s="60"/>
      <c r="P852" s="60"/>
      <c r="Q852" s="60" t="s">
        <v>236</v>
      </c>
      <c r="R852" s="60" t="s">
        <v>237</v>
      </c>
      <c r="S852" s="60"/>
      <c r="T852" s="60" t="b">
        <f>FALSE()</f>
        <v>0</v>
      </c>
      <c r="U852" s="60" t="b">
        <f>FALSE()</f>
        <v>0</v>
      </c>
      <c r="V852" s="60">
        <v>283</v>
      </c>
      <c r="W852" s="62" t="s">
        <v>259</v>
      </c>
      <c r="X852" s="60">
        <v>429</v>
      </c>
      <c r="Y852" s="63">
        <v>2.66</v>
      </c>
      <c r="Z852" s="60" t="b">
        <f>FALSE()</f>
        <v>0</v>
      </c>
      <c r="AA852" s="60" t="b">
        <f>TRUE()</f>
        <v>1</v>
      </c>
      <c r="AB852" s="60" t="b">
        <f>FALSE()</f>
        <v>0</v>
      </c>
      <c r="AC852" s="60" t="b">
        <f>FALSE()</f>
        <v>0</v>
      </c>
      <c r="AD852" s="60" t="b">
        <f>TRUE()</f>
        <v>1</v>
      </c>
      <c r="AE852" s="60">
        <v>3</v>
      </c>
      <c r="AF852" s="64">
        <v>42.9</v>
      </c>
      <c r="AG852" s="60" t="s">
        <v>73</v>
      </c>
      <c r="AH852" s="60" t="s">
        <v>3086</v>
      </c>
      <c r="AI852">
        <f>IF(AND(OR(Company_Explorer!$B$5="All Companies",$E852=Company_Explorer!$B$5),OR(Company_Explorer!$B$6="All Platforms",$B852=Company_Explorer!$B$6),OR(Company_Explorer!$B$7="All Roles",$D852=Company_Explorer!$B$7),OR(Company_Explorer!$B$8="All Ghost Labels",$AG852=Company_Explorer!$B$8)),1,0)</f>
        <v>0</v>
      </c>
    </row>
    <row r="853" spans="1:35" ht="15" customHeight="1" x14ac:dyDescent="0.3">
      <c r="A853" s="65" t="s">
        <v>3087</v>
      </c>
      <c r="B853" s="65" t="s">
        <v>80</v>
      </c>
      <c r="C853" s="65" t="s">
        <v>258</v>
      </c>
      <c r="D853" s="65" t="s">
        <v>125</v>
      </c>
      <c r="E853" s="65" t="s">
        <v>141</v>
      </c>
      <c r="F853" s="65" t="b">
        <f>TRUE()</f>
        <v>1</v>
      </c>
      <c r="G853" s="65" t="s">
        <v>172</v>
      </c>
      <c r="H853" s="65" t="s">
        <v>276</v>
      </c>
      <c r="I853" s="66">
        <v>46198</v>
      </c>
      <c r="J853" s="66">
        <v>46210</v>
      </c>
      <c r="K853" s="65">
        <v>12</v>
      </c>
      <c r="L853" s="65" t="s">
        <v>192</v>
      </c>
      <c r="M853" s="65" t="s">
        <v>184</v>
      </c>
      <c r="N853" s="65" t="b">
        <f>FALSE()</f>
        <v>0</v>
      </c>
      <c r="O853" s="65"/>
      <c r="P853" s="65"/>
      <c r="Q853" s="65" t="s">
        <v>236</v>
      </c>
      <c r="R853" s="65" t="s">
        <v>237</v>
      </c>
      <c r="S853" s="65"/>
      <c r="T853" s="65" t="b">
        <f>FALSE()</f>
        <v>0</v>
      </c>
      <c r="U853" s="65" t="b">
        <f>FALSE()</f>
        <v>0</v>
      </c>
      <c r="V853" s="65">
        <v>304</v>
      </c>
      <c r="W853" s="67" t="s">
        <v>259</v>
      </c>
      <c r="X853" s="65">
        <v>429</v>
      </c>
      <c r="Y853" s="68">
        <v>2.66</v>
      </c>
      <c r="Z853" s="65" t="b">
        <f>FALSE()</f>
        <v>0</v>
      </c>
      <c r="AA853" s="65" t="b">
        <f>TRUE()</f>
        <v>1</v>
      </c>
      <c r="AB853" s="65" t="b">
        <f>FALSE()</f>
        <v>0</v>
      </c>
      <c r="AC853" s="65" t="b">
        <f>FALSE()</f>
        <v>0</v>
      </c>
      <c r="AD853" s="65" t="b">
        <f>TRUE()</f>
        <v>1</v>
      </c>
      <c r="AE853" s="65">
        <v>3</v>
      </c>
      <c r="AF853" s="69">
        <v>42.9</v>
      </c>
      <c r="AG853" s="65" t="s">
        <v>73</v>
      </c>
      <c r="AH853" s="65" t="s">
        <v>3088</v>
      </c>
      <c r="AI853">
        <f>IF(AND(OR(Company_Explorer!$B$5="All Companies",$E853=Company_Explorer!$B$5),OR(Company_Explorer!$B$6="All Platforms",$B853=Company_Explorer!$B$6),OR(Company_Explorer!$B$7="All Roles",$D853=Company_Explorer!$B$7),OR(Company_Explorer!$B$8="All Ghost Labels",$AG853=Company_Explorer!$B$8)),1,0)</f>
        <v>0</v>
      </c>
    </row>
    <row r="854" spans="1:35" ht="15" customHeight="1" x14ac:dyDescent="0.3">
      <c r="A854" s="60" t="s">
        <v>3089</v>
      </c>
      <c r="B854" s="60" t="s">
        <v>80</v>
      </c>
      <c r="C854" s="60" t="s">
        <v>2248</v>
      </c>
      <c r="D854" s="60" t="s">
        <v>125</v>
      </c>
      <c r="E854" s="60" t="s">
        <v>158</v>
      </c>
      <c r="F854" s="60" t="b">
        <f>TRUE()</f>
        <v>1</v>
      </c>
      <c r="G854" s="60" t="s">
        <v>462</v>
      </c>
      <c r="H854" s="60" t="s">
        <v>254</v>
      </c>
      <c r="I854" s="61">
        <v>46184</v>
      </c>
      <c r="J854" s="61">
        <v>46210</v>
      </c>
      <c r="K854" s="60">
        <v>26</v>
      </c>
      <c r="L854" s="60" t="s">
        <v>192</v>
      </c>
      <c r="M854" s="60" t="s">
        <v>184</v>
      </c>
      <c r="N854" s="60" t="b">
        <f>FALSE()</f>
        <v>0</v>
      </c>
      <c r="O854" s="60"/>
      <c r="P854" s="60"/>
      <c r="Q854" s="60" t="s">
        <v>236</v>
      </c>
      <c r="R854" s="60" t="s">
        <v>237</v>
      </c>
      <c r="S854" s="60"/>
      <c r="T854" s="60" t="b">
        <f>FALSE()</f>
        <v>0</v>
      </c>
      <c r="U854" s="60" t="b">
        <f>FALSE()</f>
        <v>0</v>
      </c>
      <c r="V854" s="60">
        <v>506</v>
      </c>
      <c r="W854" s="62" t="s">
        <v>3090</v>
      </c>
      <c r="X854" s="60">
        <v>14</v>
      </c>
      <c r="Y854" s="63">
        <v>0.09</v>
      </c>
      <c r="Z854" s="60" t="b">
        <f>FALSE()</f>
        <v>0</v>
      </c>
      <c r="AA854" s="60" t="b">
        <f>TRUE()</f>
        <v>1</v>
      </c>
      <c r="AB854" s="60" t="b">
        <f>FALSE()</f>
        <v>0</v>
      </c>
      <c r="AC854" s="60" t="b">
        <f>TRUE()</f>
        <v>1</v>
      </c>
      <c r="AD854" s="60" t="b">
        <f>FALSE()</f>
        <v>0</v>
      </c>
      <c r="AE854" s="60">
        <v>2</v>
      </c>
      <c r="AF854" s="64">
        <v>28.6</v>
      </c>
      <c r="AG854" s="60" t="s">
        <v>73</v>
      </c>
      <c r="AH854" s="60" t="s">
        <v>3091</v>
      </c>
      <c r="AI854">
        <f>IF(AND(OR(Company_Explorer!$B$5="All Companies",$E854=Company_Explorer!$B$5),OR(Company_Explorer!$B$6="All Platforms",$B854=Company_Explorer!$B$6),OR(Company_Explorer!$B$7="All Roles",$D854=Company_Explorer!$B$7),OR(Company_Explorer!$B$8="All Ghost Labels",$AG854=Company_Explorer!$B$8)),1,0)</f>
        <v>0</v>
      </c>
    </row>
    <row r="855" spans="1:35" ht="15" customHeight="1" x14ac:dyDescent="0.3">
      <c r="A855" s="65" t="s">
        <v>3092</v>
      </c>
      <c r="B855" s="65" t="s">
        <v>80</v>
      </c>
      <c r="C855" s="65" t="s">
        <v>3093</v>
      </c>
      <c r="D855" s="65" t="s">
        <v>131</v>
      </c>
      <c r="E855" s="65" t="s">
        <v>158</v>
      </c>
      <c r="F855" s="65" t="b">
        <f>TRUE()</f>
        <v>1</v>
      </c>
      <c r="G855" s="65" t="s">
        <v>166</v>
      </c>
      <c r="H855" s="65" t="s">
        <v>235</v>
      </c>
      <c r="I855" s="66">
        <v>46205</v>
      </c>
      <c r="J855" s="66">
        <v>46210</v>
      </c>
      <c r="K855" s="65">
        <v>5</v>
      </c>
      <c r="L855" s="65" t="s">
        <v>192</v>
      </c>
      <c r="M855" s="65" t="s">
        <v>185</v>
      </c>
      <c r="N855" s="65" t="b">
        <f>FALSE()</f>
        <v>0</v>
      </c>
      <c r="O855" s="65"/>
      <c r="P855" s="65"/>
      <c r="Q855" s="65" t="s">
        <v>236</v>
      </c>
      <c r="R855" s="65" t="s">
        <v>237</v>
      </c>
      <c r="S855" s="65"/>
      <c r="T855" s="65" t="b">
        <f>FALSE()</f>
        <v>0</v>
      </c>
      <c r="U855" s="65" t="b">
        <f>FALSE()</f>
        <v>0</v>
      </c>
      <c r="V855" s="65">
        <v>688</v>
      </c>
      <c r="W855" s="67" t="s">
        <v>2501</v>
      </c>
      <c r="X855" s="65">
        <v>14</v>
      </c>
      <c r="Y855" s="68">
        <v>0.09</v>
      </c>
      <c r="Z855" s="65" t="b">
        <f>FALSE()</f>
        <v>0</v>
      </c>
      <c r="AA855" s="65" t="b">
        <f>TRUE()</f>
        <v>1</v>
      </c>
      <c r="AB855" s="65" t="b">
        <f>FALSE()</f>
        <v>0</v>
      </c>
      <c r="AC855" s="65" t="b">
        <f>FALSE()</f>
        <v>0</v>
      </c>
      <c r="AD855" s="65" t="b">
        <f>FALSE()</f>
        <v>0</v>
      </c>
      <c r="AE855" s="65">
        <v>1</v>
      </c>
      <c r="AF855" s="69">
        <v>14.3</v>
      </c>
      <c r="AG855" s="65" t="s">
        <v>74</v>
      </c>
      <c r="AH855" s="65" t="s">
        <v>3094</v>
      </c>
      <c r="AI855">
        <f>IF(AND(OR(Company_Explorer!$B$5="All Companies",$E855=Company_Explorer!$B$5),OR(Company_Explorer!$B$6="All Platforms",$B855=Company_Explorer!$B$6),OR(Company_Explorer!$B$7="All Roles",$D855=Company_Explorer!$B$7),OR(Company_Explorer!$B$8="All Ghost Labels",$AG855=Company_Explorer!$B$8)),1,0)</f>
        <v>0</v>
      </c>
    </row>
    <row r="856" spans="1:35" ht="15" customHeight="1" x14ac:dyDescent="0.3">
      <c r="A856" s="60" t="s">
        <v>3095</v>
      </c>
      <c r="B856" s="60" t="s">
        <v>80</v>
      </c>
      <c r="C856" s="60" t="s">
        <v>2034</v>
      </c>
      <c r="D856" s="60" t="s">
        <v>130</v>
      </c>
      <c r="E856" s="60" t="s">
        <v>144</v>
      </c>
      <c r="F856" s="60" t="b">
        <f>TRUE()</f>
        <v>1</v>
      </c>
      <c r="G856" s="60" t="s">
        <v>166</v>
      </c>
      <c r="H856" s="60" t="s">
        <v>235</v>
      </c>
      <c r="I856" s="61">
        <v>46205</v>
      </c>
      <c r="J856" s="61">
        <v>46210</v>
      </c>
      <c r="K856" s="60">
        <v>5</v>
      </c>
      <c r="L856" s="60" t="s">
        <v>192</v>
      </c>
      <c r="M856" s="60" t="s">
        <v>184</v>
      </c>
      <c r="N856" s="60" t="b">
        <f>FALSE()</f>
        <v>0</v>
      </c>
      <c r="O856" s="60"/>
      <c r="P856" s="60"/>
      <c r="Q856" s="60" t="s">
        <v>236</v>
      </c>
      <c r="R856" s="60" t="s">
        <v>237</v>
      </c>
      <c r="S856" s="60"/>
      <c r="T856" s="60" t="b">
        <f>FALSE()</f>
        <v>0</v>
      </c>
      <c r="U856" s="60" t="b">
        <f>FALSE()</f>
        <v>0</v>
      </c>
      <c r="V856" s="60">
        <v>619</v>
      </c>
      <c r="W856" s="60" t="s">
        <v>3096</v>
      </c>
      <c r="X856" s="60">
        <v>9</v>
      </c>
      <c r="Y856" s="63">
        <v>0.06</v>
      </c>
      <c r="Z856" s="60" t="b">
        <f>FALSE()</f>
        <v>0</v>
      </c>
      <c r="AA856" s="60" t="b">
        <f>TRUE()</f>
        <v>1</v>
      </c>
      <c r="AB856" s="60" t="b">
        <f>FALSE()</f>
        <v>0</v>
      </c>
      <c r="AC856" s="60" t="b">
        <f>FALSE()</f>
        <v>0</v>
      </c>
      <c r="AD856" s="60" t="b">
        <f>FALSE()</f>
        <v>0</v>
      </c>
      <c r="AE856" s="60">
        <v>1</v>
      </c>
      <c r="AF856" s="64">
        <v>14.3</v>
      </c>
      <c r="AG856" s="60" t="s">
        <v>74</v>
      </c>
      <c r="AH856" s="60" t="s">
        <v>3097</v>
      </c>
      <c r="AI856">
        <f>IF(AND(OR(Company_Explorer!$B$5="All Companies",$E856=Company_Explorer!$B$5),OR(Company_Explorer!$B$6="All Platforms",$B856=Company_Explorer!$B$6),OR(Company_Explorer!$B$7="All Roles",$D856=Company_Explorer!$B$7),OR(Company_Explorer!$B$8="All Ghost Labels",$AG856=Company_Explorer!$B$8)),1,0)</f>
        <v>0</v>
      </c>
    </row>
    <row r="857" spans="1:35" ht="15" customHeight="1" x14ac:dyDescent="0.3">
      <c r="A857" s="65" t="s">
        <v>3098</v>
      </c>
      <c r="B857" s="65" t="s">
        <v>80</v>
      </c>
      <c r="C857" s="65" t="s">
        <v>125</v>
      </c>
      <c r="D857" s="65" t="s">
        <v>125</v>
      </c>
      <c r="E857" s="65" t="s">
        <v>589</v>
      </c>
      <c r="F857" s="65" t="b">
        <f>TRUE()</f>
        <v>1</v>
      </c>
      <c r="G857" s="65" t="s">
        <v>167</v>
      </c>
      <c r="H857" s="65" t="s">
        <v>276</v>
      </c>
      <c r="I857" s="66">
        <v>46161</v>
      </c>
      <c r="J857" s="66">
        <v>46210</v>
      </c>
      <c r="K857" s="65">
        <v>49</v>
      </c>
      <c r="L857" s="65" t="s">
        <v>192</v>
      </c>
      <c r="M857" s="65" t="s">
        <v>185</v>
      </c>
      <c r="N857" s="65" t="b">
        <f>TRUE()</f>
        <v>1</v>
      </c>
      <c r="O857" s="71">
        <v>1400000</v>
      </c>
      <c r="P857" s="71">
        <v>1900000</v>
      </c>
      <c r="Q857" s="65" t="s">
        <v>332</v>
      </c>
      <c r="R857" s="65" t="s">
        <v>237</v>
      </c>
      <c r="S857" s="65"/>
      <c r="T857" s="65" t="b">
        <f>FALSE()</f>
        <v>0</v>
      </c>
      <c r="U857" s="65" t="b">
        <f>FALSE()</f>
        <v>0</v>
      </c>
      <c r="V857" s="65">
        <v>328</v>
      </c>
      <c r="W857" s="67" t="s">
        <v>3099</v>
      </c>
      <c r="X857" s="65">
        <v>6</v>
      </c>
      <c r="Y857" s="68">
        <v>0.04</v>
      </c>
      <c r="Z857" s="65" t="b">
        <f>FALSE()</f>
        <v>0</v>
      </c>
      <c r="AA857" s="65" t="b">
        <f>FALSE()</f>
        <v>0</v>
      </c>
      <c r="AB857" s="65" t="b">
        <f>FALSE()</f>
        <v>0</v>
      </c>
      <c r="AC857" s="65" t="b">
        <f>TRUE()</f>
        <v>1</v>
      </c>
      <c r="AD857" s="65" t="b">
        <f>FALSE()</f>
        <v>0</v>
      </c>
      <c r="AE857" s="65">
        <v>1</v>
      </c>
      <c r="AF857" s="69">
        <v>14.3</v>
      </c>
      <c r="AG857" s="65" t="s">
        <v>74</v>
      </c>
      <c r="AH857" s="65" t="s">
        <v>3100</v>
      </c>
      <c r="AI857">
        <f>IF(AND(OR(Company_Explorer!$B$5="All Companies",$E857=Company_Explorer!$B$5),OR(Company_Explorer!$B$6="All Platforms",$B857=Company_Explorer!$B$6),OR(Company_Explorer!$B$7="All Roles",$D857=Company_Explorer!$B$7),OR(Company_Explorer!$B$8="All Ghost Labels",$AG857=Company_Explorer!$B$8)),1,0)</f>
        <v>0</v>
      </c>
    </row>
    <row r="858" spans="1:35" ht="15" customHeight="1" x14ac:dyDescent="0.3">
      <c r="A858" s="60" t="s">
        <v>3101</v>
      </c>
      <c r="B858" s="60" t="s">
        <v>80</v>
      </c>
      <c r="C858" s="60" t="s">
        <v>2058</v>
      </c>
      <c r="D858" s="60" t="s">
        <v>131</v>
      </c>
      <c r="E858" s="60" t="s">
        <v>3102</v>
      </c>
      <c r="F858" s="60" t="b">
        <f>TRUE()</f>
        <v>1</v>
      </c>
      <c r="G858" s="60" t="s">
        <v>166</v>
      </c>
      <c r="H858" s="60" t="s">
        <v>235</v>
      </c>
      <c r="I858" s="61">
        <v>46181</v>
      </c>
      <c r="J858" s="61">
        <v>46210</v>
      </c>
      <c r="K858" s="60">
        <v>29</v>
      </c>
      <c r="L858" s="60" t="s">
        <v>192</v>
      </c>
      <c r="M858" s="60" t="s">
        <v>186</v>
      </c>
      <c r="N858" s="60" t="b">
        <f>FALSE()</f>
        <v>0</v>
      </c>
      <c r="O858" s="60"/>
      <c r="P858" s="60"/>
      <c r="Q858" s="60" t="s">
        <v>236</v>
      </c>
      <c r="R858" s="60" t="s">
        <v>237</v>
      </c>
      <c r="S858" s="60"/>
      <c r="T858" s="60" t="b">
        <f>FALSE()</f>
        <v>0</v>
      </c>
      <c r="U858" s="60" t="b">
        <f>FALSE()</f>
        <v>0</v>
      </c>
      <c r="V858" s="60">
        <v>485</v>
      </c>
      <c r="W858" s="60" t="s">
        <v>3103</v>
      </c>
      <c r="X858" s="60">
        <v>1</v>
      </c>
      <c r="Y858" s="63">
        <v>0.01</v>
      </c>
      <c r="Z858" s="60" t="b">
        <f>FALSE()</f>
        <v>0</v>
      </c>
      <c r="AA858" s="60" t="b">
        <f>TRUE()</f>
        <v>1</v>
      </c>
      <c r="AB858" s="60" t="b">
        <f>FALSE()</f>
        <v>0</v>
      </c>
      <c r="AC858" s="60" t="b">
        <f>TRUE()</f>
        <v>1</v>
      </c>
      <c r="AD858" s="60" t="b">
        <f>FALSE()</f>
        <v>0</v>
      </c>
      <c r="AE858" s="60">
        <v>2</v>
      </c>
      <c r="AF858" s="64">
        <v>28.6</v>
      </c>
      <c r="AG858" s="60" t="s">
        <v>73</v>
      </c>
      <c r="AH858" s="60" t="s">
        <v>3104</v>
      </c>
      <c r="AI858">
        <f>IF(AND(OR(Company_Explorer!$B$5="All Companies",$E858=Company_Explorer!$B$5),OR(Company_Explorer!$B$6="All Platforms",$B858=Company_Explorer!$B$6),OR(Company_Explorer!$B$7="All Roles",$D858=Company_Explorer!$B$7),OR(Company_Explorer!$B$8="All Ghost Labels",$AG858=Company_Explorer!$B$8)),1,0)</f>
        <v>0</v>
      </c>
    </row>
    <row r="859" spans="1:35" ht="15" customHeight="1" x14ac:dyDescent="0.3">
      <c r="A859" s="65" t="s">
        <v>3105</v>
      </c>
      <c r="B859" s="65" t="s">
        <v>80</v>
      </c>
      <c r="C859" s="65" t="s">
        <v>258</v>
      </c>
      <c r="D859" s="65" t="s">
        <v>125</v>
      </c>
      <c r="E859" s="65" t="s">
        <v>141</v>
      </c>
      <c r="F859" s="65" t="b">
        <f>TRUE()</f>
        <v>1</v>
      </c>
      <c r="G859" s="65" t="s">
        <v>172</v>
      </c>
      <c r="H859" s="65" t="s">
        <v>276</v>
      </c>
      <c r="I859" s="66">
        <v>46198</v>
      </c>
      <c r="J859" s="66">
        <v>46210</v>
      </c>
      <c r="K859" s="65">
        <v>12</v>
      </c>
      <c r="L859" s="65" t="s">
        <v>192</v>
      </c>
      <c r="M859" s="65" t="s">
        <v>184</v>
      </c>
      <c r="N859" s="65" t="b">
        <f>FALSE()</f>
        <v>0</v>
      </c>
      <c r="O859" s="65"/>
      <c r="P859" s="65"/>
      <c r="Q859" s="65" t="s">
        <v>236</v>
      </c>
      <c r="R859" s="65" t="s">
        <v>237</v>
      </c>
      <c r="S859" s="65"/>
      <c r="T859" s="65" t="b">
        <f>FALSE()</f>
        <v>0</v>
      </c>
      <c r="U859" s="65" t="b">
        <f>FALSE()</f>
        <v>0</v>
      </c>
      <c r="V859" s="65">
        <v>320</v>
      </c>
      <c r="W859" s="67" t="s">
        <v>259</v>
      </c>
      <c r="X859" s="65">
        <v>429</v>
      </c>
      <c r="Y859" s="68">
        <v>2.66</v>
      </c>
      <c r="Z859" s="65" t="b">
        <f>FALSE()</f>
        <v>0</v>
      </c>
      <c r="AA859" s="65" t="b">
        <f>TRUE()</f>
        <v>1</v>
      </c>
      <c r="AB859" s="65" t="b">
        <f>FALSE()</f>
        <v>0</v>
      </c>
      <c r="AC859" s="65" t="b">
        <f>FALSE()</f>
        <v>0</v>
      </c>
      <c r="AD859" s="65" t="b">
        <f>TRUE()</f>
        <v>1</v>
      </c>
      <c r="AE859" s="65">
        <v>3</v>
      </c>
      <c r="AF859" s="69">
        <v>42.9</v>
      </c>
      <c r="AG859" s="65" t="s">
        <v>73</v>
      </c>
      <c r="AH859" s="65" t="s">
        <v>3106</v>
      </c>
      <c r="AI859">
        <f>IF(AND(OR(Company_Explorer!$B$5="All Companies",$E859=Company_Explorer!$B$5),OR(Company_Explorer!$B$6="All Platforms",$B859=Company_Explorer!$B$6),OR(Company_Explorer!$B$7="All Roles",$D859=Company_Explorer!$B$7),OR(Company_Explorer!$B$8="All Ghost Labels",$AG859=Company_Explorer!$B$8)),1,0)</f>
        <v>0</v>
      </c>
    </row>
    <row r="860" spans="1:35" ht="15" customHeight="1" x14ac:dyDescent="0.3">
      <c r="A860" s="60" t="s">
        <v>3107</v>
      </c>
      <c r="B860" s="60" t="s">
        <v>80</v>
      </c>
      <c r="C860" s="60" t="s">
        <v>3108</v>
      </c>
      <c r="D860" s="60" t="s">
        <v>131</v>
      </c>
      <c r="E860" s="60" t="s">
        <v>3109</v>
      </c>
      <c r="F860" s="60" t="b">
        <f>TRUE()</f>
        <v>1</v>
      </c>
      <c r="G860" s="60" t="s">
        <v>166</v>
      </c>
      <c r="H860" s="60" t="s">
        <v>235</v>
      </c>
      <c r="I860" s="61">
        <v>46043</v>
      </c>
      <c r="J860" s="61">
        <v>46210</v>
      </c>
      <c r="K860" s="60">
        <v>167</v>
      </c>
      <c r="L860" s="60" t="s">
        <v>192</v>
      </c>
      <c r="M860" s="60" t="s">
        <v>186</v>
      </c>
      <c r="N860" s="60" t="b">
        <f>FALSE()</f>
        <v>0</v>
      </c>
      <c r="O860" s="60"/>
      <c r="P860" s="60"/>
      <c r="Q860" s="60" t="s">
        <v>236</v>
      </c>
      <c r="R860" s="60" t="s">
        <v>237</v>
      </c>
      <c r="S860" s="60"/>
      <c r="T860" s="60" t="b">
        <f>FALSE()</f>
        <v>0</v>
      </c>
      <c r="U860" s="60" t="b">
        <f>FALSE()</f>
        <v>0</v>
      </c>
      <c r="V860" s="60">
        <v>538</v>
      </c>
      <c r="W860" s="62" t="s">
        <v>3110</v>
      </c>
      <c r="X860" s="60">
        <v>1</v>
      </c>
      <c r="Y860" s="63">
        <v>0.01</v>
      </c>
      <c r="Z860" s="60" t="b">
        <f>FALSE()</f>
        <v>0</v>
      </c>
      <c r="AA860" s="60" t="b">
        <f>TRUE()</f>
        <v>1</v>
      </c>
      <c r="AB860" s="60" t="b">
        <f>FALSE()</f>
        <v>0</v>
      </c>
      <c r="AC860" s="60" t="b">
        <f>TRUE()</f>
        <v>1</v>
      </c>
      <c r="AD860" s="60" t="b">
        <f>FALSE()</f>
        <v>0</v>
      </c>
      <c r="AE860" s="60">
        <v>2</v>
      </c>
      <c r="AF860" s="64">
        <v>28.6</v>
      </c>
      <c r="AG860" s="60" t="s">
        <v>73</v>
      </c>
      <c r="AH860" s="60" t="s">
        <v>3111</v>
      </c>
      <c r="AI860">
        <f>IF(AND(OR(Company_Explorer!$B$5="All Companies",$E860=Company_Explorer!$B$5),OR(Company_Explorer!$B$6="All Platforms",$B860=Company_Explorer!$B$6),OR(Company_Explorer!$B$7="All Roles",$D860=Company_Explorer!$B$7),OR(Company_Explorer!$B$8="All Ghost Labels",$AG860=Company_Explorer!$B$8)),1,0)</f>
        <v>0</v>
      </c>
    </row>
    <row r="861" spans="1:35" ht="15" customHeight="1" x14ac:dyDescent="0.3">
      <c r="A861" s="65" t="s">
        <v>3112</v>
      </c>
      <c r="B861" s="65" t="s">
        <v>80</v>
      </c>
      <c r="C861" s="65" t="s">
        <v>258</v>
      </c>
      <c r="D861" s="65" t="s">
        <v>125</v>
      </c>
      <c r="E861" s="65" t="s">
        <v>141</v>
      </c>
      <c r="F861" s="65" t="b">
        <f>TRUE()</f>
        <v>1</v>
      </c>
      <c r="G861" s="65" t="s">
        <v>166</v>
      </c>
      <c r="H861" s="65" t="s">
        <v>235</v>
      </c>
      <c r="I861" s="66">
        <v>46198</v>
      </c>
      <c r="J861" s="66">
        <v>46210</v>
      </c>
      <c r="K861" s="65">
        <v>12</v>
      </c>
      <c r="L861" s="65" t="s">
        <v>192</v>
      </c>
      <c r="M861" s="65" t="s">
        <v>184</v>
      </c>
      <c r="N861" s="65" t="b">
        <f>FALSE()</f>
        <v>0</v>
      </c>
      <c r="O861" s="65"/>
      <c r="P861" s="65"/>
      <c r="Q861" s="65" t="s">
        <v>236</v>
      </c>
      <c r="R861" s="65" t="s">
        <v>237</v>
      </c>
      <c r="S861" s="65"/>
      <c r="T861" s="65" t="b">
        <f>FALSE()</f>
        <v>0</v>
      </c>
      <c r="U861" s="65" t="b">
        <f>FALSE()</f>
        <v>0</v>
      </c>
      <c r="V861" s="65">
        <v>272</v>
      </c>
      <c r="W861" s="67" t="s">
        <v>259</v>
      </c>
      <c r="X861" s="65">
        <v>429</v>
      </c>
      <c r="Y861" s="68">
        <v>2.66</v>
      </c>
      <c r="Z861" s="65" t="b">
        <f>FALSE()</f>
        <v>0</v>
      </c>
      <c r="AA861" s="65" t="b">
        <f>TRUE()</f>
        <v>1</v>
      </c>
      <c r="AB861" s="65" t="b">
        <f>TRUE()</f>
        <v>1</v>
      </c>
      <c r="AC861" s="65" t="b">
        <f>FALSE()</f>
        <v>0</v>
      </c>
      <c r="AD861" s="65" t="b">
        <f>TRUE()</f>
        <v>1</v>
      </c>
      <c r="AE861" s="65">
        <v>4</v>
      </c>
      <c r="AF861" s="69">
        <v>57.1</v>
      </c>
      <c r="AG861" s="65" t="s">
        <v>72</v>
      </c>
      <c r="AH861" s="65" t="s">
        <v>3113</v>
      </c>
      <c r="AI861">
        <f>IF(AND(OR(Company_Explorer!$B$5="All Companies",$E861=Company_Explorer!$B$5),OR(Company_Explorer!$B$6="All Platforms",$B861=Company_Explorer!$B$6),OR(Company_Explorer!$B$7="All Roles",$D861=Company_Explorer!$B$7),OR(Company_Explorer!$B$8="All Ghost Labels",$AG861=Company_Explorer!$B$8)),1,0)</f>
        <v>0</v>
      </c>
    </row>
    <row r="862" spans="1:35" ht="15" customHeight="1" x14ac:dyDescent="0.3">
      <c r="A862" s="60" t="s">
        <v>3114</v>
      </c>
      <c r="B862" s="60" t="s">
        <v>80</v>
      </c>
      <c r="C862" s="60" t="s">
        <v>2058</v>
      </c>
      <c r="D862" s="60" t="s">
        <v>131</v>
      </c>
      <c r="E862" s="60" t="s">
        <v>3115</v>
      </c>
      <c r="F862" s="60" t="b">
        <f>TRUE()</f>
        <v>1</v>
      </c>
      <c r="G862" s="60" t="s">
        <v>166</v>
      </c>
      <c r="H862" s="60" t="s">
        <v>235</v>
      </c>
      <c r="I862" s="61">
        <v>45832</v>
      </c>
      <c r="J862" s="61">
        <v>46210</v>
      </c>
      <c r="K862" s="60">
        <v>378</v>
      </c>
      <c r="L862" s="60" t="s">
        <v>192</v>
      </c>
      <c r="M862" s="60" t="s">
        <v>185</v>
      </c>
      <c r="N862" s="60" t="b">
        <f>FALSE()</f>
        <v>0</v>
      </c>
      <c r="O862" s="60"/>
      <c r="P862" s="60"/>
      <c r="Q862" s="60" t="s">
        <v>236</v>
      </c>
      <c r="R862" s="60" t="s">
        <v>237</v>
      </c>
      <c r="S862" s="60"/>
      <c r="T862" s="60" t="b">
        <f>FALSE()</f>
        <v>0</v>
      </c>
      <c r="U862" s="60" t="b">
        <f>FALSE()</f>
        <v>0</v>
      </c>
      <c r="V862" s="60">
        <v>397</v>
      </c>
      <c r="W862" s="62" t="s">
        <v>3116</v>
      </c>
      <c r="X862" s="60">
        <v>1</v>
      </c>
      <c r="Y862" s="63">
        <v>0.01</v>
      </c>
      <c r="Z862" s="60" t="b">
        <f>FALSE()</f>
        <v>0</v>
      </c>
      <c r="AA862" s="60" t="b">
        <f>TRUE()</f>
        <v>1</v>
      </c>
      <c r="AB862" s="60" t="b">
        <f>FALSE()</f>
        <v>0</v>
      </c>
      <c r="AC862" s="60" t="b">
        <f>TRUE()</f>
        <v>1</v>
      </c>
      <c r="AD862" s="60" t="b">
        <f>FALSE()</f>
        <v>0</v>
      </c>
      <c r="AE862" s="60">
        <v>2</v>
      </c>
      <c r="AF862" s="64">
        <v>28.6</v>
      </c>
      <c r="AG862" s="60" t="s">
        <v>73</v>
      </c>
      <c r="AH862" s="60" t="s">
        <v>3117</v>
      </c>
      <c r="AI862">
        <f>IF(AND(OR(Company_Explorer!$B$5="All Companies",$E862=Company_Explorer!$B$5),OR(Company_Explorer!$B$6="All Platforms",$B862=Company_Explorer!$B$6),OR(Company_Explorer!$B$7="All Roles",$D862=Company_Explorer!$B$7),OR(Company_Explorer!$B$8="All Ghost Labels",$AG862=Company_Explorer!$B$8)),1,0)</f>
        <v>0</v>
      </c>
    </row>
    <row r="863" spans="1:35" ht="15" customHeight="1" x14ac:dyDescent="0.3">
      <c r="A863" s="65" t="s">
        <v>3118</v>
      </c>
      <c r="B863" s="65" t="s">
        <v>80</v>
      </c>
      <c r="C863" s="65" t="s">
        <v>258</v>
      </c>
      <c r="D863" s="65" t="s">
        <v>125</v>
      </c>
      <c r="E863" s="65" t="s">
        <v>141</v>
      </c>
      <c r="F863" s="65" t="b">
        <f>TRUE()</f>
        <v>1</v>
      </c>
      <c r="G863" s="65" t="s">
        <v>171</v>
      </c>
      <c r="H863" s="65" t="s">
        <v>254</v>
      </c>
      <c r="I863" s="66">
        <v>46198</v>
      </c>
      <c r="J863" s="66">
        <v>46210</v>
      </c>
      <c r="K863" s="65">
        <v>12</v>
      </c>
      <c r="L863" s="65" t="s">
        <v>192</v>
      </c>
      <c r="M863" s="65" t="s">
        <v>184</v>
      </c>
      <c r="N863" s="65" t="b">
        <f>FALSE()</f>
        <v>0</v>
      </c>
      <c r="O863" s="65"/>
      <c r="P863" s="65"/>
      <c r="Q863" s="65" t="s">
        <v>236</v>
      </c>
      <c r="R863" s="65" t="s">
        <v>237</v>
      </c>
      <c r="S863" s="65"/>
      <c r="T863" s="65" t="b">
        <f>FALSE()</f>
        <v>0</v>
      </c>
      <c r="U863" s="65" t="b">
        <f>FALSE()</f>
        <v>0</v>
      </c>
      <c r="V863" s="65">
        <v>253</v>
      </c>
      <c r="W863" s="67" t="s">
        <v>259</v>
      </c>
      <c r="X863" s="65">
        <v>429</v>
      </c>
      <c r="Y863" s="68">
        <v>2.66</v>
      </c>
      <c r="Z863" s="65" t="b">
        <f>FALSE()</f>
        <v>0</v>
      </c>
      <c r="AA863" s="65" t="b">
        <f>TRUE()</f>
        <v>1</v>
      </c>
      <c r="AB863" s="65" t="b">
        <f>TRUE()</f>
        <v>1</v>
      </c>
      <c r="AC863" s="65" t="b">
        <f>FALSE()</f>
        <v>0</v>
      </c>
      <c r="AD863" s="65" t="b">
        <f>TRUE()</f>
        <v>1</v>
      </c>
      <c r="AE863" s="65">
        <v>4</v>
      </c>
      <c r="AF863" s="69">
        <v>57.1</v>
      </c>
      <c r="AG863" s="65" t="s">
        <v>72</v>
      </c>
      <c r="AH863" s="65" t="s">
        <v>3119</v>
      </c>
      <c r="AI863">
        <f>IF(AND(OR(Company_Explorer!$B$5="All Companies",$E863=Company_Explorer!$B$5),OR(Company_Explorer!$B$6="All Platforms",$B863=Company_Explorer!$B$6),OR(Company_Explorer!$B$7="All Roles",$D863=Company_Explorer!$B$7),OR(Company_Explorer!$B$8="All Ghost Labels",$AG863=Company_Explorer!$B$8)),1,0)</f>
        <v>0</v>
      </c>
    </row>
    <row r="864" spans="1:35" ht="15" customHeight="1" x14ac:dyDescent="0.3">
      <c r="A864" s="60" t="s">
        <v>3120</v>
      </c>
      <c r="B864" s="60" t="s">
        <v>80</v>
      </c>
      <c r="C864" s="60" t="s">
        <v>2063</v>
      </c>
      <c r="D864" s="60" t="s">
        <v>125</v>
      </c>
      <c r="E864" s="60" t="s">
        <v>2925</v>
      </c>
      <c r="F864" s="60" t="b">
        <f>TRUE()</f>
        <v>1</v>
      </c>
      <c r="G864" s="60" t="s">
        <v>753</v>
      </c>
      <c r="H864" s="60" t="s">
        <v>754</v>
      </c>
      <c r="I864" s="61">
        <v>45930</v>
      </c>
      <c r="J864" s="61">
        <v>46210</v>
      </c>
      <c r="K864" s="60">
        <v>280</v>
      </c>
      <c r="L864" s="60" t="s">
        <v>192</v>
      </c>
      <c r="M864" s="60" t="s">
        <v>185</v>
      </c>
      <c r="N864" s="60" t="b">
        <f>TRUE()</f>
        <v>1</v>
      </c>
      <c r="O864" s="70">
        <v>300000</v>
      </c>
      <c r="P864" s="70">
        <v>400000</v>
      </c>
      <c r="Q864" s="60" t="s">
        <v>332</v>
      </c>
      <c r="R864" s="60" t="s">
        <v>237</v>
      </c>
      <c r="S864" s="60"/>
      <c r="T864" s="60" t="b">
        <f>FALSE()</f>
        <v>0</v>
      </c>
      <c r="U864" s="60" t="b">
        <f>FALSE()</f>
        <v>0</v>
      </c>
      <c r="V864" s="60">
        <v>150</v>
      </c>
      <c r="W864" s="62" t="s">
        <v>3121</v>
      </c>
      <c r="X864" s="60">
        <v>2</v>
      </c>
      <c r="Y864" s="63">
        <v>0.01</v>
      </c>
      <c r="Z864" s="60" t="b">
        <f>FALSE()</f>
        <v>0</v>
      </c>
      <c r="AA864" s="60" t="b">
        <f>FALSE()</f>
        <v>0</v>
      </c>
      <c r="AB864" s="60" t="b">
        <f>TRUE()</f>
        <v>1</v>
      </c>
      <c r="AC864" s="60" t="b">
        <f>TRUE()</f>
        <v>1</v>
      </c>
      <c r="AD864" s="60" t="b">
        <f>FALSE()</f>
        <v>0</v>
      </c>
      <c r="AE864" s="60">
        <v>2</v>
      </c>
      <c r="AF864" s="64">
        <v>28.6</v>
      </c>
      <c r="AG864" s="60" t="s">
        <v>73</v>
      </c>
      <c r="AH864" s="60" t="s">
        <v>3122</v>
      </c>
      <c r="AI864">
        <f>IF(AND(OR(Company_Explorer!$B$5="All Companies",$E864=Company_Explorer!$B$5),OR(Company_Explorer!$B$6="All Platforms",$B864=Company_Explorer!$B$6),OR(Company_Explorer!$B$7="All Roles",$D864=Company_Explorer!$B$7),OR(Company_Explorer!$B$8="All Ghost Labels",$AG864=Company_Explorer!$B$8)),1,0)</f>
        <v>0</v>
      </c>
    </row>
    <row r="865" spans="1:35" ht="15" customHeight="1" x14ac:dyDescent="0.3">
      <c r="A865" s="65" t="s">
        <v>3123</v>
      </c>
      <c r="B865" s="65" t="s">
        <v>80</v>
      </c>
      <c r="C865" s="65" t="s">
        <v>3124</v>
      </c>
      <c r="D865" s="65" t="s">
        <v>125</v>
      </c>
      <c r="E865" s="65" t="s">
        <v>153</v>
      </c>
      <c r="F865" s="65" t="b">
        <f>TRUE()</f>
        <v>1</v>
      </c>
      <c r="G865" s="65" t="s">
        <v>168</v>
      </c>
      <c r="H865" s="65" t="s">
        <v>254</v>
      </c>
      <c r="I865" s="66">
        <v>46201</v>
      </c>
      <c r="J865" s="66">
        <v>46210</v>
      </c>
      <c r="K865" s="65">
        <v>9</v>
      </c>
      <c r="L865" s="65" t="s">
        <v>192</v>
      </c>
      <c r="M865" s="65" t="s">
        <v>185</v>
      </c>
      <c r="N865" s="65" t="b">
        <f>FALSE()</f>
        <v>0</v>
      </c>
      <c r="O865" s="65"/>
      <c r="P865" s="65"/>
      <c r="Q865" s="65" t="s">
        <v>236</v>
      </c>
      <c r="R865" s="65" t="s">
        <v>237</v>
      </c>
      <c r="S865" s="65"/>
      <c r="T865" s="65" t="b">
        <f>FALSE()</f>
        <v>0</v>
      </c>
      <c r="U865" s="65" t="b">
        <f>FALSE()</f>
        <v>0</v>
      </c>
      <c r="V865" s="65">
        <v>1081</v>
      </c>
      <c r="W865" s="67" t="s">
        <v>3125</v>
      </c>
      <c r="X865" s="65">
        <v>4</v>
      </c>
      <c r="Y865" s="68">
        <v>0.02</v>
      </c>
      <c r="Z865" s="65" t="b">
        <f>FALSE()</f>
        <v>0</v>
      </c>
      <c r="AA865" s="65" t="b">
        <f>TRUE()</f>
        <v>1</v>
      </c>
      <c r="AB865" s="65" t="b">
        <f>FALSE()</f>
        <v>0</v>
      </c>
      <c r="AC865" s="65" t="b">
        <f>FALSE()</f>
        <v>0</v>
      </c>
      <c r="AD865" s="65" t="b">
        <f>FALSE()</f>
        <v>0</v>
      </c>
      <c r="AE865" s="65">
        <v>1</v>
      </c>
      <c r="AF865" s="69">
        <v>14.3</v>
      </c>
      <c r="AG865" s="65" t="s">
        <v>74</v>
      </c>
      <c r="AH865" s="65" t="s">
        <v>3126</v>
      </c>
      <c r="AI865">
        <f>IF(AND(OR(Company_Explorer!$B$5="All Companies",$E865=Company_Explorer!$B$5),OR(Company_Explorer!$B$6="All Platforms",$B865=Company_Explorer!$B$6),OR(Company_Explorer!$B$7="All Roles",$D865=Company_Explorer!$B$7),OR(Company_Explorer!$B$8="All Ghost Labels",$AG865=Company_Explorer!$B$8)),1,0)</f>
        <v>0</v>
      </c>
    </row>
    <row r="866" spans="1:35" ht="15" customHeight="1" x14ac:dyDescent="0.3">
      <c r="A866" s="60" t="s">
        <v>3127</v>
      </c>
      <c r="B866" s="60" t="s">
        <v>80</v>
      </c>
      <c r="C866" s="60" t="s">
        <v>258</v>
      </c>
      <c r="D866" s="60" t="s">
        <v>125</v>
      </c>
      <c r="E866" s="60" t="s">
        <v>141</v>
      </c>
      <c r="F866" s="60" t="b">
        <f>TRUE()</f>
        <v>1</v>
      </c>
      <c r="G866" s="60" t="s">
        <v>168</v>
      </c>
      <c r="H866" s="60" t="s">
        <v>254</v>
      </c>
      <c r="I866" s="61">
        <v>46198</v>
      </c>
      <c r="J866" s="61">
        <v>46210</v>
      </c>
      <c r="K866" s="60">
        <v>12</v>
      </c>
      <c r="L866" s="60" t="s">
        <v>192</v>
      </c>
      <c r="M866" s="60" t="s">
        <v>184</v>
      </c>
      <c r="N866" s="60" t="b">
        <f>FALSE()</f>
        <v>0</v>
      </c>
      <c r="O866" s="60"/>
      <c r="P866" s="60"/>
      <c r="Q866" s="60" t="s">
        <v>236</v>
      </c>
      <c r="R866" s="60" t="s">
        <v>237</v>
      </c>
      <c r="S866" s="60"/>
      <c r="T866" s="60" t="b">
        <f>FALSE()</f>
        <v>0</v>
      </c>
      <c r="U866" s="60" t="b">
        <f>FALSE()</f>
        <v>0</v>
      </c>
      <c r="V866" s="60">
        <v>390</v>
      </c>
      <c r="W866" s="62" t="s">
        <v>259</v>
      </c>
      <c r="X866" s="60">
        <v>429</v>
      </c>
      <c r="Y866" s="63">
        <v>2.66</v>
      </c>
      <c r="Z866" s="60" t="b">
        <f>FALSE()</f>
        <v>0</v>
      </c>
      <c r="AA866" s="60" t="b">
        <f>TRUE()</f>
        <v>1</v>
      </c>
      <c r="AB866" s="60" t="b">
        <f>FALSE()</f>
        <v>0</v>
      </c>
      <c r="AC866" s="60" t="b">
        <f>FALSE()</f>
        <v>0</v>
      </c>
      <c r="AD866" s="60" t="b">
        <f>TRUE()</f>
        <v>1</v>
      </c>
      <c r="AE866" s="60">
        <v>3</v>
      </c>
      <c r="AF866" s="64">
        <v>42.9</v>
      </c>
      <c r="AG866" s="60" t="s">
        <v>73</v>
      </c>
      <c r="AH866" s="60" t="s">
        <v>3128</v>
      </c>
      <c r="AI866">
        <f>IF(AND(OR(Company_Explorer!$B$5="All Companies",$E866=Company_Explorer!$B$5),OR(Company_Explorer!$B$6="All Platforms",$B866=Company_Explorer!$B$6),OR(Company_Explorer!$B$7="All Roles",$D866=Company_Explorer!$B$7),OR(Company_Explorer!$B$8="All Ghost Labels",$AG866=Company_Explorer!$B$8)),1,0)</f>
        <v>0</v>
      </c>
    </row>
    <row r="867" spans="1:35" ht="15" customHeight="1" x14ac:dyDescent="0.3">
      <c r="A867" s="65" t="s">
        <v>3129</v>
      </c>
      <c r="B867" s="65" t="s">
        <v>80</v>
      </c>
      <c r="C867" s="65" t="s">
        <v>3130</v>
      </c>
      <c r="D867" s="65" t="s">
        <v>130</v>
      </c>
      <c r="E867" s="65" t="s">
        <v>2758</v>
      </c>
      <c r="F867" s="65" t="b">
        <f>TRUE()</f>
        <v>1</v>
      </c>
      <c r="G867" s="65" t="s">
        <v>166</v>
      </c>
      <c r="H867" s="65" t="s">
        <v>235</v>
      </c>
      <c r="I867" s="66">
        <v>46207</v>
      </c>
      <c r="J867" s="66">
        <v>46210</v>
      </c>
      <c r="K867" s="65">
        <v>3</v>
      </c>
      <c r="L867" s="65" t="s">
        <v>192</v>
      </c>
      <c r="M867" s="65" t="s">
        <v>184</v>
      </c>
      <c r="N867" s="65" t="b">
        <f>FALSE()</f>
        <v>0</v>
      </c>
      <c r="O867" s="65"/>
      <c r="P867" s="65"/>
      <c r="Q867" s="65" t="s">
        <v>236</v>
      </c>
      <c r="R867" s="65" t="s">
        <v>237</v>
      </c>
      <c r="S867" s="65"/>
      <c r="T867" s="65" t="b">
        <f>FALSE()</f>
        <v>0</v>
      </c>
      <c r="U867" s="65" t="b">
        <f>FALSE()</f>
        <v>0</v>
      </c>
      <c r="V867" s="65">
        <v>129</v>
      </c>
      <c r="W867" s="67" t="s">
        <v>3131</v>
      </c>
      <c r="X867" s="65">
        <v>2</v>
      </c>
      <c r="Y867" s="68">
        <v>0.01</v>
      </c>
      <c r="Z867" s="65" t="b">
        <f>FALSE()</f>
        <v>0</v>
      </c>
      <c r="AA867" s="65" t="b">
        <f>TRUE()</f>
        <v>1</v>
      </c>
      <c r="AB867" s="65" t="b">
        <f>TRUE()</f>
        <v>1</v>
      </c>
      <c r="AC867" s="65" t="b">
        <f>FALSE()</f>
        <v>0</v>
      </c>
      <c r="AD867" s="65" t="b">
        <f>FALSE()</f>
        <v>0</v>
      </c>
      <c r="AE867" s="65">
        <v>2</v>
      </c>
      <c r="AF867" s="69">
        <v>28.6</v>
      </c>
      <c r="AG867" s="65" t="s">
        <v>73</v>
      </c>
      <c r="AH867" s="65" t="s">
        <v>3132</v>
      </c>
      <c r="AI867">
        <f>IF(AND(OR(Company_Explorer!$B$5="All Companies",$E867=Company_Explorer!$B$5),OR(Company_Explorer!$B$6="All Platforms",$B867=Company_Explorer!$B$6),OR(Company_Explorer!$B$7="All Roles",$D867=Company_Explorer!$B$7),OR(Company_Explorer!$B$8="All Ghost Labels",$AG867=Company_Explorer!$B$8)),1,0)</f>
        <v>0</v>
      </c>
    </row>
    <row r="868" spans="1:35" ht="15" customHeight="1" x14ac:dyDescent="0.3">
      <c r="A868" s="60" t="s">
        <v>3133</v>
      </c>
      <c r="B868" s="60" t="s">
        <v>80</v>
      </c>
      <c r="C868" s="60" t="s">
        <v>3134</v>
      </c>
      <c r="D868" s="60" t="s">
        <v>130</v>
      </c>
      <c r="E868" s="60" t="s">
        <v>3135</v>
      </c>
      <c r="F868" s="60" t="b">
        <f>TRUE()</f>
        <v>1</v>
      </c>
      <c r="G868" s="60" t="s">
        <v>170</v>
      </c>
      <c r="H868" s="60" t="s">
        <v>165</v>
      </c>
      <c r="I868" s="61">
        <v>46203</v>
      </c>
      <c r="J868" s="61">
        <v>46210</v>
      </c>
      <c r="K868" s="60">
        <v>7</v>
      </c>
      <c r="L868" s="60" t="s">
        <v>192</v>
      </c>
      <c r="M868" s="60" t="s">
        <v>185</v>
      </c>
      <c r="N868" s="60" t="b">
        <f>FALSE()</f>
        <v>0</v>
      </c>
      <c r="O868" s="60"/>
      <c r="P868" s="60"/>
      <c r="Q868" s="60" t="s">
        <v>236</v>
      </c>
      <c r="R868" s="60" t="s">
        <v>237</v>
      </c>
      <c r="S868" s="60"/>
      <c r="T868" s="60" t="b">
        <f>FALSE()</f>
        <v>0</v>
      </c>
      <c r="U868" s="60" t="b">
        <f>FALSE()</f>
        <v>0</v>
      </c>
      <c r="V868" s="60">
        <v>1117</v>
      </c>
      <c r="W868" s="62" t="s">
        <v>3136</v>
      </c>
      <c r="X868" s="60">
        <v>1</v>
      </c>
      <c r="Y868" s="63">
        <v>0.01</v>
      </c>
      <c r="Z868" s="60" t="b">
        <f>FALSE()</f>
        <v>0</v>
      </c>
      <c r="AA868" s="60" t="b">
        <f>TRUE()</f>
        <v>1</v>
      </c>
      <c r="AB868" s="60" t="b">
        <f>FALSE()</f>
        <v>0</v>
      </c>
      <c r="AC868" s="60" t="b">
        <f>FALSE()</f>
        <v>0</v>
      </c>
      <c r="AD868" s="60" t="b">
        <f>FALSE()</f>
        <v>0</v>
      </c>
      <c r="AE868" s="60">
        <v>1</v>
      </c>
      <c r="AF868" s="64">
        <v>14.3</v>
      </c>
      <c r="AG868" s="60" t="s">
        <v>74</v>
      </c>
      <c r="AH868" s="60" t="s">
        <v>3137</v>
      </c>
      <c r="AI868">
        <f>IF(AND(OR(Company_Explorer!$B$5="All Companies",$E868=Company_Explorer!$B$5),OR(Company_Explorer!$B$6="All Platforms",$B868=Company_Explorer!$B$6),OR(Company_Explorer!$B$7="All Roles",$D868=Company_Explorer!$B$7),OR(Company_Explorer!$B$8="All Ghost Labels",$AG868=Company_Explorer!$B$8)),1,0)</f>
        <v>0</v>
      </c>
    </row>
    <row r="869" spans="1:35" ht="15" customHeight="1" x14ac:dyDescent="0.3">
      <c r="A869" s="65" t="s">
        <v>3138</v>
      </c>
      <c r="B869" s="65" t="s">
        <v>80</v>
      </c>
      <c r="C869" s="65" t="s">
        <v>2063</v>
      </c>
      <c r="D869" s="65" t="s">
        <v>125</v>
      </c>
      <c r="E869" s="65" t="s">
        <v>3139</v>
      </c>
      <c r="F869" s="65" t="b">
        <f>TRUE()</f>
        <v>1</v>
      </c>
      <c r="G869" s="65" t="s">
        <v>169</v>
      </c>
      <c r="H869" s="65" t="s">
        <v>294</v>
      </c>
      <c r="I869" s="66">
        <v>45930</v>
      </c>
      <c r="J869" s="66">
        <v>46210</v>
      </c>
      <c r="K869" s="65">
        <v>280</v>
      </c>
      <c r="L869" s="65" t="s">
        <v>192</v>
      </c>
      <c r="M869" s="65" t="s">
        <v>189</v>
      </c>
      <c r="N869" s="65" t="b">
        <f>FALSE()</f>
        <v>0</v>
      </c>
      <c r="O869" s="65"/>
      <c r="P869" s="65"/>
      <c r="Q869" s="65" t="s">
        <v>236</v>
      </c>
      <c r="R869" s="65" t="s">
        <v>237</v>
      </c>
      <c r="S869" s="65"/>
      <c r="T869" s="65" t="b">
        <f>FALSE()</f>
        <v>0</v>
      </c>
      <c r="U869" s="65" t="b">
        <f>FALSE()</f>
        <v>0</v>
      </c>
      <c r="V869" s="65">
        <v>275</v>
      </c>
      <c r="W869" s="67" t="s">
        <v>3140</v>
      </c>
      <c r="X869" s="65">
        <v>1</v>
      </c>
      <c r="Y869" s="68">
        <v>0.01</v>
      </c>
      <c r="Z869" s="65" t="b">
        <f>FALSE()</f>
        <v>0</v>
      </c>
      <c r="AA869" s="65" t="b">
        <f>TRUE()</f>
        <v>1</v>
      </c>
      <c r="AB869" s="65" t="b">
        <f>FALSE()</f>
        <v>0</v>
      </c>
      <c r="AC869" s="65" t="b">
        <f>TRUE()</f>
        <v>1</v>
      </c>
      <c r="AD869" s="65" t="b">
        <f>FALSE()</f>
        <v>0</v>
      </c>
      <c r="AE869" s="65">
        <v>2</v>
      </c>
      <c r="AF869" s="69">
        <v>28.6</v>
      </c>
      <c r="AG869" s="65" t="s">
        <v>73</v>
      </c>
      <c r="AH869" s="65" t="s">
        <v>3141</v>
      </c>
      <c r="AI869">
        <f>IF(AND(OR(Company_Explorer!$B$5="All Companies",$E869=Company_Explorer!$B$5),OR(Company_Explorer!$B$6="All Platforms",$B869=Company_Explorer!$B$6),OR(Company_Explorer!$B$7="All Roles",$D869=Company_Explorer!$B$7),OR(Company_Explorer!$B$8="All Ghost Labels",$AG869=Company_Explorer!$B$8)),1,0)</f>
        <v>0</v>
      </c>
    </row>
    <row r="870" spans="1:35" ht="15" customHeight="1" x14ac:dyDescent="0.3">
      <c r="A870" s="60" t="s">
        <v>3142</v>
      </c>
      <c r="B870" s="60" t="s">
        <v>80</v>
      </c>
      <c r="C870" s="60" t="s">
        <v>3143</v>
      </c>
      <c r="D870" s="60" t="s">
        <v>131</v>
      </c>
      <c r="E870" s="60" t="s">
        <v>3144</v>
      </c>
      <c r="F870" s="60" t="b">
        <f>TRUE()</f>
        <v>1</v>
      </c>
      <c r="G870" s="60" t="s">
        <v>166</v>
      </c>
      <c r="H870" s="60" t="s">
        <v>235</v>
      </c>
      <c r="I870" s="61">
        <v>46206</v>
      </c>
      <c r="J870" s="61">
        <v>46210</v>
      </c>
      <c r="K870" s="60">
        <v>4</v>
      </c>
      <c r="L870" s="60" t="s">
        <v>192</v>
      </c>
      <c r="M870" s="60" t="s">
        <v>184</v>
      </c>
      <c r="N870" s="60" t="b">
        <f>FALSE()</f>
        <v>0</v>
      </c>
      <c r="O870" s="60"/>
      <c r="P870" s="60"/>
      <c r="Q870" s="60" t="s">
        <v>236</v>
      </c>
      <c r="R870" s="60" t="s">
        <v>237</v>
      </c>
      <c r="S870" s="60"/>
      <c r="T870" s="60" t="b">
        <f>FALSE()</f>
        <v>0</v>
      </c>
      <c r="U870" s="60" t="b">
        <f>FALSE()</f>
        <v>0</v>
      </c>
      <c r="V870" s="60">
        <v>457</v>
      </c>
      <c r="W870" s="62" t="s">
        <v>3145</v>
      </c>
      <c r="X870" s="60">
        <v>2</v>
      </c>
      <c r="Y870" s="63">
        <v>0.01</v>
      </c>
      <c r="Z870" s="60" t="b">
        <f>FALSE()</f>
        <v>0</v>
      </c>
      <c r="AA870" s="60" t="b">
        <f>TRUE()</f>
        <v>1</v>
      </c>
      <c r="AB870" s="60" t="b">
        <f>FALSE()</f>
        <v>0</v>
      </c>
      <c r="AC870" s="60" t="b">
        <f>FALSE()</f>
        <v>0</v>
      </c>
      <c r="AD870" s="60" t="b">
        <f>FALSE()</f>
        <v>0</v>
      </c>
      <c r="AE870" s="60">
        <v>1</v>
      </c>
      <c r="AF870" s="64">
        <v>14.3</v>
      </c>
      <c r="AG870" s="60" t="s">
        <v>74</v>
      </c>
      <c r="AH870" s="60" t="s">
        <v>3146</v>
      </c>
      <c r="AI870">
        <f>IF(AND(OR(Company_Explorer!$B$5="All Companies",$E870=Company_Explorer!$B$5),OR(Company_Explorer!$B$6="All Platforms",$B870=Company_Explorer!$B$6),OR(Company_Explorer!$B$7="All Roles",$D870=Company_Explorer!$B$7),OR(Company_Explorer!$B$8="All Ghost Labels",$AG870=Company_Explorer!$B$8)),1,0)</f>
        <v>0</v>
      </c>
    </row>
    <row r="871" spans="1:35" ht="15" customHeight="1" x14ac:dyDescent="0.3">
      <c r="A871" s="65" t="s">
        <v>3147</v>
      </c>
      <c r="B871" s="65" t="s">
        <v>80</v>
      </c>
      <c r="C871" s="65" t="s">
        <v>3148</v>
      </c>
      <c r="D871" s="65" t="s">
        <v>130</v>
      </c>
      <c r="E871" s="65" t="s">
        <v>141</v>
      </c>
      <c r="F871" s="65" t="b">
        <f>TRUE()</f>
        <v>1</v>
      </c>
      <c r="G871" s="65" t="s">
        <v>166</v>
      </c>
      <c r="H871" s="65" t="s">
        <v>235</v>
      </c>
      <c r="I871" s="66">
        <v>46198</v>
      </c>
      <c r="J871" s="66">
        <v>46210</v>
      </c>
      <c r="K871" s="65">
        <v>12</v>
      </c>
      <c r="L871" s="65" t="s">
        <v>192</v>
      </c>
      <c r="M871" s="65" t="s">
        <v>184</v>
      </c>
      <c r="N871" s="65" t="b">
        <f>FALSE()</f>
        <v>0</v>
      </c>
      <c r="O871" s="65"/>
      <c r="P871" s="65"/>
      <c r="Q871" s="65" t="s">
        <v>236</v>
      </c>
      <c r="R871" s="65" t="s">
        <v>237</v>
      </c>
      <c r="S871" s="65"/>
      <c r="T871" s="65" t="b">
        <f>FALSE()</f>
        <v>0</v>
      </c>
      <c r="U871" s="65" t="b">
        <f>FALSE()</f>
        <v>0</v>
      </c>
      <c r="V871" s="65">
        <v>335</v>
      </c>
      <c r="W871" s="67" t="s">
        <v>3149</v>
      </c>
      <c r="X871" s="65">
        <v>429</v>
      </c>
      <c r="Y871" s="68">
        <v>2.66</v>
      </c>
      <c r="Z871" s="65" t="b">
        <f>FALSE()</f>
        <v>0</v>
      </c>
      <c r="AA871" s="65" t="b">
        <f>TRUE()</f>
        <v>1</v>
      </c>
      <c r="AB871" s="65" t="b">
        <f>FALSE()</f>
        <v>0</v>
      </c>
      <c r="AC871" s="65" t="b">
        <f>FALSE()</f>
        <v>0</v>
      </c>
      <c r="AD871" s="65" t="b">
        <f>TRUE()</f>
        <v>1</v>
      </c>
      <c r="AE871" s="65">
        <v>3</v>
      </c>
      <c r="AF871" s="69">
        <v>42.9</v>
      </c>
      <c r="AG871" s="65" t="s">
        <v>73</v>
      </c>
      <c r="AH871" s="65" t="s">
        <v>3150</v>
      </c>
      <c r="AI871">
        <f>IF(AND(OR(Company_Explorer!$B$5="All Companies",$E871=Company_Explorer!$B$5),OR(Company_Explorer!$B$6="All Platforms",$B871=Company_Explorer!$B$6),OR(Company_Explorer!$B$7="All Roles",$D871=Company_Explorer!$B$7),OR(Company_Explorer!$B$8="All Ghost Labels",$AG871=Company_Explorer!$B$8)),1,0)</f>
        <v>0</v>
      </c>
    </row>
    <row r="872" spans="1:35" ht="15" customHeight="1" x14ac:dyDescent="0.3">
      <c r="A872" s="60" t="s">
        <v>3151</v>
      </c>
      <c r="B872" s="60" t="s">
        <v>80</v>
      </c>
      <c r="C872" s="60" t="s">
        <v>3152</v>
      </c>
      <c r="D872" s="60" t="s">
        <v>131</v>
      </c>
      <c r="E872" s="60" t="s">
        <v>3153</v>
      </c>
      <c r="F872" s="60" t="b">
        <f>TRUE()</f>
        <v>1</v>
      </c>
      <c r="G872" s="60" t="s">
        <v>166</v>
      </c>
      <c r="H872" s="60" t="s">
        <v>235</v>
      </c>
      <c r="I872" s="61">
        <v>46193</v>
      </c>
      <c r="J872" s="61">
        <v>46210</v>
      </c>
      <c r="K872" s="60">
        <v>17</v>
      </c>
      <c r="L872" s="60" t="s">
        <v>192</v>
      </c>
      <c r="M872" s="60" t="s">
        <v>185</v>
      </c>
      <c r="N872" s="60" t="b">
        <f>FALSE()</f>
        <v>0</v>
      </c>
      <c r="O872" s="60"/>
      <c r="P872" s="60"/>
      <c r="Q872" s="60" t="s">
        <v>236</v>
      </c>
      <c r="R872" s="60" t="s">
        <v>237</v>
      </c>
      <c r="S872" s="60"/>
      <c r="T872" s="60" t="b">
        <f>FALSE()</f>
        <v>0</v>
      </c>
      <c r="U872" s="60" t="b">
        <f>FALSE()</f>
        <v>0</v>
      </c>
      <c r="V872" s="60">
        <v>367</v>
      </c>
      <c r="W872" s="60" t="s">
        <v>3154</v>
      </c>
      <c r="X872" s="60">
        <v>1</v>
      </c>
      <c r="Y872" s="63">
        <v>0.01</v>
      </c>
      <c r="Z872" s="60" t="b">
        <f>FALSE()</f>
        <v>0</v>
      </c>
      <c r="AA872" s="60" t="b">
        <f>TRUE()</f>
        <v>1</v>
      </c>
      <c r="AB872" s="60" t="b">
        <f>FALSE()</f>
        <v>0</v>
      </c>
      <c r="AC872" s="60" t="b">
        <f>FALSE()</f>
        <v>0</v>
      </c>
      <c r="AD872" s="60" t="b">
        <f>FALSE()</f>
        <v>0</v>
      </c>
      <c r="AE872" s="60">
        <v>1</v>
      </c>
      <c r="AF872" s="64">
        <v>14.3</v>
      </c>
      <c r="AG872" s="60" t="s">
        <v>74</v>
      </c>
      <c r="AH872" s="60" t="s">
        <v>3155</v>
      </c>
      <c r="AI872">
        <f>IF(AND(OR(Company_Explorer!$B$5="All Companies",$E872=Company_Explorer!$B$5),OR(Company_Explorer!$B$6="All Platforms",$B872=Company_Explorer!$B$6),OR(Company_Explorer!$B$7="All Roles",$D872=Company_Explorer!$B$7),OR(Company_Explorer!$B$8="All Ghost Labels",$AG872=Company_Explorer!$B$8)),1,0)</f>
        <v>0</v>
      </c>
    </row>
    <row r="873" spans="1:35" ht="15" customHeight="1" x14ac:dyDescent="0.3">
      <c r="A873" s="65" t="s">
        <v>3156</v>
      </c>
      <c r="B873" s="65" t="s">
        <v>80</v>
      </c>
      <c r="C873" s="65" t="s">
        <v>258</v>
      </c>
      <c r="D873" s="65" t="s">
        <v>125</v>
      </c>
      <c r="E873" s="65" t="s">
        <v>141</v>
      </c>
      <c r="F873" s="65" t="b">
        <f>TRUE()</f>
        <v>1</v>
      </c>
      <c r="G873" s="65" t="s">
        <v>171</v>
      </c>
      <c r="H873" s="65" t="s">
        <v>254</v>
      </c>
      <c r="I873" s="66">
        <v>46198</v>
      </c>
      <c r="J873" s="66">
        <v>46210</v>
      </c>
      <c r="K873" s="65">
        <v>12</v>
      </c>
      <c r="L873" s="65" t="s">
        <v>192</v>
      </c>
      <c r="M873" s="65" t="s">
        <v>184</v>
      </c>
      <c r="N873" s="65" t="b">
        <f>FALSE()</f>
        <v>0</v>
      </c>
      <c r="O873" s="65"/>
      <c r="P873" s="65"/>
      <c r="Q873" s="65" t="s">
        <v>236</v>
      </c>
      <c r="R873" s="65" t="s">
        <v>237</v>
      </c>
      <c r="S873" s="65"/>
      <c r="T873" s="65" t="b">
        <f>FALSE()</f>
        <v>0</v>
      </c>
      <c r="U873" s="65" t="b">
        <f>FALSE()</f>
        <v>0</v>
      </c>
      <c r="V873" s="65">
        <v>253</v>
      </c>
      <c r="W873" s="67" t="s">
        <v>259</v>
      </c>
      <c r="X873" s="65">
        <v>429</v>
      </c>
      <c r="Y873" s="68">
        <v>2.66</v>
      </c>
      <c r="Z873" s="65" t="b">
        <f>FALSE()</f>
        <v>0</v>
      </c>
      <c r="AA873" s="65" t="b">
        <f>TRUE()</f>
        <v>1</v>
      </c>
      <c r="AB873" s="65" t="b">
        <f>TRUE()</f>
        <v>1</v>
      </c>
      <c r="AC873" s="65" t="b">
        <f>FALSE()</f>
        <v>0</v>
      </c>
      <c r="AD873" s="65" t="b">
        <f>TRUE()</f>
        <v>1</v>
      </c>
      <c r="AE873" s="65">
        <v>4</v>
      </c>
      <c r="AF873" s="69">
        <v>57.1</v>
      </c>
      <c r="AG873" s="65" t="s">
        <v>72</v>
      </c>
      <c r="AH873" s="65" t="s">
        <v>3157</v>
      </c>
      <c r="AI873">
        <f>IF(AND(OR(Company_Explorer!$B$5="All Companies",$E873=Company_Explorer!$B$5),OR(Company_Explorer!$B$6="All Platforms",$B873=Company_Explorer!$B$6),OR(Company_Explorer!$B$7="All Roles",$D873=Company_Explorer!$B$7),OR(Company_Explorer!$B$8="All Ghost Labels",$AG873=Company_Explorer!$B$8)),1,0)</f>
        <v>0</v>
      </c>
    </row>
    <row r="874" spans="1:35" ht="15" customHeight="1" x14ac:dyDescent="0.3">
      <c r="A874" s="60" t="s">
        <v>3158</v>
      </c>
      <c r="B874" s="60" t="s">
        <v>80</v>
      </c>
      <c r="C874" s="60" t="s">
        <v>3159</v>
      </c>
      <c r="D874" s="60" t="s">
        <v>125</v>
      </c>
      <c r="E874" s="60" t="s">
        <v>3160</v>
      </c>
      <c r="F874" s="60" t="b">
        <f>TRUE()</f>
        <v>1</v>
      </c>
      <c r="G874" s="60" t="s">
        <v>169</v>
      </c>
      <c r="H874" s="60" t="s">
        <v>294</v>
      </c>
      <c r="I874" s="61">
        <v>45930</v>
      </c>
      <c r="J874" s="61">
        <v>46210</v>
      </c>
      <c r="K874" s="60">
        <v>280</v>
      </c>
      <c r="L874" s="60" t="s">
        <v>192</v>
      </c>
      <c r="M874" s="60" t="s">
        <v>186</v>
      </c>
      <c r="N874" s="60" t="b">
        <f>TRUE()</f>
        <v>1</v>
      </c>
      <c r="O874" s="70">
        <v>600000</v>
      </c>
      <c r="P874" s="70">
        <v>1000000</v>
      </c>
      <c r="Q874" s="60" t="s">
        <v>332</v>
      </c>
      <c r="R874" s="60" t="s">
        <v>237</v>
      </c>
      <c r="S874" s="60"/>
      <c r="T874" s="60" t="b">
        <f>FALSE()</f>
        <v>0</v>
      </c>
      <c r="U874" s="60" t="b">
        <f>FALSE()</f>
        <v>0</v>
      </c>
      <c r="V874" s="60">
        <v>30</v>
      </c>
      <c r="W874" s="62" t="s">
        <v>3161</v>
      </c>
      <c r="X874" s="60">
        <v>1</v>
      </c>
      <c r="Y874" s="63">
        <v>0.01</v>
      </c>
      <c r="Z874" s="60" t="b">
        <f>FALSE()</f>
        <v>0</v>
      </c>
      <c r="AA874" s="60" t="b">
        <f>FALSE()</f>
        <v>0</v>
      </c>
      <c r="AB874" s="60" t="b">
        <f>TRUE()</f>
        <v>1</v>
      </c>
      <c r="AC874" s="60" t="b">
        <f>TRUE()</f>
        <v>1</v>
      </c>
      <c r="AD874" s="60" t="b">
        <f>FALSE()</f>
        <v>0</v>
      </c>
      <c r="AE874" s="60">
        <v>2</v>
      </c>
      <c r="AF874" s="64">
        <v>28.6</v>
      </c>
      <c r="AG874" s="60" t="s">
        <v>73</v>
      </c>
      <c r="AH874" s="60" t="s">
        <v>3162</v>
      </c>
      <c r="AI874">
        <f>IF(AND(OR(Company_Explorer!$B$5="All Companies",$E874=Company_Explorer!$B$5),OR(Company_Explorer!$B$6="All Platforms",$B874=Company_Explorer!$B$6),OR(Company_Explorer!$B$7="All Roles",$D874=Company_Explorer!$B$7),OR(Company_Explorer!$B$8="All Ghost Labels",$AG874=Company_Explorer!$B$8)),1,0)</f>
        <v>0</v>
      </c>
    </row>
    <row r="875" spans="1:35" ht="15" customHeight="1" x14ac:dyDescent="0.3">
      <c r="A875" s="65" t="s">
        <v>3163</v>
      </c>
      <c r="B875" s="65" t="s">
        <v>80</v>
      </c>
      <c r="C875" s="65" t="s">
        <v>258</v>
      </c>
      <c r="D875" s="65" t="s">
        <v>125</v>
      </c>
      <c r="E875" s="65" t="s">
        <v>141</v>
      </c>
      <c r="F875" s="65" t="b">
        <f>TRUE()</f>
        <v>1</v>
      </c>
      <c r="G875" s="65" t="s">
        <v>1246</v>
      </c>
      <c r="H875" s="65" t="s">
        <v>165</v>
      </c>
      <c r="I875" s="66">
        <v>46198</v>
      </c>
      <c r="J875" s="66">
        <v>46210</v>
      </c>
      <c r="K875" s="65">
        <v>12</v>
      </c>
      <c r="L875" s="65" t="s">
        <v>192</v>
      </c>
      <c r="M875" s="65" t="s">
        <v>184</v>
      </c>
      <c r="N875" s="65" t="b">
        <f>FALSE()</f>
        <v>0</v>
      </c>
      <c r="O875" s="65"/>
      <c r="P875" s="65"/>
      <c r="Q875" s="65" t="s">
        <v>236</v>
      </c>
      <c r="R875" s="65" t="s">
        <v>237</v>
      </c>
      <c r="S875" s="65"/>
      <c r="T875" s="65" t="b">
        <f>FALSE()</f>
        <v>0</v>
      </c>
      <c r="U875" s="65" t="b">
        <f>FALSE()</f>
        <v>0</v>
      </c>
      <c r="V875" s="65">
        <v>314</v>
      </c>
      <c r="W875" s="67" t="s">
        <v>259</v>
      </c>
      <c r="X875" s="65">
        <v>429</v>
      </c>
      <c r="Y875" s="68">
        <v>2.66</v>
      </c>
      <c r="Z875" s="65" t="b">
        <f>FALSE()</f>
        <v>0</v>
      </c>
      <c r="AA875" s="65" t="b">
        <f>TRUE()</f>
        <v>1</v>
      </c>
      <c r="AB875" s="65" t="b">
        <f>FALSE()</f>
        <v>0</v>
      </c>
      <c r="AC875" s="65" t="b">
        <f>FALSE()</f>
        <v>0</v>
      </c>
      <c r="AD875" s="65" t="b">
        <f>TRUE()</f>
        <v>1</v>
      </c>
      <c r="AE875" s="65">
        <v>3</v>
      </c>
      <c r="AF875" s="69">
        <v>42.9</v>
      </c>
      <c r="AG875" s="65" t="s">
        <v>73</v>
      </c>
      <c r="AH875" s="65" t="s">
        <v>3164</v>
      </c>
      <c r="AI875">
        <f>IF(AND(OR(Company_Explorer!$B$5="All Companies",$E875=Company_Explorer!$B$5),OR(Company_Explorer!$B$6="All Platforms",$B875=Company_Explorer!$B$6),OR(Company_Explorer!$B$7="All Roles",$D875=Company_Explorer!$B$7),OR(Company_Explorer!$B$8="All Ghost Labels",$AG875=Company_Explorer!$B$8)),1,0)</f>
        <v>0</v>
      </c>
    </row>
    <row r="876" spans="1:35" ht="15" customHeight="1" x14ac:dyDescent="0.3">
      <c r="A876" s="60" t="s">
        <v>3165</v>
      </c>
      <c r="B876" s="60" t="s">
        <v>80</v>
      </c>
      <c r="C876" s="60" t="s">
        <v>3166</v>
      </c>
      <c r="D876" s="60" t="s">
        <v>130</v>
      </c>
      <c r="E876" s="60" t="s">
        <v>3167</v>
      </c>
      <c r="F876" s="60" t="b">
        <f>TRUE()</f>
        <v>1</v>
      </c>
      <c r="G876" s="60" t="s">
        <v>166</v>
      </c>
      <c r="H876" s="60" t="s">
        <v>235</v>
      </c>
      <c r="I876" s="61">
        <v>46194</v>
      </c>
      <c r="J876" s="61">
        <v>46210</v>
      </c>
      <c r="K876" s="60">
        <v>16</v>
      </c>
      <c r="L876" s="60" t="s">
        <v>192</v>
      </c>
      <c r="M876" s="60" t="s">
        <v>185</v>
      </c>
      <c r="N876" s="60" t="b">
        <f>FALSE()</f>
        <v>0</v>
      </c>
      <c r="O876" s="60"/>
      <c r="P876" s="60"/>
      <c r="Q876" s="60" t="s">
        <v>236</v>
      </c>
      <c r="R876" s="60" t="s">
        <v>237</v>
      </c>
      <c r="S876" s="60"/>
      <c r="T876" s="60" t="b">
        <f>FALSE()</f>
        <v>0</v>
      </c>
      <c r="U876" s="60" t="b">
        <f>FALSE()</f>
        <v>0</v>
      </c>
      <c r="V876" s="60">
        <v>388</v>
      </c>
      <c r="W876" s="62" t="s">
        <v>3168</v>
      </c>
      <c r="X876" s="60">
        <v>1</v>
      </c>
      <c r="Y876" s="63">
        <v>0.01</v>
      </c>
      <c r="Z876" s="60" t="b">
        <f>FALSE()</f>
        <v>0</v>
      </c>
      <c r="AA876" s="60" t="b">
        <f>TRUE()</f>
        <v>1</v>
      </c>
      <c r="AB876" s="60" t="b">
        <f>FALSE()</f>
        <v>0</v>
      </c>
      <c r="AC876" s="60" t="b">
        <f>FALSE()</f>
        <v>0</v>
      </c>
      <c r="AD876" s="60" t="b">
        <f>FALSE()</f>
        <v>0</v>
      </c>
      <c r="AE876" s="60">
        <v>1</v>
      </c>
      <c r="AF876" s="64">
        <v>14.3</v>
      </c>
      <c r="AG876" s="60" t="s">
        <v>74</v>
      </c>
      <c r="AH876" s="60" t="s">
        <v>3169</v>
      </c>
      <c r="AI876">
        <f>IF(AND(OR(Company_Explorer!$B$5="All Companies",$E876=Company_Explorer!$B$5),OR(Company_Explorer!$B$6="All Platforms",$B876=Company_Explorer!$B$6),OR(Company_Explorer!$B$7="All Roles",$D876=Company_Explorer!$B$7),OR(Company_Explorer!$B$8="All Ghost Labels",$AG876=Company_Explorer!$B$8)),1,0)</f>
        <v>0</v>
      </c>
    </row>
    <row r="877" spans="1:35" ht="15" customHeight="1" x14ac:dyDescent="0.3">
      <c r="A877" s="65" t="s">
        <v>3170</v>
      </c>
      <c r="B877" s="65" t="s">
        <v>80</v>
      </c>
      <c r="C877" s="65" t="s">
        <v>3171</v>
      </c>
      <c r="D877" s="65" t="s">
        <v>130</v>
      </c>
      <c r="E877" s="65" t="s">
        <v>3172</v>
      </c>
      <c r="F877" s="65" t="b">
        <f>TRUE()</f>
        <v>1</v>
      </c>
      <c r="G877" s="65" t="s">
        <v>169</v>
      </c>
      <c r="H877" s="65" t="s">
        <v>294</v>
      </c>
      <c r="I877" s="66">
        <v>46207</v>
      </c>
      <c r="J877" s="66">
        <v>46210</v>
      </c>
      <c r="K877" s="65">
        <v>3</v>
      </c>
      <c r="L877" s="65" t="s">
        <v>192</v>
      </c>
      <c r="M877" s="65" t="s">
        <v>185</v>
      </c>
      <c r="N877" s="65" t="b">
        <f>FALSE()</f>
        <v>0</v>
      </c>
      <c r="O877" s="65"/>
      <c r="P877" s="65"/>
      <c r="Q877" s="65" t="s">
        <v>236</v>
      </c>
      <c r="R877" s="65" t="s">
        <v>237</v>
      </c>
      <c r="S877" s="65"/>
      <c r="T877" s="65" t="b">
        <f>FALSE()</f>
        <v>0</v>
      </c>
      <c r="U877" s="65" t="b">
        <f>FALSE()</f>
        <v>0</v>
      </c>
      <c r="V877" s="65">
        <v>50</v>
      </c>
      <c r="W877" s="65" t="s">
        <v>3173</v>
      </c>
      <c r="X877" s="65">
        <v>1</v>
      </c>
      <c r="Y877" s="68">
        <v>0.01</v>
      </c>
      <c r="Z877" s="65" t="b">
        <f>FALSE()</f>
        <v>0</v>
      </c>
      <c r="AA877" s="65" t="b">
        <f>TRUE()</f>
        <v>1</v>
      </c>
      <c r="AB877" s="65" t="b">
        <f>TRUE()</f>
        <v>1</v>
      </c>
      <c r="AC877" s="65" t="b">
        <f>FALSE()</f>
        <v>0</v>
      </c>
      <c r="AD877" s="65" t="b">
        <f>FALSE()</f>
        <v>0</v>
      </c>
      <c r="AE877" s="65">
        <v>2</v>
      </c>
      <c r="AF877" s="69">
        <v>28.6</v>
      </c>
      <c r="AG877" s="65" t="s">
        <v>73</v>
      </c>
      <c r="AH877" s="65" t="s">
        <v>3174</v>
      </c>
      <c r="AI877">
        <f>IF(AND(OR(Company_Explorer!$B$5="All Companies",$E877=Company_Explorer!$B$5),OR(Company_Explorer!$B$6="All Platforms",$B877=Company_Explorer!$B$6),OR(Company_Explorer!$B$7="All Roles",$D877=Company_Explorer!$B$7),OR(Company_Explorer!$B$8="All Ghost Labels",$AG877=Company_Explorer!$B$8)),1,0)</f>
        <v>0</v>
      </c>
    </row>
    <row r="878" spans="1:35" ht="15" customHeight="1" x14ac:dyDescent="0.3">
      <c r="A878" s="60" t="s">
        <v>3175</v>
      </c>
      <c r="B878" s="60" t="s">
        <v>80</v>
      </c>
      <c r="C878" s="60" t="s">
        <v>3176</v>
      </c>
      <c r="D878" s="60" t="s">
        <v>130</v>
      </c>
      <c r="E878" s="60" t="s">
        <v>3177</v>
      </c>
      <c r="F878" s="60" t="b">
        <f>TRUE()</f>
        <v>1</v>
      </c>
      <c r="G878" s="60" t="s">
        <v>169</v>
      </c>
      <c r="H878" s="60" t="s">
        <v>294</v>
      </c>
      <c r="I878" s="61">
        <v>46185</v>
      </c>
      <c r="J878" s="61">
        <v>46210</v>
      </c>
      <c r="K878" s="60">
        <v>25</v>
      </c>
      <c r="L878" s="60" t="s">
        <v>192</v>
      </c>
      <c r="M878" s="60" t="s">
        <v>184</v>
      </c>
      <c r="N878" s="60" t="b">
        <f>FALSE()</f>
        <v>0</v>
      </c>
      <c r="O878" s="60"/>
      <c r="P878" s="60"/>
      <c r="Q878" s="60" t="s">
        <v>236</v>
      </c>
      <c r="R878" s="60" t="s">
        <v>237</v>
      </c>
      <c r="S878" s="60"/>
      <c r="T878" s="60" t="b">
        <f>FALSE()</f>
        <v>0</v>
      </c>
      <c r="U878" s="60" t="b">
        <f>FALSE()</f>
        <v>0</v>
      </c>
      <c r="V878" s="60">
        <v>390</v>
      </c>
      <c r="W878" s="62" t="s">
        <v>3178</v>
      </c>
      <c r="X878" s="60">
        <v>1</v>
      </c>
      <c r="Y878" s="63">
        <v>0.01</v>
      </c>
      <c r="Z878" s="60" t="b">
        <f>FALSE()</f>
        <v>0</v>
      </c>
      <c r="AA878" s="60" t="b">
        <f>TRUE()</f>
        <v>1</v>
      </c>
      <c r="AB878" s="60" t="b">
        <f>FALSE()</f>
        <v>0</v>
      </c>
      <c r="AC878" s="60" t="b">
        <f>TRUE()</f>
        <v>1</v>
      </c>
      <c r="AD878" s="60" t="b">
        <f>FALSE()</f>
        <v>0</v>
      </c>
      <c r="AE878" s="60">
        <v>2</v>
      </c>
      <c r="AF878" s="64">
        <v>28.6</v>
      </c>
      <c r="AG878" s="60" t="s">
        <v>73</v>
      </c>
      <c r="AH878" s="60" t="s">
        <v>3179</v>
      </c>
      <c r="AI878">
        <f>IF(AND(OR(Company_Explorer!$B$5="All Companies",$E878=Company_Explorer!$B$5),OR(Company_Explorer!$B$6="All Platforms",$B878=Company_Explorer!$B$6),OR(Company_Explorer!$B$7="All Roles",$D878=Company_Explorer!$B$7),OR(Company_Explorer!$B$8="All Ghost Labels",$AG878=Company_Explorer!$B$8)),1,0)</f>
        <v>0</v>
      </c>
    </row>
    <row r="879" spans="1:35" ht="15" customHeight="1" x14ac:dyDescent="0.3">
      <c r="A879" s="65" t="s">
        <v>3180</v>
      </c>
      <c r="B879" s="65" t="s">
        <v>80</v>
      </c>
      <c r="C879" s="65" t="s">
        <v>2034</v>
      </c>
      <c r="D879" s="65" t="s">
        <v>130</v>
      </c>
      <c r="E879" s="65" t="s">
        <v>3181</v>
      </c>
      <c r="F879" s="65" t="b">
        <f>TRUE()</f>
        <v>1</v>
      </c>
      <c r="G879" s="65" t="s">
        <v>166</v>
      </c>
      <c r="H879" s="65" t="s">
        <v>235</v>
      </c>
      <c r="I879" s="66">
        <v>46029</v>
      </c>
      <c r="J879" s="66">
        <v>46210</v>
      </c>
      <c r="K879" s="65">
        <v>181</v>
      </c>
      <c r="L879" s="65" t="s">
        <v>192</v>
      </c>
      <c r="M879" s="65" t="s">
        <v>185</v>
      </c>
      <c r="N879" s="65" t="b">
        <f>FALSE()</f>
        <v>0</v>
      </c>
      <c r="O879" s="65"/>
      <c r="P879" s="65"/>
      <c r="Q879" s="65" t="s">
        <v>236</v>
      </c>
      <c r="R879" s="65" t="s">
        <v>237</v>
      </c>
      <c r="S879" s="65"/>
      <c r="T879" s="65" t="b">
        <f>FALSE()</f>
        <v>0</v>
      </c>
      <c r="U879" s="65" t="b">
        <f>FALSE()</f>
        <v>0</v>
      </c>
      <c r="V879" s="65">
        <v>271</v>
      </c>
      <c r="W879" s="67" t="s">
        <v>3182</v>
      </c>
      <c r="X879" s="65">
        <v>1</v>
      </c>
      <c r="Y879" s="68">
        <v>0.01</v>
      </c>
      <c r="Z879" s="65" t="b">
        <f>FALSE()</f>
        <v>0</v>
      </c>
      <c r="AA879" s="65" t="b">
        <f>TRUE()</f>
        <v>1</v>
      </c>
      <c r="AB879" s="65" t="b">
        <f>TRUE()</f>
        <v>1</v>
      </c>
      <c r="AC879" s="65" t="b">
        <f>TRUE()</f>
        <v>1</v>
      </c>
      <c r="AD879" s="65" t="b">
        <f>FALSE()</f>
        <v>0</v>
      </c>
      <c r="AE879" s="65">
        <v>3</v>
      </c>
      <c r="AF879" s="69">
        <v>42.9</v>
      </c>
      <c r="AG879" s="65" t="s">
        <v>73</v>
      </c>
      <c r="AH879" s="65" t="s">
        <v>3183</v>
      </c>
      <c r="AI879">
        <f>IF(AND(OR(Company_Explorer!$B$5="All Companies",$E879=Company_Explorer!$B$5),OR(Company_Explorer!$B$6="All Platforms",$B879=Company_Explorer!$B$6),OR(Company_Explorer!$B$7="All Roles",$D879=Company_Explorer!$B$7),OR(Company_Explorer!$B$8="All Ghost Labels",$AG879=Company_Explorer!$B$8)),1,0)</f>
        <v>0</v>
      </c>
    </row>
    <row r="880" spans="1:35" ht="15" customHeight="1" x14ac:dyDescent="0.3">
      <c r="A880" s="60" t="s">
        <v>3184</v>
      </c>
      <c r="B880" s="60" t="s">
        <v>80</v>
      </c>
      <c r="C880" s="60" t="s">
        <v>2034</v>
      </c>
      <c r="D880" s="60" t="s">
        <v>130</v>
      </c>
      <c r="E880" s="60" t="s">
        <v>158</v>
      </c>
      <c r="F880" s="60" t="b">
        <f>TRUE()</f>
        <v>1</v>
      </c>
      <c r="G880" s="60" t="s">
        <v>166</v>
      </c>
      <c r="H880" s="60" t="s">
        <v>235</v>
      </c>
      <c r="I880" s="61">
        <v>46199</v>
      </c>
      <c r="J880" s="61">
        <v>46210</v>
      </c>
      <c r="K880" s="60">
        <v>11</v>
      </c>
      <c r="L880" s="60" t="s">
        <v>192</v>
      </c>
      <c r="M880" s="60" t="s">
        <v>185</v>
      </c>
      <c r="N880" s="60" t="b">
        <f>FALSE()</f>
        <v>0</v>
      </c>
      <c r="O880" s="60"/>
      <c r="P880" s="60"/>
      <c r="Q880" s="60" t="s">
        <v>236</v>
      </c>
      <c r="R880" s="60" t="s">
        <v>237</v>
      </c>
      <c r="S880" s="60"/>
      <c r="T880" s="60" t="b">
        <f>FALSE()</f>
        <v>0</v>
      </c>
      <c r="U880" s="60" t="b">
        <f>FALSE()</f>
        <v>0</v>
      </c>
      <c r="V880" s="60">
        <v>588</v>
      </c>
      <c r="W880" s="62" t="s">
        <v>2501</v>
      </c>
      <c r="X880" s="60">
        <v>14</v>
      </c>
      <c r="Y880" s="63">
        <v>0.09</v>
      </c>
      <c r="Z880" s="60" t="b">
        <f>FALSE()</f>
        <v>0</v>
      </c>
      <c r="AA880" s="60" t="b">
        <f>TRUE()</f>
        <v>1</v>
      </c>
      <c r="AB880" s="60" t="b">
        <f>FALSE()</f>
        <v>0</v>
      </c>
      <c r="AC880" s="60" t="b">
        <f>FALSE()</f>
        <v>0</v>
      </c>
      <c r="AD880" s="60" t="b">
        <f>FALSE()</f>
        <v>0</v>
      </c>
      <c r="AE880" s="60">
        <v>1</v>
      </c>
      <c r="AF880" s="64">
        <v>14.3</v>
      </c>
      <c r="AG880" s="60" t="s">
        <v>74</v>
      </c>
      <c r="AH880" s="60" t="s">
        <v>3185</v>
      </c>
      <c r="AI880">
        <f>IF(AND(OR(Company_Explorer!$B$5="All Companies",$E880=Company_Explorer!$B$5),OR(Company_Explorer!$B$6="All Platforms",$B880=Company_Explorer!$B$6),OR(Company_Explorer!$B$7="All Roles",$D880=Company_Explorer!$B$7),OR(Company_Explorer!$B$8="All Ghost Labels",$AG880=Company_Explorer!$B$8)),1,0)</f>
        <v>0</v>
      </c>
    </row>
    <row r="881" spans="1:35" ht="15" customHeight="1" x14ac:dyDescent="0.3">
      <c r="A881" s="65" t="s">
        <v>3186</v>
      </c>
      <c r="B881" s="65" t="s">
        <v>80</v>
      </c>
      <c r="C881" s="65" t="s">
        <v>3187</v>
      </c>
      <c r="D881" s="65" t="s">
        <v>125</v>
      </c>
      <c r="E881" s="65" t="s">
        <v>695</v>
      </c>
      <c r="F881" s="65" t="b">
        <f>TRUE()</f>
        <v>1</v>
      </c>
      <c r="G881" s="65" t="s">
        <v>1417</v>
      </c>
      <c r="H881" s="65" t="s">
        <v>165</v>
      </c>
      <c r="I881" s="66">
        <v>46154</v>
      </c>
      <c r="J881" s="66">
        <v>46210</v>
      </c>
      <c r="K881" s="65">
        <v>56</v>
      </c>
      <c r="L881" s="65" t="s">
        <v>192</v>
      </c>
      <c r="M881" s="65" t="s">
        <v>185</v>
      </c>
      <c r="N881" s="65" t="b">
        <f>FALSE()</f>
        <v>0</v>
      </c>
      <c r="O881" s="65"/>
      <c r="P881" s="65"/>
      <c r="Q881" s="65" t="s">
        <v>236</v>
      </c>
      <c r="R881" s="65" t="s">
        <v>237</v>
      </c>
      <c r="S881" s="65"/>
      <c r="T881" s="65" t="b">
        <f>FALSE()</f>
        <v>0</v>
      </c>
      <c r="U881" s="65" t="b">
        <f>FALSE()</f>
        <v>0</v>
      </c>
      <c r="V881" s="65">
        <v>142</v>
      </c>
      <c r="W881" s="67" t="s">
        <v>3188</v>
      </c>
      <c r="X881" s="65">
        <v>2</v>
      </c>
      <c r="Y881" s="68">
        <v>0.01</v>
      </c>
      <c r="Z881" s="65" t="b">
        <f>FALSE()</f>
        <v>0</v>
      </c>
      <c r="AA881" s="65" t="b">
        <f>TRUE()</f>
        <v>1</v>
      </c>
      <c r="AB881" s="65" t="b">
        <f>TRUE()</f>
        <v>1</v>
      </c>
      <c r="AC881" s="65" t="b">
        <f>TRUE()</f>
        <v>1</v>
      </c>
      <c r="AD881" s="65" t="b">
        <f>FALSE()</f>
        <v>0</v>
      </c>
      <c r="AE881" s="65">
        <v>3</v>
      </c>
      <c r="AF881" s="69">
        <v>42.9</v>
      </c>
      <c r="AG881" s="65" t="s">
        <v>73</v>
      </c>
      <c r="AH881" s="65" t="s">
        <v>3189</v>
      </c>
      <c r="AI881">
        <f>IF(AND(OR(Company_Explorer!$B$5="All Companies",$E881=Company_Explorer!$B$5),OR(Company_Explorer!$B$6="All Platforms",$B881=Company_Explorer!$B$6),OR(Company_Explorer!$B$7="All Roles",$D881=Company_Explorer!$B$7),OR(Company_Explorer!$B$8="All Ghost Labels",$AG881=Company_Explorer!$B$8)),1,0)</f>
        <v>0</v>
      </c>
    </row>
    <row r="882" spans="1:35" ht="15" customHeight="1" x14ac:dyDescent="0.3">
      <c r="A882" s="60" t="s">
        <v>3190</v>
      </c>
      <c r="B882" s="60" t="s">
        <v>80</v>
      </c>
      <c r="C882" s="60" t="s">
        <v>125</v>
      </c>
      <c r="D882" s="60" t="s">
        <v>125</v>
      </c>
      <c r="E882" s="60" t="s">
        <v>2142</v>
      </c>
      <c r="F882" s="60" t="b">
        <f>TRUE()</f>
        <v>1</v>
      </c>
      <c r="G882" s="60" t="s">
        <v>2143</v>
      </c>
      <c r="H882" s="60" t="s">
        <v>2066</v>
      </c>
      <c r="I882" s="61">
        <v>46205</v>
      </c>
      <c r="J882" s="61">
        <v>46210</v>
      </c>
      <c r="K882" s="60">
        <v>5</v>
      </c>
      <c r="L882" s="60" t="s">
        <v>192</v>
      </c>
      <c r="M882" s="60" t="s">
        <v>185</v>
      </c>
      <c r="N882" s="60" t="b">
        <f>FALSE()</f>
        <v>0</v>
      </c>
      <c r="O882" s="60"/>
      <c r="P882" s="60"/>
      <c r="Q882" s="60" t="s">
        <v>236</v>
      </c>
      <c r="R882" s="60" t="s">
        <v>237</v>
      </c>
      <c r="S882" s="60"/>
      <c r="T882" s="60" t="b">
        <f>FALSE()</f>
        <v>0</v>
      </c>
      <c r="U882" s="60" t="b">
        <f>FALSE()</f>
        <v>0</v>
      </c>
      <c r="V882" s="60">
        <v>513</v>
      </c>
      <c r="W882" s="62" t="s">
        <v>2144</v>
      </c>
      <c r="X882" s="60">
        <v>3</v>
      </c>
      <c r="Y882" s="63">
        <v>0.02</v>
      </c>
      <c r="Z882" s="60" t="b">
        <f>FALSE()</f>
        <v>0</v>
      </c>
      <c r="AA882" s="60" t="b">
        <f>TRUE()</f>
        <v>1</v>
      </c>
      <c r="AB882" s="60" t="b">
        <f>FALSE()</f>
        <v>0</v>
      </c>
      <c r="AC882" s="60" t="b">
        <f>FALSE()</f>
        <v>0</v>
      </c>
      <c r="AD882" s="60" t="b">
        <f>FALSE()</f>
        <v>0</v>
      </c>
      <c r="AE882" s="60">
        <v>1</v>
      </c>
      <c r="AF882" s="64">
        <v>14.3</v>
      </c>
      <c r="AG882" s="60" t="s">
        <v>74</v>
      </c>
      <c r="AH882" s="60" t="s">
        <v>3191</v>
      </c>
      <c r="AI882">
        <f>IF(AND(OR(Company_Explorer!$B$5="All Companies",$E882=Company_Explorer!$B$5),OR(Company_Explorer!$B$6="All Platforms",$B882=Company_Explorer!$B$6),OR(Company_Explorer!$B$7="All Roles",$D882=Company_Explorer!$B$7),OR(Company_Explorer!$B$8="All Ghost Labels",$AG882=Company_Explorer!$B$8)),1,0)</f>
        <v>0</v>
      </c>
    </row>
    <row r="883" spans="1:35" ht="15" customHeight="1" x14ac:dyDescent="0.3">
      <c r="A883" s="65" t="s">
        <v>3192</v>
      </c>
      <c r="B883" s="65" t="s">
        <v>80</v>
      </c>
      <c r="C883" s="65" t="s">
        <v>2349</v>
      </c>
      <c r="D883" s="65" t="s">
        <v>131</v>
      </c>
      <c r="E883" s="65" t="s">
        <v>2279</v>
      </c>
      <c r="F883" s="65" t="b">
        <f>TRUE()</f>
        <v>1</v>
      </c>
      <c r="G883" s="65" t="s">
        <v>167</v>
      </c>
      <c r="H883" s="65" t="s">
        <v>276</v>
      </c>
      <c r="I883" s="66">
        <v>46142</v>
      </c>
      <c r="J883" s="66">
        <v>46210</v>
      </c>
      <c r="K883" s="65">
        <v>68</v>
      </c>
      <c r="L883" s="65" t="s">
        <v>192</v>
      </c>
      <c r="M883" s="65" t="s">
        <v>184</v>
      </c>
      <c r="N883" s="65" t="b">
        <f>FALSE()</f>
        <v>0</v>
      </c>
      <c r="O883" s="65"/>
      <c r="P883" s="65"/>
      <c r="Q883" s="65" t="s">
        <v>236</v>
      </c>
      <c r="R883" s="65" t="s">
        <v>237</v>
      </c>
      <c r="S883" s="65"/>
      <c r="T883" s="65" t="b">
        <f>FALSE()</f>
        <v>0</v>
      </c>
      <c r="U883" s="65" t="b">
        <f>FALSE()</f>
        <v>0</v>
      </c>
      <c r="V883" s="65">
        <v>425</v>
      </c>
      <c r="W883" s="67" t="s">
        <v>3193</v>
      </c>
      <c r="X883" s="65">
        <v>3</v>
      </c>
      <c r="Y883" s="68">
        <v>0.02</v>
      </c>
      <c r="Z883" s="65" t="b">
        <f>FALSE()</f>
        <v>0</v>
      </c>
      <c r="AA883" s="65" t="b">
        <f>TRUE()</f>
        <v>1</v>
      </c>
      <c r="AB883" s="65" t="b">
        <f>FALSE()</f>
        <v>0</v>
      </c>
      <c r="AC883" s="65" t="b">
        <f>TRUE()</f>
        <v>1</v>
      </c>
      <c r="AD883" s="65" t="b">
        <f>FALSE()</f>
        <v>0</v>
      </c>
      <c r="AE883" s="65">
        <v>2</v>
      </c>
      <c r="AF883" s="69">
        <v>28.6</v>
      </c>
      <c r="AG883" s="65" t="s">
        <v>73</v>
      </c>
      <c r="AH883" s="65" t="s">
        <v>3194</v>
      </c>
      <c r="AI883">
        <f>IF(AND(OR(Company_Explorer!$B$5="All Companies",$E883=Company_Explorer!$B$5),OR(Company_Explorer!$B$6="All Platforms",$B883=Company_Explorer!$B$6),OR(Company_Explorer!$B$7="All Roles",$D883=Company_Explorer!$B$7),OR(Company_Explorer!$B$8="All Ghost Labels",$AG883=Company_Explorer!$B$8)),1,0)</f>
        <v>0</v>
      </c>
    </row>
    <row r="884" spans="1:35" ht="15" customHeight="1" x14ac:dyDescent="0.3">
      <c r="A884" s="60" t="s">
        <v>3195</v>
      </c>
      <c r="B884" s="60" t="s">
        <v>80</v>
      </c>
      <c r="C884" s="60" t="s">
        <v>3196</v>
      </c>
      <c r="D884" s="60" t="s">
        <v>125</v>
      </c>
      <c r="E884" s="60" t="s">
        <v>2051</v>
      </c>
      <c r="F884" s="60" t="b">
        <f>TRUE()</f>
        <v>1</v>
      </c>
      <c r="G884" s="60" t="s">
        <v>171</v>
      </c>
      <c r="H884" s="60" t="s">
        <v>254</v>
      </c>
      <c r="I884" s="61">
        <v>46203</v>
      </c>
      <c r="J884" s="61">
        <v>46210</v>
      </c>
      <c r="K884" s="60">
        <v>7</v>
      </c>
      <c r="L884" s="60" t="s">
        <v>192</v>
      </c>
      <c r="M884" s="60" t="s">
        <v>187</v>
      </c>
      <c r="N884" s="60" t="b">
        <f>FALSE()</f>
        <v>0</v>
      </c>
      <c r="O884" s="60"/>
      <c r="P884" s="60"/>
      <c r="Q884" s="60" t="s">
        <v>236</v>
      </c>
      <c r="R884" s="60" t="s">
        <v>237</v>
      </c>
      <c r="S884" s="60"/>
      <c r="T884" s="60" t="b">
        <f>FALSE()</f>
        <v>0</v>
      </c>
      <c r="U884" s="60" t="b">
        <f>FALSE()</f>
        <v>0</v>
      </c>
      <c r="V884" s="60">
        <v>358</v>
      </c>
      <c r="W884" s="62" t="s">
        <v>2052</v>
      </c>
      <c r="X884" s="60">
        <v>4</v>
      </c>
      <c r="Y884" s="63">
        <v>0.02</v>
      </c>
      <c r="Z884" s="60" t="b">
        <f>FALSE()</f>
        <v>0</v>
      </c>
      <c r="AA884" s="60" t="b">
        <f>TRUE()</f>
        <v>1</v>
      </c>
      <c r="AB884" s="60" t="b">
        <f>FALSE()</f>
        <v>0</v>
      </c>
      <c r="AC884" s="60" t="b">
        <f>FALSE()</f>
        <v>0</v>
      </c>
      <c r="AD884" s="60" t="b">
        <f>FALSE()</f>
        <v>0</v>
      </c>
      <c r="AE884" s="60">
        <v>1</v>
      </c>
      <c r="AF884" s="64">
        <v>14.3</v>
      </c>
      <c r="AG884" s="60" t="s">
        <v>74</v>
      </c>
      <c r="AH884" s="60" t="s">
        <v>3197</v>
      </c>
      <c r="AI884">
        <f>IF(AND(OR(Company_Explorer!$B$5="All Companies",$E884=Company_Explorer!$B$5),OR(Company_Explorer!$B$6="All Platforms",$B884=Company_Explorer!$B$6),OR(Company_Explorer!$B$7="All Roles",$D884=Company_Explorer!$B$7),OR(Company_Explorer!$B$8="All Ghost Labels",$AG884=Company_Explorer!$B$8)),1,0)</f>
        <v>0</v>
      </c>
    </row>
    <row r="885" spans="1:35" ht="15" customHeight="1" x14ac:dyDescent="0.3">
      <c r="A885" s="65" t="s">
        <v>3198</v>
      </c>
      <c r="B885" s="65" t="s">
        <v>80</v>
      </c>
      <c r="C885" s="65" t="s">
        <v>2017</v>
      </c>
      <c r="D885" s="65" t="s">
        <v>125</v>
      </c>
      <c r="E885" s="65" t="s">
        <v>3199</v>
      </c>
      <c r="F885" s="65" t="b">
        <f>TRUE()</f>
        <v>1</v>
      </c>
      <c r="G885" s="65" t="s">
        <v>392</v>
      </c>
      <c r="H885" s="65" t="s">
        <v>302</v>
      </c>
      <c r="I885" s="66">
        <v>45691</v>
      </c>
      <c r="J885" s="66">
        <v>46210</v>
      </c>
      <c r="K885" s="65">
        <v>519</v>
      </c>
      <c r="L885" s="65" t="s">
        <v>192</v>
      </c>
      <c r="M885" s="65" t="s">
        <v>185</v>
      </c>
      <c r="N885" s="65" t="b">
        <f>FALSE()</f>
        <v>0</v>
      </c>
      <c r="O885" s="65"/>
      <c r="P885" s="65"/>
      <c r="Q885" s="65" t="s">
        <v>236</v>
      </c>
      <c r="R885" s="65" t="s">
        <v>237</v>
      </c>
      <c r="S885" s="65"/>
      <c r="T885" s="65" t="b">
        <f>FALSE()</f>
        <v>0</v>
      </c>
      <c r="U885" s="65" t="b">
        <f>FALSE()</f>
        <v>0</v>
      </c>
      <c r="V885" s="65">
        <v>80</v>
      </c>
      <c r="W885" s="67" t="s">
        <v>3200</v>
      </c>
      <c r="X885" s="65">
        <v>1</v>
      </c>
      <c r="Y885" s="68">
        <v>0.01</v>
      </c>
      <c r="Z885" s="65" t="b">
        <f>FALSE()</f>
        <v>0</v>
      </c>
      <c r="AA885" s="65" t="b">
        <f>TRUE()</f>
        <v>1</v>
      </c>
      <c r="AB885" s="65" t="b">
        <f>TRUE()</f>
        <v>1</v>
      </c>
      <c r="AC885" s="65" t="b">
        <f>TRUE()</f>
        <v>1</v>
      </c>
      <c r="AD885" s="65" t="b">
        <f>FALSE()</f>
        <v>0</v>
      </c>
      <c r="AE885" s="65">
        <v>3</v>
      </c>
      <c r="AF885" s="69">
        <v>42.9</v>
      </c>
      <c r="AG885" s="65" t="s">
        <v>73</v>
      </c>
      <c r="AH885" s="65" t="s">
        <v>3201</v>
      </c>
      <c r="AI885">
        <f>IF(AND(OR(Company_Explorer!$B$5="All Companies",$E885=Company_Explorer!$B$5),OR(Company_Explorer!$B$6="All Platforms",$B885=Company_Explorer!$B$6),OR(Company_Explorer!$B$7="All Roles",$D885=Company_Explorer!$B$7),OR(Company_Explorer!$B$8="All Ghost Labels",$AG885=Company_Explorer!$B$8)),1,0)</f>
        <v>0</v>
      </c>
    </row>
    <row r="886" spans="1:35" ht="15" customHeight="1" x14ac:dyDescent="0.3">
      <c r="A886" s="60" t="s">
        <v>3202</v>
      </c>
      <c r="B886" s="60" t="s">
        <v>80</v>
      </c>
      <c r="C886" s="60" t="s">
        <v>2034</v>
      </c>
      <c r="D886" s="60" t="s">
        <v>130</v>
      </c>
      <c r="E886" s="60" t="s">
        <v>3203</v>
      </c>
      <c r="F886" s="60" t="b">
        <f>TRUE()</f>
        <v>1</v>
      </c>
      <c r="G886" s="60" t="s">
        <v>166</v>
      </c>
      <c r="H886" s="60" t="s">
        <v>235</v>
      </c>
      <c r="I886" s="61">
        <v>46172</v>
      </c>
      <c r="J886" s="61">
        <v>46210</v>
      </c>
      <c r="K886" s="60">
        <v>38</v>
      </c>
      <c r="L886" s="60" t="s">
        <v>192</v>
      </c>
      <c r="M886" s="60" t="s">
        <v>185</v>
      </c>
      <c r="N886" s="60" t="b">
        <f>FALSE()</f>
        <v>0</v>
      </c>
      <c r="O886" s="60"/>
      <c r="P886" s="60"/>
      <c r="Q886" s="60" t="s">
        <v>236</v>
      </c>
      <c r="R886" s="60" t="s">
        <v>237</v>
      </c>
      <c r="S886" s="60"/>
      <c r="T886" s="60" t="b">
        <f>FALSE()</f>
        <v>0</v>
      </c>
      <c r="U886" s="60" t="b">
        <f>FALSE()</f>
        <v>0</v>
      </c>
      <c r="V886" s="60">
        <v>355</v>
      </c>
      <c r="W886" s="60" t="s">
        <v>3204</v>
      </c>
      <c r="X886" s="60">
        <v>1</v>
      </c>
      <c r="Y886" s="63">
        <v>0.01</v>
      </c>
      <c r="Z886" s="60" t="b">
        <f>FALSE()</f>
        <v>0</v>
      </c>
      <c r="AA886" s="60" t="b">
        <f>TRUE()</f>
        <v>1</v>
      </c>
      <c r="AB886" s="60" t="b">
        <f>FALSE()</f>
        <v>0</v>
      </c>
      <c r="AC886" s="60" t="b">
        <f>TRUE()</f>
        <v>1</v>
      </c>
      <c r="AD886" s="60" t="b">
        <f>FALSE()</f>
        <v>0</v>
      </c>
      <c r="AE886" s="60">
        <v>2</v>
      </c>
      <c r="AF886" s="64">
        <v>28.6</v>
      </c>
      <c r="AG886" s="60" t="s">
        <v>73</v>
      </c>
      <c r="AH886" s="60" t="s">
        <v>3205</v>
      </c>
      <c r="AI886">
        <f>IF(AND(OR(Company_Explorer!$B$5="All Companies",$E886=Company_Explorer!$B$5),OR(Company_Explorer!$B$6="All Platforms",$B886=Company_Explorer!$B$6),OR(Company_Explorer!$B$7="All Roles",$D886=Company_Explorer!$B$7),OR(Company_Explorer!$B$8="All Ghost Labels",$AG886=Company_Explorer!$B$8)),1,0)</f>
        <v>0</v>
      </c>
    </row>
    <row r="887" spans="1:35" ht="15" customHeight="1" x14ac:dyDescent="0.3">
      <c r="A887" s="65" t="s">
        <v>3206</v>
      </c>
      <c r="B887" s="65" t="s">
        <v>80</v>
      </c>
      <c r="C887" s="65" t="s">
        <v>3207</v>
      </c>
      <c r="D887" s="65" t="s">
        <v>125</v>
      </c>
      <c r="E887" s="65" t="s">
        <v>141</v>
      </c>
      <c r="F887" s="65" t="b">
        <f>TRUE()</f>
        <v>1</v>
      </c>
      <c r="G887" s="65" t="s">
        <v>2381</v>
      </c>
      <c r="H887" s="65" t="s">
        <v>2066</v>
      </c>
      <c r="I887" s="66">
        <v>46198</v>
      </c>
      <c r="J887" s="66">
        <v>46210</v>
      </c>
      <c r="K887" s="65">
        <v>12</v>
      </c>
      <c r="L887" s="65" t="s">
        <v>192</v>
      </c>
      <c r="M887" s="65" t="s">
        <v>184</v>
      </c>
      <c r="N887" s="65" t="b">
        <f>FALSE()</f>
        <v>0</v>
      </c>
      <c r="O887" s="65"/>
      <c r="P887" s="65"/>
      <c r="Q887" s="65" t="s">
        <v>236</v>
      </c>
      <c r="R887" s="65" t="s">
        <v>237</v>
      </c>
      <c r="S887" s="65"/>
      <c r="T887" s="65" t="b">
        <f>FALSE()</f>
        <v>0</v>
      </c>
      <c r="U887" s="65" t="b">
        <f>FALSE()</f>
        <v>0</v>
      </c>
      <c r="V887" s="65">
        <v>387</v>
      </c>
      <c r="W887" s="67" t="s">
        <v>3208</v>
      </c>
      <c r="X887" s="65">
        <v>429</v>
      </c>
      <c r="Y887" s="68">
        <v>2.66</v>
      </c>
      <c r="Z887" s="65" t="b">
        <f>FALSE()</f>
        <v>0</v>
      </c>
      <c r="AA887" s="65" t="b">
        <f>TRUE()</f>
        <v>1</v>
      </c>
      <c r="AB887" s="65" t="b">
        <f>FALSE()</f>
        <v>0</v>
      </c>
      <c r="AC887" s="65" t="b">
        <f>FALSE()</f>
        <v>0</v>
      </c>
      <c r="AD887" s="65" t="b">
        <f>TRUE()</f>
        <v>1</v>
      </c>
      <c r="AE887" s="65">
        <v>3</v>
      </c>
      <c r="AF887" s="69">
        <v>42.9</v>
      </c>
      <c r="AG887" s="65" t="s">
        <v>73</v>
      </c>
      <c r="AH887" s="65" t="s">
        <v>3209</v>
      </c>
      <c r="AI887">
        <f>IF(AND(OR(Company_Explorer!$B$5="All Companies",$E887=Company_Explorer!$B$5),OR(Company_Explorer!$B$6="All Platforms",$B887=Company_Explorer!$B$6),OR(Company_Explorer!$B$7="All Roles",$D887=Company_Explorer!$B$7),OR(Company_Explorer!$B$8="All Ghost Labels",$AG887=Company_Explorer!$B$8)),1,0)</f>
        <v>0</v>
      </c>
    </row>
    <row r="888" spans="1:35" ht="15" customHeight="1" x14ac:dyDescent="0.3">
      <c r="A888" s="60" t="s">
        <v>3210</v>
      </c>
      <c r="B888" s="60" t="s">
        <v>80</v>
      </c>
      <c r="C888" s="60" t="s">
        <v>1599</v>
      </c>
      <c r="D888" s="60" t="s">
        <v>125</v>
      </c>
      <c r="E888" s="60" t="s">
        <v>2142</v>
      </c>
      <c r="F888" s="60" t="b">
        <f>TRUE()</f>
        <v>1</v>
      </c>
      <c r="G888" s="60" t="s">
        <v>2143</v>
      </c>
      <c r="H888" s="60" t="s">
        <v>2066</v>
      </c>
      <c r="I888" s="61">
        <v>46201</v>
      </c>
      <c r="J888" s="61">
        <v>46210</v>
      </c>
      <c r="K888" s="60">
        <v>9</v>
      </c>
      <c r="L888" s="60" t="s">
        <v>192</v>
      </c>
      <c r="M888" s="60" t="s">
        <v>185</v>
      </c>
      <c r="N888" s="60" t="b">
        <f>FALSE()</f>
        <v>0</v>
      </c>
      <c r="O888" s="60"/>
      <c r="P888" s="60"/>
      <c r="Q888" s="60" t="s">
        <v>236</v>
      </c>
      <c r="R888" s="60" t="s">
        <v>237</v>
      </c>
      <c r="S888" s="60"/>
      <c r="T888" s="60" t="b">
        <f>FALSE()</f>
        <v>0</v>
      </c>
      <c r="U888" s="60" t="b">
        <f>FALSE()</f>
        <v>0</v>
      </c>
      <c r="V888" s="60">
        <v>524</v>
      </c>
      <c r="W888" s="62" t="s">
        <v>2144</v>
      </c>
      <c r="X888" s="60">
        <v>3</v>
      </c>
      <c r="Y888" s="63">
        <v>0.02</v>
      </c>
      <c r="Z888" s="60" t="b">
        <f>FALSE()</f>
        <v>0</v>
      </c>
      <c r="AA888" s="60" t="b">
        <f>TRUE()</f>
        <v>1</v>
      </c>
      <c r="AB888" s="60" t="b">
        <f>FALSE()</f>
        <v>0</v>
      </c>
      <c r="AC888" s="60" t="b">
        <f>FALSE()</f>
        <v>0</v>
      </c>
      <c r="AD888" s="60" t="b">
        <f>FALSE()</f>
        <v>0</v>
      </c>
      <c r="AE888" s="60">
        <v>1</v>
      </c>
      <c r="AF888" s="64">
        <v>14.3</v>
      </c>
      <c r="AG888" s="60" t="s">
        <v>74</v>
      </c>
      <c r="AH888" s="60" t="s">
        <v>3211</v>
      </c>
      <c r="AI888">
        <f>IF(AND(OR(Company_Explorer!$B$5="All Companies",$E888=Company_Explorer!$B$5),OR(Company_Explorer!$B$6="All Platforms",$B888=Company_Explorer!$B$6),OR(Company_Explorer!$B$7="All Roles",$D888=Company_Explorer!$B$7),OR(Company_Explorer!$B$8="All Ghost Labels",$AG888=Company_Explorer!$B$8)),1,0)</f>
        <v>0</v>
      </c>
    </row>
    <row r="889" spans="1:35" ht="15" customHeight="1" x14ac:dyDescent="0.3">
      <c r="A889" s="65" t="s">
        <v>3212</v>
      </c>
      <c r="B889" s="65" t="s">
        <v>80</v>
      </c>
      <c r="C889" s="65" t="s">
        <v>258</v>
      </c>
      <c r="D889" s="65" t="s">
        <v>125</v>
      </c>
      <c r="E889" s="65" t="s">
        <v>141</v>
      </c>
      <c r="F889" s="65" t="b">
        <f>TRUE()</f>
        <v>1</v>
      </c>
      <c r="G889" s="65" t="s">
        <v>170</v>
      </c>
      <c r="H889" s="65" t="s">
        <v>165</v>
      </c>
      <c r="I889" s="66">
        <v>46198</v>
      </c>
      <c r="J889" s="66">
        <v>46210</v>
      </c>
      <c r="K889" s="65">
        <v>12</v>
      </c>
      <c r="L889" s="65" t="s">
        <v>192</v>
      </c>
      <c r="M889" s="65" t="s">
        <v>184</v>
      </c>
      <c r="N889" s="65" t="b">
        <f>FALSE()</f>
        <v>0</v>
      </c>
      <c r="O889" s="65"/>
      <c r="P889" s="65"/>
      <c r="Q889" s="65" t="s">
        <v>236</v>
      </c>
      <c r="R889" s="65" t="s">
        <v>237</v>
      </c>
      <c r="S889" s="65"/>
      <c r="T889" s="65" t="b">
        <f>FALSE()</f>
        <v>0</v>
      </c>
      <c r="U889" s="65" t="b">
        <f>FALSE()</f>
        <v>0</v>
      </c>
      <c r="V889" s="65">
        <v>339</v>
      </c>
      <c r="W889" s="67" t="s">
        <v>259</v>
      </c>
      <c r="X889" s="65">
        <v>429</v>
      </c>
      <c r="Y889" s="68">
        <v>2.66</v>
      </c>
      <c r="Z889" s="65" t="b">
        <f>FALSE()</f>
        <v>0</v>
      </c>
      <c r="AA889" s="65" t="b">
        <f>TRUE()</f>
        <v>1</v>
      </c>
      <c r="AB889" s="65" t="b">
        <f>FALSE()</f>
        <v>0</v>
      </c>
      <c r="AC889" s="65" t="b">
        <f>FALSE()</f>
        <v>0</v>
      </c>
      <c r="AD889" s="65" t="b">
        <f>TRUE()</f>
        <v>1</v>
      </c>
      <c r="AE889" s="65">
        <v>3</v>
      </c>
      <c r="AF889" s="69">
        <v>42.9</v>
      </c>
      <c r="AG889" s="65" t="s">
        <v>73</v>
      </c>
      <c r="AH889" s="65" t="s">
        <v>3213</v>
      </c>
      <c r="AI889">
        <f>IF(AND(OR(Company_Explorer!$B$5="All Companies",$E889=Company_Explorer!$B$5),OR(Company_Explorer!$B$6="All Platforms",$B889=Company_Explorer!$B$6),OR(Company_Explorer!$B$7="All Roles",$D889=Company_Explorer!$B$7),OR(Company_Explorer!$B$8="All Ghost Labels",$AG889=Company_Explorer!$B$8)),1,0)</f>
        <v>0</v>
      </c>
    </row>
    <row r="890" spans="1:35" ht="15" customHeight="1" x14ac:dyDescent="0.3">
      <c r="A890" s="60" t="s">
        <v>3214</v>
      </c>
      <c r="B890" s="60" t="s">
        <v>80</v>
      </c>
      <c r="C890" s="60" t="s">
        <v>258</v>
      </c>
      <c r="D890" s="60" t="s">
        <v>125</v>
      </c>
      <c r="E890" s="60" t="s">
        <v>141</v>
      </c>
      <c r="F890" s="60" t="b">
        <f>TRUE()</f>
        <v>1</v>
      </c>
      <c r="G890" s="60" t="s">
        <v>170</v>
      </c>
      <c r="H890" s="60" t="s">
        <v>165</v>
      </c>
      <c r="I890" s="61">
        <v>46198</v>
      </c>
      <c r="J890" s="61">
        <v>46210</v>
      </c>
      <c r="K890" s="60">
        <v>12</v>
      </c>
      <c r="L890" s="60" t="s">
        <v>192</v>
      </c>
      <c r="M890" s="60" t="s">
        <v>184</v>
      </c>
      <c r="N890" s="60" t="b">
        <f>FALSE()</f>
        <v>0</v>
      </c>
      <c r="O890" s="60"/>
      <c r="P890" s="60"/>
      <c r="Q890" s="60" t="s">
        <v>236</v>
      </c>
      <c r="R890" s="60" t="s">
        <v>237</v>
      </c>
      <c r="S890" s="60"/>
      <c r="T890" s="60" t="b">
        <f>FALSE()</f>
        <v>0</v>
      </c>
      <c r="U890" s="60" t="b">
        <f>FALSE()</f>
        <v>0</v>
      </c>
      <c r="V890" s="60">
        <v>339</v>
      </c>
      <c r="W890" s="62" t="s">
        <v>259</v>
      </c>
      <c r="X890" s="60">
        <v>429</v>
      </c>
      <c r="Y890" s="63">
        <v>2.66</v>
      </c>
      <c r="Z890" s="60" t="b">
        <f>FALSE()</f>
        <v>0</v>
      </c>
      <c r="AA890" s="60" t="b">
        <f>TRUE()</f>
        <v>1</v>
      </c>
      <c r="AB890" s="60" t="b">
        <f>FALSE()</f>
        <v>0</v>
      </c>
      <c r="AC890" s="60" t="b">
        <f>FALSE()</f>
        <v>0</v>
      </c>
      <c r="AD890" s="60" t="b">
        <f>TRUE()</f>
        <v>1</v>
      </c>
      <c r="AE890" s="60">
        <v>3</v>
      </c>
      <c r="AF890" s="64">
        <v>42.9</v>
      </c>
      <c r="AG890" s="60" t="s">
        <v>73</v>
      </c>
      <c r="AH890" s="60" t="s">
        <v>3215</v>
      </c>
      <c r="AI890">
        <f>IF(AND(OR(Company_Explorer!$B$5="All Companies",$E890=Company_Explorer!$B$5),OR(Company_Explorer!$B$6="All Platforms",$B890=Company_Explorer!$B$6),OR(Company_Explorer!$B$7="All Roles",$D890=Company_Explorer!$B$7),OR(Company_Explorer!$B$8="All Ghost Labels",$AG890=Company_Explorer!$B$8)),1,0)</f>
        <v>0</v>
      </c>
    </row>
    <row r="891" spans="1:35" ht="15" customHeight="1" x14ac:dyDescent="0.3">
      <c r="A891" s="65" t="s">
        <v>3216</v>
      </c>
      <c r="B891" s="65" t="s">
        <v>80</v>
      </c>
      <c r="C891" s="65" t="s">
        <v>2034</v>
      </c>
      <c r="D891" s="65" t="s">
        <v>130</v>
      </c>
      <c r="E891" s="65" t="s">
        <v>158</v>
      </c>
      <c r="F891" s="65" t="b">
        <f>TRUE()</f>
        <v>1</v>
      </c>
      <c r="G891" s="65" t="s">
        <v>949</v>
      </c>
      <c r="H891" s="65" t="s">
        <v>254</v>
      </c>
      <c r="I891" s="66">
        <v>46199</v>
      </c>
      <c r="J891" s="66">
        <v>46210</v>
      </c>
      <c r="K891" s="65">
        <v>11</v>
      </c>
      <c r="L891" s="65" t="s">
        <v>192</v>
      </c>
      <c r="M891" s="65" t="s">
        <v>185</v>
      </c>
      <c r="N891" s="65" t="b">
        <f>FALSE()</f>
        <v>0</v>
      </c>
      <c r="O891" s="65"/>
      <c r="P891" s="65"/>
      <c r="Q891" s="65" t="s">
        <v>236</v>
      </c>
      <c r="R891" s="65" t="s">
        <v>237</v>
      </c>
      <c r="S891" s="65"/>
      <c r="T891" s="65" t="b">
        <f>FALSE()</f>
        <v>0</v>
      </c>
      <c r="U891" s="65" t="b">
        <f>FALSE()</f>
        <v>0</v>
      </c>
      <c r="V891" s="65">
        <v>588</v>
      </c>
      <c r="W891" s="67" t="s">
        <v>2501</v>
      </c>
      <c r="X891" s="65">
        <v>14</v>
      </c>
      <c r="Y891" s="68">
        <v>0.09</v>
      </c>
      <c r="Z891" s="65" t="b">
        <f>FALSE()</f>
        <v>0</v>
      </c>
      <c r="AA891" s="65" t="b">
        <f>TRUE()</f>
        <v>1</v>
      </c>
      <c r="AB891" s="65" t="b">
        <f>FALSE()</f>
        <v>0</v>
      </c>
      <c r="AC891" s="65" t="b">
        <f>FALSE()</f>
        <v>0</v>
      </c>
      <c r="AD891" s="65" t="b">
        <f>FALSE()</f>
        <v>0</v>
      </c>
      <c r="AE891" s="65">
        <v>1</v>
      </c>
      <c r="AF891" s="69">
        <v>14.3</v>
      </c>
      <c r="AG891" s="65" t="s">
        <v>74</v>
      </c>
      <c r="AH891" s="65" t="s">
        <v>3217</v>
      </c>
      <c r="AI891">
        <f>IF(AND(OR(Company_Explorer!$B$5="All Companies",$E891=Company_Explorer!$B$5),OR(Company_Explorer!$B$6="All Platforms",$B891=Company_Explorer!$B$6),OR(Company_Explorer!$B$7="All Roles",$D891=Company_Explorer!$B$7),OR(Company_Explorer!$B$8="All Ghost Labels",$AG891=Company_Explorer!$B$8)),1,0)</f>
        <v>0</v>
      </c>
    </row>
    <row r="892" spans="1:35" ht="15" customHeight="1" x14ac:dyDescent="0.3">
      <c r="A892" s="60" t="s">
        <v>3218</v>
      </c>
      <c r="B892" s="60" t="s">
        <v>80</v>
      </c>
      <c r="C892" s="60" t="s">
        <v>258</v>
      </c>
      <c r="D892" s="60" t="s">
        <v>125</v>
      </c>
      <c r="E892" s="60" t="s">
        <v>141</v>
      </c>
      <c r="F892" s="60" t="b">
        <f>TRUE()</f>
        <v>1</v>
      </c>
      <c r="G892" s="60" t="s">
        <v>174</v>
      </c>
      <c r="H892" s="60" t="s">
        <v>302</v>
      </c>
      <c r="I892" s="61">
        <v>46198</v>
      </c>
      <c r="J892" s="61">
        <v>46210</v>
      </c>
      <c r="K892" s="60">
        <v>12</v>
      </c>
      <c r="L892" s="60" t="s">
        <v>192</v>
      </c>
      <c r="M892" s="60" t="s">
        <v>184</v>
      </c>
      <c r="N892" s="60" t="b">
        <f>FALSE()</f>
        <v>0</v>
      </c>
      <c r="O892" s="60"/>
      <c r="P892" s="60"/>
      <c r="Q892" s="60" t="s">
        <v>236</v>
      </c>
      <c r="R892" s="60" t="s">
        <v>237</v>
      </c>
      <c r="S892" s="60"/>
      <c r="T892" s="60" t="b">
        <f>FALSE()</f>
        <v>0</v>
      </c>
      <c r="U892" s="60" t="b">
        <f>FALSE()</f>
        <v>0</v>
      </c>
      <c r="V892" s="60">
        <v>419</v>
      </c>
      <c r="W892" s="62" t="s">
        <v>3219</v>
      </c>
      <c r="X892" s="60">
        <v>429</v>
      </c>
      <c r="Y892" s="63">
        <v>2.66</v>
      </c>
      <c r="Z892" s="60" t="b">
        <f>FALSE()</f>
        <v>0</v>
      </c>
      <c r="AA892" s="60" t="b">
        <f>TRUE()</f>
        <v>1</v>
      </c>
      <c r="AB892" s="60" t="b">
        <f>FALSE()</f>
        <v>0</v>
      </c>
      <c r="AC892" s="60" t="b">
        <f>FALSE()</f>
        <v>0</v>
      </c>
      <c r="AD892" s="60" t="b">
        <f>TRUE()</f>
        <v>1</v>
      </c>
      <c r="AE892" s="60">
        <v>3</v>
      </c>
      <c r="AF892" s="64">
        <v>42.9</v>
      </c>
      <c r="AG892" s="60" t="s">
        <v>73</v>
      </c>
      <c r="AH892" s="60" t="s">
        <v>3220</v>
      </c>
      <c r="AI892">
        <f>IF(AND(OR(Company_Explorer!$B$5="All Companies",$E892=Company_Explorer!$B$5),OR(Company_Explorer!$B$6="All Platforms",$B892=Company_Explorer!$B$6),OR(Company_Explorer!$B$7="All Roles",$D892=Company_Explorer!$B$7),OR(Company_Explorer!$B$8="All Ghost Labels",$AG892=Company_Explorer!$B$8)),1,0)</f>
        <v>0</v>
      </c>
    </row>
    <row r="893" spans="1:35" ht="15" customHeight="1" x14ac:dyDescent="0.3">
      <c r="A893" s="65" t="s">
        <v>3221</v>
      </c>
      <c r="B893" s="65" t="s">
        <v>80</v>
      </c>
      <c r="C893" s="65" t="s">
        <v>258</v>
      </c>
      <c r="D893" s="65" t="s">
        <v>125</v>
      </c>
      <c r="E893" s="65" t="s">
        <v>141</v>
      </c>
      <c r="F893" s="65" t="b">
        <f>TRUE()</f>
        <v>1</v>
      </c>
      <c r="G893" s="65" t="s">
        <v>174</v>
      </c>
      <c r="H893" s="65" t="s">
        <v>302</v>
      </c>
      <c r="I893" s="66">
        <v>46199</v>
      </c>
      <c r="J893" s="66">
        <v>46210</v>
      </c>
      <c r="K893" s="65">
        <v>11</v>
      </c>
      <c r="L893" s="65" t="s">
        <v>192</v>
      </c>
      <c r="M893" s="65" t="s">
        <v>184</v>
      </c>
      <c r="N893" s="65" t="b">
        <f>FALSE()</f>
        <v>0</v>
      </c>
      <c r="O893" s="65"/>
      <c r="P893" s="65"/>
      <c r="Q893" s="65" t="s">
        <v>236</v>
      </c>
      <c r="R893" s="65" t="s">
        <v>237</v>
      </c>
      <c r="S893" s="65"/>
      <c r="T893" s="65" t="b">
        <f>FALSE()</f>
        <v>0</v>
      </c>
      <c r="U893" s="65" t="b">
        <f>FALSE()</f>
        <v>0</v>
      </c>
      <c r="V893" s="65">
        <v>325</v>
      </c>
      <c r="W893" s="67" t="s">
        <v>259</v>
      </c>
      <c r="X893" s="65">
        <v>429</v>
      </c>
      <c r="Y893" s="68">
        <v>2.66</v>
      </c>
      <c r="Z893" s="65" t="b">
        <f>FALSE()</f>
        <v>0</v>
      </c>
      <c r="AA893" s="65" t="b">
        <f>TRUE()</f>
        <v>1</v>
      </c>
      <c r="AB893" s="65" t="b">
        <f>FALSE()</f>
        <v>0</v>
      </c>
      <c r="AC893" s="65" t="b">
        <f>FALSE()</f>
        <v>0</v>
      </c>
      <c r="AD893" s="65" t="b">
        <f>TRUE()</f>
        <v>1</v>
      </c>
      <c r="AE893" s="65">
        <v>3</v>
      </c>
      <c r="AF893" s="69">
        <v>42.9</v>
      </c>
      <c r="AG893" s="65" t="s">
        <v>73</v>
      </c>
      <c r="AH893" s="65" t="s">
        <v>3222</v>
      </c>
      <c r="AI893">
        <f>IF(AND(OR(Company_Explorer!$B$5="All Companies",$E893=Company_Explorer!$B$5),OR(Company_Explorer!$B$6="All Platforms",$B893=Company_Explorer!$B$6),OR(Company_Explorer!$B$7="All Roles",$D893=Company_Explorer!$B$7),OR(Company_Explorer!$B$8="All Ghost Labels",$AG893=Company_Explorer!$B$8)),1,0)</f>
        <v>0</v>
      </c>
    </row>
    <row r="894" spans="1:35" ht="15" customHeight="1" x14ac:dyDescent="0.3">
      <c r="A894" s="60" t="s">
        <v>3223</v>
      </c>
      <c r="B894" s="60" t="s">
        <v>80</v>
      </c>
      <c r="C894" s="60" t="s">
        <v>258</v>
      </c>
      <c r="D894" s="60" t="s">
        <v>125</v>
      </c>
      <c r="E894" s="60" t="s">
        <v>141</v>
      </c>
      <c r="F894" s="60" t="b">
        <f>TRUE()</f>
        <v>1</v>
      </c>
      <c r="G894" s="60" t="s">
        <v>166</v>
      </c>
      <c r="H894" s="60" t="s">
        <v>235</v>
      </c>
      <c r="I894" s="61">
        <v>46198</v>
      </c>
      <c r="J894" s="61">
        <v>46210</v>
      </c>
      <c r="K894" s="60">
        <v>12</v>
      </c>
      <c r="L894" s="60" t="s">
        <v>192</v>
      </c>
      <c r="M894" s="60" t="s">
        <v>184</v>
      </c>
      <c r="N894" s="60" t="b">
        <f>FALSE()</f>
        <v>0</v>
      </c>
      <c r="O894" s="60"/>
      <c r="P894" s="60"/>
      <c r="Q894" s="60" t="s">
        <v>236</v>
      </c>
      <c r="R894" s="60" t="s">
        <v>237</v>
      </c>
      <c r="S894" s="60"/>
      <c r="T894" s="60" t="b">
        <f>FALSE()</f>
        <v>0</v>
      </c>
      <c r="U894" s="60" t="b">
        <f>FALSE()</f>
        <v>0</v>
      </c>
      <c r="V894" s="60">
        <v>271</v>
      </c>
      <c r="W894" s="62" t="s">
        <v>259</v>
      </c>
      <c r="X894" s="60">
        <v>429</v>
      </c>
      <c r="Y894" s="63">
        <v>2.66</v>
      </c>
      <c r="Z894" s="60" t="b">
        <f>FALSE()</f>
        <v>0</v>
      </c>
      <c r="AA894" s="60" t="b">
        <f>TRUE()</f>
        <v>1</v>
      </c>
      <c r="AB894" s="60" t="b">
        <f>TRUE()</f>
        <v>1</v>
      </c>
      <c r="AC894" s="60" t="b">
        <f>FALSE()</f>
        <v>0</v>
      </c>
      <c r="AD894" s="60" t="b">
        <f>TRUE()</f>
        <v>1</v>
      </c>
      <c r="AE894" s="60">
        <v>4</v>
      </c>
      <c r="AF894" s="64">
        <v>57.1</v>
      </c>
      <c r="AG894" s="60" t="s">
        <v>72</v>
      </c>
      <c r="AH894" s="60" t="s">
        <v>3224</v>
      </c>
      <c r="AI894">
        <f>IF(AND(OR(Company_Explorer!$B$5="All Companies",$E894=Company_Explorer!$B$5),OR(Company_Explorer!$B$6="All Platforms",$B894=Company_Explorer!$B$6),OR(Company_Explorer!$B$7="All Roles",$D894=Company_Explorer!$B$7),OR(Company_Explorer!$B$8="All Ghost Labels",$AG894=Company_Explorer!$B$8)),1,0)</f>
        <v>0</v>
      </c>
    </row>
    <row r="895" spans="1:35" ht="15" customHeight="1" x14ac:dyDescent="0.3">
      <c r="A895" s="65" t="s">
        <v>3225</v>
      </c>
      <c r="B895" s="65" t="s">
        <v>80</v>
      </c>
      <c r="C895" s="65" t="s">
        <v>3226</v>
      </c>
      <c r="D895" s="65" t="s">
        <v>125</v>
      </c>
      <c r="E895" s="65" t="s">
        <v>331</v>
      </c>
      <c r="F895" s="65" t="b">
        <f>TRUE()</f>
        <v>1</v>
      </c>
      <c r="G895" s="65" t="s">
        <v>178</v>
      </c>
      <c r="H895" s="65" t="s">
        <v>165</v>
      </c>
      <c r="I895" s="66">
        <v>46199</v>
      </c>
      <c r="J895" s="66">
        <v>46210</v>
      </c>
      <c r="K895" s="65">
        <v>11</v>
      </c>
      <c r="L895" s="65" t="s">
        <v>194</v>
      </c>
      <c r="M895" s="65" t="s">
        <v>186</v>
      </c>
      <c r="N895" s="65" t="b">
        <f>TRUE()</f>
        <v>1</v>
      </c>
      <c r="O895" s="71">
        <v>20</v>
      </c>
      <c r="P895" s="71">
        <v>55</v>
      </c>
      <c r="Q895" s="65" t="s">
        <v>332</v>
      </c>
      <c r="R895" s="65" t="s">
        <v>237</v>
      </c>
      <c r="S895" s="65"/>
      <c r="T895" s="65" t="b">
        <f>FALSE()</f>
        <v>0</v>
      </c>
      <c r="U895" s="65" t="b">
        <f>FALSE()</f>
        <v>0</v>
      </c>
      <c r="V895" s="65">
        <v>191</v>
      </c>
      <c r="W895" s="67" t="s">
        <v>3227</v>
      </c>
      <c r="X895" s="65">
        <v>7</v>
      </c>
      <c r="Y895" s="68">
        <v>0.04</v>
      </c>
      <c r="Z895" s="65" t="b">
        <f>FALSE()</f>
        <v>0</v>
      </c>
      <c r="AA895" s="65" t="b">
        <f>FALSE()</f>
        <v>0</v>
      </c>
      <c r="AB895" s="65" t="b">
        <f>TRUE()</f>
        <v>1</v>
      </c>
      <c r="AC895" s="65" t="b">
        <f>FALSE()</f>
        <v>0</v>
      </c>
      <c r="AD895" s="65" t="b">
        <f>FALSE()</f>
        <v>0</v>
      </c>
      <c r="AE895" s="65">
        <v>1</v>
      </c>
      <c r="AF895" s="69">
        <v>14.3</v>
      </c>
      <c r="AG895" s="65" t="s">
        <v>74</v>
      </c>
      <c r="AH895" s="65" t="s">
        <v>3228</v>
      </c>
      <c r="AI895">
        <f>IF(AND(OR(Company_Explorer!$B$5="All Companies",$E895=Company_Explorer!$B$5),OR(Company_Explorer!$B$6="All Platforms",$B895=Company_Explorer!$B$6),OR(Company_Explorer!$B$7="All Roles",$D895=Company_Explorer!$B$7),OR(Company_Explorer!$B$8="All Ghost Labels",$AG895=Company_Explorer!$B$8)),1,0)</f>
        <v>0</v>
      </c>
    </row>
    <row r="896" spans="1:35" ht="15" customHeight="1" x14ac:dyDescent="0.3">
      <c r="A896" s="60" t="s">
        <v>3229</v>
      </c>
      <c r="B896" s="60" t="s">
        <v>80</v>
      </c>
      <c r="C896" s="60" t="s">
        <v>2166</v>
      </c>
      <c r="D896" s="60" t="s">
        <v>130</v>
      </c>
      <c r="E896" s="60" t="s">
        <v>3230</v>
      </c>
      <c r="F896" s="60" t="b">
        <f>TRUE()</f>
        <v>1</v>
      </c>
      <c r="G896" s="60" t="s">
        <v>169</v>
      </c>
      <c r="H896" s="60" t="s">
        <v>294</v>
      </c>
      <c r="I896" s="61">
        <v>46206</v>
      </c>
      <c r="J896" s="61">
        <v>46210</v>
      </c>
      <c r="K896" s="60">
        <v>4</v>
      </c>
      <c r="L896" s="60" t="s">
        <v>192</v>
      </c>
      <c r="M896" s="60" t="s">
        <v>185</v>
      </c>
      <c r="N896" s="60" t="b">
        <f>FALSE()</f>
        <v>0</v>
      </c>
      <c r="O896" s="60"/>
      <c r="P896" s="60"/>
      <c r="Q896" s="60" t="s">
        <v>236</v>
      </c>
      <c r="R896" s="60" t="s">
        <v>237</v>
      </c>
      <c r="S896" s="60"/>
      <c r="T896" s="60" t="b">
        <f>FALSE()</f>
        <v>0</v>
      </c>
      <c r="U896" s="60" t="b">
        <f>FALSE()</f>
        <v>0</v>
      </c>
      <c r="V896" s="60">
        <v>422</v>
      </c>
      <c r="W896" s="62" t="s">
        <v>3231</v>
      </c>
      <c r="X896" s="60">
        <v>1</v>
      </c>
      <c r="Y896" s="63">
        <v>0.01</v>
      </c>
      <c r="Z896" s="60" t="b">
        <f>FALSE()</f>
        <v>0</v>
      </c>
      <c r="AA896" s="60" t="b">
        <f>TRUE()</f>
        <v>1</v>
      </c>
      <c r="AB896" s="60" t="b">
        <f>FALSE()</f>
        <v>0</v>
      </c>
      <c r="AC896" s="60" t="b">
        <f>FALSE()</f>
        <v>0</v>
      </c>
      <c r="AD896" s="60" t="b">
        <f>FALSE()</f>
        <v>0</v>
      </c>
      <c r="AE896" s="60">
        <v>1</v>
      </c>
      <c r="AF896" s="64">
        <v>14.3</v>
      </c>
      <c r="AG896" s="60" t="s">
        <v>74</v>
      </c>
      <c r="AH896" s="60" t="s">
        <v>3232</v>
      </c>
      <c r="AI896">
        <f>IF(AND(OR(Company_Explorer!$B$5="All Companies",$E896=Company_Explorer!$B$5),OR(Company_Explorer!$B$6="All Platforms",$B896=Company_Explorer!$B$6),OR(Company_Explorer!$B$7="All Roles",$D896=Company_Explorer!$B$7),OR(Company_Explorer!$B$8="All Ghost Labels",$AG896=Company_Explorer!$B$8)),1,0)</f>
        <v>0</v>
      </c>
    </row>
    <row r="897" spans="1:35" ht="15" customHeight="1" x14ac:dyDescent="0.3">
      <c r="A897" s="65" t="s">
        <v>3233</v>
      </c>
      <c r="B897" s="65" t="s">
        <v>80</v>
      </c>
      <c r="C897" s="65" t="s">
        <v>258</v>
      </c>
      <c r="D897" s="65" t="s">
        <v>125</v>
      </c>
      <c r="E897" s="65" t="s">
        <v>141</v>
      </c>
      <c r="F897" s="65" t="b">
        <f>TRUE()</f>
        <v>1</v>
      </c>
      <c r="G897" s="65" t="s">
        <v>168</v>
      </c>
      <c r="H897" s="65" t="s">
        <v>254</v>
      </c>
      <c r="I897" s="66">
        <v>46198</v>
      </c>
      <c r="J897" s="66">
        <v>46210</v>
      </c>
      <c r="K897" s="65">
        <v>12</v>
      </c>
      <c r="L897" s="65" t="s">
        <v>192</v>
      </c>
      <c r="M897" s="65" t="s">
        <v>184</v>
      </c>
      <c r="N897" s="65" t="b">
        <f>FALSE()</f>
        <v>0</v>
      </c>
      <c r="O897" s="65"/>
      <c r="P897" s="65"/>
      <c r="Q897" s="65" t="s">
        <v>236</v>
      </c>
      <c r="R897" s="65" t="s">
        <v>237</v>
      </c>
      <c r="S897" s="65"/>
      <c r="T897" s="65" t="b">
        <f>FALSE()</f>
        <v>0</v>
      </c>
      <c r="U897" s="65" t="b">
        <f>FALSE()</f>
        <v>0</v>
      </c>
      <c r="V897" s="65">
        <v>262</v>
      </c>
      <c r="W897" s="67" t="s">
        <v>3066</v>
      </c>
      <c r="X897" s="65">
        <v>429</v>
      </c>
      <c r="Y897" s="68">
        <v>2.66</v>
      </c>
      <c r="Z897" s="65" t="b">
        <f>FALSE()</f>
        <v>0</v>
      </c>
      <c r="AA897" s="65" t="b">
        <f>TRUE()</f>
        <v>1</v>
      </c>
      <c r="AB897" s="65" t="b">
        <f>TRUE()</f>
        <v>1</v>
      </c>
      <c r="AC897" s="65" t="b">
        <f>FALSE()</f>
        <v>0</v>
      </c>
      <c r="AD897" s="65" t="b">
        <f>TRUE()</f>
        <v>1</v>
      </c>
      <c r="AE897" s="65">
        <v>4</v>
      </c>
      <c r="AF897" s="69">
        <v>57.1</v>
      </c>
      <c r="AG897" s="65" t="s">
        <v>72</v>
      </c>
      <c r="AH897" s="65" t="s">
        <v>3234</v>
      </c>
      <c r="AI897">
        <f>IF(AND(OR(Company_Explorer!$B$5="All Companies",$E897=Company_Explorer!$B$5),OR(Company_Explorer!$B$6="All Platforms",$B897=Company_Explorer!$B$6),OR(Company_Explorer!$B$7="All Roles",$D897=Company_Explorer!$B$7),OR(Company_Explorer!$B$8="All Ghost Labels",$AG897=Company_Explorer!$B$8)),1,0)</f>
        <v>0</v>
      </c>
    </row>
    <row r="898" spans="1:35" ht="15" customHeight="1" x14ac:dyDescent="0.3">
      <c r="A898" s="60" t="s">
        <v>3235</v>
      </c>
      <c r="B898" s="60" t="s">
        <v>80</v>
      </c>
      <c r="C898" s="60" t="s">
        <v>2058</v>
      </c>
      <c r="D898" s="60" t="s">
        <v>131</v>
      </c>
      <c r="E898" s="60" t="s">
        <v>3236</v>
      </c>
      <c r="F898" s="60" t="b">
        <f>TRUE()</f>
        <v>1</v>
      </c>
      <c r="G898" s="60" t="s">
        <v>269</v>
      </c>
      <c r="H898" s="60" t="s">
        <v>270</v>
      </c>
      <c r="I898" s="61">
        <v>46205</v>
      </c>
      <c r="J898" s="61">
        <v>46210</v>
      </c>
      <c r="K898" s="60">
        <v>5</v>
      </c>
      <c r="L898" s="60" t="s">
        <v>192</v>
      </c>
      <c r="M898" s="60" t="s">
        <v>187</v>
      </c>
      <c r="N898" s="60" t="b">
        <f>FALSE()</f>
        <v>0</v>
      </c>
      <c r="O898" s="60"/>
      <c r="P898" s="60"/>
      <c r="Q898" s="60" t="s">
        <v>236</v>
      </c>
      <c r="R898" s="60" t="s">
        <v>237</v>
      </c>
      <c r="S898" s="60"/>
      <c r="T898" s="60" t="b">
        <f>FALSE()</f>
        <v>0</v>
      </c>
      <c r="U898" s="60" t="b">
        <f>FALSE()</f>
        <v>0</v>
      </c>
      <c r="V898" s="60">
        <v>150</v>
      </c>
      <c r="W898" s="62" t="s">
        <v>3237</v>
      </c>
      <c r="X898" s="60">
        <v>1</v>
      </c>
      <c r="Y898" s="63">
        <v>0.01</v>
      </c>
      <c r="Z898" s="60" t="b">
        <f>FALSE()</f>
        <v>0</v>
      </c>
      <c r="AA898" s="60" t="b">
        <f>TRUE()</f>
        <v>1</v>
      </c>
      <c r="AB898" s="60" t="b">
        <f>TRUE()</f>
        <v>1</v>
      </c>
      <c r="AC898" s="60" t="b">
        <f>FALSE()</f>
        <v>0</v>
      </c>
      <c r="AD898" s="60" t="b">
        <f>FALSE()</f>
        <v>0</v>
      </c>
      <c r="AE898" s="60">
        <v>2</v>
      </c>
      <c r="AF898" s="64">
        <v>28.6</v>
      </c>
      <c r="AG898" s="60" t="s">
        <v>73</v>
      </c>
      <c r="AH898" s="60" t="s">
        <v>3238</v>
      </c>
      <c r="AI898">
        <f>IF(AND(OR(Company_Explorer!$B$5="All Companies",$E898=Company_Explorer!$B$5),OR(Company_Explorer!$B$6="All Platforms",$B898=Company_Explorer!$B$6),OR(Company_Explorer!$B$7="All Roles",$D898=Company_Explorer!$B$7),OR(Company_Explorer!$B$8="All Ghost Labels",$AG898=Company_Explorer!$B$8)),1,0)</f>
        <v>0</v>
      </c>
    </row>
    <row r="899" spans="1:35" ht="15" customHeight="1" x14ac:dyDescent="0.3">
      <c r="A899" s="65" t="s">
        <v>3239</v>
      </c>
      <c r="B899" s="65" t="s">
        <v>80</v>
      </c>
      <c r="C899" s="65" t="s">
        <v>258</v>
      </c>
      <c r="D899" s="65" t="s">
        <v>125</v>
      </c>
      <c r="E899" s="65" t="s">
        <v>141</v>
      </c>
      <c r="F899" s="65" t="b">
        <f>TRUE()</f>
        <v>1</v>
      </c>
      <c r="G899" s="65" t="s">
        <v>170</v>
      </c>
      <c r="H899" s="65" t="s">
        <v>165</v>
      </c>
      <c r="I899" s="66">
        <v>46198</v>
      </c>
      <c r="J899" s="66">
        <v>46210</v>
      </c>
      <c r="K899" s="65">
        <v>12</v>
      </c>
      <c r="L899" s="65" t="s">
        <v>192</v>
      </c>
      <c r="M899" s="65" t="s">
        <v>184</v>
      </c>
      <c r="N899" s="65" t="b">
        <f>FALSE()</f>
        <v>0</v>
      </c>
      <c r="O899" s="65"/>
      <c r="P899" s="65"/>
      <c r="Q899" s="65" t="s">
        <v>236</v>
      </c>
      <c r="R899" s="65" t="s">
        <v>237</v>
      </c>
      <c r="S899" s="65"/>
      <c r="T899" s="65" t="b">
        <f>FALSE()</f>
        <v>0</v>
      </c>
      <c r="U899" s="65" t="b">
        <f>FALSE()</f>
        <v>0</v>
      </c>
      <c r="V899" s="65">
        <v>279</v>
      </c>
      <c r="W899" s="67" t="s">
        <v>259</v>
      </c>
      <c r="X899" s="65">
        <v>429</v>
      </c>
      <c r="Y899" s="68">
        <v>2.66</v>
      </c>
      <c r="Z899" s="65" t="b">
        <f>FALSE()</f>
        <v>0</v>
      </c>
      <c r="AA899" s="65" t="b">
        <f>TRUE()</f>
        <v>1</v>
      </c>
      <c r="AB899" s="65" t="b">
        <f>FALSE()</f>
        <v>0</v>
      </c>
      <c r="AC899" s="65" t="b">
        <f>FALSE()</f>
        <v>0</v>
      </c>
      <c r="AD899" s="65" t="b">
        <f>TRUE()</f>
        <v>1</v>
      </c>
      <c r="AE899" s="65">
        <v>3</v>
      </c>
      <c r="AF899" s="69">
        <v>42.9</v>
      </c>
      <c r="AG899" s="65" t="s">
        <v>73</v>
      </c>
      <c r="AH899" s="65" t="s">
        <v>3240</v>
      </c>
      <c r="AI899">
        <f>IF(AND(OR(Company_Explorer!$B$5="All Companies",$E899=Company_Explorer!$B$5),OR(Company_Explorer!$B$6="All Platforms",$B899=Company_Explorer!$B$6),OR(Company_Explorer!$B$7="All Roles",$D899=Company_Explorer!$B$7),OR(Company_Explorer!$B$8="All Ghost Labels",$AG899=Company_Explorer!$B$8)),1,0)</f>
        <v>0</v>
      </c>
    </row>
    <row r="900" spans="1:35" ht="15" customHeight="1" x14ac:dyDescent="0.3">
      <c r="A900" s="60" t="s">
        <v>3241</v>
      </c>
      <c r="B900" s="60" t="s">
        <v>80</v>
      </c>
      <c r="C900" s="60" t="s">
        <v>258</v>
      </c>
      <c r="D900" s="60" t="s">
        <v>125</v>
      </c>
      <c r="E900" s="60" t="s">
        <v>141</v>
      </c>
      <c r="F900" s="60" t="b">
        <f>TRUE()</f>
        <v>1</v>
      </c>
      <c r="G900" s="60" t="s">
        <v>262</v>
      </c>
      <c r="H900" s="60" t="s">
        <v>263</v>
      </c>
      <c r="I900" s="61">
        <v>46198</v>
      </c>
      <c r="J900" s="61">
        <v>46210</v>
      </c>
      <c r="K900" s="60">
        <v>12</v>
      </c>
      <c r="L900" s="60" t="s">
        <v>192</v>
      </c>
      <c r="M900" s="60" t="s">
        <v>187</v>
      </c>
      <c r="N900" s="60" t="b">
        <f>FALSE()</f>
        <v>0</v>
      </c>
      <c r="O900" s="60"/>
      <c r="P900" s="60"/>
      <c r="Q900" s="60" t="s">
        <v>236</v>
      </c>
      <c r="R900" s="60" t="s">
        <v>237</v>
      </c>
      <c r="S900" s="60"/>
      <c r="T900" s="60" t="b">
        <f>FALSE()</f>
        <v>0</v>
      </c>
      <c r="U900" s="60" t="b">
        <f>FALSE()</f>
        <v>0</v>
      </c>
      <c r="V900" s="60">
        <v>295</v>
      </c>
      <c r="W900" s="62" t="s">
        <v>259</v>
      </c>
      <c r="X900" s="60">
        <v>429</v>
      </c>
      <c r="Y900" s="63">
        <v>2.66</v>
      </c>
      <c r="Z900" s="60" t="b">
        <f>FALSE()</f>
        <v>0</v>
      </c>
      <c r="AA900" s="60" t="b">
        <f>TRUE()</f>
        <v>1</v>
      </c>
      <c r="AB900" s="60" t="b">
        <f>FALSE()</f>
        <v>0</v>
      </c>
      <c r="AC900" s="60" t="b">
        <f>FALSE()</f>
        <v>0</v>
      </c>
      <c r="AD900" s="60" t="b">
        <f>TRUE()</f>
        <v>1</v>
      </c>
      <c r="AE900" s="60">
        <v>3</v>
      </c>
      <c r="AF900" s="64">
        <v>42.9</v>
      </c>
      <c r="AG900" s="60" t="s">
        <v>73</v>
      </c>
      <c r="AH900" s="60" t="s">
        <v>3242</v>
      </c>
      <c r="AI900">
        <f>IF(AND(OR(Company_Explorer!$B$5="All Companies",$E900=Company_Explorer!$B$5),OR(Company_Explorer!$B$6="All Platforms",$B900=Company_Explorer!$B$6),OR(Company_Explorer!$B$7="All Roles",$D900=Company_Explorer!$B$7),OR(Company_Explorer!$B$8="All Ghost Labels",$AG900=Company_Explorer!$B$8)),1,0)</f>
        <v>0</v>
      </c>
    </row>
    <row r="901" spans="1:35" ht="15" customHeight="1" x14ac:dyDescent="0.3">
      <c r="A901" s="65" t="s">
        <v>3243</v>
      </c>
      <c r="B901" s="65" t="s">
        <v>80</v>
      </c>
      <c r="C901" s="65" t="s">
        <v>258</v>
      </c>
      <c r="D901" s="65" t="s">
        <v>125</v>
      </c>
      <c r="E901" s="65" t="s">
        <v>141</v>
      </c>
      <c r="F901" s="65" t="b">
        <f>TRUE()</f>
        <v>1</v>
      </c>
      <c r="G901" s="65" t="s">
        <v>168</v>
      </c>
      <c r="H901" s="65" t="s">
        <v>254</v>
      </c>
      <c r="I901" s="66">
        <v>46198</v>
      </c>
      <c r="J901" s="66">
        <v>46210</v>
      </c>
      <c r="K901" s="65">
        <v>12</v>
      </c>
      <c r="L901" s="65" t="s">
        <v>192</v>
      </c>
      <c r="M901" s="65" t="s">
        <v>184</v>
      </c>
      <c r="N901" s="65" t="b">
        <f>FALSE()</f>
        <v>0</v>
      </c>
      <c r="O901" s="65"/>
      <c r="P901" s="65"/>
      <c r="Q901" s="65" t="s">
        <v>236</v>
      </c>
      <c r="R901" s="65" t="s">
        <v>237</v>
      </c>
      <c r="S901" s="65"/>
      <c r="T901" s="65" t="b">
        <f>FALSE()</f>
        <v>0</v>
      </c>
      <c r="U901" s="65" t="b">
        <f>FALSE()</f>
        <v>0</v>
      </c>
      <c r="V901" s="65">
        <v>321</v>
      </c>
      <c r="W901" s="67" t="s">
        <v>259</v>
      </c>
      <c r="X901" s="65">
        <v>429</v>
      </c>
      <c r="Y901" s="68">
        <v>2.66</v>
      </c>
      <c r="Z901" s="65" t="b">
        <f>FALSE()</f>
        <v>0</v>
      </c>
      <c r="AA901" s="65" t="b">
        <f>TRUE()</f>
        <v>1</v>
      </c>
      <c r="AB901" s="65" t="b">
        <f>FALSE()</f>
        <v>0</v>
      </c>
      <c r="AC901" s="65" t="b">
        <f>FALSE()</f>
        <v>0</v>
      </c>
      <c r="AD901" s="65" t="b">
        <f>TRUE()</f>
        <v>1</v>
      </c>
      <c r="AE901" s="65">
        <v>3</v>
      </c>
      <c r="AF901" s="69">
        <v>42.9</v>
      </c>
      <c r="AG901" s="65" t="s">
        <v>73</v>
      </c>
      <c r="AH901" s="65" t="s">
        <v>3244</v>
      </c>
      <c r="AI901">
        <f>IF(AND(OR(Company_Explorer!$B$5="All Companies",$E901=Company_Explorer!$B$5),OR(Company_Explorer!$B$6="All Platforms",$B901=Company_Explorer!$B$6),OR(Company_Explorer!$B$7="All Roles",$D901=Company_Explorer!$B$7),OR(Company_Explorer!$B$8="All Ghost Labels",$AG901=Company_Explorer!$B$8)),1,0)</f>
        <v>0</v>
      </c>
    </row>
    <row r="902" spans="1:35" ht="15" customHeight="1" x14ac:dyDescent="0.3">
      <c r="A902" s="60" t="s">
        <v>3245</v>
      </c>
      <c r="B902" s="60" t="s">
        <v>80</v>
      </c>
      <c r="C902" s="60" t="s">
        <v>3246</v>
      </c>
      <c r="D902" s="60" t="s">
        <v>125</v>
      </c>
      <c r="E902" s="60" t="s">
        <v>3247</v>
      </c>
      <c r="F902" s="60" t="b">
        <f>TRUE()</f>
        <v>1</v>
      </c>
      <c r="G902" s="60" t="s">
        <v>169</v>
      </c>
      <c r="H902" s="60" t="s">
        <v>294</v>
      </c>
      <c r="I902" s="61">
        <v>45930</v>
      </c>
      <c r="J902" s="61">
        <v>46210</v>
      </c>
      <c r="K902" s="60">
        <v>280</v>
      </c>
      <c r="L902" s="60" t="s">
        <v>192</v>
      </c>
      <c r="M902" s="60" t="s">
        <v>185</v>
      </c>
      <c r="N902" s="60" t="b">
        <f>FALSE()</f>
        <v>0</v>
      </c>
      <c r="O902" s="60"/>
      <c r="P902" s="60"/>
      <c r="Q902" s="60" t="s">
        <v>236</v>
      </c>
      <c r="R902" s="60" t="s">
        <v>237</v>
      </c>
      <c r="S902" s="60"/>
      <c r="T902" s="60" t="b">
        <f>FALSE()</f>
        <v>0</v>
      </c>
      <c r="U902" s="60" t="b">
        <f>FALSE()</f>
        <v>0</v>
      </c>
      <c r="V902" s="60">
        <v>127</v>
      </c>
      <c r="W902" s="62" t="s">
        <v>3248</v>
      </c>
      <c r="X902" s="60">
        <v>1</v>
      </c>
      <c r="Y902" s="63">
        <v>0.01</v>
      </c>
      <c r="Z902" s="60" t="b">
        <f>FALSE()</f>
        <v>0</v>
      </c>
      <c r="AA902" s="60" t="b">
        <f>TRUE()</f>
        <v>1</v>
      </c>
      <c r="AB902" s="60" t="b">
        <f>TRUE()</f>
        <v>1</v>
      </c>
      <c r="AC902" s="60" t="b">
        <f>TRUE()</f>
        <v>1</v>
      </c>
      <c r="AD902" s="60" t="b">
        <f>FALSE()</f>
        <v>0</v>
      </c>
      <c r="AE902" s="60">
        <v>3</v>
      </c>
      <c r="AF902" s="64">
        <v>42.9</v>
      </c>
      <c r="AG902" s="60" t="s">
        <v>73</v>
      </c>
      <c r="AH902" s="60" t="s">
        <v>3249</v>
      </c>
      <c r="AI902">
        <f>IF(AND(OR(Company_Explorer!$B$5="All Companies",$E902=Company_Explorer!$B$5),OR(Company_Explorer!$B$6="All Platforms",$B902=Company_Explorer!$B$6),OR(Company_Explorer!$B$7="All Roles",$D902=Company_Explorer!$B$7),OR(Company_Explorer!$B$8="All Ghost Labels",$AG902=Company_Explorer!$B$8)),1,0)</f>
        <v>0</v>
      </c>
    </row>
    <row r="903" spans="1:35" ht="15" customHeight="1" x14ac:dyDescent="0.3">
      <c r="A903" s="65" t="s">
        <v>3250</v>
      </c>
      <c r="B903" s="65" t="s">
        <v>80</v>
      </c>
      <c r="C903" s="65" t="s">
        <v>258</v>
      </c>
      <c r="D903" s="65" t="s">
        <v>125</v>
      </c>
      <c r="E903" s="65" t="s">
        <v>141</v>
      </c>
      <c r="F903" s="65" t="b">
        <f>TRUE()</f>
        <v>1</v>
      </c>
      <c r="G903" s="65" t="s">
        <v>166</v>
      </c>
      <c r="H903" s="65" t="s">
        <v>235</v>
      </c>
      <c r="I903" s="66">
        <v>46198</v>
      </c>
      <c r="J903" s="66">
        <v>46210</v>
      </c>
      <c r="K903" s="65">
        <v>12</v>
      </c>
      <c r="L903" s="65" t="s">
        <v>192</v>
      </c>
      <c r="M903" s="65" t="s">
        <v>184</v>
      </c>
      <c r="N903" s="65" t="b">
        <f>FALSE()</f>
        <v>0</v>
      </c>
      <c r="O903" s="65"/>
      <c r="P903" s="65"/>
      <c r="Q903" s="65" t="s">
        <v>236</v>
      </c>
      <c r="R903" s="65" t="s">
        <v>237</v>
      </c>
      <c r="S903" s="65"/>
      <c r="T903" s="65" t="b">
        <f>FALSE()</f>
        <v>0</v>
      </c>
      <c r="U903" s="65" t="b">
        <f>FALSE()</f>
        <v>0</v>
      </c>
      <c r="V903" s="65">
        <v>272</v>
      </c>
      <c r="W903" s="67" t="s">
        <v>259</v>
      </c>
      <c r="X903" s="65">
        <v>429</v>
      </c>
      <c r="Y903" s="68">
        <v>2.66</v>
      </c>
      <c r="Z903" s="65" t="b">
        <f>FALSE()</f>
        <v>0</v>
      </c>
      <c r="AA903" s="65" t="b">
        <f>TRUE()</f>
        <v>1</v>
      </c>
      <c r="AB903" s="65" t="b">
        <f>TRUE()</f>
        <v>1</v>
      </c>
      <c r="AC903" s="65" t="b">
        <f>FALSE()</f>
        <v>0</v>
      </c>
      <c r="AD903" s="65" t="b">
        <f>TRUE()</f>
        <v>1</v>
      </c>
      <c r="AE903" s="65">
        <v>4</v>
      </c>
      <c r="AF903" s="69">
        <v>57.1</v>
      </c>
      <c r="AG903" s="65" t="s">
        <v>72</v>
      </c>
      <c r="AH903" s="65" t="s">
        <v>3251</v>
      </c>
      <c r="AI903">
        <f>IF(AND(OR(Company_Explorer!$B$5="All Companies",$E903=Company_Explorer!$B$5),OR(Company_Explorer!$B$6="All Platforms",$B903=Company_Explorer!$B$6),OR(Company_Explorer!$B$7="All Roles",$D903=Company_Explorer!$B$7),OR(Company_Explorer!$B$8="All Ghost Labels",$AG903=Company_Explorer!$B$8)),1,0)</f>
        <v>0</v>
      </c>
    </row>
    <row r="904" spans="1:35" ht="15" customHeight="1" x14ac:dyDescent="0.3">
      <c r="A904" s="60" t="s">
        <v>3252</v>
      </c>
      <c r="B904" s="60" t="s">
        <v>80</v>
      </c>
      <c r="C904" s="60" t="s">
        <v>2349</v>
      </c>
      <c r="D904" s="60" t="s">
        <v>131</v>
      </c>
      <c r="E904" s="60" t="s">
        <v>3144</v>
      </c>
      <c r="F904" s="60" t="b">
        <f>TRUE()</f>
        <v>1</v>
      </c>
      <c r="G904" s="60" t="s">
        <v>166</v>
      </c>
      <c r="H904" s="60" t="s">
        <v>235</v>
      </c>
      <c r="I904" s="61">
        <v>46199</v>
      </c>
      <c r="J904" s="61">
        <v>46210</v>
      </c>
      <c r="K904" s="60">
        <v>11</v>
      </c>
      <c r="L904" s="60" t="s">
        <v>192</v>
      </c>
      <c r="M904" s="60" t="s">
        <v>184</v>
      </c>
      <c r="N904" s="60" t="b">
        <f>FALSE()</f>
        <v>0</v>
      </c>
      <c r="O904" s="60"/>
      <c r="P904" s="60"/>
      <c r="Q904" s="60" t="s">
        <v>236</v>
      </c>
      <c r="R904" s="60" t="s">
        <v>237</v>
      </c>
      <c r="S904" s="60"/>
      <c r="T904" s="60" t="b">
        <f>FALSE()</f>
        <v>0</v>
      </c>
      <c r="U904" s="60" t="b">
        <f>FALSE()</f>
        <v>0</v>
      </c>
      <c r="V904" s="60">
        <v>525</v>
      </c>
      <c r="W904" s="62" t="s">
        <v>3253</v>
      </c>
      <c r="X904" s="60">
        <v>2</v>
      </c>
      <c r="Y904" s="63">
        <v>0.01</v>
      </c>
      <c r="Z904" s="60" t="b">
        <f>FALSE()</f>
        <v>0</v>
      </c>
      <c r="AA904" s="60" t="b">
        <f>TRUE()</f>
        <v>1</v>
      </c>
      <c r="AB904" s="60" t="b">
        <f>FALSE()</f>
        <v>0</v>
      </c>
      <c r="AC904" s="60" t="b">
        <f>FALSE()</f>
        <v>0</v>
      </c>
      <c r="AD904" s="60" t="b">
        <f>FALSE()</f>
        <v>0</v>
      </c>
      <c r="AE904" s="60">
        <v>1</v>
      </c>
      <c r="AF904" s="64">
        <v>14.3</v>
      </c>
      <c r="AG904" s="60" t="s">
        <v>74</v>
      </c>
      <c r="AH904" s="60" t="s">
        <v>3254</v>
      </c>
      <c r="AI904">
        <f>IF(AND(OR(Company_Explorer!$B$5="All Companies",$E904=Company_Explorer!$B$5),OR(Company_Explorer!$B$6="All Platforms",$B904=Company_Explorer!$B$6),OR(Company_Explorer!$B$7="All Roles",$D904=Company_Explorer!$B$7),OR(Company_Explorer!$B$8="All Ghost Labels",$AG904=Company_Explorer!$B$8)),1,0)</f>
        <v>0</v>
      </c>
    </row>
    <row r="905" spans="1:35" ht="15" customHeight="1" x14ac:dyDescent="0.3">
      <c r="A905" s="65" t="s">
        <v>3255</v>
      </c>
      <c r="B905" s="65" t="s">
        <v>80</v>
      </c>
      <c r="C905" s="65" t="s">
        <v>2349</v>
      </c>
      <c r="D905" s="65" t="s">
        <v>131</v>
      </c>
      <c r="E905" s="65" t="s">
        <v>3256</v>
      </c>
      <c r="F905" s="65" t="b">
        <f>TRUE()</f>
        <v>1</v>
      </c>
      <c r="G905" s="65" t="s">
        <v>753</v>
      </c>
      <c r="H905" s="65" t="s">
        <v>754</v>
      </c>
      <c r="I905" s="66">
        <v>46189</v>
      </c>
      <c r="J905" s="66">
        <v>46210</v>
      </c>
      <c r="K905" s="65">
        <v>21</v>
      </c>
      <c r="L905" s="65" t="s">
        <v>192</v>
      </c>
      <c r="M905" s="65" t="s">
        <v>190</v>
      </c>
      <c r="N905" s="65" t="b">
        <f>FALSE()</f>
        <v>0</v>
      </c>
      <c r="O905" s="65"/>
      <c r="P905" s="65"/>
      <c r="Q905" s="65" t="s">
        <v>236</v>
      </c>
      <c r="R905" s="65" t="s">
        <v>237</v>
      </c>
      <c r="S905" s="65"/>
      <c r="T905" s="65" t="b">
        <f>FALSE()</f>
        <v>0</v>
      </c>
      <c r="U905" s="65" t="b">
        <f>FALSE()</f>
        <v>0</v>
      </c>
      <c r="V905" s="65">
        <v>88</v>
      </c>
      <c r="W905" s="67" t="s">
        <v>3257</v>
      </c>
      <c r="X905" s="65">
        <v>1</v>
      </c>
      <c r="Y905" s="68">
        <v>0.01</v>
      </c>
      <c r="Z905" s="65" t="b">
        <f>FALSE()</f>
        <v>0</v>
      </c>
      <c r="AA905" s="65" t="b">
        <f>TRUE()</f>
        <v>1</v>
      </c>
      <c r="AB905" s="65" t="b">
        <f>TRUE()</f>
        <v>1</v>
      </c>
      <c r="AC905" s="65" t="b">
        <f>TRUE()</f>
        <v>1</v>
      </c>
      <c r="AD905" s="65" t="b">
        <f>FALSE()</f>
        <v>0</v>
      </c>
      <c r="AE905" s="65">
        <v>3</v>
      </c>
      <c r="AF905" s="69">
        <v>42.9</v>
      </c>
      <c r="AG905" s="65" t="s">
        <v>73</v>
      </c>
      <c r="AH905" s="65" t="s">
        <v>3258</v>
      </c>
      <c r="AI905">
        <f>IF(AND(OR(Company_Explorer!$B$5="All Companies",$E905=Company_Explorer!$B$5),OR(Company_Explorer!$B$6="All Platforms",$B905=Company_Explorer!$B$6),OR(Company_Explorer!$B$7="All Roles",$D905=Company_Explorer!$B$7),OR(Company_Explorer!$B$8="All Ghost Labels",$AG905=Company_Explorer!$B$8)),1,0)</f>
        <v>0</v>
      </c>
    </row>
    <row r="906" spans="1:35" ht="15" customHeight="1" x14ac:dyDescent="0.3">
      <c r="A906" s="60" t="s">
        <v>3259</v>
      </c>
      <c r="B906" s="60" t="s">
        <v>80</v>
      </c>
      <c r="C906" s="60" t="s">
        <v>3260</v>
      </c>
      <c r="D906" s="60" t="s">
        <v>130</v>
      </c>
      <c r="E906" s="60" t="s">
        <v>3261</v>
      </c>
      <c r="F906" s="60" t="b">
        <f>TRUE()</f>
        <v>1</v>
      </c>
      <c r="G906" s="60" t="s">
        <v>174</v>
      </c>
      <c r="H906" s="60" t="s">
        <v>302</v>
      </c>
      <c r="I906" s="61">
        <v>45930</v>
      </c>
      <c r="J906" s="61">
        <v>46210</v>
      </c>
      <c r="K906" s="60">
        <v>280</v>
      </c>
      <c r="L906" s="60" t="s">
        <v>192</v>
      </c>
      <c r="M906" s="60" t="s">
        <v>184</v>
      </c>
      <c r="N906" s="60" t="b">
        <f>TRUE()</f>
        <v>1</v>
      </c>
      <c r="O906" s="70">
        <v>500000</v>
      </c>
      <c r="P906" s="70">
        <v>1500000</v>
      </c>
      <c r="Q906" s="60" t="s">
        <v>332</v>
      </c>
      <c r="R906" s="60" t="s">
        <v>237</v>
      </c>
      <c r="S906" s="60"/>
      <c r="T906" s="60" t="b">
        <f>FALSE()</f>
        <v>0</v>
      </c>
      <c r="U906" s="60" t="b">
        <f>FALSE()</f>
        <v>0</v>
      </c>
      <c r="V906" s="60">
        <v>49</v>
      </c>
      <c r="W906" s="62" t="s">
        <v>3262</v>
      </c>
      <c r="X906" s="60">
        <v>1</v>
      </c>
      <c r="Y906" s="63">
        <v>0.01</v>
      </c>
      <c r="Z906" s="60" t="b">
        <f>FALSE()</f>
        <v>0</v>
      </c>
      <c r="AA906" s="60" t="b">
        <f>FALSE()</f>
        <v>0</v>
      </c>
      <c r="AB906" s="60" t="b">
        <f>TRUE()</f>
        <v>1</v>
      </c>
      <c r="AC906" s="60" t="b">
        <f>TRUE()</f>
        <v>1</v>
      </c>
      <c r="AD906" s="60" t="b">
        <f>FALSE()</f>
        <v>0</v>
      </c>
      <c r="AE906" s="60">
        <v>2</v>
      </c>
      <c r="AF906" s="64">
        <v>28.6</v>
      </c>
      <c r="AG906" s="60" t="s">
        <v>73</v>
      </c>
      <c r="AH906" s="60" t="s">
        <v>3263</v>
      </c>
      <c r="AI906">
        <f>IF(AND(OR(Company_Explorer!$B$5="All Companies",$E906=Company_Explorer!$B$5),OR(Company_Explorer!$B$6="All Platforms",$B906=Company_Explorer!$B$6),OR(Company_Explorer!$B$7="All Roles",$D906=Company_Explorer!$B$7),OR(Company_Explorer!$B$8="All Ghost Labels",$AG906=Company_Explorer!$B$8)),1,0)</f>
        <v>0</v>
      </c>
    </row>
    <row r="907" spans="1:35" ht="15" customHeight="1" x14ac:dyDescent="0.3">
      <c r="A907" s="65" t="s">
        <v>3264</v>
      </c>
      <c r="B907" s="65" t="s">
        <v>80</v>
      </c>
      <c r="C907" s="65" t="s">
        <v>3265</v>
      </c>
      <c r="D907" s="65" t="s">
        <v>131</v>
      </c>
      <c r="E907" s="65" t="s">
        <v>3266</v>
      </c>
      <c r="F907" s="65" t="b">
        <f>TRUE()</f>
        <v>1</v>
      </c>
      <c r="G907" s="65" t="s">
        <v>3267</v>
      </c>
      <c r="H907" s="65" t="s">
        <v>2385</v>
      </c>
      <c r="I907" s="66">
        <v>46051</v>
      </c>
      <c r="J907" s="66">
        <v>46210</v>
      </c>
      <c r="K907" s="65">
        <v>159</v>
      </c>
      <c r="L907" s="65" t="s">
        <v>192</v>
      </c>
      <c r="M907" s="65" t="s">
        <v>185</v>
      </c>
      <c r="N907" s="65" t="b">
        <f>FALSE()</f>
        <v>0</v>
      </c>
      <c r="O907" s="65"/>
      <c r="P907" s="65"/>
      <c r="Q907" s="65" t="s">
        <v>236</v>
      </c>
      <c r="R907" s="65" t="s">
        <v>237</v>
      </c>
      <c r="S907" s="65"/>
      <c r="T907" s="65" t="b">
        <f>FALSE()</f>
        <v>0</v>
      </c>
      <c r="U907" s="65" t="b">
        <f>FALSE()</f>
        <v>0</v>
      </c>
      <c r="V907" s="65">
        <v>528</v>
      </c>
      <c r="W907" s="67" t="s">
        <v>3268</v>
      </c>
      <c r="X907" s="65">
        <v>1</v>
      </c>
      <c r="Y907" s="68">
        <v>0.01</v>
      </c>
      <c r="Z907" s="65" t="b">
        <f>FALSE()</f>
        <v>0</v>
      </c>
      <c r="AA907" s="65" t="b">
        <f>TRUE()</f>
        <v>1</v>
      </c>
      <c r="AB907" s="65" t="b">
        <f>FALSE()</f>
        <v>0</v>
      </c>
      <c r="AC907" s="65" t="b">
        <f>TRUE()</f>
        <v>1</v>
      </c>
      <c r="AD907" s="65" t="b">
        <f>FALSE()</f>
        <v>0</v>
      </c>
      <c r="AE907" s="65">
        <v>2</v>
      </c>
      <c r="AF907" s="69">
        <v>28.6</v>
      </c>
      <c r="AG907" s="65" t="s">
        <v>73</v>
      </c>
      <c r="AH907" s="65" t="s">
        <v>3269</v>
      </c>
      <c r="AI907">
        <f>IF(AND(OR(Company_Explorer!$B$5="All Companies",$E907=Company_Explorer!$B$5),OR(Company_Explorer!$B$6="All Platforms",$B907=Company_Explorer!$B$6),OR(Company_Explorer!$B$7="All Roles",$D907=Company_Explorer!$B$7),OR(Company_Explorer!$B$8="All Ghost Labels",$AG907=Company_Explorer!$B$8)),1,0)</f>
        <v>0</v>
      </c>
    </row>
    <row r="908" spans="1:35" ht="15" customHeight="1" x14ac:dyDescent="0.3">
      <c r="A908" s="60" t="s">
        <v>3270</v>
      </c>
      <c r="B908" s="60" t="s">
        <v>80</v>
      </c>
      <c r="C908" s="60" t="s">
        <v>2058</v>
      </c>
      <c r="D908" s="60" t="s">
        <v>131</v>
      </c>
      <c r="E908" s="60" t="s">
        <v>3271</v>
      </c>
      <c r="F908" s="60" t="b">
        <f>TRUE()</f>
        <v>1</v>
      </c>
      <c r="G908" s="60" t="s">
        <v>178</v>
      </c>
      <c r="H908" s="60" t="s">
        <v>165</v>
      </c>
      <c r="I908" s="61">
        <v>46209</v>
      </c>
      <c r="J908" s="61">
        <v>46210</v>
      </c>
      <c r="K908" s="60">
        <v>1</v>
      </c>
      <c r="L908" s="60" t="s">
        <v>192</v>
      </c>
      <c r="M908" s="60" t="s">
        <v>184</v>
      </c>
      <c r="N908" s="60" t="b">
        <f>FALSE()</f>
        <v>0</v>
      </c>
      <c r="O908" s="60"/>
      <c r="P908" s="60"/>
      <c r="Q908" s="60" t="s">
        <v>236</v>
      </c>
      <c r="R908" s="60" t="s">
        <v>237</v>
      </c>
      <c r="S908" s="60"/>
      <c r="T908" s="60" t="b">
        <f>FALSE()</f>
        <v>0</v>
      </c>
      <c r="U908" s="60" t="b">
        <f>FALSE()</f>
        <v>0</v>
      </c>
      <c r="V908" s="60">
        <v>245</v>
      </c>
      <c r="W908" s="62" t="s">
        <v>3272</v>
      </c>
      <c r="X908" s="60">
        <v>1</v>
      </c>
      <c r="Y908" s="63">
        <v>0.01</v>
      </c>
      <c r="Z908" s="60" t="b">
        <f>FALSE()</f>
        <v>0</v>
      </c>
      <c r="AA908" s="60" t="b">
        <f>TRUE()</f>
        <v>1</v>
      </c>
      <c r="AB908" s="60" t="b">
        <f>TRUE()</f>
        <v>1</v>
      </c>
      <c r="AC908" s="60" t="b">
        <f>FALSE()</f>
        <v>0</v>
      </c>
      <c r="AD908" s="60" t="b">
        <f>FALSE()</f>
        <v>0</v>
      </c>
      <c r="AE908" s="60">
        <v>2</v>
      </c>
      <c r="AF908" s="64">
        <v>28.6</v>
      </c>
      <c r="AG908" s="60" t="s">
        <v>73</v>
      </c>
      <c r="AH908" s="60" t="s">
        <v>3273</v>
      </c>
      <c r="AI908">
        <f>IF(AND(OR(Company_Explorer!$B$5="All Companies",$E908=Company_Explorer!$B$5),OR(Company_Explorer!$B$6="All Platforms",$B908=Company_Explorer!$B$6),OR(Company_Explorer!$B$7="All Roles",$D908=Company_Explorer!$B$7),OR(Company_Explorer!$B$8="All Ghost Labels",$AG908=Company_Explorer!$B$8)),1,0)</f>
        <v>0</v>
      </c>
    </row>
    <row r="909" spans="1:35" ht="15" customHeight="1" x14ac:dyDescent="0.3">
      <c r="A909" s="65" t="s">
        <v>3274</v>
      </c>
      <c r="B909" s="65" t="s">
        <v>80</v>
      </c>
      <c r="C909" s="65" t="s">
        <v>258</v>
      </c>
      <c r="D909" s="65" t="s">
        <v>125</v>
      </c>
      <c r="E909" s="65" t="s">
        <v>141</v>
      </c>
      <c r="F909" s="65" t="b">
        <f>TRUE()</f>
        <v>1</v>
      </c>
      <c r="G909" s="65" t="s">
        <v>170</v>
      </c>
      <c r="H909" s="65" t="s">
        <v>165</v>
      </c>
      <c r="I909" s="66">
        <v>46198</v>
      </c>
      <c r="J909" s="66">
        <v>46210</v>
      </c>
      <c r="K909" s="65">
        <v>12</v>
      </c>
      <c r="L909" s="65" t="s">
        <v>192</v>
      </c>
      <c r="M909" s="65" t="s">
        <v>184</v>
      </c>
      <c r="N909" s="65" t="b">
        <f>FALSE()</f>
        <v>0</v>
      </c>
      <c r="O909" s="65"/>
      <c r="P909" s="65"/>
      <c r="Q909" s="65" t="s">
        <v>236</v>
      </c>
      <c r="R909" s="65" t="s">
        <v>237</v>
      </c>
      <c r="S909" s="65"/>
      <c r="T909" s="65" t="b">
        <f>FALSE()</f>
        <v>0</v>
      </c>
      <c r="U909" s="65" t="b">
        <f>FALSE()</f>
        <v>0</v>
      </c>
      <c r="V909" s="65">
        <v>850</v>
      </c>
      <c r="W909" s="67" t="s">
        <v>259</v>
      </c>
      <c r="X909" s="65">
        <v>429</v>
      </c>
      <c r="Y909" s="68">
        <v>2.66</v>
      </c>
      <c r="Z909" s="65" t="b">
        <f>FALSE()</f>
        <v>0</v>
      </c>
      <c r="AA909" s="65" t="b">
        <f>TRUE()</f>
        <v>1</v>
      </c>
      <c r="AB909" s="65" t="b">
        <f>FALSE()</f>
        <v>0</v>
      </c>
      <c r="AC909" s="65" t="b">
        <f>FALSE()</f>
        <v>0</v>
      </c>
      <c r="AD909" s="65" t="b">
        <f>TRUE()</f>
        <v>1</v>
      </c>
      <c r="AE909" s="65">
        <v>3</v>
      </c>
      <c r="AF909" s="69">
        <v>42.9</v>
      </c>
      <c r="AG909" s="65" t="s">
        <v>73</v>
      </c>
      <c r="AH909" s="65" t="s">
        <v>3275</v>
      </c>
      <c r="AI909">
        <f>IF(AND(OR(Company_Explorer!$B$5="All Companies",$E909=Company_Explorer!$B$5),OR(Company_Explorer!$B$6="All Platforms",$B909=Company_Explorer!$B$6),OR(Company_Explorer!$B$7="All Roles",$D909=Company_Explorer!$B$7),OR(Company_Explorer!$B$8="All Ghost Labels",$AG909=Company_Explorer!$B$8)),1,0)</f>
        <v>0</v>
      </c>
    </row>
    <row r="910" spans="1:35" ht="15" customHeight="1" x14ac:dyDescent="0.3">
      <c r="A910" s="60" t="s">
        <v>3276</v>
      </c>
      <c r="B910" s="60" t="s">
        <v>80</v>
      </c>
      <c r="C910" s="60" t="s">
        <v>3277</v>
      </c>
      <c r="D910" s="60" t="s">
        <v>125</v>
      </c>
      <c r="E910" s="60" t="s">
        <v>158</v>
      </c>
      <c r="F910" s="60" t="b">
        <f>TRUE()</f>
        <v>1</v>
      </c>
      <c r="G910" s="60" t="s">
        <v>169</v>
      </c>
      <c r="H910" s="60" t="s">
        <v>294</v>
      </c>
      <c r="I910" s="61">
        <v>46191</v>
      </c>
      <c r="J910" s="61">
        <v>46210</v>
      </c>
      <c r="K910" s="60">
        <v>19</v>
      </c>
      <c r="L910" s="60" t="s">
        <v>192</v>
      </c>
      <c r="M910" s="60" t="s">
        <v>185</v>
      </c>
      <c r="N910" s="60" t="b">
        <f>FALSE()</f>
        <v>0</v>
      </c>
      <c r="O910" s="60"/>
      <c r="P910" s="60"/>
      <c r="Q910" s="60" t="s">
        <v>236</v>
      </c>
      <c r="R910" s="60" t="s">
        <v>237</v>
      </c>
      <c r="S910" s="60"/>
      <c r="T910" s="60" t="b">
        <f>FALSE()</f>
        <v>0</v>
      </c>
      <c r="U910" s="60" t="b">
        <f>FALSE()</f>
        <v>0</v>
      </c>
      <c r="V910" s="60">
        <v>467</v>
      </c>
      <c r="W910" s="62" t="s">
        <v>2501</v>
      </c>
      <c r="X910" s="60">
        <v>14</v>
      </c>
      <c r="Y910" s="63">
        <v>0.09</v>
      </c>
      <c r="Z910" s="60" t="b">
        <f>FALSE()</f>
        <v>0</v>
      </c>
      <c r="AA910" s="60" t="b">
        <f>TRUE()</f>
        <v>1</v>
      </c>
      <c r="AB910" s="60" t="b">
        <f>FALSE()</f>
        <v>0</v>
      </c>
      <c r="AC910" s="60" t="b">
        <f>TRUE()</f>
        <v>1</v>
      </c>
      <c r="AD910" s="60" t="b">
        <f>FALSE()</f>
        <v>0</v>
      </c>
      <c r="AE910" s="60">
        <v>2</v>
      </c>
      <c r="AF910" s="64">
        <v>28.6</v>
      </c>
      <c r="AG910" s="60" t="s">
        <v>73</v>
      </c>
      <c r="AH910" s="60" t="s">
        <v>3278</v>
      </c>
      <c r="AI910">
        <f>IF(AND(OR(Company_Explorer!$B$5="All Companies",$E910=Company_Explorer!$B$5),OR(Company_Explorer!$B$6="All Platforms",$B910=Company_Explorer!$B$6),OR(Company_Explorer!$B$7="All Roles",$D910=Company_Explorer!$B$7),OR(Company_Explorer!$B$8="All Ghost Labels",$AG910=Company_Explorer!$B$8)),1,0)</f>
        <v>0</v>
      </c>
    </row>
    <row r="911" spans="1:35" ht="15" customHeight="1" x14ac:dyDescent="0.3">
      <c r="A911" s="65" t="s">
        <v>3279</v>
      </c>
      <c r="B911" s="65" t="s">
        <v>80</v>
      </c>
      <c r="C911" s="65" t="s">
        <v>3280</v>
      </c>
      <c r="D911" s="65" t="s">
        <v>130</v>
      </c>
      <c r="E911" s="65" t="s">
        <v>3281</v>
      </c>
      <c r="F911" s="65" t="b">
        <f>TRUE()</f>
        <v>1</v>
      </c>
      <c r="G911" s="65" t="s">
        <v>253</v>
      </c>
      <c r="H911" s="65" t="s">
        <v>254</v>
      </c>
      <c r="I911" s="66">
        <v>46199</v>
      </c>
      <c r="J911" s="66">
        <v>46210</v>
      </c>
      <c r="K911" s="65">
        <v>11</v>
      </c>
      <c r="L911" s="65" t="s">
        <v>192</v>
      </c>
      <c r="M911" s="65" t="s">
        <v>185</v>
      </c>
      <c r="N911" s="65" t="b">
        <f>FALSE()</f>
        <v>0</v>
      </c>
      <c r="O911" s="65"/>
      <c r="P911" s="65"/>
      <c r="Q911" s="65" t="s">
        <v>236</v>
      </c>
      <c r="R911" s="65" t="s">
        <v>237</v>
      </c>
      <c r="S911" s="65"/>
      <c r="T911" s="65" t="b">
        <f>FALSE()</f>
        <v>0</v>
      </c>
      <c r="U911" s="65" t="b">
        <f>FALSE()</f>
        <v>0</v>
      </c>
      <c r="V911" s="65">
        <v>980</v>
      </c>
      <c r="W911" s="67" t="s">
        <v>3282</v>
      </c>
      <c r="X911" s="65">
        <v>1</v>
      </c>
      <c r="Y911" s="68">
        <v>0.01</v>
      </c>
      <c r="Z911" s="65" t="b">
        <f>FALSE()</f>
        <v>0</v>
      </c>
      <c r="AA911" s="65" t="b">
        <f>TRUE()</f>
        <v>1</v>
      </c>
      <c r="AB911" s="65" t="b">
        <f>FALSE()</f>
        <v>0</v>
      </c>
      <c r="AC911" s="65" t="b">
        <f>FALSE()</f>
        <v>0</v>
      </c>
      <c r="AD911" s="65" t="b">
        <f>FALSE()</f>
        <v>0</v>
      </c>
      <c r="AE911" s="65">
        <v>1</v>
      </c>
      <c r="AF911" s="69">
        <v>14.3</v>
      </c>
      <c r="AG911" s="65" t="s">
        <v>74</v>
      </c>
      <c r="AH911" s="65" t="s">
        <v>3283</v>
      </c>
      <c r="AI911">
        <f>IF(AND(OR(Company_Explorer!$B$5="All Companies",$E911=Company_Explorer!$B$5),OR(Company_Explorer!$B$6="All Platforms",$B911=Company_Explorer!$B$6),OR(Company_Explorer!$B$7="All Roles",$D911=Company_Explorer!$B$7),OR(Company_Explorer!$B$8="All Ghost Labels",$AG911=Company_Explorer!$B$8)),1,0)</f>
        <v>0</v>
      </c>
    </row>
    <row r="912" spans="1:35" ht="15" customHeight="1" x14ac:dyDescent="0.3">
      <c r="A912" s="60" t="s">
        <v>3284</v>
      </c>
      <c r="B912" s="60" t="s">
        <v>80</v>
      </c>
      <c r="C912" s="60" t="s">
        <v>258</v>
      </c>
      <c r="D912" s="60" t="s">
        <v>125</v>
      </c>
      <c r="E912" s="60" t="s">
        <v>141</v>
      </c>
      <c r="F912" s="60" t="b">
        <f>TRUE()</f>
        <v>1</v>
      </c>
      <c r="G912" s="60" t="s">
        <v>166</v>
      </c>
      <c r="H912" s="60" t="s">
        <v>235</v>
      </c>
      <c r="I912" s="61">
        <v>46198</v>
      </c>
      <c r="J912" s="61">
        <v>46210</v>
      </c>
      <c r="K912" s="60">
        <v>12</v>
      </c>
      <c r="L912" s="60" t="s">
        <v>192</v>
      </c>
      <c r="M912" s="60" t="s">
        <v>184</v>
      </c>
      <c r="N912" s="60" t="b">
        <f>FALSE()</f>
        <v>0</v>
      </c>
      <c r="O912" s="60"/>
      <c r="P912" s="60"/>
      <c r="Q912" s="60" t="s">
        <v>236</v>
      </c>
      <c r="R912" s="60" t="s">
        <v>237</v>
      </c>
      <c r="S912" s="60"/>
      <c r="T912" s="60" t="b">
        <f>FALSE()</f>
        <v>0</v>
      </c>
      <c r="U912" s="60" t="b">
        <f>FALSE()</f>
        <v>0</v>
      </c>
      <c r="V912" s="60">
        <v>378</v>
      </c>
      <c r="W912" s="62" t="s">
        <v>259</v>
      </c>
      <c r="X912" s="60">
        <v>429</v>
      </c>
      <c r="Y912" s="63">
        <v>2.66</v>
      </c>
      <c r="Z912" s="60" t="b">
        <f>FALSE()</f>
        <v>0</v>
      </c>
      <c r="AA912" s="60" t="b">
        <f>TRUE()</f>
        <v>1</v>
      </c>
      <c r="AB912" s="60" t="b">
        <f>FALSE()</f>
        <v>0</v>
      </c>
      <c r="AC912" s="60" t="b">
        <f>FALSE()</f>
        <v>0</v>
      </c>
      <c r="AD912" s="60" t="b">
        <f>TRUE()</f>
        <v>1</v>
      </c>
      <c r="AE912" s="60">
        <v>3</v>
      </c>
      <c r="AF912" s="64">
        <v>42.9</v>
      </c>
      <c r="AG912" s="60" t="s">
        <v>73</v>
      </c>
      <c r="AH912" s="60" t="s">
        <v>3285</v>
      </c>
      <c r="AI912">
        <f>IF(AND(OR(Company_Explorer!$B$5="All Companies",$E912=Company_Explorer!$B$5),OR(Company_Explorer!$B$6="All Platforms",$B912=Company_Explorer!$B$6),OR(Company_Explorer!$B$7="All Roles",$D912=Company_Explorer!$B$7),OR(Company_Explorer!$B$8="All Ghost Labels",$AG912=Company_Explorer!$B$8)),1,0)</f>
        <v>0</v>
      </c>
    </row>
    <row r="913" spans="1:35" ht="15" customHeight="1" x14ac:dyDescent="0.3">
      <c r="A913" s="65" t="s">
        <v>3286</v>
      </c>
      <c r="B913" s="65" t="s">
        <v>80</v>
      </c>
      <c r="C913" s="65" t="s">
        <v>130</v>
      </c>
      <c r="D913" s="65" t="s">
        <v>130</v>
      </c>
      <c r="E913" s="65" t="s">
        <v>3287</v>
      </c>
      <c r="F913" s="65" t="b">
        <f>TRUE()</f>
        <v>1</v>
      </c>
      <c r="G913" s="65" t="s">
        <v>585</v>
      </c>
      <c r="H913" s="65" t="s">
        <v>178</v>
      </c>
      <c r="I913" s="66">
        <v>46203</v>
      </c>
      <c r="J913" s="66">
        <v>46210</v>
      </c>
      <c r="K913" s="65">
        <v>7</v>
      </c>
      <c r="L913" s="65" t="s">
        <v>192</v>
      </c>
      <c r="M913" s="65" t="s">
        <v>186</v>
      </c>
      <c r="N913" s="65" t="b">
        <f>FALSE()</f>
        <v>0</v>
      </c>
      <c r="O913" s="65"/>
      <c r="P913" s="65"/>
      <c r="Q913" s="65" t="s">
        <v>236</v>
      </c>
      <c r="R913" s="65" t="s">
        <v>237</v>
      </c>
      <c r="S913" s="65"/>
      <c r="T913" s="65" t="b">
        <f>FALSE()</f>
        <v>0</v>
      </c>
      <c r="U913" s="65" t="b">
        <f>FALSE()</f>
        <v>0</v>
      </c>
      <c r="V913" s="65">
        <v>652</v>
      </c>
      <c r="W913" s="67" t="s">
        <v>3288</v>
      </c>
      <c r="X913" s="65">
        <v>1</v>
      </c>
      <c r="Y913" s="68">
        <v>0.01</v>
      </c>
      <c r="Z913" s="65" t="b">
        <f>FALSE()</f>
        <v>0</v>
      </c>
      <c r="AA913" s="65" t="b">
        <f>TRUE()</f>
        <v>1</v>
      </c>
      <c r="AB913" s="65" t="b">
        <f>FALSE()</f>
        <v>0</v>
      </c>
      <c r="AC913" s="65" t="b">
        <f>FALSE()</f>
        <v>0</v>
      </c>
      <c r="AD913" s="65" t="b">
        <f>FALSE()</f>
        <v>0</v>
      </c>
      <c r="AE913" s="65">
        <v>1</v>
      </c>
      <c r="AF913" s="69">
        <v>14.3</v>
      </c>
      <c r="AG913" s="65" t="s">
        <v>74</v>
      </c>
      <c r="AH913" s="65" t="s">
        <v>3289</v>
      </c>
      <c r="AI913">
        <f>IF(AND(OR(Company_Explorer!$B$5="All Companies",$E913=Company_Explorer!$B$5),OR(Company_Explorer!$B$6="All Platforms",$B913=Company_Explorer!$B$6),OR(Company_Explorer!$B$7="All Roles",$D913=Company_Explorer!$B$7),OR(Company_Explorer!$B$8="All Ghost Labels",$AG913=Company_Explorer!$B$8)),1,0)</f>
        <v>0</v>
      </c>
    </row>
    <row r="914" spans="1:35" ht="15" customHeight="1" x14ac:dyDescent="0.3">
      <c r="A914" s="60" t="s">
        <v>3290</v>
      </c>
      <c r="B914" s="60" t="s">
        <v>80</v>
      </c>
      <c r="C914" s="60" t="s">
        <v>125</v>
      </c>
      <c r="D914" s="60" t="s">
        <v>125</v>
      </c>
      <c r="E914" s="60" t="s">
        <v>589</v>
      </c>
      <c r="F914" s="60" t="b">
        <f>TRUE()</f>
        <v>1</v>
      </c>
      <c r="G914" s="60" t="s">
        <v>171</v>
      </c>
      <c r="H914" s="60" t="s">
        <v>254</v>
      </c>
      <c r="I914" s="61">
        <v>46107</v>
      </c>
      <c r="J914" s="61">
        <v>46210</v>
      </c>
      <c r="K914" s="60">
        <v>103</v>
      </c>
      <c r="L914" s="60" t="s">
        <v>192</v>
      </c>
      <c r="M914" s="60" t="s">
        <v>185</v>
      </c>
      <c r="N914" s="60" t="b">
        <f>TRUE()</f>
        <v>1</v>
      </c>
      <c r="O914" s="70">
        <v>1000000</v>
      </c>
      <c r="P914" s="70">
        <v>2000000</v>
      </c>
      <c r="Q914" s="60" t="s">
        <v>332</v>
      </c>
      <c r="R914" s="60" t="s">
        <v>237</v>
      </c>
      <c r="S914" s="60"/>
      <c r="T914" s="60" t="b">
        <f>FALSE()</f>
        <v>0</v>
      </c>
      <c r="U914" s="60" t="b">
        <f>FALSE()</f>
        <v>0</v>
      </c>
      <c r="V914" s="60">
        <v>376</v>
      </c>
      <c r="W914" s="62" t="s">
        <v>3291</v>
      </c>
      <c r="X914" s="60">
        <v>6</v>
      </c>
      <c r="Y914" s="63">
        <v>0.04</v>
      </c>
      <c r="Z914" s="60" t="b">
        <f>FALSE()</f>
        <v>0</v>
      </c>
      <c r="AA914" s="60" t="b">
        <f>FALSE()</f>
        <v>0</v>
      </c>
      <c r="AB914" s="60" t="b">
        <f>FALSE()</f>
        <v>0</v>
      </c>
      <c r="AC914" s="60" t="b">
        <f>TRUE()</f>
        <v>1</v>
      </c>
      <c r="AD914" s="60" t="b">
        <f>FALSE()</f>
        <v>0</v>
      </c>
      <c r="AE914" s="60">
        <v>1</v>
      </c>
      <c r="AF914" s="64">
        <v>14.3</v>
      </c>
      <c r="AG914" s="60" t="s">
        <v>74</v>
      </c>
      <c r="AH914" s="60" t="s">
        <v>3292</v>
      </c>
      <c r="AI914">
        <f>IF(AND(OR(Company_Explorer!$B$5="All Companies",$E914=Company_Explorer!$B$5),OR(Company_Explorer!$B$6="All Platforms",$B914=Company_Explorer!$B$6),OR(Company_Explorer!$B$7="All Roles",$D914=Company_Explorer!$B$7),OR(Company_Explorer!$B$8="All Ghost Labels",$AG914=Company_Explorer!$B$8)),1,0)</f>
        <v>0</v>
      </c>
    </row>
    <row r="915" spans="1:35" ht="15" customHeight="1" x14ac:dyDescent="0.3">
      <c r="A915" s="65" t="s">
        <v>3293</v>
      </c>
      <c r="B915" s="65" t="s">
        <v>80</v>
      </c>
      <c r="C915" s="65" t="s">
        <v>258</v>
      </c>
      <c r="D915" s="65" t="s">
        <v>125</v>
      </c>
      <c r="E915" s="65" t="s">
        <v>141</v>
      </c>
      <c r="F915" s="65" t="b">
        <f>TRUE()</f>
        <v>1</v>
      </c>
      <c r="G915" s="65" t="s">
        <v>168</v>
      </c>
      <c r="H915" s="65" t="s">
        <v>254</v>
      </c>
      <c r="I915" s="66">
        <v>46199</v>
      </c>
      <c r="J915" s="66">
        <v>46210</v>
      </c>
      <c r="K915" s="65">
        <v>11</v>
      </c>
      <c r="L915" s="65" t="s">
        <v>192</v>
      </c>
      <c r="M915" s="65" t="s">
        <v>184</v>
      </c>
      <c r="N915" s="65" t="b">
        <f>FALSE()</f>
        <v>0</v>
      </c>
      <c r="O915" s="65"/>
      <c r="P915" s="65"/>
      <c r="Q915" s="65" t="s">
        <v>236</v>
      </c>
      <c r="R915" s="65" t="s">
        <v>237</v>
      </c>
      <c r="S915" s="65"/>
      <c r="T915" s="65" t="b">
        <f>FALSE()</f>
        <v>0</v>
      </c>
      <c r="U915" s="65" t="b">
        <f>FALSE()</f>
        <v>0</v>
      </c>
      <c r="V915" s="65">
        <v>322</v>
      </c>
      <c r="W915" s="67" t="s">
        <v>259</v>
      </c>
      <c r="X915" s="65">
        <v>429</v>
      </c>
      <c r="Y915" s="68">
        <v>2.66</v>
      </c>
      <c r="Z915" s="65" t="b">
        <f>FALSE()</f>
        <v>0</v>
      </c>
      <c r="AA915" s="65" t="b">
        <f>TRUE()</f>
        <v>1</v>
      </c>
      <c r="AB915" s="65" t="b">
        <f>FALSE()</f>
        <v>0</v>
      </c>
      <c r="AC915" s="65" t="b">
        <f>FALSE()</f>
        <v>0</v>
      </c>
      <c r="AD915" s="65" t="b">
        <f>TRUE()</f>
        <v>1</v>
      </c>
      <c r="AE915" s="65">
        <v>3</v>
      </c>
      <c r="AF915" s="69">
        <v>42.9</v>
      </c>
      <c r="AG915" s="65" t="s">
        <v>73</v>
      </c>
      <c r="AH915" s="65" t="s">
        <v>3294</v>
      </c>
      <c r="AI915">
        <f>IF(AND(OR(Company_Explorer!$B$5="All Companies",$E915=Company_Explorer!$B$5),OR(Company_Explorer!$B$6="All Platforms",$B915=Company_Explorer!$B$6),OR(Company_Explorer!$B$7="All Roles",$D915=Company_Explorer!$B$7),OR(Company_Explorer!$B$8="All Ghost Labels",$AG915=Company_Explorer!$B$8)),1,0)</f>
        <v>0</v>
      </c>
    </row>
    <row r="916" spans="1:35" ht="15" customHeight="1" x14ac:dyDescent="0.3">
      <c r="A916" s="60" t="s">
        <v>3295</v>
      </c>
      <c r="B916" s="60" t="s">
        <v>80</v>
      </c>
      <c r="C916" s="60" t="s">
        <v>2595</v>
      </c>
      <c r="D916" s="60" t="s">
        <v>125</v>
      </c>
      <c r="E916" s="60" t="s">
        <v>2596</v>
      </c>
      <c r="F916" s="60" t="b">
        <f>TRUE()</f>
        <v>1</v>
      </c>
      <c r="G916" s="60" t="s">
        <v>166</v>
      </c>
      <c r="H916" s="60" t="s">
        <v>235</v>
      </c>
      <c r="I916" s="61">
        <v>46190</v>
      </c>
      <c r="J916" s="61">
        <v>46210</v>
      </c>
      <c r="K916" s="60">
        <v>20</v>
      </c>
      <c r="L916" s="60" t="s">
        <v>192</v>
      </c>
      <c r="M916" s="60" t="s">
        <v>185</v>
      </c>
      <c r="N916" s="60" t="b">
        <f>FALSE()</f>
        <v>0</v>
      </c>
      <c r="O916" s="60"/>
      <c r="P916" s="60"/>
      <c r="Q916" s="60" t="s">
        <v>236</v>
      </c>
      <c r="R916" s="60" t="s">
        <v>237</v>
      </c>
      <c r="S916" s="60"/>
      <c r="T916" s="60" t="b">
        <f>FALSE()</f>
        <v>0</v>
      </c>
      <c r="U916" s="60" t="b">
        <f>FALSE()</f>
        <v>0</v>
      </c>
      <c r="V916" s="60">
        <v>303</v>
      </c>
      <c r="W916" s="62" t="s">
        <v>3296</v>
      </c>
      <c r="X916" s="60">
        <v>2</v>
      </c>
      <c r="Y916" s="63">
        <v>0.01</v>
      </c>
      <c r="Z916" s="60" t="b">
        <f>FALSE()</f>
        <v>0</v>
      </c>
      <c r="AA916" s="60" t="b">
        <f>TRUE()</f>
        <v>1</v>
      </c>
      <c r="AB916" s="60" t="b">
        <f>FALSE()</f>
        <v>0</v>
      </c>
      <c r="AC916" s="60" t="b">
        <f>TRUE()</f>
        <v>1</v>
      </c>
      <c r="AD916" s="60" t="b">
        <f>FALSE()</f>
        <v>0</v>
      </c>
      <c r="AE916" s="60">
        <v>2</v>
      </c>
      <c r="AF916" s="64">
        <v>28.6</v>
      </c>
      <c r="AG916" s="60" t="s">
        <v>73</v>
      </c>
      <c r="AH916" s="60" t="s">
        <v>3297</v>
      </c>
      <c r="AI916">
        <f>IF(AND(OR(Company_Explorer!$B$5="All Companies",$E916=Company_Explorer!$B$5),OR(Company_Explorer!$B$6="All Platforms",$B916=Company_Explorer!$B$6),OR(Company_Explorer!$B$7="All Roles",$D916=Company_Explorer!$B$7),OR(Company_Explorer!$B$8="All Ghost Labels",$AG916=Company_Explorer!$B$8)),1,0)</f>
        <v>0</v>
      </c>
    </row>
    <row r="917" spans="1:35" ht="15" customHeight="1" x14ac:dyDescent="0.3">
      <c r="A917" s="65" t="s">
        <v>3298</v>
      </c>
      <c r="B917" s="65" t="s">
        <v>80</v>
      </c>
      <c r="C917" s="65" t="s">
        <v>2869</v>
      </c>
      <c r="D917" s="65" t="s">
        <v>125</v>
      </c>
      <c r="E917" s="65" t="s">
        <v>141</v>
      </c>
      <c r="F917" s="65" t="b">
        <f>TRUE()</f>
        <v>1</v>
      </c>
      <c r="G917" s="65" t="s">
        <v>179</v>
      </c>
      <c r="H917" s="65" t="s">
        <v>254</v>
      </c>
      <c r="I917" s="66">
        <v>46198</v>
      </c>
      <c r="J917" s="66">
        <v>46210</v>
      </c>
      <c r="K917" s="65">
        <v>12</v>
      </c>
      <c r="L917" s="65" t="s">
        <v>192</v>
      </c>
      <c r="M917" s="65" t="s">
        <v>184</v>
      </c>
      <c r="N917" s="65" t="b">
        <f>FALSE()</f>
        <v>0</v>
      </c>
      <c r="O917" s="65"/>
      <c r="P917" s="65"/>
      <c r="Q917" s="65" t="s">
        <v>236</v>
      </c>
      <c r="R917" s="65" t="s">
        <v>237</v>
      </c>
      <c r="S917" s="65"/>
      <c r="T917" s="65" t="b">
        <f>FALSE()</f>
        <v>0</v>
      </c>
      <c r="U917" s="65" t="b">
        <f>FALSE()</f>
        <v>0</v>
      </c>
      <c r="V917" s="65">
        <v>265</v>
      </c>
      <c r="W917" s="67" t="s">
        <v>3299</v>
      </c>
      <c r="X917" s="65">
        <v>429</v>
      </c>
      <c r="Y917" s="68">
        <v>2.66</v>
      </c>
      <c r="Z917" s="65" t="b">
        <f>FALSE()</f>
        <v>0</v>
      </c>
      <c r="AA917" s="65" t="b">
        <f>TRUE()</f>
        <v>1</v>
      </c>
      <c r="AB917" s="65" t="b">
        <f>TRUE()</f>
        <v>1</v>
      </c>
      <c r="AC917" s="65" t="b">
        <f>FALSE()</f>
        <v>0</v>
      </c>
      <c r="AD917" s="65" t="b">
        <f>TRUE()</f>
        <v>1</v>
      </c>
      <c r="AE917" s="65">
        <v>4</v>
      </c>
      <c r="AF917" s="69">
        <v>57.1</v>
      </c>
      <c r="AG917" s="65" t="s">
        <v>72</v>
      </c>
      <c r="AH917" s="65" t="s">
        <v>3300</v>
      </c>
      <c r="AI917">
        <f>IF(AND(OR(Company_Explorer!$B$5="All Companies",$E917=Company_Explorer!$B$5),OR(Company_Explorer!$B$6="All Platforms",$B917=Company_Explorer!$B$6),OR(Company_Explorer!$B$7="All Roles",$D917=Company_Explorer!$B$7),OR(Company_Explorer!$B$8="All Ghost Labels",$AG917=Company_Explorer!$B$8)),1,0)</f>
        <v>0</v>
      </c>
    </row>
    <row r="918" spans="1:35" ht="15" customHeight="1" x14ac:dyDescent="0.3">
      <c r="A918" s="60" t="s">
        <v>3301</v>
      </c>
      <c r="B918" s="60" t="s">
        <v>80</v>
      </c>
      <c r="C918" s="60" t="s">
        <v>258</v>
      </c>
      <c r="D918" s="60" t="s">
        <v>125</v>
      </c>
      <c r="E918" s="60" t="s">
        <v>141</v>
      </c>
      <c r="F918" s="60" t="b">
        <f>TRUE()</f>
        <v>1</v>
      </c>
      <c r="G918" s="60" t="s">
        <v>166</v>
      </c>
      <c r="H918" s="60" t="s">
        <v>235</v>
      </c>
      <c r="I918" s="61">
        <v>46198</v>
      </c>
      <c r="J918" s="61">
        <v>46210</v>
      </c>
      <c r="K918" s="60">
        <v>12</v>
      </c>
      <c r="L918" s="60" t="s">
        <v>192</v>
      </c>
      <c r="M918" s="60" t="s">
        <v>184</v>
      </c>
      <c r="N918" s="60" t="b">
        <f>FALSE()</f>
        <v>0</v>
      </c>
      <c r="O918" s="60"/>
      <c r="P918" s="60"/>
      <c r="Q918" s="60" t="s">
        <v>236</v>
      </c>
      <c r="R918" s="60" t="s">
        <v>237</v>
      </c>
      <c r="S918" s="60"/>
      <c r="T918" s="60" t="b">
        <f>FALSE()</f>
        <v>0</v>
      </c>
      <c r="U918" s="60" t="b">
        <f>FALSE()</f>
        <v>0</v>
      </c>
      <c r="V918" s="60">
        <v>285</v>
      </c>
      <c r="W918" s="62" t="s">
        <v>3066</v>
      </c>
      <c r="X918" s="60">
        <v>429</v>
      </c>
      <c r="Y918" s="63">
        <v>2.66</v>
      </c>
      <c r="Z918" s="60" t="b">
        <f>FALSE()</f>
        <v>0</v>
      </c>
      <c r="AA918" s="60" t="b">
        <f>TRUE()</f>
        <v>1</v>
      </c>
      <c r="AB918" s="60" t="b">
        <f>FALSE()</f>
        <v>0</v>
      </c>
      <c r="AC918" s="60" t="b">
        <f>FALSE()</f>
        <v>0</v>
      </c>
      <c r="AD918" s="60" t="b">
        <f>TRUE()</f>
        <v>1</v>
      </c>
      <c r="AE918" s="60">
        <v>3</v>
      </c>
      <c r="AF918" s="64">
        <v>42.9</v>
      </c>
      <c r="AG918" s="60" t="s">
        <v>73</v>
      </c>
      <c r="AH918" s="60" t="s">
        <v>3302</v>
      </c>
      <c r="AI918">
        <f>IF(AND(OR(Company_Explorer!$B$5="All Companies",$E918=Company_Explorer!$B$5),OR(Company_Explorer!$B$6="All Platforms",$B918=Company_Explorer!$B$6),OR(Company_Explorer!$B$7="All Roles",$D918=Company_Explorer!$B$7),OR(Company_Explorer!$B$8="All Ghost Labels",$AG918=Company_Explorer!$B$8)),1,0)</f>
        <v>0</v>
      </c>
    </row>
    <row r="919" spans="1:35" ht="15" customHeight="1" x14ac:dyDescent="0.3">
      <c r="A919" s="65" t="s">
        <v>3303</v>
      </c>
      <c r="B919" s="65" t="s">
        <v>80</v>
      </c>
      <c r="C919" s="65" t="s">
        <v>258</v>
      </c>
      <c r="D919" s="65" t="s">
        <v>125</v>
      </c>
      <c r="E919" s="65" t="s">
        <v>141</v>
      </c>
      <c r="F919" s="65" t="b">
        <f>TRUE()</f>
        <v>1</v>
      </c>
      <c r="G919" s="65" t="s">
        <v>172</v>
      </c>
      <c r="H919" s="65" t="s">
        <v>276</v>
      </c>
      <c r="I919" s="66">
        <v>46198</v>
      </c>
      <c r="J919" s="66">
        <v>46210</v>
      </c>
      <c r="K919" s="65">
        <v>12</v>
      </c>
      <c r="L919" s="65" t="s">
        <v>192</v>
      </c>
      <c r="M919" s="65" t="s">
        <v>184</v>
      </c>
      <c r="N919" s="65" t="b">
        <f>FALSE()</f>
        <v>0</v>
      </c>
      <c r="O919" s="65"/>
      <c r="P919" s="65"/>
      <c r="Q919" s="65" t="s">
        <v>236</v>
      </c>
      <c r="R919" s="65" t="s">
        <v>237</v>
      </c>
      <c r="S919" s="65"/>
      <c r="T919" s="65" t="b">
        <f>FALSE()</f>
        <v>0</v>
      </c>
      <c r="U919" s="65" t="b">
        <f>FALSE()</f>
        <v>0</v>
      </c>
      <c r="V919" s="65">
        <v>275</v>
      </c>
      <c r="W919" s="67" t="s">
        <v>259</v>
      </c>
      <c r="X919" s="65">
        <v>429</v>
      </c>
      <c r="Y919" s="68">
        <v>2.66</v>
      </c>
      <c r="Z919" s="65" t="b">
        <f>FALSE()</f>
        <v>0</v>
      </c>
      <c r="AA919" s="65" t="b">
        <f>TRUE()</f>
        <v>1</v>
      </c>
      <c r="AB919" s="65" t="b">
        <f>FALSE()</f>
        <v>0</v>
      </c>
      <c r="AC919" s="65" t="b">
        <f>FALSE()</f>
        <v>0</v>
      </c>
      <c r="AD919" s="65" t="b">
        <f>TRUE()</f>
        <v>1</v>
      </c>
      <c r="AE919" s="65">
        <v>3</v>
      </c>
      <c r="AF919" s="69">
        <v>42.9</v>
      </c>
      <c r="AG919" s="65" t="s">
        <v>73</v>
      </c>
      <c r="AH919" s="65" t="s">
        <v>3304</v>
      </c>
      <c r="AI919">
        <f>IF(AND(OR(Company_Explorer!$B$5="All Companies",$E919=Company_Explorer!$B$5),OR(Company_Explorer!$B$6="All Platforms",$B919=Company_Explorer!$B$6),OR(Company_Explorer!$B$7="All Roles",$D919=Company_Explorer!$B$7),OR(Company_Explorer!$B$8="All Ghost Labels",$AG919=Company_Explorer!$B$8)),1,0)</f>
        <v>0</v>
      </c>
    </row>
    <row r="920" spans="1:35" ht="15" customHeight="1" x14ac:dyDescent="0.3">
      <c r="A920" s="60" t="s">
        <v>3305</v>
      </c>
      <c r="B920" s="60" t="s">
        <v>80</v>
      </c>
      <c r="C920" s="60" t="s">
        <v>3306</v>
      </c>
      <c r="D920" s="60" t="s">
        <v>130</v>
      </c>
      <c r="E920" s="60" t="s">
        <v>687</v>
      </c>
      <c r="F920" s="60" t="b">
        <f>TRUE()</f>
        <v>1</v>
      </c>
      <c r="G920" s="60" t="s">
        <v>169</v>
      </c>
      <c r="H920" s="60" t="s">
        <v>294</v>
      </c>
      <c r="I920" s="61">
        <v>46155</v>
      </c>
      <c r="J920" s="61">
        <v>46210</v>
      </c>
      <c r="K920" s="60">
        <v>55</v>
      </c>
      <c r="L920" s="60" t="s">
        <v>192</v>
      </c>
      <c r="M920" s="60" t="s">
        <v>185</v>
      </c>
      <c r="N920" s="60" t="b">
        <f>FALSE()</f>
        <v>0</v>
      </c>
      <c r="O920" s="60"/>
      <c r="P920" s="60"/>
      <c r="Q920" s="60" t="s">
        <v>236</v>
      </c>
      <c r="R920" s="60" t="s">
        <v>237</v>
      </c>
      <c r="S920" s="60"/>
      <c r="T920" s="60" t="b">
        <f>FALSE()</f>
        <v>0</v>
      </c>
      <c r="U920" s="60" t="b">
        <f>FALSE()</f>
        <v>0</v>
      </c>
      <c r="V920" s="60">
        <v>655</v>
      </c>
      <c r="W920" s="62" t="s">
        <v>3307</v>
      </c>
      <c r="X920" s="60">
        <v>2</v>
      </c>
      <c r="Y920" s="63">
        <v>0.01</v>
      </c>
      <c r="Z920" s="60" t="b">
        <f>FALSE()</f>
        <v>0</v>
      </c>
      <c r="AA920" s="60" t="b">
        <f>TRUE()</f>
        <v>1</v>
      </c>
      <c r="AB920" s="60" t="b">
        <f>FALSE()</f>
        <v>0</v>
      </c>
      <c r="AC920" s="60" t="b">
        <f>TRUE()</f>
        <v>1</v>
      </c>
      <c r="AD920" s="60" t="b">
        <f>FALSE()</f>
        <v>0</v>
      </c>
      <c r="AE920" s="60">
        <v>2</v>
      </c>
      <c r="AF920" s="64">
        <v>28.6</v>
      </c>
      <c r="AG920" s="60" t="s">
        <v>73</v>
      </c>
      <c r="AH920" s="60" t="s">
        <v>3308</v>
      </c>
      <c r="AI920">
        <f>IF(AND(OR(Company_Explorer!$B$5="All Companies",$E920=Company_Explorer!$B$5),OR(Company_Explorer!$B$6="All Platforms",$B920=Company_Explorer!$B$6),OR(Company_Explorer!$B$7="All Roles",$D920=Company_Explorer!$B$7),OR(Company_Explorer!$B$8="All Ghost Labels",$AG920=Company_Explorer!$B$8)),1,0)</f>
        <v>0</v>
      </c>
    </row>
    <row r="921" spans="1:35" ht="15" customHeight="1" x14ac:dyDescent="0.3">
      <c r="A921" s="65" t="s">
        <v>3309</v>
      </c>
      <c r="B921" s="65" t="s">
        <v>80</v>
      </c>
      <c r="C921" s="65" t="s">
        <v>130</v>
      </c>
      <c r="D921" s="65" t="s">
        <v>130</v>
      </c>
      <c r="E921" s="65" t="s">
        <v>141</v>
      </c>
      <c r="F921" s="65" t="b">
        <f>TRUE()</f>
        <v>1</v>
      </c>
      <c r="G921" s="65" t="s">
        <v>169</v>
      </c>
      <c r="H921" s="65" t="s">
        <v>294</v>
      </c>
      <c r="I921" s="66">
        <v>46198</v>
      </c>
      <c r="J921" s="66">
        <v>46210</v>
      </c>
      <c r="K921" s="65">
        <v>12</v>
      </c>
      <c r="L921" s="65" t="s">
        <v>192</v>
      </c>
      <c r="M921" s="65" t="s">
        <v>184</v>
      </c>
      <c r="N921" s="65" t="b">
        <f>FALSE()</f>
        <v>0</v>
      </c>
      <c r="O921" s="65"/>
      <c r="P921" s="65"/>
      <c r="Q921" s="65" t="s">
        <v>236</v>
      </c>
      <c r="R921" s="65" t="s">
        <v>237</v>
      </c>
      <c r="S921" s="65"/>
      <c r="T921" s="65" t="b">
        <f>FALSE()</f>
        <v>0</v>
      </c>
      <c r="U921" s="65" t="b">
        <f>FALSE()</f>
        <v>0</v>
      </c>
      <c r="V921" s="65">
        <v>291</v>
      </c>
      <c r="W921" s="67" t="s">
        <v>861</v>
      </c>
      <c r="X921" s="65">
        <v>429</v>
      </c>
      <c r="Y921" s="68">
        <v>2.66</v>
      </c>
      <c r="Z921" s="65" t="b">
        <f>FALSE()</f>
        <v>0</v>
      </c>
      <c r="AA921" s="65" t="b">
        <f>TRUE()</f>
        <v>1</v>
      </c>
      <c r="AB921" s="65" t="b">
        <f>FALSE()</f>
        <v>0</v>
      </c>
      <c r="AC921" s="65" t="b">
        <f>FALSE()</f>
        <v>0</v>
      </c>
      <c r="AD921" s="65" t="b">
        <f>TRUE()</f>
        <v>1</v>
      </c>
      <c r="AE921" s="65">
        <v>3</v>
      </c>
      <c r="AF921" s="69">
        <v>42.9</v>
      </c>
      <c r="AG921" s="65" t="s">
        <v>73</v>
      </c>
      <c r="AH921" s="65" t="s">
        <v>3310</v>
      </c>
      <c r="AI921">
        <f>IF(AND(OR(Company_Explorer!$B$5="All Companies",$E921=Company_Explorer!$B$5),OR(Company_Explorer!$B$6="All Platforms",$B921=Company_Explorer!$B$6),OR(Company_Explorer!$B$7="All Roles",$D921=Company_Explorer!$B$7),OR(Company_Explorer!$B$8="All Ghost Labels",$AG921=Company_Explorer!$B$8)),1,0)</f>
        <v>0</v>
      </c>
    </row>
    <row r="922" spans="1:35" ht="15" customHeight="1" x14ac:dyDescent="0.3">
      <c r="A922" s="60" t="s">
        <v>3311</v>
      </c>
      <c r="B922" s="60" t="s">
        <v>80</v>
      </c>
      <c r="C922" s="60" t="s">
        <v>3312</v>
      </c>
      <c r="D922" s="60" t="s">
        <v>129</v>
      </c>
      <c r="E922" s="60" t="s">
        <v>3313</v>
      </c>
      <c r="F922" s="60" t="b">
        <f>TRUE()</f>
        <v>1</v>
      </c>
      <c r="G922" s="60" t="s">
        <v>178</v>
      </c>
      <c r="H922" s="60" t="s">
        <v>165</v>
      </c>
      <c r="I922" s="61">
        <v>46210</v>
      </c>
      <c r="J922" s="61">
        <v>46210</v>
      </c>
      <c r="K922" s="60">
        <v>0</v>
      </c>
      <c r="L922" s="60" t="s">
        <v>188</v>
      </c>
      <c r="M922" s="60" t="s">
        <v>188</v>
      </c>
      <c r="N922" s="60" t="b">
        <f>FALSE()</f>
        <v>0</v>
      </c>
      <c r="O922" s="60"/>
      <c r="P922" s="60"/>
      <c r="Q922" s="60" t="s">
        <v>236</v>
      </c>
      <c r="R922" s="60" t="s">
        <v>237</v>
      </c>
      <c r="S922" s="60"/>
      <c r="T922" s="60" t="b">
        <f>FALSE()</f>
        <v>0</v>
      </c>
      <c r="U922" s="60" t="b">
        <f>FALSE()</f>
        <v>0</v>
      </c>
      <c r="V922" s="60">
        <v>164</v>
      </c>
      <c r="W922" s="62" t="s">
        <v>3314</v>
      </c>
      <c r="X922" s="60">
        <v>1</v>
      </c>
      <c r="Y922" s="63">
        <v>0.01</v>
      </c>
      <c r="Z922" s="60" t="b">
        <f>FALSE()</f>
        <v>0</v>
      </c>
      <c r="AA922" s="60" t="b">
        <f>TRUE()</f>
        <v>1</v>
      </c>
      <c r="AB922" s="60" t="b">
        <f>TRUE()</f>
        <v>1</v>
      </c>
      <c r="AC922" s="60" t="b">
        <f>FALSE()</f>
        <v>0</v>
      </c>
      <c r="AD922" s="60" t="b">
        <f>FALSE()</f>
        <v>0</v>
      </c>
      <c r="AE922" s="60">
        <v>2</v>
      </c>
      <c r="AF922" s="64">
        <v>28.6</v>
      </c>
      <c r="AG922" s="60" t="s">
        <v>73</v>
      </c>
      <c r="AH922" s="60" t="s">
        <v>3315</v>
      </c>
      <c r="AI922">
        <f>IF(AND(OR(Company_Explorer!$B$5="All Companies",$E922=Company_Explorer!$B$5),OR(Company_Explorer!$B$6="All Platforms",$B922=Company_Explorer!$B$6),OR(Company_Explorer!$B$7="All Roles",$D922=Company_Explorer!$B$7),OR(Company_Explorer!$B$8="All Ghost Labels",$AG922=Company_Explorer!$B$8)),1,0)</f>
        <v>0</v>
      </c>
    </row>
    <row r="923" spans="1:35" ht="15" customHeight="1" x14ac:dyDescent="0.3">
      <c r="A923" s="65" t="s">
        <v>3316</v>
      </c>
      <c r="B923" s="65" t="s">
        <v>80</v>
      </c>
      <c r="C923" s="65" t="s">
        <v>258</v>
      </c>
      <c r="D923" s="65" t="s">
        <v>125</v>
      </c>
      <c r="E923" s="65" t="s">
        <v>141</v>
      </c>
      <c r="F923" s="65" t="b">
        <f>TRUE()</f>
        <v>1</v>
      </c>
      <c r="G923" s="65" t="s">
        <v>170</v>
      </c>
      <c r="H923" s="65" t="s">
        <v>165</v>
      </c>
      <c r="I923" s="66">
        <v>46198</v>
      </c>
      <c r="J923" s="66">
        <v>46210</v>
      </c>
      <c r="K923" s="65">
        <v>12</v>
      </c>
      <c r="L923" s="65" t="s">
        <v>192</v>
      </c>
      <c r="M923" s="65" t="s">
        <v>184</v>
      </c>
      <c r="N923" s="65" t="b">
        <f>FALSE()</f>
        <v>0</v>
      </c>
      <c r="O923" s="65"/>
      <c r="P923" s="65"/>
      <c r="Q923" s="65" t="s">
        <v>236</v>
      </c>
      <c r="R923" s="65" t="s">
        <v>237</v>
      </c>
      <c r="S923" s="65"/>
      <c r="T923" s="65" t="b">
        <f>FALSE()</f>
        <v>0</v>
      </c>
      <c r="U923" s="65" t="b">
        <f>FALSE()</f>
        <v>0</v>
      </c>
      <c r="V923" s="65">
        <v>273</v>
      </c>
      <c r="W923" s="67" t="s">
        <v>259</v>
      </c>
      <c r="X923" s="65">
        <v>429</v>
      </c>
      <c r="Y923" s="68">
        <v>2.66</v>
      </c>
      <c r="Z923" s="65" t="b">
        <f>FALSE()</f>
        <v>0</v>
      </c>
      <c r="AA923" s="65" t="b">
        <f>TRUE()</f>
        <v>1</v>
      </c>
      <c r="AB923" s="65" t="b">
        <f>FALSE()</f>
        <v>0</v>
      </c>
      <c r="AC923" s="65" t="b">
        <f>FALSE()</f>
        <v>0</v>
      </c>
      <c r="AD923" s="65" t="b">
        <f>TRUE()</f>
        <v>1</v>
      </c>
      <c r="AE923" s="65">
        <v>3</v>
      </c>
      <c r="AF923" s="69">
        <v>42.9</v>
      </c>
      <c r="AG923" s="65" t="s">
        <v>73</v>
      </c>
      <c r="AH923" s="65" t="s">
        <v>3317</v>
      </c>
      <c r="AI923">
        <f>IF(AND(OR(Company_Explorer!$B$5="All Companies",$E923=Company_Explorer!$B$5),OR(Company_Explorer!$B$6="All Platforms",$B923=Company_Explorer!$B$6),OR(Company_Explorer!$B$7="All Roles",$D923=Company_Explorer!$B$7),OR(Company_Explorer!$B$8="All Ghost Labels",$AG923=Company_Explorer!$B$8)),1,0)</f>
        <v>0</v>
      </c>
    </row>
    <row r="924" spans="1:35" ht="15" customHeight="1" x14ac:dyDescent="0.3">
      <c r="A924" s="60" t="s">
        <v>3318</v>
      </c>
      <c r="B924" s="60" t="s">
        <v>80</v>
      </c>
      <c r="C924" s="60" t="s">
        <v>258</v>
      </c>
      <c r="D924" s="60" t="s">
        <v>125</v>
      </c>
      <c r="E924" s="60" t="s">
        <v>141</v>
      </c>
      <c r="F924" s="60" t="b">
        <f>TRUE()</f>
        <v>1</v>
      </c>
      <c r="G924" s="60" t="s">
        <v>170</v>
      </c>
      <c r="H924" s="60" t="s">
        <v>165</v>
      </c>
      <c r="I924" s="61">
        <v>46198</v>
      </c>
      <c r="J924" s="61">
        <v>46210</v>
      </c>
      <c r="K924" s="60">
        <v>12</v>
      </c>
      <c r="L924" s="60" t="s">
        <v>192</v>
      </c>
      <c r="M924" s="60" t="s">
        <v>184</v>
      </c>
      <c r="N924" s="60" t="b">
        <f>FALSE()</f>
        <v>0</v>
      </c>
      <c r="O924" s="60"/>
      <c r="P924" s="60"/>
      <c r="Q924" s="60" t="s">
        <v>236</v>
      </c>
      <c r="R924" s="60" t="s">
        <v>237</v>
      </c>
      <c r="S924" s="60"/>
      <c r="T924" s="60" t="b">
        <f>FALSE()</f>
        <v>0</v>
      </c>
      <c r="U924" s="60" t="b">
        <f>FALSE()</f>
        <v>0</v>
      </c>
      <c r="V924" s="60">
        <v>295</v>
      </c>
      <c r="W924" s="62" t="s">
        <v>259</v>
      </c>
      <c r="X924" s="60">
        <v>429</v>
      </c>
      <c r="Y924" s="63">
        <v>2.66</v>
      </c>
      <c r="Z924" s="60" t="b">
        <f>FALSE()</f>
        <v>0</v>
      </c>
      <c r="AA924" s="60" t="b">
        <f>TRUE()</f>
        <v>1</v>
      </c>
      <c r="AB924" s="60" t="b">
        <f>FALSE()</f>
        <v>0</v>
      </c>
      <c r="AC924" s="60" t="b">
        <f>FALSE()</f>
        <v>0</v>
      </c>
      <c r="AD924" s="60" t="b">
        <f>TRUE()</f>
        <v>1</v>
      </c>
      <c r="AE924" s="60">
        <v>3</v>
      </c>
      <c r="AF924" s="64">
        <v>42.9</v>
      </c>
      <c r="AG924" s="60" t="s">
        <v>73</v>
      </c>
      <c r="AH924" s="60" t="s">
        <v>3319</v>
      </c>
      <c r="AI924">
        <f>IF(AND(OR(Company_Explorer!$B$5="All Companies",$E924=Company_Explorer!$B$5),OR(Company_Explorer!$B$6="All Platforms",$B924=Company_Explorer!$B$6),OR(Company_Explorer!$B$7="All Roles",$D924=Company_Explorer!$B$7),OR(Company_Explorer!$B$8="All Ghost Labels",$AG924=Company_Explorer!$B$8)),1,0)</f>
        <v>0</v>
      </c>
    </row>
    <row r="925" spans="1:35" ht="15" customHeight="1" x14ac:dyDescent="0.3">
      <c r="A925" s="65" t="s">
        <v>3320</v>
      </c>
      <c r="B925" s="65" t="s">
        <v>80</v>
      </c>
      <c r="C925" s="65" t="s">
        <v>258</v>
      </c>
      <c r="D925" s="65" t="s">
        <v>125</v>
      </c>
      <c r="E925" s="65" t="s">
        <v>141</v>
      </c>
      <c r="F925" s="65" t="b">
        <f>TRUE()</f>
        <v>1</v>
      </c>
      <c r="G925" s="65" t="s">
        <v>167</v>
      </c>
      <c r="H925" s="65" t="s">
        <v>276</v>
      </c>
      <c r="I925" s="66">
        <v>46206</v>
      </c>
      <c r="J925" s="66">
        <v>46210</v>
      </c>
      <c r="K925" s="65">
        <v>4</v>
      </c>
      <c r="L925" s="65" t="s">
        <v>192</v>
      </c>
      <c r="M925" s="65" t="s">
        <v>184</v>
      </c>
      <c r="N925" s="65" t="b">
        <f>FALSE()</f>
        <v>0</v>
      </c>
      <c r="O925" s="65"/>
      <c r="P925" s="65"/>
      <c r="Q925" s="65" t="s">
        <v>236</v>
      </c>
      <c r="R925" s="65" t="s">
        <v>237</v>
      </c>
      <c r="S925" s="65"/>
      <c r="T925" s="65" t="b">
        <f>FALSE()</f>
        <v>0</v>
      </c>
      <c r="U925" s="65" t="b">
        <f>FALSE()</f>
        <v>0</v>
      </c>
      <c r="V925" s="65">
        <v>317</v>
      </c>
      <c r="W925" s="67" t="s">
        <v>259</v>
      </c>
      <c r="X925" s="65">
        <v>429</v>
      </c>
      <c r="Y925" s="68">
        <v>2.66</v>
      </c>
      <c r="Z925" s="65" t="b">
        <f>FALSE()</f>
        <v>0</v>
      </c>
      <c r="AA925" s="65" t="b">
        <f>TRUE()</f>
        <v>1</v>
      </c>
      <c r="AB925" s="65" t="b">
        <f>FALSE()</f>
        <v>0</v>
      </c>
      <c r="AC925" s="65" t="b">
        <f>FALSE()</f>
        <v>0</v>
      </c>
      <c r="AD925" s="65" t="b">
        <f>TRUE()</f>
        <v>1</v>
      </c>
      <c r="AE925" s="65">
        <v>3</v>
      </c>
      <c r="AF925" s="69">
        <v>42.9</v>
      </c>
      <c r="AG925" s="65" t="s">
        <v>73</v>
      </c>
      <c r="AH925" s="65" t="s">
        <v>3321</v>
      </c>
      <c r="AI925">
        <f>IF(AND(OR(Company_Explorer!$B$5="All Companies",$E925=Company_Explorer!$B$5),OR(Company_Explorer!$B$6="All Platforms",$B925=Company_Explorer!$B$6),OR(Company_Explorer!$B$7="All Roles",$D925=Company_Explorer!$B$7),OR(Company_Explorer!$B$8="All Ghost Labels",$AG925=Company_Explorer!$B$8)),1,0)</f>
        <v>0</v>
      </c>
    </row>
    <row r="926" spans="1:35" ht="15" customHeight="1" x14ac:dyDescent="0.3">
      <c r="A926" s="60" t="s">
        <v>3322</v>
      </c>
      <c r="B926" s="60" t="s">
        <v>80</v>
      </c>
      <c r="C926" s="60" t="s">
        <v>3323</v>
      </c>
      <c r="D926" s="60" t="s">
        <v>129</v>
      </c>
      <c r="E926" s="60" t="s">
        <v>3324</v>
      </c>
      <c r="F926" s="60" t="b">
        <f>TRUE()</f>
        <v>1</v>
      </c>
      <c r="G926" s="60" t="s">
        <v>170</v>
      </c>
      <c r="H926" s="60" t="s">
        <v>165</v>
      </c>
      <c r="I926" s="61">
        <v>45930</v>
      </c>
      <c r="J926" s="61">
        <v>46210</v>
      </c>
      <c r="K926" s="60">
        <v>280</v>
      </c>
      <c r="L926" s="60" t="s">
        <v>192</v>
      </c>
      <c r="M926" s="60" t="s">
        <v>186</v>
      </c>
      <c r="N926" s="60" t="b">
        <f>TRUE()</f>
        <v>1</v>
      </c>
      <c r="O926" s="70">
        <v>300000</v>
      </c>
      <c r="P926" s="70">
        <v>500000</v>
      </c>
      <c r="Q926" s="60" t="s">
        <v>332</v>
      </c>
      <c r="R926" s="60" t="s">
        <v>237</v>
      </c>
      <c r="S926" s="60"/>
      <c r="T926" s="60" t="b">
        <f>FALSE()</f>
        <v>0</v>
      </c>
      <c r="U926" s="60" t="b">
        <f>FALSE()</f>
        <v>0</v>
      </c>
      <c r="V926" s="60">
        <v>100</v>
      </c>
      <c r="W926" s="62" t="s">
        <v>3325</v>
      </c>
      <c r="X926" s="60">
        <v>1</v>
      </c>
      <c r="Y926" s="63">
        <v>0.01</v>
      </c>
      <c r="Z926" s="60" t="b">
        <f>FALSE()</f>
        <v>0</v>
      </c>
      <c r="AA926" s="60" t="b">
        <f>FALSE()</f>
        <v>0</v>
      </c>
      <c r="AB926" s="60" t="b">
        <f>TRUE()</f>
        <v>1</v>
      </c>
      <c r="AC926" s="60" t="b">
        <f>TRUE()</f>
        <v>1</v>
      </c>
      <c r="AD926" s="60" t="b">
        <f>FALSE()</f>
        <v>0</v>
      </c>
      <c r="AE926" s="60">
        <v>2</v>
      </c>
      <c r="AF926" s="64">
        <v>28.6</v>
      </c>
      <c r="AG926" s="60" t="s">
        <v>73</v>
      </c>
      <c r="AH926" s="60" t="s">
        <v>3326</v>
      </c>
      <c r="AI926">
        <f>IF(AND(OR(Company_Explorer!$B$5="All Companies",$E926=Company_Explorer!$B$5),OR(Company_Explorer!$B$6="All Platforms",$B926=Company_Explorer!$B$6),OR(Company_Explorer!$B$7="All Roles",$D926=Company_Explorer!$B$7),OR(Company_Explorer!$B$8="All Ghost Labels",$AG926=Company_Explorer!$B$8)),1,0)</f>
        <v>0</v>
      </c>
    </row>
    <row r="927" spans="1:35" ht="15" customHeight="1" x14ac:dyDescent="0.3">
      <c r="A927" s="65" t="s">
        <v>3327</v>
      </c>
      <c r="B927" s="65" t="s">
        <v>80</v>
      </c>
      <c r="C927" s="65" t="s">
        <v>3328</v>
      </c>
      <c r="D927" s="65" t="s">
        <v>129</v>
      </c>
      <c r="E927" s="65" t="s">
        <v>3329</v>
      </c>
      <c r="F927" s="65" t="b">
        <f>TRUE()</f>
        <v>1</v>
      </c>
      <c r="G927" s="65" t="s">
        <v>585</v>
      </c>
      <c r="H927" s="65" t="s">
        <v>178</v>
      </c>
      <c r="I927" s="66">
        <v>45930</v>
      </c>
      <c r="J927" s="66">
        <v>46210</v>
      </c>
      <c r="K927" s="65">
        <v>280</v>
      </c>
      <c r="L927" s="65" t="s">
        <v>192</v>
      </c>
      <c r="M927" s="65" t="s">
        <v>185</v>
      </c>
      <c r="N927" s="65" t="b">
        <f>TRUE()</f>
        <v>1</v>
      </c>
      <c r="O927" s="71">
        <v>800000</v>
      </c>
      <c r="P927" s="71">
        <v>1200000</v>
      </c>
      <c r="Q927" s="65" t="s">
        <v>332</v>
      </c>
      <c r="R927" s="65" t="s">
        <v>237</v>
      </c>
      <c r="S927" s="65"/>
      <c r="T927" s="65" t="b">
        <f>FALSE()</f>
        <v>0</v>
      </c>
      <c r="U927" s="65" t="b">
        <f>FALSE()</f>
        <v>0</v>
      </c>
      <c r="V927" s="65">
        <v>99</v>
      </c>
      <c r="W927" s="67" t="s">
        <v>3330</v>
      </c>
      <c r="X927" s="65">
        <v>1</v>
      </c>
      <c r="Y927" s="68">
        <v>0.01</v>
      </c>
      <c r="Z927" s="65" t="b">
        <f>FALSE()</f>
        <v>0</v>
      </c>
      <c r="AA927" s="65" t="b">
        <f>FALSE()</f>
        <v>0</v>
      </c>
      <c r="AB927" s="65" t="b">
        <f>TRUE()</f>
        <v>1</v>
      </c>
      <c r="AC927" s="65" t="b">
        <f>TRUE()</f>
        <v>1</v>
      </c>
      <c r="AD927" s="65" t="b">
        <f>FALSE()</f>
        <v>0</v>
      </c>
      <c r="AE927" s="65">
        <v>2</v>
      </c>
      <c r="AF927" s="69">
        <v>28.6</v>
      </c>
      <c r="AG927" s="65" t="s">
        <v>73</v>
      </c>
      <c r="AH927" s="65" t="s">
        <v>3331</v>
      </c>
      <c r="AI927">
        <f>IF(AND(OR(Company_Explorer!$B$5="All Companies",$E927=Company_Explorer!$B$5),OR(Company_Explorer!$B$6="All Platforms",$B927=Company_Explorer!$B$6),OR(Company_Explorer!$B$7="All Roles",$D927=Company_Explorer!$B$7),OR(Company_Explorer!$B$8="All Ghost Labels",$AG927=Company_Explorer!$B$8)),1,0)</f>
        <v>0</v>
      </c>
    </row>
    <row r="928" spans="1:35" ht="15" customHeight="1" x14ac:dyDescent="0.3">
      <c r="A928" s="60" t="s">
        <v>3332</v>
      </c>
      <c r="B928" s="60" t="s">
        <v>80</v>
      </c>
      <c r="C928" s="60" t="s">
        <v>258</v>
      </c>
      <c r="D928" s="60" t="s">
        <v>125</v>
      </c>
      <c r="E928" s="60" t="s">
        <v>141</v>
      </c>
      <c r="F928" s="60" t="b">
        <f>TRUE()</f>
        <v>1</v>
      </c>
      <c r="G928" s="60" t="s">
        <v>170</v>
      </c>
      <c r="H928" s="60" t="s">
        <v>165</v>
      </c>
      <c r="I928" s="61">
        <v>46198</v>
      </c>
      <c r="J928" s="61">
        <v>46210</v>
      </c>
      <c r="K928" s="60">
        <v>12</v>
      </c>
      <c r="L928" s="60" t="s">
        <v>192</v>
      </c>
      <c r="M928" s="60" t="s">
        <v>184</v>
      </c>
      <c r="N928" s="60" t="b">
        <f>FALSE()</f>
        <v>0</v>
      </c>
      <c r="O928" s="60"/>
      <c r="P928" s="60"/>
      <c r="Q928" s="60" t="s">
        <v>236</v>
      </c>
      <c r="R928" s="60" t="s">
        <v>237</v>
      </c>
      <c r="S928" s="60"/>
      <c r="T928" s="60" t="b">
        <f>FALSE()</f>
        <v>0</v>
      </c>
      <c r="U928" s="60" t="b">
        <f>FALSE()</f>
        <v>0</v>
      </c>
      <c r="V928" s="60">
        <v>338</v>
      </c>
      <c r="W928" s="62" t="s">
        <v>259</v>
      </c>
      <c r="X928" s="60">
        <v>429</v>
      </c>
      <c r="Y928" s="63">
        <v>2.66</v>
      </c>
      <c r="Z928" s="60" t="b">
        <f>FALSE()</f>
        <v>0</v>
      </c>
      <c r="AA928" s="60" t="b">
        <f>TRUE()</f>
        <v>1</v>
      </c>
      <c r="AB928" s="60" t="b">
        <f>FALSE()</f>
        <v>0</v>
      </c>
      <c r="AC928" s="60" t="b">
        <f>FALSE()</f>
        <v>0</v>
      </c>
      <c r="AD928" s="60" t="b">
        <f>TRUE()</f>
        <v>1</v>
      </c>
      <c r="AE928" s="60">
        <v>3</v>
      </c>
      <c r="AF928" s="64">
        <v>42.9</v>
      </c>
      <c r="AG928" s="60" t="s">
        <v>73</v>
      </c>
      <c r="AH928" s="60" t="s">
        <v>3333</v>
      </c>
      <c r="AI928">
        <f>IF(AND(OR(Company_Explorer!$B$5="All Companies",$E928=Company_Explorer!$B$5),OR(Company_Explorer!$B$6="All Platforms",$B928=Company_Explorer!$B$6),OR(Company_Explorer!$B$7="All Roles",$D928=Company_Explorer!$B$7),OR(Company_Explorer!$B$8="All Ghost Labels",$AG928=Company_Explorer!$B$8)),1,0)</f>
        <v>0</v>
      </c>
    </row>
    <row r="929" spans="1:35" ht="15" customHeight="1" x14ac:dyDescent="0.3">
      <c r="A929" s="65" t="s">
        <v>3334</v>
      </c>
      <c r="B929" s="65" t="s">
        <v>80</v>
      </c>
      <c r="C929" s="65" t="s">
        <v>258</v>
      </c>
      <c r="D929" s="65" t="s">
        <v>125</v>
      </c>
      <c r="E929" s="65" t="s">
        <v>141</v>
      </c>
      <c r="F929" s="65" t="b">
        <f>TRUE()</f>
        <v>1</v>
      </c>
      <c r="G929" s="65" t="s">
        <v>173</v>
      </c>
      <c r="H929" s="65" t="s">
        <v>827</v>
      </c>
      <c r="I929" s="66">
        <v>46198</v>
      </c>
      <c r="J929" s="66">
        <v>46210</v>
      </c>
      <c r="K929" s="65">
        <v>12</v>
      </c>
      <c r="L929" s="65" t="s">
        <v>192</v>
      </c>
      <c r="M929" s="65" t="s">
        <v>184</v>
      </c>
      <c r="N929" s="65" t="b">
        <f>FALSE()</f>
        <v>0</v>
      </c>
      <c r="O929" s="65"/>
      <c r="P929" s="65"/>
      <c r="Q929" s="65" t="s">
        <v>236</v>
      </c>
      <c r="R929" s="65" t="s">
        <v>237</v>
      </c>
      <c r="S929" s="65"/>
      <c r="T929" s="65" t="b">
        <f>FALSE()</f>
        <v>0</v>
      </c>
      <c r="U929" s="65" t="b">
        <f>FALSE()</f>
        <v>0</v>
      </c>
      <c r="V929" s="65">
        <v>751</v>
      </c>
      <c r="W929" s="67" t="s">
        <v>259</v>
      </c>
      <c r="X929" s="65">
        <v>429</v>
      </c>
      <c r="Y929" s="68">
        <v>2.66</v>
      </c>
      <c r="Z929" s="65" t="b">
        <f>FALSE()</f>
        <v>0</v>
      </c>
      <c r="AA929" s="65" t="b">
        <f>TRUE()</f>
        <v>1</v>
      </c>
      <c r="AB929" s="65" t="b">
        <f>FALSE()</f>
        <v>0</v>
      </c>
      <c r="AC929" s="65" t="b">
        <f>FALSE()</f>
        <v>0</v>
      </c>
      <c r="AD929" s="65" t="b">
        <f>TRUE()</f>
        <v>1</v>
      </c>
      <c r="AE929" s="65">
        <v>3</v>
      </c>
      <c r="AF929" s="69">
        <v>42.9</v>
      </c>
      <c r="AG929" s="65" t="s">
        <v>73</v>
      </c>
      <c r="AH929" s="65" t="s">
        <v>3335</v>
      </c>
      <c r="AI929">
        <f>IF(AND(OR(Company_Explorer!$B$5="All Companies",$E929=Company_Explorer!$B$5),OR(Company_Explorer!$B$6="All Platforms",$B929=Company_Explorer!$B$6),OR(Company_Explorer!$B$7="All Roles",$D929=Company_Explorer!$B$7),OR(Company_Explorer!$B$8="All Ghost Labels",$AG929=Company_Explorer!$B$8)),1,0)</f>
        <v>0</v>
      </c>
    </row>
    <row r="930" spans="1:35" ht="15" customHeight="1" x14ac:dyDescent="0.3">
      <c r="A930" s="60" t="s">
        <v>3336</v>
      </c>
      <c r="B930" s="60" t="s">
        <v>80</v>
      </c>
      <c r="C930" s="60" t="s">
        <v>3337</v>
      </c>
      <c r="D930" s="60" t="s">
        <v>129</v>
      </c>
      <c r="E930" s="60" t="s">
        <v>3338</v>
      </c>
      <c r="F930" s="60" t="b">
        <f>TRUE()</f>
        <v>1</v>
      </c>
      <c r="G930" s="60" t="s">
        <v>325</v>
      </c>
      <c r="H930" s="60" t="s">
        <v>326</v>
      </c>
      <c r="I930" s="61">
        <v>45930</v>
      </c>
      <c r="J930" s="61">
        <v>46210</v>
      </c>
      <c r="K930" s="60">
        <v>280</v>
      </c>
      <c r="L930" s="60" t="s">
        <v>192</v>
      </c>
      <c r="M930" s="60" t="s">
        <v>184</v>
      </c>
      <c r="N930" s="60" t="b">
        <f>TRUE()</f>
        <v>1</v>
      </c>
      <c r="O930" s="70">
        <v>800000</v>
      </c>
      <c r="P930" s="70">
        <v>1200000</v>
      </c>
      <c r="Q930" s="60" t="s">
        <v>332</v>
      </c>
      <c r="R930" s="60" t="s">
        <v>237</v>
      </c>
      <c r="S930" s="60"/>
      <c r="T930" s="60" t="b">
        <f>FALSE()</f>
        <v>0</v>
      </c>
      <c r="U930" s="60" t="b">
        <f>FALSE()</f>
        <v>0</v>
      </c>
      <c r="V930" s="60">
        <v>156</v>
      </c>
      <c r="W930" s="62" t="s">
        <v>3339</v>
      </c>
      <c r="X930" s="60">
        <v>1</v>
      </c>
      <c r="Y930" s="63">
        <v>0.01</v>
      </c>
      <c r="Z930" s="60" t="b">
        <f>FALSE()</f>
        <v>0</v>
      </c>
      <c r="AA930" s="60" t="b">
        <f>FALSE()</f>
        <v>0</v>
      </c>
      <c r="AB930" s="60" t="b">
        <f>TRUE()</f>
        <v>1</v>
      </c>
      <c r="AC930" s="60" t="b">
        <f>TRUE()</f>
        <v>1</v>
      </c>
      <c r="AD930" s="60" t="b">
        <f>FALSE()</f>
        <v>0</v>
      </c>
      <c r="AE930" s="60">
        <v>2</v>
      </c>
      <c r="AF930" s="64">
        <v>28.6</v>
      </c>
      <c r="AG930" s="60" t="s">
        <v>73</v>
      </c>
      <c r="AH930" s="60" t="s">
        <v>3340</v>
      </c>
      <c r="AI930">
        <f>IF(AND(OR(Company_Explorer!$B$5="All Companies",$E930=Company_Explorer!$B$5),OR(Company_Explorer!$B$6="All Platforms",$B930=Company_Explorer!$B$6),OR(Company_Explorer!$B$7="All Roles",$D930=Company_Explorer!$B$7),OR(Company_Explorer!$B$8="All Ghost Labels",$AG930=Company_Explorer!$B$8)),1,0)</f>
        <v>0</v>
      </c>
    </row>
    <row r="931" spans="1:35" ht="15" customHeight="1" x14ac:dyDescent="0.3">
      <c r="A931" s="65" t="s">
        <v>3341</v>
      </c>
      <c r="B931" s="65" t="s">
        <v>80</v>
      </c>
      <c r="C931" s="65" t="s">
        <v>258</v>
      </c>
      <c r="D931" s="65" t="s">
        <v>125</v>
      </c>
      <c r="E931" s="65" t="s">
        <v>141</v>
      </c>
      <c r="F931" s="65" t="b">
        <f>TRUE()</f>
        <v>1</v>
      </c>
      <c r="G931" s="65" t="s">
        <v>171</v>
      </c>
      <c r="H931" s="65" t="s">
        <v>254</v>
      </c>
      <c r="I931" s="66">
        <v>46198</v>
      </c>
      <c r="J931" s="66">
        <v>46210</v>
      </c>
      <c r="K931" s="65">
        <v>12</v>
      </c>
      <c r="L931" s="65" t="s">
        <v>192</v>
      </c>
      <c r="M931" s="65" t="s">
        <v>184</v>
      </c>
      <c r="N931" s="65" t="b">
        <f>FALSE()</f>
        <v>0</v>
      </c>
      <c r="O931" s="65"/>
      <c r="P931" s="65"/>
      <c r="Q931" s="65" t="s">
        <v>236</v>
      </c>
      <c r="R931" s="65" t="s">
        <v>237</v>
      </c>
      <c r="S931" s="65"/>
      <c r="T931" s="65" t="b">
        <f>FALSE()</f>
        <v>0</v>
      </c>
      <c r="U931" s="65" t="b">
        <f>FALSE()</f>
        <v>0</v>
      </c>
      <c r="V931" s="65">
        <v>844</v>
      </c>
      <c r="W931" s="67" t="s">
        <v>259</v>
      </c>
      <c r="X931" s="65">
        <v>429</v>
      </c>
      <c r="Y931" s="68">
        <v>2.66</v>
      </c>
      <c r="Z931" s="65" t="b">
        <f>FALSE()</f>
        <v>0</v>
      </c>
      <c r="AA931" s="65" t="b">
        <f>TRUE()</f>
        <v>1</v>
      </c>
      <c r="AB931" s="65" t="b">
        <f>FALSE()</f>
        <v>0</v>
      </c>
      <c r="AC931" s="65" t="b">
        <f>FALSE()</f>
        <v>0</v>
      </c>
      <c r="AD931" s="65" t="b">
        <f>TRUE()</f>
        <v>1</v>
      </c>
      <c r="AE931" s="65">
        <v>3</v>
      </c>
      <c r="AF931" s="69">
        <v>42.9</v>
      </c>
      <c r="AG931" s="65" t="s">
        <v>73</v>
      </c>
      <c r="AH931" s="65" t="s">
        <v>3342</v>
      </c>
      <c r="AI931">
        <f>IF(AND(OR(Company_Explorer!$B$5="All Companies",$E931=Company_Explorer!$B$5),OR(Company_Explorer!$B$6="All Platforms",$B931=Company_Explorer!$B$6),OR(Company_Explorer!$B$7="All Roles",$D931=Company_Explorer!$B$7),OR(Company_Explorer!$B$8="All Ghost Labels",$AG931=Company_Explorer!$B$8)),1,0)</f>
        <v>0</v>
      </c>
    </row>
    <row r="932" spans="1:35" ht="15" customHeight="1" x14ac:dyDescent="0.3">
      <c r="A932" s="60" t="s">
        <v>3343</v>
      </c>
      <c r="B932" s="60" t="s">
        <v>80</v>
      </c>
      <c r="C932" s="60" t="s">
        <v>258</v>
      </c>
      <c r="D932" s="60" t="s">
        <v>125</v>
      </c>
      <c r="E932" s="60" t="s">
        <v>141</v>
      </c>
      <c r="F932" s="60" t="b">
        <f>TRUE()</f>
        <v>1</v>
      </c>
      <c r="G932" s="60" t="s">
        <v>168</v>
      </c>
      <c r="H932" s="60" t="s">
        <v>254</v>
      </c>
      <c r="I932" s="61">
        <v>46198</v>
      </c>
      <c r="J932" s="61">
        <v>46210</v>
      </c>
      <c r="K932" s="60">
        <v>12</v>
      </c>
      <c r="L932" s="60" t="s">
        <v>192</v>
      </c>
      <c r="M932" s="60" t="s">
        <v>184</v>
      </c>
      <c r="N932" s="60" t="b">
        <f>FALSE()</f>
        <v>0</v>
      </c>
      <c r="O932" s="60"/>
      <c r="P932" s="60"/>
      <c r="Q932" s="60" t="s">
        <v>236</v>
      </c>
      <c r="R932" s="60" t="s">
        <v>237</v>
      </c>
      <c r="S932" s="60"/>
      <c r="T932" s="60" t="b">
        <f>FALSE()</f>
        <v>0</v>
      </c>
      <c r="U932" s="60" t="b">
        <f>FALSE()</f>
        <v>0</v>
      </c>
      <c r="V932" s="60">
        <v>302</v>
      </c>
      <c r="W932" s="62" t="s">
        <v>259</v>
      </c>
      <c r="X932" s="60">
        <v>429</v>
      </c>
      <c r="Y932" s="63">
        <v>2.66</v>
      </c>
      <c r="Z932" s="60" t="b">
        <f>FALSE()</f>
        <v>0</v>
      </c>
      <c r="AA932" s="60" t="b">
        <f>TRUE()</f>
        <v>1</v>
      </c>
      <c r="AB932" s="60" t="b">
        <f>FALSE()</f>
        <v>0</v>
      </c>
      <c r="AC932" s="60" t="b">
        <f>FALSE()</f>
        <v>0</v>
      </c>
      <c r="AD932" s="60" t="b">
        <f>TRUE()</f>
        <v>1</v>
      </c>
      <c r="AE932" s="60">
        <v>3</v>
      </c>
      <c r="AF932" s="64">
        <v>42.9</v>
      </c>
      <c r="AG932" s="60" t="s">
        <v>73</v>
      </c>
      <c r="AH932" s="60" t="s">
        <v>3344</v>
      </c>
      <c r="AI932">
        <f>IF(AND(OR(Company_Explorer!$B$5="All Companies",$E932=Company_Explorer!$B$5),OR(Company_Explorer!$B$6="All Platforms",$B932=Company_Explorer!$B$6),OR(Company_Explorer!$B$7="All Roles",$D932=Company_Explorer!$B$7),OR(Company_Explorer!$B$8="All Ghost Labels",$AG932=Company_Explorer!$B$8)),1,0)</f>
        <v>0</v>
      </c>
    </row>
    <row r="933" spans="1:35" ht="15" customHeight="1" x14ac:dyDescent="0.3">
      <c r="A933" s="65" t="s">
        <v>3345</v>
      </c>
      <c r="B933" s="65" t="s">
        <v>80</v>
      </c>
      <c r="C933" s="65" t="s">
        <v>258</v>
      </c>
      <c r="D933" s="65" t="s">
        <v>125</v>
      </c>
      <c r="E933" s="65" t="s">
        <v>141</v>
      </c>
      <c r="F933" s="65" t="b">
        <f>TRUE()</f>
        <v>1</v>
      </c>
      <c r="G933" s="65" t="s">
        <v>170</v>
      </c>
      <c r="H933" s="65" t="s">
        <v>165</v>
      </c>
      <c r="I933" s="66">
        <v>46198</v>
      </c>
      <c r="J933" s="66">
        <v>46210</v>
      </c>
      <c r="K933" s="65">
        <v>12</v>
      </c>
      <c r="L933" s="65" t="s">
        <v>192</v>
      </c>
      <c r="M933" s="65" t="s">
        <v>184</v>
      </c>
      <c r="N933" s="65" t="b">
        <f>FALSE()</f>
        <v>0</v>
      </c>
      <c r="O933" s="65"/>
      <c r="P933" s="65"/>
      <c r="Q933" s="65" t="s">
        <v>236</v>
      </c>
      <c r="R933" s="65" t="s">
        <v>237</v>
      </c>
      <c r="S933" s="65"/>
      <c r="T933" s="65" t="b">
        <f>FALSE()</f>
        <v>0</v>
      </c>
      <c r="U933" s="65" t="b">
        <f>FALSE()</f>
        <v>0</v>
      </c>
      <c r="V933" s="65">
        <v>272</v>
      </c>
      <c r="W933" s="67" t="s">
        <v>3346</v>
      </c>
      <c r="X933" s="65">
        <v>429</v>
      </c>
      <c r="Y933" s="68">
        <v>2.66</v>
      </c>
      <c r="Z933" s="65" t="b">
        <f>FALSE()</f>
        <v>0</v>
      </c>
      <c r="AA933" s="65" t="b">
        <f>TRUE()</f>
        <v>1</v>
      </c>
      <c r="AB933" s="65" t="b">
        <f>TRUE()</f>
        <v>1</v>
      </c>
      <c r="AC933" s="65" t="b">
        <f>FALSE()</f>
        <v>0</v>
      </c>
      <c r="AD933" s="65" t="b">
        <f>TRUE()</f>
        <v>1</v>
      </c>
      <c r="AE933" s="65">
        <v>4</v>
      </c>
      <c r="AF933" s="69">
        <v>57.1</v>
      </c>
      <c r="AG933" s="65" t="s">
        <v>72</v>
      </c>
      <c r="AH933" s="65" t="s">
        <v>3347</v>
      </c>
      <c r="AI933">
        <f>IF(AND(OR(Company_Explorer!$B$5="All Companies",$E933=Company_Explorer!$B$5),OR(Company_Explorer!$B$6="All Platforms",$B933=Company_Explorer!$B$6),OR(Company_Explorer!$B$7="All Roles",$D933=Company_Explorer!$B$7),OR(Company_Explorer!$B$8="All Ghost Labels",$AG933=Company_Explorer!$B$8)),1,0)</f>
        <v>0</v>
      </c>
    </row>
    <row r="934" spans="1:35" ht="15" customHeight="1" x14ac:dyDescent="0.3">
      <c r="A934" s="60" t="s">
        <v>3348</v>
      </c>
      <c r="B934" s="60" t="s">
        <v>80</v>
      </c>
      <c r="C934" s="60" t="s">
        <v>3349</v>
      </c>
      <c r="D934" s="60" t="s">
        <v>129</v>
      </c>
      <c r="E934" s="60" t="s">
        <v>2642</v>
      </c>
      <c r="F934" s="60" t="b">
        <f>TRUE()</f>
        <v>1</v>
      </c>
      <c r="G934" s="60" t="s">
        <v>179</v>
      </c>
      <c r="H934" s="60" t="s">
        <v>254</v>
      </c>
      <c r="I934" s="61">
        <v>45930</v>
      </c>
      <c r="J934" s="61">
        <v>46210</v>
      </c>
      <c r="K934" s="60">
        <v>280</v>
      </c>
      <c r="L934" s="60" t="s">
        <v>192</v>
      </c>
      <c r="M934" s="60" t="s">
        <v>186</v>
      </c>
      <c r="N934" s="60" t="b">
        <f>FALSE()</f>
        <v>0</v>
      </c>
      <c r="O934" s="60"/>
      <c r="P934" s="60"/>
      <c r="Q934" s="60" t="s">
        <v>236</v>
      </c>
      <c r="R934" s="60" t="s">
        <v>237</v>
      </c>
      <c r="S934" s="60"/>
      <c r="T934" s="60" t="b">
        <f>FALSE()</f>
        <v>0</v>
      </c>
      <c r="U934" s="60" t="b">
        <f>FALSE()</f>
        <v>0</v>
      </c>
      <c r="V934" s="60">
        <v>137</v>
      </c>
      <c r="W934" s="62" t="s">
        <v>3350</v>
      </c>
      <c r="X934" s="60">
        <v>2</v>
      </c>
      <c r="Y934" s="63">
        <v>0.01</v>
      </c>
      <c r="Z934" s="60" t="b">
        <f>FALSE()</f>
        <v>0</v>
      </c>
      <c r="AA934" s="60" t="b">
        <f>TRUE()</f>
        <v>1</v>
      </c>
      <c r="AB934" s="60" t="b">
        <f>TRUE()</f>
        <v>1</v>
      </c>
      <c r="AC934" s="60" t="b">
        <f>TRUE()</f>
        <v>1</v>
      </c>
      <c r="AD934" s="60" t="b">
        <f>FALSE()</f>
        <v>0</v>
      </c>
      <c r="AE934" s="60">
        <v>3</v>
      </c>
      <c r="AF934" s="64">
        <v>42.9</v>
      </c>
      <c r="AG934" s="60" t="s">
        <v>73</v>
      </c>
      <c r="AH934" s="60" t="s">
        <v>3351</v>
      </c>
      <c r="AI934">
        <f>IF(AND(OR(Company_Explorer!$B$5="All Companies",$E934=Company_Explorer!$B$5),OR(Company_Explorer!$B$6="All Platforms",$B934=Company_Explorer!$B$6),OR(Company_Explorer!$B$7="All Roles",$D934=Company_Explorer!$B$7),OR(Company_Explorer!$B$8="All Ghost Labels",$AG934=Company_Explorer!$B$8)),1,0)</f>
        <v>0</v>
      </c>
    </row>
    <row r="935" spans="1:35" ht="15" customHeight="1" x14ac:dyDescent="0.3">
      <c r="A935" s="65" t="s">
        <v>3352</v>
      </c>
      <c r="B935" s="65" t="s">
        <v>80</v>
      </c>
      <c r="C935" s="65" t="s">
        <v>306</v>
      </c>
      <c r="D935" s="65" t="s">
        <v>125</v>
      </c>
      <c r="E935" s="65" t="s">
        <v>3353</v>
      </c>
      <c r="F935" s="65" t="b">
        <f>TRUE()</f>
        <v>1</v>
      </c>
      <c r="G935" s="65" t="s">
        <v>3354</v>
      </c>
      <c r="H935" s="65" t="s">
        <v>254</v>
      </c>
      <c r="I935" s="66">
        <v>46198</v>
      </c>
      <c r="J935" s="66">
        <v>46210</v>
      </c>
      <c r="K935" s="65">
        <v>12</v>
      </c>
      <c r="L935" s="65" t="s">
        <v>192</v>
      </c>
      <c r="M935" s="65" t="s">
        <v>185</v>
      </c>
      <c r="N935" s="65" t="b">
        <f>FALSE()</f>
        <v>0</v>
      </c>
      <c r="O935" s="65"/>
      <c r="P935" s="65"/>
      <c r="Q935" s="65" t="s">
        <v>236</v>
      </c>
      <c r="R935" s="65" t="s">
        <v>237</v>
      </c>
      <c r="S935" s="65"/>
      <c r="T935" s="65" t="b">
        <f>FALSE()</f>
        <v>0</v>
      </c>
      <c r="U935" s="65" t="b">
        <f>FALSE()</f>
        <v>0</v>
      </c>
      <c r="V935" s="65">
        <v>343</v>
      </c>
      <c r="W935" s="67" t="s">
        <v>3355</v>
      </c>
      <c r="X935" s="65">
        <v>1</v>
      </c>
      <c r="Y935" s="68">
        <v>0.01</v>
      </c>
      <c r="Z935" s="65" t="b">
        <f>FALSE()</f>
        <v>0</v>
      </c>
      <c r="AA935" s="65" t="b">
        <f>TRUE()</f>
        <v>1</v>
      </c>
      <c r="AB935" s="65" t="b">
        <f>FALSE()</f>
        <v>0</v>
      </c>
      <c r="AC935" s="65" t="b">
        <f>FALSE()</f>
        <v>0</v>
      </c>
      <c r="AD935" s="65" t="b">
        <f>FALSE()</f>
        <v>0</v>
      </c>
      <c r="AE935" s="65">
        <v>1</v>
      </c>
      <c r="AF935" s="69">
        <v>14.3</v>
      </c>
      <c r="AG935" s="65" t="s">
        <v>74</v>
      </c>
      <c r="AH935" s="65" t="s">
        <v>3356</v>
      </c>
      <c r="AI935">
        <f>IF(AND(OR(Company_Explorer!$B$5="All Companies",$E935=Company_Explorer!$B$5),OR(Company_Explorer!$B$6="All Platforms",$B935=Company_Explorer!$B$6),OR(Company_Explorer!$B$7="All Roles",$D935=Company_Explorer!$B$7),OR(Company_Explorer!$B$8="All Ghost Labels",$AG935=Company_Explorer!$B$8)),1,0)</f>
        <v>0</v>
      </c>
    </row>
    <row r="936" spans="1:35" ht="15" customHeight="1" x14ac:dyDescent="0.3">
      <c r="A936" s="60" t="s">
        <v>3357</v>
      </c>
      <c r="B936" s="60" t="s">
        <v>80</v>
      </c>
      <c r="C936" s="60" t="s">
        <v>3358</v>
      </c>
      <c r="D936" s="60" t="s">
        <v>131</v>
      </c>
      <c r="E936" s="60" t="s">
        <v>149</v>
      </c>
      <c r="F936" s="60" t="b">
        <f>TRUE()</f>
        <v>1</v>
      </c>
      <c r="G936" s="60" t="s">
        <v>167</v>
      </c>
      <c r="H936" s="60" t="s">
        <v>276</v>
      </c>
      <c r="I936" s="61">
        <v>46202</v>
      </c>
      <c r="J936" s="61">
        <v>46210</v>
      </c>
      <c r="K936" s="60">
        <v>8</v>
      </c>
      <c r="L936" s="60" t="s">
        <v>192</v>
      </c>
      <c r="M936" s="60" t="s">
        <v>185</v>
      </c>
      <c r="N936" s="60" t="b">
        <f>FALSE()</f>
        <v>0</v>
      </c>
      <c r="O936" s="60"/>
      <c r="P936" s="60"/>
      <c r="Q936" s="60" t="s">
        <v>236</v>
      </c>
      <c r="R936" s="60" t="s">
        <v>237</v>
      </c>
      <c r="S936" s="60"/>
      <c r="T936" s="60" t="b">
        <f>FALSE()</f>
        <v>0</v>
      </c>
      <c r="U936" s="60" t="b">
        <f>FALSE()</f>
        <v>0</v>
      </c>
      <c r="V936" s="60">
        <v>446</v>
      </c>
      <c r="W936" s="60" t="s">
        <v>3359</v>
      </c>
      <c r="X936" s="60">
        <v>2</v>
      </c>
      <c r="Y936" s="63">
        <v>0.01</v>
      </c>
      <c r="Z936" s="60" t="b">
        <f>FALSE()</f>
        <v>0</v>
      </c>
      <c r="AA936" s="60" t="b">
        <f>TRUE()</f>
        <v>1</v>
      </c>
      <c r="AB936" s="60" t="b">
        <f>FALSE()</f>
        <v>0</v>
      </c>
      <c r="AC936" s="60" t="b">
        <f>FALSE()</f>
        <v>0</v>
      </c>
      <c r="AD936" s="60" t="b">
        <f>FALSE()</f>
        <v>0</v>
      </c>
      <c r="AE936" s="60">
        <v>1</v>
      </c>
      <c r="AF936" s="64">
        <v>14.3</v>
      </c>
      <c r="AG936" s="60" t="s">
        <v>74</v>
      </c>
      <c r="AH936" s="60" t="s">
        <v>3360</v>
      </c>
      <c r="AI936">
        <f>IF(AND(OR(Company_Explorer!$B$5="All Companies",$E936=Company_Explorer!$B$5),OR(Company_Explorer!$B$6="All Platforms",$B936=Company_Explorer!$B$6),OR(Company_Explorer!$B$7="All Roles",$D936=Company_Explorer!$B$7),OR(Company_Explorer!$B$8="All Ghost Labels",$AG936=Company_Explorer!$B$8)),1,0)</f>
        <v>0</v>
      </c>
    </row>
    <row r="937" spans="1:35" ht="15" customHeight="1" x14ac:dyDescent="0.3">
      <c r="A937" s="65" t="s">
        <v>3361</v>
      </c>
      <c r="B937" s="65" t="s">
        <v>80</v>
      </c>
      <c r="C937" s="65" t="s">
        <v>2553</v>
      </c>
      <c r="D937" s="65" t="s">
        <v>125</v>
      </c>
      <c r="E937" s="65" t="s">
        <v>3362</v>
      </c>
      <c r="F937" s="65" t="b">
        <f>TRUE()</f>
        <v>1</v>
      </c>
      <c r="G937" s="65" t="s">
        <v>598</v>
      </c>
      <c r="H937" s="65" t="s">
        <v>598</v>
      </c>
      <c r="I937" s="66">
        <v>45930</v>
      </c>
      <c r="J937" s="66">
        <v>46210</v>
      </c>
      <c r="K937" s="65">
        <v>280</v>
      </c>
      <c r="L937" s="65" t="s">
        <v>192</v>
      </c>
      <c r="M937" s="65" t="s">
        <v>184</v>
      </c>
      <c r="N937" s="65" t="b">
        <f>TRUE()</f>
        <v>1</v>
      </c>
      <c r="O937" s="71">
        <v>300000</v>
      </c>
      <c r="P937" s="71">
        <v>600000</v>
      </c>
      <c r="Q937" s="65" t="s">
        <v>332</v>
      </c>
      <c r="R937" s="65" t="s">
        <v>237</v>
      </c>
      <c r="S937" s="65"/>
      <c r="T937" s="65" t="b">
        <f>FALSE()</f>
        <v>0</v>
      </c>
      <c r="U937" s="65" t="b">
        <f>FALSE()</f>
        <v>0</v>
      </c>
      <c r="V937" s="65">
        <v>149</v>
      </c>
      <c r="W937" s="67" t="s">
        <v>3363</v>
      </c>
      <c r="X937" s="65">
        <v>1</v>
      </c>
      <c r="Y937" s="68">
        <v>0.01</v>
      </c>
      <c r="Z937" s="65" t="b">
        <f>FALSE()</f>
        <v>0</v>
      </c>
      <c r="AA937" s="65" t="b">
        <f>FALSE()</f>
        <v>0</v>
      </c>
      <c r="AB937" s="65" t="b">
        <f>TRUE()</f>
        <v>1</v>
      </c>
      <c r="AC937" s="65" t="b">
        <f>TRUE()</f>
        <v>1</v>
      </c>
      <c r="AD937" s="65" t="b">
        <f>FALSE()</f>
        <v>0</v>
      </c>
      <c r="AE937" s="65">
        <v>2</v>
      </c>
      <c r="AF937" s="69">
        <v>28.6</v>
      </c>
      <c r="AG937" s="65" t="s">
        <v>73</v>
      </c>
      <c r="AH937" s="65" t="s">
        <v>3364</v>
      </c>
      <c r="AI937">
        <f>IF(AND(OR(Company_Explorer!$B$5="All Companies",$E937=Company_Explorer!$B$5),OR(Company_Explorer!$B$6="All Platforms",$B937=Company_Explorer!$B$6),OR(Company_Explorer!$B$7="All Roles",$D937=Company_Explorer!$B$7),OR(Company_Explorer!$B$8="All Ghost Labels",$AG937=Company_Explorer!$B$8)),1,0)</f>
        <v>0</v>
      </c>
    </row>
    <row r="938" spans="1:35" ht="15" customHeight="1" x14ac:dyDescent="0.3">
      <c r="A938" s="60" t="s">
        <v>3365</v>
      </c>
      <c r="B938" s="60" t="s">
        <v>80</v>
      </c>
      <c r="C938" s="60" t="s">
        <v>3366</v>
      </c>
      <c r="D938" s="60" t="s">
        <v>125</v>
      </c>
      <c r="E938" s="60" t="s">
        <v>158</v>
      </c>
      <c r="F938" s="60" t="b">
        <f>TRUE()</f>
        <v>1</v>
      </c>
      <c r="G938" s="60" t="s">
        <v>178</v>
      </c>
      <c r="H938" s="60" t="s">
        <v>165</v>
      </c>
      <c r="I938" s="61">
        <v>46206</v>
      </c>
      <c r="J938" s="61">
        <v>46210</v>
      </c>
      <c r="K938" s="60">
        <v>4</v>
      </c>
      <c r="L938" s="60" t="s">
        <v>192</v>
      </c>
      <c r="M938" s="60" t="s">
        <v>184</v>
      </c>
      <c r="N938" s="60" t="b">
        <f>FALSE()</f>
        <v>0</v>
      </c>
      <c r="O938" s="60"/>
      <c r="P938" s="60"/>
      <c r="Q938" s="60" t="s">
        <v>236</v>
      </c>
      <c r="R938" s="60" t="s">
        <v>237</v>
      </c>
      <c r="S938" s="60"/>
      <c r="T938" s="60" t="b">
        <f>FALSE()</f>
        <v>0</v>
      </c>
      <c r="U938" s="60" t="b">
        <f>FALSE()</f>
        <v>0</v>
      </c>
      <c r="V938" s="60">
        <v>153</v>
      </c>
      <c r="W938" s="62" t="s">
        <v>3367</v>
      </c>
      <c r="X938" s="60">
        <v>14</v>
      </c>
      <c r="Y938" s="63">
        <v>0.09</v>
      </c>
      <c r="Z938" s="60" t="b">
        <f>FALSE()</f>
        <v>0</v>
      </c>
      <c r="AA938" s="60" t="b">
        <f>TRUE()</f>
        <v>1</v>
      </c>
      <c r="AB938" s="60" t="b">
        <f>TRUE()</f>
        <v>1</v>
      </c>
      <c r="AC938" s="60" t="b">
        <f>FALSE()</f>
        <v>0</v>
      </c>
      <c r="AD938" s="60" t="b">
        <f>FALSE()</f>
        <v>0</v>
      </c>
      <c r="AE938" s="60">
        <v>2</v>
      </c>
      <c r="AF938" s="64">
        <v>28.6</v>
      </c>
      <c r="AG938" s="60" t="s">
        <v>73</v>
      </c>
      <c r="AH938" s="60" t="s">
        <v>3368</v>
      </c>
      <c r="AI938">
        <f>IF(AND(OR(Company_Explorer!$B$5="All Companies",$E938=Company_Explorer!$B$5),OR(Company_Explorer!$B$6="All Platforms",$B938=Company_Explorer!$B$6),OR(Company_Explorer!$B$7="All Roles",$D938=Company_Explorer!$B$7),OR(Company_Explorer!$B$8="All Ghost Labels",$AG938=Company_Explorer!$B$8)),1,0)</f>
        <v>0</v>
      </c>
    </row>
    <row r="939" spans="1:35" ht="15" customHeight="1" x14ac:dyDescent="0.3">
      <c r="A939" s="65" t="s">
        <v>3369</v>
      </c>
      <c r="B939" s="65" t="s">
        <v>80</v>
      </c>
      <c r="C939" s="65" t="s">
        <v>258</v>
      </c>
      <c r="D939" s="65" t="s">
        <v>125</v>
      </c>
      <c r="E939" s="65" t="s">
        <v>141</v>
      </c>
      <c r="F939" s="65" t="b">
        <f>TRUE()</f>
        <v>1</v>
      </c>
      <c r="G939" s="65" t="s">
        <v>170</v>
      </c>
      <c r="H939" s="65" t="s">
        <v>165</v>
      </c>
      <c r="I939" s="66">
        <v>46198</v>
      </c>
      <c r="J939" s="66">
        <v>46210</v>
      </c>
      <c r="K939" s="65">
        <v>12</v>
      </c>
      <c r="L939" s="65" t="s">
        <v>192</v>
      </c>
      <c r="M939" s="65" t="s">
        <v>184</v>
      </c>
      <c r="N939" s="65" t="b">
        <f>FALSE()</f>
        <v>0</v>
      </c>
      <c r="O939" s="65"/>
      <c r="P939" s="65"/>
      <c r="Q939" s="65" t="s">
        <v>236</v>
      </c>
      <c r="R939" s="65" t="s">
        <v>237</v>
      </c>
      <c r="S939" s="65"/>
      <c r="T939" s="65" t="b">
        <f>FALSE()</f>
        <v>0</v>
      </c>
      <c r="U939" s="65" t="b">
        <f>FALSE()</f>
        <v>0</v>
      </c>
      <c r="V939" s="65">
        <v>279</v>
      </c>
      <c r="W939" s="67" t="s">
        <v>3370</v>
      </c>
      <c r="X939" s="65">
        <v>429</v>
      </c>
      <c r="Y939" s="68">
        <v>2.66</v>
      </c>
      <c r="Z939" s="65" t="b">
        <f>FALSE()</f>
        <v>0</v>
      </c>
      <c r="AA939" s="65" t="b">
        <f>TRUE()</f>
        <v>1</v>
      </c>
      <c r="AB939" s="65" t="b">
        <f>FALSE()</f>
        <v>0</v>
      </c>
      <c r="AC939" s="65" t="b">
        <f>FALSE()</f>
        <v>0</v>
      </c>
      <c r="AD939" s="65" t="b">
        <f>TRUE()</f>
        <v>1</v>
      </c>
      <c r="AE939" s="65">
        <v>3</v>
      </c>
      <c r="AF939" s="69">
        <v>42.9</v>
      </c>
      <c r="AG939" s="65" t="s">
        <v>73</v>
      </c>
      <c r="AH939" s="65" t="s">
        <v>3371</v>
      </c>
      <c r="AI939">
        <f>IF(AND(OR(Company_Explorer!$B$5="All Companies",$E939=Company_Explorer!$B$5),OR(Company_Explorer!$B$6="All Platforms",$B939=Company_Explorer!$B$6),OR(Company_Explorer!$B$7="All Roles",$D939=Company_Explorer!$B$7),OR(Company_Explorer!$B$8="All Ghost Labels",$AG939=Company_Explorer!$B$8)),1,0)</f>
        <v>0</v>
      </c>
    </row>
    <row r="940" spans="1:35" ht="15" customHeight="1" x14ac:dyDescent="0.3">
      <c r="A940" s="60" t="s">
        <v>3372</v>
      </c>
      <c r="B940" s="60" t="s">
        <v>80</v>
      </c>
      <c r="C940" s="60" t="s">
        <v>3373</v>
      </c>
      <c r="D940" s="60" t="s">
        <v>125</v>
      </c>
      <c r="E940" s="60" t="s">
        <v>3374</v>
      </c>
      <c r="F940" s="60" t="b">
        <f>TRUE()</f>
        <v>1</v>
      </c>
      <c r="G940" s="60" t="s">
        <v>168</v>
      </c>
      <c r="H940" s="60" t="s">
        <v>254</v>
      </c>
      <c r="I940" s="61">
        <v>46210</v>
      </c>
      <c r="J940" s="61">
        <v>46210</v>
      </c>
      <c r="K940" s="60">
        <v>0</v>
      </c>
      <c r="L940" s="60" t="s">
        <v>192</v>
      </c>
      <c r="M940" s="60" t="s">
        <v>185</v>
      </c>
      <c r="N940" s="60" t="b">
        <f>FALSE()</f>
        <v>0</v>
      </c>
      <c r="O940" s="60"/>
      <c r="P940" s="60"/>
      <c r="Q940" s="60" t="s">
        <v>236</v>
      </c>
      <c r="R940" s="60" t="s">
        <v>237</v>
      </c>
      <c r="S940" s="60"/>
      <c r="T940" s="60" t="b">
        <f>FALSE()</f>
        <v>0</v>
      </c>
      <c r="U940" s="60" t="b">
        <f>FALSE()</f>
        <v>0</v>
      </c>
      <c r="V940" s="60">
        <v>228</v>
      </c>
      <c r="W940" s="62" t="s">
        <v>3375</v>
      </c>
      <c r="X940" s="60">
        <v>1</v>
      </c>
      <c r="Y940" s="63">
        <v>0.01</v>
      </c>
      <c r="Z940" s="60" t="b">
        <f>FALSE()</f>
        <v>0</v>
      </c>
      <c r="AA940" s="60" t="b">
        <f>TRUE()</f>
        <v>1</v>
      </c>
      <c r="AB940" s="60" t="b">
        <f>TRUE()</f>
        <v>1</v>
      </c>
      <c r="AC940" s="60" t="b">
        <f>FALSE()</f>
        <v>0</v>
      </c>
      <c r="AD940" s="60" t="b">
        <f>FALSE()</f>
        <v>0</v>
      </c>
      <c r="AE940" s="60">
        <v>2</v>
      </c>
      <c r="AF940" s="64">
        <v>28.6</v>
      </c>
      <c r="AG940" s="60" t="s">
        <v>73</v>
      </c>
      <c r="AH940" s="60" t="s">
        <v>3376</v>
      </c>
      <c r="AI940">
        <f>IF(AND(OR(Company_Explorer!$B$5="All Companies",$E940=Company_Explorer!$B$5),OR(Company_Explorer!$B$6="All Platforms",$B940=Company_Explorer!$B$6),OR(Company_Explorer!$B$7="All Roles",$D940=Company_Explorer!$B$7),OR(Company_Explorer!$B$8="All Ghost Labels",$AG940=Company_Explorer!$B$8)),1,0)</f>
        <v>0</v>
      </c>
    </row>
    <row r="941" spans="1:35" ht="15" customHeight="1" x14ac:dyDescent="0.3">
      <c r="A941" s="65" t="s">
        <v>3377</v>
      </c>
      <c r="B941" s="65" t="s">
        <v>80</v>
      </c>
      <c r="C941" s="65" t="s">
        <v>258</v>
      </c>
      <c r="D941" s="65" t="s">
        <v>125</v>
      </c>
      <c r="E941" s="65" t="s">
        <v>141</v>
      </c>
      <c r="F941" s="65" t="b">
        <f>TRUE()</f>
        <v>1</v>
      </c>
      <c r="G941" s="65" t="s">
        <v>170</v>
      </c>
      <c r="H941" s="65" t="s">
        <v>165</v>
      </c>
      <c r="I941" s="66">
        <v>46198</v>
      </c>
      <c r="J941" s="66">
        <v>46210</v>
      </c>
      <c r="K941" s="65">
        <v>12</v>
      </c>
      <c r="L941" s="65" t="s">
        <v>192</v>
      </c>
      <c r="M941" s="65" t="s">
        <v>184</v>
      </c>
      <c r="N941" s="65" t="b">
        <f>FALSE()</f>
        <v>0</v>
      </c>
      <c r="O941" s="65"/>
      <c r="P941" s="65"/>
      <c r="Q941" s="65" t="s">
        <v>236</v>
      </c>
      <c r="R941" s="65" t="s">
        <v>237</v>
      </c>
      <c r="S941" s="65"/>
      <c r="T941" s="65" t="b">
        <f>FALSE()</f>
        <v>0</v>
      </c>
      <c r="U941" s="65" t="b">
        <f>FALSE()</f>
        <v>0</v>
      </c>
      <c r="V941" s="65">
        <v>275</v>
      </c>
      <c r="W941" s="67" t="s">
        <v>259</v>
      </c>
      <c r="X941" s="65">
        <v>429</v>
      </c>
      <c r="Y941" s="68">
        <v>2.66</v>
      </c>
      <c r="Z941" s="65" t="b">
        <f>FALSE()</f>
        <v>0</v>
      </c>
      <c r="AA941" s="65" t="b">
        <f>TRUE()</f>
        <v>1</v>
      </c>
      <c r="AB941" s="65" t="b">
        <f>FALSE()</f>
        <v>0</v>
      </c>
      <c r="AC941" s="65" t="b">
        <f>FALSE()</f>
        <v>0</v>
      </c>
      <c r="AD941" s="65" t="b">
        <f>TRUE()</f>
        <v>1</v>
      </c>
      <c r="AE941" s="65">
        <v>3</v>
      </c>
      <c r="AF941" s="69">
        <v>42.9</v>
      </c>
      <c r="AG941" s="65" t="s">
        <v>73</v>
      </c>
      <c r="AH941" s="65" t="s">
        <v>3378</v>
      </c>
      <c r="AI941">
        <f>IF(AND(OR(Company_Explorer!$B$5="All Companies",$E941=Company_Explorer!$B$5),OR(Company_Explorer!$B$6="All Platforms",$B941=Company_Explorer!$B$6),OR(Company_Explorer!$B$7="All Roles",$D941=Company_Explorer!$B$7),OR(Company_Explorer!$B$8="All Ghost Labels",$AG941=Company_Explorer!$B$8)),1,0)</f>
        <v>0</v>
      </c>
    </row>
    <row r="942" spans="1:35" ht="15" customHeight="1" x14ac:dyDescent="0.3">
      <c r="A942" s="60" t="s">
        <v>3379</v>
      </c>
      <c r="B942" s="60" t="s">
        <v>80</v>
      </c>
      <c r="C942" s="60" t="s">
        <v>2166</v>
      </c>
      <c r="D942" s="60" t="s">
        <v>130</v>
      </c>
      <c r="E942" s="60" t="s">
        <v>3380</v>
      </c>
      <c r="F942" s="60" t="b">
        <f>TRUE()</f>
        <v>1</v>
      </c>
      <c r="G942" s="60" t="s">
        <v>325</v>
      </c>
      <c r="H942" s="60" t="s">
        <v>326</v>
      </c>
      <c r="I942" s="61">
        <v>45930</v>
      </c>
      <c r="J942" s="61">
        <v>46210</v>
      </c>
      <c r="K942" s="60">
        <v>280</v>
      </c>
      <c r="L942" s="60" t="s">
        <v>192</v>
      </c>
      <c r="M942" s="60" t="s">
        <v>184</v>
      </c>
      <c r="N942" s="60" t="b">
        <f>TRUE()</f>
        <v>1</v>
      </c>
      <c r="O942" s="70">
        <v>500000</v>
      </c>
      <c r="P942" s="70">
        <v>1000000</v>
      </c>
      <c r="Q942" s="60" t="s">
        <v>332</v>
      </c>
      <c r="R942" s="60" t="s">
        <v>237</v>
      </c>
      <c r="S942" s="60"/>
      <c r="T942" s="60" t="b">
        <f>FALSE()</f>
        <v>0</v>
      </c>
      <c r="U942" s="60" t="b">
        <f>FALSE()</f>
        <v>0</v>
      </c>
      <c r="V942" s="60">
        <v>263</v>
      </c>
      <c r="W942" s="62" t="s">
        <v>3381</v>
      </c>
      <c r="X942" s="60">
        <v>1</v>
      </c>
      <c r="Y942" s="63">
        <v>0.01</v>
      </c>
      <c r="Z942" s="60" t="b">
        <f>FALSE()</f>
        <v>0</v>
      </c>
      <c r="AA942" s="60" t="b">
        <f>FALSE()</f>
        <v>0</v>
      </c>
      <c r="AB942" s="60" t="b">
        <f>TRUE()</f>
        <v>1</v>
      </c>
      <c r="AC942" s="60" t="b">
        <f>TRUE()</f>
        <v>1</v>
      </c>
      <c r="AD942" s="60" t="b">
        <f>FALSE()</f>
        <v>0</v>
      </c>
      <c r="AE942" s="60">
        <v>2</v>
      </c>
      <c r="AF942" s="64">
        <v>28.6</v>
      </c>
      <c r="AG942" s="60" t="s">
        <v>73</v>
      </c>
      <c r="AH942" s="60" t="s">
        <v>3382</v>
      </c>
      <c r="AI942">
        <f>IF(AND(OR(Company_Explorer!$B$5="All Companies",$E942=Company_Explorer!$B$5),OR(Company_Explorer!$B$6="All Platforms",$B942=Company_Explorer!$B$6),OR(Company_Explorer!$B$7="All Roles",$D942=Company_Explorer!$B$7),OR(Company_Explorer!$B$8="All Ghost Labels",$AG942=Company_Explorer!$B$8)),1,0)</f>
        <v>0</v>
      </c>
    </row>
    <row r="943" spans="1:35" ht="15" customHeight="1" x14ac:dyDescent="0.3">
      <c r="A943" s="65" t="s">
        <v>3383</v>
      </c>
      <c r="B943" s="65" t="s">
        <v>80</v>
      </c>
      <c r="C943" s="65" t="s">
        <v>258</v>
      </c>
      <c r="D943" s="65" t="s">
        <v>125</v>
      </c>
      <c r="E943" s="65" t="s">
        <v>141</v>
      </c>
      <c r="F943" s="65" t="b">
        <f>TRUE()</f>
        <v>1</v>
      </c>
      <c r="G943" s="65" t="s">
        <v>169</v>
      </c>
      <c r="H943" s="65" t="s">
        <v>294</v>
      </c>
      <c r="I943" s="66">
        <v>46209</v>
      </c>
      <c r="J943" s="66">
        <v>46210</v>
      </c>
      <c r="K943" s="65">
        <v>1</v>
      </c>
      <c r="L943" s="65" t="s">
        <v>192</v>
      </c>
      <c r="M943" s="65" t="s">
        <v>184</v>
      </c>
      <c r="N943" s="65" t="b">
        <f>FALSE()</f>
        <v>0</v>
      </c>
      <c r="O943" s="65"/>
      <c r="P943" s="65"/>
      <c r="Q943" s="65" t="s">
        <v>236</v>
      </c>
      <c r="R943" s="65" t="s">
        <v>237</v>
      </c>
      <c r="S943" s="65"/>
      <c r="T943" s="65" t="b">
        <f>FALSE()</f>
        <v>0</v>
      </c>
      <c r="U943" s="65" t="b">
        <f>FALSE()</f>
        <v>0</v>
      </c>
      <c r="V943" s="65">
        <v>320</v>
      </c>
      <c r="W943" s="67" t="s">
        <v>259</v>
      </c>
      <c r="X943" s="65">
        <v>429</v>
      </c>
      <c r="Y943" s="68">
        <v>2.66</v>
      </c>
      <c r="Z943" s="65" t="b">
        <f>FALSE()</f>
        <v>0</v>
      </c>
      <c r="AA943" s="65" t="b">
        <f>TRUE()</f>
        <v>1</v>
      </c>
      <c r="AB943" s="65" t="b">
        <f>FALSE()</f>
        <v>0</v>
      </c>
      <c r="AC943" s="65" t="b">
        <f>FALSE()</f>
        <v>0</v>
      </c>
      <c r="AD943" s="65" t="b">
        <f>TRUE()</f>
        <v>1</v>
      </c>
      <c r="AE943" s="65">
        <v>3</v>
      </c>
      <c r="AF943" s="69">
        <v>42.9</v>
      </c>
      <c r="AG943" s="65" t="s">
        <v>73</v>
      </c>
      <c r="AH943" s="65" t="s">
        <v>3384</v>
      </c>
      <c r="AI943">
        <f>IF(AND(OR(Company_Explorer!$B$5="All Companies",$E943=Company_Explorer!$B$5),OR(Company_Explorer!$B$6="All Platforms",$B943=Company_Explorer!$B$6),OR(Company_Explorer!$B$7="All Roles",$D943=Company_Explorer!$B$7),OR(Company_Explorer!$B$8="All Ghost Labels",$AG943=Company_Explorer!$B$8)),1,0)</f>
        <v>0</v>
      </c>
    </row>
    <row r="944" spans="1:35" ht="15" customHeight="1" x14ac:dyDescent="0.3">
      <c r="A944" s="60" t="s">
        <v>3385</v>
      </c>
      <c r="B944" s="60" t="s">
        <v>80</v>
      </c>
      <c r="C944" s="60" t="s">
        <v>258</v>
      </c>
      <c r="D944" s="60" t="s">
        <v>125</v>
      </c>
      <c r="E944" s="60" t="s">
        <v>141</v>
      </c>
      <c r="F944" s="60" t="b">
        <f>TRUE()</f>
        <v>1</v>
      </c>
      <c r="G944" s="60" t="s">
        <v>171</v>
      </c>
      <c r="H944" s="60" t="s">
        <v>254</v>
      </c>
      <c r="I944" s="61">
        <v>46198</v>
      </c>
      <c r="J944" s="61">
        <v>46210</v>
      </c>
      <c r="K944" s="60">
        <v>12</v>
      </c>
      <c r="L944" s="60" t="s">
        <v>192</v>
      </c>
      <c r="M944" s="60" t="s">
        <v>184</v>
      </c>
      <c r="N944" s="60" t="b">
        <f>FALSE()</f>
        <v>0</v>
      </c>
      <c r="O944" s="60"/>
      <c r="P944" s="60"/>
      <c r="Q944" s="60" t="s">
        <v>236</v>
      </c>
      <c r="R944" s="60" t="s">
        <v>237</v>
      </c>
      <c r="S944" s="60"/>
      <c r="T944" s="60" t="b">
        <f>FALSE()</f>
        <v>0</v>
      </c>
      <c r="U944" s="60" t="b">
        <f>FALSE()</f>
        <v>0</v>
      </c>
      <c r="V944" s="60">
        <v>844</v>
      </c>
      <c r="W944" s="62" t="s">
        <v>259</v>
      </c>
      <c r="X944" s="60">
        <v>429</v>
      </c>
      <c r="Y944" s="63">
        <v>2.66</v>
      </c>
      <c r="Z944" s="60" t="b">
        <f>FALSE()</f>
        <v>0</v>
      </c>
      <c r="AA944" s="60" t="b">
        <f>TRUE()</f>
        <v>1</v>
      </c>
      <c r="AB944" s="60" t="b">
        <f>FALSE()</f>
        <v>0</v>
      </c>
      <c r="AC944" s="60" t="b">
        <f>FALSE()</f>
        <v>0</v>
      </c>
      <c r="AD944" s="60" t="b">
        <f>TRUE()</f>
        <v>1</v>
      </c>
      <c r="AE944" s="60">
        <v>3</v>
      </c>
      <c r="AF944" s="64">
        <v>42.9</v>
      </c>
      <c r="AG944" s="60" t="s">
        <v>73</v>
      </c>
      <c r="AH944" s="60" t="s">
        <v>3386</v>
      </c>
      <c r="AI944">
        <f>IF(AND(OR(Company_Explorer!$B$5="All Companies",$E944=Company_Explorer!$B$5),OR(Company_Explorer!$B$6="All Platforms",$B944=Company_Explorer!$B$6),OR(Company_Explorer!$B$7="All Roles",$D944=Company_Explorer!$B$7),OR(Company_Explorer!$B$8="All Ghost Labels",$AG944=Company_Explorer!$B$8)),1,0)</f>
        <v>0</v>
      </c>
    </row>
    <row r="945" spans="1:35" ht="15" customHeight="1" x14ac:dyDescent="0.3">
      <c r="A945" s="65" t="s">
        <v>3387</v>
      </c>
      <c r="B945" s="65" t="s">
        <v>80</v>
      </c>
      <c r="C945" s="65" t="s">
        <v>3388</v>
      </c>
      <c r="D945" s="65" t="s">
        <v>131</v>
      </c>
      <c r="E945" s="65" t="s">
        <v>3389</v>
      </c>
      <c r="F945" s="65" t="b">
        <f>TRUE()</f>
        <v>1</v>
      </c>
      <c r="G945" s="65" t="s">
        <v>166</v>
      </c>
      <c r="H945" s="65" t="s">
        <v>235</v>
      </c>
      <c r="I945" s="66">
        <v>46066</v>
      </c>
      <c r="J945" s="66">
        <v>46210</v>
      </c>
      <c r="K945" s="65">
        <v>144</v>
      </c>
      <c r="L945" s="65" t="s">
        <v>192</v>
      </c>
      <c r="M945" s="65" t="s">
        <v>185</v>
      </c>
      <c r="N945" s="65" t="b">
        <f>TRUE()</f>
        <v>1</v>
      </c>
      <c r="O945" s="71">
        <v>36</v>
      </c>
      <c r="P945" s="71">
        <v>60</v>
      </c>
      <c r="Q945" s="65" t="s">
        <v>332</v>
      </c>
      <c r="R945" s="65" t="s">
        <v>237</v>
      </c>
      <c r="S945" s="65"/>
      <c r="T945" s="65" t="b">
        <f>FALSE()</f>
        <v>0</v>
      </c>
      <c r="U945" s="65" t="b">
        <f>FALSE()</f>
        <v>0</v>
      </c>
      <c r="V945" s="65">
        <v>225</v>
      </c>
      <c r="W945" s="67" t="s">
        <v>3390</v>
      </c>
      <c r="X945" s="65">
        <v>1</v>
      </c>
      <c r="Y945" s="68">
        <v>0.01</v>
      </c>
      <c r="Z945" s="65" t="b">
        <f>FALSE()</f>
        <v>0</v>
      </c>
      <c r="AA945" s="65" t="b">
        <f>FALSE()</f>
        <v>0</v>
      </c>
      <c r="AB945" s="65" t="b">
        <f>TRUE()</f>
        <v>1</v>
      </c>
      <c r="AC945" s="65" t="b">
        <f>TRUE()</f>
        <v>1</v>
      </c>
      <c r="AD945" s="65" t="b">
        <f>FALSE()</f>
        <v>0</v>
      </c>
      <c r="AE945" s="65">
        <v>2</v>
      </c>
      <c r="AF945" s="69">
        <v>28.6</v>
      </c>
      <c r="AG945" s="65" t="s">
        <v>73</v>
      </c>
      <c r="AH945" s="65" t="s">
        <v>3391</v>
      </c>
      <c r="AI945">
        <f>IF(AND(OR(Company_Explorer!$B$5="All Companies",$E945=Company_Explorer!$B$5),OR(Company_Explorer!$B$6="All Platforms",$B945=Company_Explorer!$B$6),OR(Company_Explorer!$B$7="All Roles",$D945=Company_Explorer!$B$7),OR(Company_Explorer!$B$8="All Ghost Labels",$AG945=Company_Explorer!$B$8)),1,0)</f>
        <v>0</v>
      </c>
    </row>
    <row r="946" spans="1:35" ht="15" customHeight="1" x14ac:dyDescent="0.3">
      <c r="A946" s="60" t="s">
        <v>3392</v>
      </c>
      <c r="B946" s="60" t="s">
        <v>80</v>
      </c>
      <c r="C946" s="60" t="s">
        <v>306</v>
      </c>
      <c r="D946" s="60" t="s">
        <v>125</v>
      </c>
      <c r="E946" s="60" t="s">
        <v>3393</v>
      </c>
      <c r="F946" s="60" t="b">
        <f>TRUE()</f>
        <v>1</v>
      </c>
      <c r="G946" s="60" t="s">
        <v>585</v>
      </c>
      <c r="H946" s="60" t="s">
        <v>178</v>
      </c>
      <c r="I946" s="61">
        <v>45930</v>
      </c>
      <c r="J946" s="61">
        <v>46210</v>
      </c>
      <c r="K946" s="60">
        <v>280</v>
      </c>
      <c r="L946" s="60" t="s">
        <v>192</v>
      </c>
      <c r="M946" s="60" t="s">
        <v>184</v>
      </c>
      <c r="N946" s="60" t="b">
        <f>TRUE()</f>
        <v>1</v>
      </c>
      <c r="O946" s="70">
        <v>300000</v>
      </c>
      <c r="P946" s="70">
        <v>600000</v>
      </c>
      <c r="Q946" s="60" t="s">
        <v>332</v>
      </c>
      <c r="R946" s="60" t="s">
        <v>237</v>
      </c>
      <c r="S946" s="60"/>
      <c r="T946" s="60" t="b">
        <f>FALSE()</f>
        <v>0</v>
      </c>
      <c r="U946" s="60" t="b">
        <f>FALSE()</f>
        <v>0</v>
      </c>
      <c r="V946" s="60">
        <v>211</v>
      </c>
      <c r="W946" s="62" t="s">
        <v>3394</v>
      </c>
      <c r="X946" s="60">
        <v>1</v>
      </c>
      <c r="Y946" s="63">
        <v>0.01</v>
      </c>
      <c r="Z946" s="60" t="b">
        <f>FALSE()</f>
        <v>0</v>
      </c>
      <c r="AA946" s="60" t="b">
        <f>FALSE()</f>
        <v>0</v>
      </c>
      <c r="AB946" s="60" t="b">
        <f>TRUE()</f>
        <v>1</v>
      </c>
      <c r="AC946" s="60" t="b">
        <f>TRUE()</f>
        <v>1</v>
      </c>
      <c r="AD946" s="60" t="b">
        <f>FALSE()</f>
        <v>0</v>
      </c>
      <c r="AE946" s="60">
        <v>2</v>
      </c>
      <c r="AF946" s="64">
        <v>28.6</v>
      </c>
      <c r="AG946" s="60" t="s">
        <v>73</v>
      </c>
      <c r="AH946" s="60" t="s">
        <v>3395</v>
      </c>
      <c r="AI946">
        <f>IF(AND(OR(Company_Explorer!$B$5="All Companies",$E946=Company_Explorer!$B$5),OR(Company_Explorer!$B$6="All Platforms",$B946=Company_Explorer!$B$6),OR(Company_Explorer!$B$7="All Roles",$D946=Company_Explorer!$B$7),OR(Company_Explorer!$B$8="All Ghost Labels",$AG946=Company_Explorer!$B$8)),1,0)</f>
        <v>0</v>
      </c>
    </row>
    <row r="947" spans="1:35" ht="15" customHeight="1" x14ac:dyDescent="0.3">
      <c r="A947" s="65" t="s">
        <v>3396</v>
      </c>
      <c r="B947" s="65" t="s">
        <v>80</v>
      </c>
      <c r="C947" s="65" t="s">
        <v>258</v>
      </c>
      <c r="D947" s="65" t="s">
        <v>125</v>
      </c>
      <c r="E947" s="65" t="s">
        <v>141</v>
      </c>
      <c r="F947" s="65" t="b">
        <f>TRUE()</f>
        <v>1</v>
      </c>
      <c r="G947" s="65" t="s">
        <v>168</v>
      </c>
      <c r="H947" s="65" t="s">
        <v>254</v>
      </c>
      <c r="I947" s="66">
        <v>46200</v>
      </c>
      <c r="J947" s="66">
        <v>46210</v>
      </c>
      <c r="K947" s="65">
        <v>10</v>
      </c>
      <c r="L947" s="65" t="s">
        <v>192</v>
      </c>
      <c r="M947" s="65" t="s">
        <v>184</v>
      </c>
      <c r="N947" s="65" t="b">
        <f>FALSE()</f>
        <v>0</v>
      </c>
      <c r="O947" s="65"/>
      <c r="P947" s="65"/>
      <c r="Q947" s="65" t="s">
        <v>236</v>
      </c>
      <c r="R947" s="65" t="s">
        <v>237</v>
      </c>
      <c r="S947" s="65"/>
      <c r="T947" s="65" t="b">
        <f>FALSE()</f>
        <v>0</v>
      </c>
      <c r="U947" s="65" t="b">
        <f>FALSE()</f>
        <v>0</v>
      </c>
      <c r="V947" s="65">
        <v>320</v>
      </c>
      <c r="W947" s="67" t="s">
        <v>259</v>
      </c>
      <c r="X947" s="65">
        <v>429</v>
      </c>
      <c r="Y947" s="68">
        <v>2.66</v>
      </c>
      <c r="Z947" s="65" t="b">
        <f>FALSE()</f>
        <v>0</v>
      </c>
      <c r="AA947" s="65" t="b">
        <f>TRUE()</f>
        <v>1</v>
      </c>
      <c r="AB947" s="65" t="b">
        <f>FALSE()</f>
        <v>0</v>
      </c>
      <c r="AC947" s="65" t="b">
        <f>FALSE()</f>
        <v>0</v>
      </c>
      <c r="AD947" s="65" t="b">
        <f>TRUE()</f>
        <v>1</v>
      </c>
      <c r="AE947" s="65">
        <v>3</v>
      </c>
      <c r="AF947" s="69">
        <v>42.9</v>
      </c>
      <c r="AG947" s="65" t="s">
        <v>73</v>
      </c>
      <c r="AH947" s="65" t="s">
        <v>3397</v>
      </c>
      <c r="AI947">
        <f>IF(AND(OR(Company_Explorer!$B$5="All Companies",$E947=Company_Explorer!$B$5),OR(Company_Explorer!$B$6="All Platforms",$B947=Company_Explorer!$B$6),OR(Company_Explorer!$B$7="All Roles",$D947=Company_Explorer!$B$7),OR(Company_Explorer!$B$8="All Ghost Labels",$AG947=Company_Explorer!$B$8)),1,0)</f>
        <v>0</v>
      </c>
    </row>
    <row r="948" spans="1:35" ht="15" customHeight="1" x14ac:dyDescent="0.3">
      <c r="A948" s="60" t="s">
        <v>3398</v>
      </c>
      <c r="B948" s="60" t="s">
        <v>80</v>
      </c>
      <c r="C948" s="60" t="s">
        <v>258</v>
      </c>
      <c r="D948" s="60" t="s">
        <v>125</v>
      </c>
      <c r="E948" s="60" t="s">
        <v>141</v>
      </c>
      <c r="F948" s="60" t="b">
        <f>TRUE()</f>
        <v>1</v>
      </c>
      <c r="G948" s="60" t="s">
        <v>170</v>
      </c>
      <c r="H948" s="60" t="s">
        <v>165</v>
      </c>
      <c r="I948" s="61">
        <v>46209</v>
      </c>
      <c r="J948" s="61">
        <v>46210</v>
      </c>
      <c r="K948" s="60">
        <v>1</v>
      </c>
      <c r="L948" s="60" t="s">
        <v>192</v>
      </c>
      <c r="M948" s="60" t="s">
        <v>184</v>
      </c>
      <c r="N948" s="60" t="b">
        <f>FALSE()</f>
        <v>0</v>
      </c>
      <c r="O948" s="60"/>
      <c r="P948" s="60"/>
      <c r="Q948" s="60" t="s">
        <v>236</v>
      </c>
      <c r="R948" s="60" t="s">
        <v>237</v>
      </c>
      <c r="S948" s="60"/>
      <c r="T948" s="60" t="b">
        <f>FALSE()</f>
        <v>0</v>
      </c>
      <c r="U948" s="60" t="b">
        <f>FALSE()</f>
        <v>0</v>
      </c>
      <c r="V948" s="60">
        <v>323</v>
      </c>
      <c r="W948" s="62" t="s">
        <v>259</v>
      </c>
      <c r="X948" s="60">
        <v>429</v>
      </c>
      <c r="Y948" s="63">
        <v>2.66</v>
      </c>
      <c r="Z948" s="60" t="b">
        <f>FALSE()</f>
        <v>0</v>
      </c>
      <c r="AA948" s="60" t="b">
        <f>TRUE()</f>
        <v>1</v>
      </c>
      <c r="AB948" s="60" t="b">
        <f>FALSE()</f>
        <v>0</v>
      </c>
      <c r="AC948" s="60" t="b">
        <f>FALSE()</f>
        <v>0</v>
      </c>
      <c r="AD948" s="60" t="b">
        <f>TRUE()</f>
        <v>1</v>
      </c>
      <c r="AE948" s="60">
        <v>3</v>
      </c>
      <c r="AF948" s="64">
        <v>42.9</v>
      </c>
      <c r="AG948" s="60" t="s">
        <v>73</v>
      </c>
      <c r="AH948" s="60" t="s">
        <v>3399</v>
      </c>
      <c r="AI948">
        <f>IF(AND(OR(Company_Explorer!$B$5="All Companies",$E948=Company_Explorer!$B$5),OR(Company_Explorer!$B$6="All Platforms",$B948=Company_Explorer!$B$6),OR(Company_Explorer!$B$7="All Roles",$D948=Company_Explorer!$B$7),OR(Company_Explorer!$B$8="All Ghost Labels",$AG948=Company_Explorer!$B$8)),1,0)</f>
        <v>0</v>
      </c>
    </row>
    <row r="949" spans="1:35" ht="15" customHeight="1" x14ac:dyDescent="0.3">
      <c r="A949" s="65" t="s">
        <v>3400</v>
      </c>
      <c r="B949" s="65" t="s">
        <v>80</v>
      </c>
      <c r="C949" s="65" t="s">
        <v>3401</v>
      </c>
      <c r="D949" s="65" t="s">
        <v>129</v>
      </c>
      <c r="E949" s="65" t="s">
        <v>3402</v>
      </c>
      <c r="F949" s="65" t="b">
        <f>TRUE()</f>
        <v>1</v>
      </c>
      <c r="G949" s="65" t="s">
        <v>169</v>
      </c>
      <c r="H949" s="65" t="s">
        <v>294</v>
      </c>
      <c r="I949" s="66">
        <v>46187</v>
      </c>
      <c r="J949" s="66">
        <v>46210</v>
      </c>
      <c r="K949" s="65">
        <v>23</v>
      </c>
      <c r="L949" s="65" t="s">
        <v>192</v>
      </c>
      <c r="M949" s="65" t="s">
        <v>187</v>
      </c>
      <c r="N949" s="65" t="b">
        <f>FALSE()</f>
        <v>0</v>
      </c>
      <c r="O949" s="65"/>
      <c r="P949" s="65"/>
      <c r="Q949" s="65" t="s">
        <v>236</v>
      </c>
      <c r="R949" s="65" t="s">
        <v>237</v>
      </c>
      <c r="S949" s="65"/>
      <c r="T949" s="65" t="b">
        <f>FALSE()</f>
        <v>0</v>
      </c>
      <c r="U949" s="65" t="b">
        <f>FALSE()</f>
        <v>0</v>
      </c>
      <c r="V949" s="65">
        <v>221</v>
      </c>
      <c r="W949" s="67" t="s">
        <v>3403</v>
      </c>
      <c r="X949" s="65">
        <v>1</v>
      </c>
      <c r="Y949" s="68">
        <v>0.01</v>
      </c>
      <c r="Z949" s="65" t="b">
        <f>FALSE()</f>
        <v>0</v>
      </c>
      <c r="AA949" s="65" t="b">
        <f>TRUE()</f>
        <v>1</v>
      </c>
      <c r="AB949" s="65" t="b">
        <f>TRUE()</f>
        <v>1</v>
      </c>
      <c r="AC949" s="65" t="b">
        <f>TRUE()</f>
        <v>1</v>
      </c>
      <c r="AD949" s="65" t="b">
        <f>FALSE()</f>
        <v>0</v>
      </c>
      <c r="AE949" s="65">
        <v>3</v>
      </c>
      <c r="AF949" s="69">
        <v>42.9</v>
      </c>
      <c r="AG949" s="65" t="s">
        <v>73</v>
      </c>
      <c r="AH949" s="65" t="s">
        <v>3404</v>
      </c>
      <c r="AI949">
        <f>IF(AND(OR(Company_Explorer!$B$5="All Companies",$E949=Company_Explorer!$B$5),OR(Company_Explorer!$B$6="All Platforms",$B949=Company_Explorer!$B$6),OR(Company_Explorer!$B$7="All Roles",$D949=Company_Explorer!$B$7),OR(Company_Explorer!$B$8="All Ghost Labels",$AG949=Company_Explorer!$B$8)),1,0)</f>
        <v>0</v>
      </c>
    </row>
    <row r="950" spans="1:35" ht="15" customHeight="1" x14ac:dyDescent="0.3">
      <c r="A950" s="60" t="s">
        <v>3405</v>
      </c>
      <c r="B950" s="60" t="s">
        <v>80</v>
      </c>
      <c r="C950" s="60" t="s">
        <v>3406</v>
      </c>
      <c r="D950" s="60" t="s">
        <v>129</v>
      </c>
      <c r="E950" s="60" t="s">
        <v>2798</v>
      </c>
      <c r="F950" s="60" t="b">
        <f>TRUE()</f>
        <v>1</v>
      </c>
      <c r="G950" s="60" t="s">
        <v>171</v>
      </c>
      <c r="H950" s="60" t="s">
        <v>254</v>
      </c>
      <c r="I950" s="61">
        <v>46181</v>
      </c>
      <c r="J950" s="61">
        <v>46210</v>
      </c>
      <c r="K950" s="60">
        <v>29</v>
      </c>
      <c r="L950" s="60" t="s">
        <v>192</v>
      </c>
      <c r="M950" s="60" t="s">
        <v>184</v>
      </c>
      <c r="N950" s="60" t="b">
        <f>FALSE()</f>
        <v>0</v>
      </c>
      <c r="O950" s="60"/>
      <c r="P950" s="60"/>
      <c r="Q950" s="60" t="s">
        <v>236</v>
      </c>
      <c r="R950" s="60" t="s">
        <v>237</v>
      </c>
      <c r="S950" s="60"/>
      <c r="T950" s="60" t="b">
        <f>FALSE()</f>
        <v>0</v>
      </c>
      <c r="U950" s="60" t="b">
        <f>FALSE()</f>
        <v>0</v>
      </c>
      <c r="V950" s="60">
        <v>1189</v>
      </c>
      <c r="W950" s="60" t="s">
        <v>3407</v>
      </c>
      <c r="X950" s="60">
        <v>2</v>
      </c>
      <c r="Y950" s="63">
        <v>0.01</v>
      </c>
      <c r="Z950" s="60" t="b">
        <f>FALSE()</f>
        <v>0</v>
      </c>
      <c r="AA950" s="60" t="b">
        <f>TRUE()</f>
        <v>1</v>
      </c>
      <c r="AB950" s="60" t="b">
        <f>FALSE()</f>
        <v>0</v>
      </c>
      <c r="AC950" s="60" t="b">
        <f>TRUE()</f>
        <v>1</v>
      </c>
      <c r="AD950" s="60" t="b">
        <f>FALSE()</f>
        <v>0</v>
      </c>
      <c r="AE950" s="60">
        <v>2</v>
      </c>
      <c r="AF950" s="64">
        <v>28.6</v>
      </c>
      <c r="AG950" s="60" t="s">
        <v>73</v>
      </c>
      <c r="AH950" s="60" t="s">
        <v>3408</v>
      </c>
      <c r="AI950">
        <f>IF(AND(OR(Company_Explorer!$B$5="All Companies",$E950=Company_Explorer!$B$5),OR(Company_Explorer!$B$6="All Platforms",$B950=Company_Explorer!$B$6),OR(Company_Explorer!$B$7="All Roles",$D950=Company_Explorer!$B$7),OR(Company_Explorer!$B$8="All Ghost Labels",$AG950=Company_Explorer!$B$8)),1,0)</f>
        <v>0</v>
      </c>
    </row>
    <row r="951" spans="1:35" ht="15" customHeight="1" x14ac:dyDescent="0.3">
      <c r="A951" s="65" t="s">
        <v>3409</v>
      </c>
      <c r="B951" s="65" t="s">
        <v>80</v>
      </c>
      <c r="C951" s="65" t="s">
        <v>3410</v>
      </c>
      <c r="D951" s="65" t="s">
        <v>129</v>
      </c>
      <c r="E951" s="65" t="s">
        <v>3411</v>
      </c>
      <c r="F951" s="65" t="b">
        <f>TRUE()</f>
        <v>1</v>
      </c>
      <c r="G951" s="65" t="s">
        <v>325</v>
      </c>
      <c r="H951" s="65" t="s">
        <v>326</v>
      </c>
      <c r="I951" s="66">
        <v>46036</v>
      </c>
      <c r="J951" s="66">
        <v>46210</v>
      </c>
      <c r="K951" s="65">
        <v>174</v>
      </c>
      <c r="L951" s="65" t="s">
        <v>192</v>
      </c>
      <c r="M951" s="65" t="s">
        <v>187</v>
      </c>
      <c r="N951" s="65" t="b">
        <f>FALSE()</f>
        <v>0</v>
      </c>
      <c r="O951" s="65"/>
      <c r="P951" s="65"/>
      <c r="Q951" s="65" t="s">
        <v>236</v>
      </c>
      <c r="R951" s="65" t="s">
        <v>237</v>
      </c>
      <c r="S951" s="65"/>
      <c r="T951" s="65" t="b">
        <f>FALSE()</f>
        <v>0</v>
      </c>
      <c r="U951" s="65" t="b">
        <f>FALSE()</f>
        <v>0</v>
      </c>
      <c r="V951" s="65">
        <v>303</v>
      </c>
      <c r="W951" s="67" t="s">
        <v>3412</v>
      </c>
      <c r="X951" s="65">
        <v>1</v>
      </c>
      <c r="Y951" s="68">
        <v>0.01</v>
      </c>
      <c r="Z951" s="65" t="b">
        <f>FALSE()</f>
        <v>0</v>
      </c>
      <c r="AA951" s="65" t="b">
        <f>TRUE()</f>
        <v>1</v>
      </c>
      <c r="AB951" s="65" t="b">
        <f>FALSE()</f>
        <v>0</v>
      </c>
      <c r="AC951" s="65" t="b">
        <f>TRUE()</f>
        <v>1</v>
      </c>
      <c r="AD951" s="65" t="b">
        <f>FALSE()</f>
        <v>0</v>
      </c>
      <c r="AE951" s="65">
        <v>2</v>
      </c>
      <c r="AF951" s="69">
        <v>28.6</v>
      </c>
      <c r="AG951" s="65" t="s">
        <v>73</v>
      </c>
      <c r="AH951" s="65" t="s">
        <v>3413</v>
      </c>
      <c r="AI951">
        <f>IF(AND(OR(Company_Explorer!$B$5="All Companies",$E951=Company_Explorer!$B$5),OR(Company_Explorer!$B$6="All Platforms",$B951=Company_Explorer!$B$6),OR(Company_Explorer!$B$7="All Roles",$D951=Company_Explorer!$B$7),OR(Company_Explorer!$B$8="All Ghost Labels",$AG951=Company_Explorer!$B$8)),1,0)</f>
        <v>0</v>
      </c>
    </row>
    <row r="952" spans="1:35" ht="15" customHeight="1" x14ac:dyDescent="0.3">
      <c r="A952" s="60" t="s">
        <v>3414</v>
      </c>
      <c r="B952" s="60" t="s">
        <v>80</v>
      </c>
      <c r="C952" s="60" t="s">
        <v>315</v>
      </c>
      <c r="D952" s="60" t="s">
        <v>126</v>
      </c>
      <c r="E952" s="60" t="s">
        <v>3415</v>
      </c>
      <c r="F952" s="60" t="b">
        <f>TRUE()</f>
        <v>1</v>
      </c>
      <c r="G952" s="60" t="s">
        <v>3416</v>
      </c>
      <c r="H952" s="60" t="s">
        <v>165</v>
      </c>
      <c r="I952" s="61">
        <v>46207</v>
      </c>
      <c r="J952" s="61">
        <v>46210</v>
      </c>
      <c r="K952" s="60">
        <v>3</v>
      </c>
      <c r="L952" s="60" t="s">
        <v>192</v>
      </c>
      <c r="M952" s="60" t="s">
        <v>185</v>
      </c>
      <c r="N952" s="60" t="b">
        <f>FALSE()</f>
        <v>0</v>
      </c>
      <c r="O952" s="60"/>
      <c r="P952" s="60"/>
      <c r="Q952" s="60" t="s">
        <v>236</v>
      </c>
      <c r="R952" s="60" t="s">
        <v>237</v>
      </c>
      <c r="S952" s="60"/>
      <c r="T952" s="60" t="b">
        <f>FALSE()</f>
        <v>0</v>
      </c>
      <c r="U952" s="60" t="b">
        <f>FALSE()</f>
        <v>0</v>
      </c>
      <c r="V952" s="60">
        <v>1253</v>
      </c>
      <c r="W952" s="62" t="s">
        <v>3417</v>
      </c>
      <c r="X952" s="60">
        <v>1</v>
      </c>
      <c r="Y952" s="63">
        <v>0.01</v>
      </c>
      <c r="Z952" s="60" t="b">
        <f>FALSE()</f>
        <v>0</v>
      </c>
      <c r="AA952" s="60" t="b">
        <f>TRUE()</f>
        <v>1</v>
      </c>
      <c r="AB952" s="60" t="b">
        <f>FALSE()</f>
        <v>0</v>
      </c>
      <c r="AC952" s="60" t="b">
        <f>FALSE()</f>
        <v>0</v>
      </c>
      <c r="AD952" s="60" t="b">
        <f>FALSE()</f>
        <v>0</v>
      </c>
      <c r="AE952" s="60">
        <v>1</v>
      </c>
      <c r="AF952" s="64">
        <v>14.3</v>
      </c>
      <c r="AG952" s="60" t="s">
        <v>74</v>
      </c>
      <c r="AH952" s="60" t="s">
        <v>3418</v>
      </c>
      <c r="AI952">
        <f>IF(AND(OR(Company_Explorer!$B$5="All Companies",$E952=Company_Explorer!$B$5),OR(Company_Explorer!$B$6="All Platforms",$B952=Company_Explorer!$B$6),OR(Company_Explorer!$B$7="All Roles",$D952=Company_Explorer!$B$7),OR(Company_Explorer!$B$8="All Ghost Labels",$AG952=Company_Explorer!$B$8)),1,0)</f>
        <v>0</v>
      </c>
    </row>
    <row r="953" spans="1:35" ht="15" customHeight="1" x14ac:dyDescent="0.3">
      <c r="A953" s="65" t="s">
        <v>3419</v>
      </c>
      <c r="B953" s="65" t="s">
        <v>80</v>
      </c>
      <c r="C953" s="65" t="s">
        <v>3420</v>
      </c>
      <c r="D953" s="65" t="s">
        <v>125</v>
      </c>
      <c r="E953" s="65" t="s">
        <v>3421</v>
      </c>
      <c r="F953" s="65" t="b">
        <f>TRUE()</f>
        <v>1</v>
      </c>
      <c r="G953" s="65" t="s">
        <v>3416</v>
      </c>
      <c r="H953" s="65" t="s">
        <v>165</v>
      </c>
      <c r="I953" s="66">
        <v>46194</v>
      </c>
      <c r="J953" s="66">
        <v>46210</v>
      </c>
      <c r="K953" s="65">
        <v>16</v>
      </c>
      <c r="L953" s="65" t="s">
        <v>192</v>
      </c>
      <c r="M953" s="65" t="s">
        <v>185</v>
      </c>
      <c r="N953" s="65" t="b">
        <f>FALSE()</f>
        <v>0</v>
      </c>
      <c r="O953" s="65"/>
      <c r="P953" s="65"/>
      <c r="Q953" s="65" t="s">
        <v>236</v>
      </c>
      <c r="R953" s="65" t="s">
        <v>237</v>
      </c>
      <c r="S953" s="65"/>
      <c r="T953" s="65" t="b">
        <f>FALSE()</f>
        <v>0</v>
      </c>
      <c r="U953" s="65" t="b">
        <f>FALSE()</f>
        <v>0</v>
      </c>
      <c r="V953" s="65">
        <v>1167</v>
      </c>
      <c r="W953" s="65" t="s">
        <v>3422</v>
      </c>
      <c r="X953" s="65">
        <v>1</v>
      </c>
      <c r="Y953" s="68">
        <v>0.01</v>
      </c>
      <c r="Z953" s="65" t="b">
        <f>FALSE()</f>
        <v>0</v>
      </c>
      <c r="AA953" s="65" t="b">
        <f>TRUE()</f>
        <v>1</v>
      </c>
      <c r="AB953" s="65" t="b">
        <f>FALSE()</f>
        <v>0</v>
      </c>
      <c r="AC953" s="65" t="b">
        <f>FALSE()</f>
        <v>0</v>
      </c>
      <c r="AD953" s="65" t="b">
        <f>FALSE()</f>
        <v>0</v>
      </c>
      <c r="AE953" s="65">
        <v>1</v>
      </c>
      <c r="AF953" s="69">
        <v>14.3</v>
      </c>
      <c r="AG953" s="65" t="s">
        <v>74</v>
      </c>
      <c r="AH953" s="65" t="s">
        <v>3423</v>
      </c>
      <c r="AI953">
        <f>IF(AND(OR(Company_Explorer!$B$5="All Companies",$E953=Company_Explorer!$B$5),OR(Company_Explorer!$B$6="All Platforms",$B953=Company_Explorer!$B$6),OR(Company_Explorer!$B$7="All Roles",$D953=Company_Explorer!$B$7),OR(Company_Explorer!$B$8="All Ghost Labels",$AG953=Company_Explorer!$B$8)),1,0)</f>
        <v>0</v>
      </c>
    </row>
    <row r="954" spans="1:35" ht="15" customHeight="1" x14ac:dyDescent="0.3">
      <c r="A954" s="60" t="s">
        <v>3424</v>
      </c>
      <c r="B954" s="60" t="s">
        <v>80</v>
      </c>
      <c r="C954" s="60" t="s">
        <v>258</v>
      </c>
      <c r="D954" s="60" t="s">
        <v>125</v>
      </c>
      <c r="E954" s="60" t="s">
        <v>141</v>
      </c>
      <c r="F954" s="60" t="b">
        <f>TRUE()</f>
        <v>1</v>
      </c>
      <c r="G954" s="60" t="s">
        <v>166</v>
      </c>
      <c r="H954" s="60" t="s">
        <v>235</v>
      </c>
      <c r="I954" s="61">
        <v>46198</v>
      </c>
      <c r="J954" s="61">
        <v>46210</v>
      </c>
      <c r="K954" s="60">
        <v>12</v>
      </c>
      <c r="L954" s="60" t="s">
        <v>192</v>
      </c>
      <c r="M954" s="60" t="s">
        <v>184</v>
      </c>
      <c r="N954" s="60" t="b">
        <f>FALSE()</f>
        <v>0</v>
      </c>
      <c r="O954" s="60"/>
      <c r="P954" s="60"/>
      <c r="Q954" s="60" t="s">
        <v>236</v>
      </c>
      <c r="R954" s="60" t="s">
        <v>237</v>
      </c>
      <c r="S954" s="60"/>
      <c r="T954" s="60" t="b">
        <f>FALSE()</f>
        <v>0</v>
      </c>
      <c r="U954" s="60" t="b">
        <f>FALSE()</f>
        <v>0</v>
      </c>
      <c r="V954" s="60">
        <v>276</v>
      </c>
      <c r="W954" s="62" t="s">
        <v>259</v>
      </c>
      <c r="X954" s="60">
        <v>429</v>
      </c>
      <c r="Y954" s="63">
        <v>2.66</v>
      </c>
      <c r="Z954" s="60" t="b">
        <f>FALSE()</f>
        <v>0</v>
      </c>
      <c r="AA954" s="60" t="b">
        <f>TRUE()</f>
        <v>1</v>
      </c>
      <c r="AB954" s="60" t="b">
        <f>FALSE()</f>
        <v>0</v>
      </c>
      <c r="AC954" s="60" t="b">
        <f>FALSE()</f>
        <v>0</v>
      </c>
      <c r="AD954" s="60" t="b">
        <f>TRUE()</f>
        <v>1</v>
      </c>
      <c r="AE954" s="60">
        <v>3</v>
      </c>
      <c r="AF954" s="64">
        <v>42.9</v>
      </c>
      <c r="AG954" s="60" t="s">
        <v>73</v>
      </c>
      <c r="AH954" s="60" t="s">
        <v>3425</v>
      </c>
      <c r="AI954">
        <f>IF(AND(OR(Company_Explorer!$B$5="All Companies",$E954=Company_Explorer!$B$5),OR(Company_Explorer!$B$6="All Platforms",$B954=Company_Explorer!$B$6),OR(Company_Explorer!$B$7="All Roles",$D954=Company_Explorer!$B$7),OR(Company_Explorer!$B$8="All Ghost Labels",$AG954=Company_Explorer!$B$8)),1,0)</f>
        <v>0</v>
      </c>
    </row>
    <row r="955" spans="1:35" ht="15" customHeight="1" x14ac:dyDescent="0.3">
      <c r="A955" s="65" t="s">
        <v>3426</v>
      </c>
      <c r="B955" s="65" t="s">
        <v>80</v>
      </c>
      <c r="C955" s="65" t="s">
        <v>258</v>
      </c>
      <c r="D955" s="65" t="s">
        <v>125</v>
      </c>
      <c r="E955" s="65" t="s">
        <v>141</v>
      </c>
      <c r="F955" s="65" t="b">
        <f>TRUE()</f>
        <v>1</v>
      </c>
      <c r="G955" s="65" t="s">
        <v>166</v>
      </c>
      <c r="H955" s="65" t="s">
        <v>235</v>
      </c>
      <c r="I955" s="66">
        <v>46203</v>
      </c>
      <c r="J955" s="66">
        <v>46210</v>
      </c>
      <c r="K955" s="65">
        <v>7</v>
      </c>
      <c r="L955" s="65" t="s">
        <v>192</v>
      </c>
      <c r="M955" s="65" t="s">
        <v>184</v>
      </c>
      <c r="N955" s="65" t="b">
        <f>FALSE()</f>
        <v>0</v>
      </c>
      <c r="O955" s="65"/>
      <c r="P955" s="65"/>
      <c r="Q955" s="65" t="s">
        <v>236</v>
      </c>
      <c r="R955" s="65" t="s">
        <v>237</v>
      </c>
      <c r="S955" s="65"/>
      <c r="T955" s="65" t="b">
        <f>FALSE()</f>
        <v>0</v>
      </c>
      <c r="U955" s="65" t="b">
        <f>FALSE()</f>
        <v>0</v>
      </c>
      <c r="V955" s="65">
        <v>267</v>
      </c>
      <c r="W955" s="67" t="s">
        <v>3427</v>
      </c>
      <c r="X955" s="65">
        <v>429</v>
      </c>
      <c r="Y955" s="68">
        <v>2.66</v>
      </c>
      <c r="Z955" s="65" t="b">
        <f>FALSE()</f>
        <v>0</v>
      </c>
      <c r="AA955" s="65" t="b">
        <f>TRUE()</f>
        <v>1</v>
      </c>
      <c r="AB955" s="65" t="b">
        <f>TRUE()</f>
        <v>1</v>
      </c>
      <c r="AC955" s="65" t="b">
        <f>FALSE()</f>
        <v>0</v>
      </c>
      <c r="AD955" s="65" t="b">
        <f>TRUE()</f>
        <v>1</v>
      </c>
      <c r="AE955" s="65">
        <v>4</v>
      </c>
      <c r="AF955" s="69">
        <v>57.1</v>
      </c>
      <c r="AG955" s="65" t="s">
        <v>72</v>
      </c>
      <c r="AH955" s="65" t="s">
        <v>3428</v>
      </c>
      <c r="AI955">
        <f>IF(AND(OR(Company_Explorer!$B$5="All Companies",$E955=Company_Explorer!$B$5),OR(Company_Explorer!$B$6="All Platforms",$B955=Company_Explorer!$B$6),OR(Company_Explorer!$B$7="All Roles",$D955=Company_Explorer!$B$7),OR(Company_Explorer!$B$8="All Ghost Labels",$AG955=Company_Explorer!$B$8)),1,0)</f>
        <v>0</v>
      </c>
    </row>
    <row r="956" spans="1:35" ht="15" customHeight="1" x14ac:dyDescent="0.3">
      <c r="A956" s="60" t="s">
        <v>3429</v>
      </c>
      <c r="B956" s="60" t="s">
        <v>80</v>
      </c>
      <c r="C956" s="60" t="s">
        <v>3430</v>
      </c>
      <c r="D956" s="60" t="s">
        <v>126</v>
      </c>
      <c r="E956" s="60" t="s">
        <v>3431</v>
      </c>
      <c r="F956" s="60" t="b">
        <f>TRUE()</f>
        <v>1</v>
      </c>
      <c r="G956" s="60" t="s">
        <v>166</v>
      </c>
      <c r="H956" s="60" t="s">
        <v>235</v>
      </c>
      <c r="I956" s="61">
        <v>46203</v>
      </c>
      <c r="J956" s="61">
        <v>46210</v>
      </c>
      <c r="K956" s="60">
        <v>7</v>
      </c>
      <c r="L956" s="60" t="s">
        <v>192</v>
      </c>
      <c r="M956" s="60" t="s">
        <v>185</v>
      </c>
      <c r="N956" s="60" t="b">
        <f>FALSE()</f>
        <v>0</v>
      </c>
      <c r="O956" s="60"/>
      <c r="P956" s="60"/>
      <c r="Q956" s="60" t="s">
        <v>236</v>
      </c>
      <c r="R956" s="60" t="s">
        <v>237</v>
      </c>
      <c r="S956" s="60"/>
      <c r="T956" s="60" t="b">
        <f>FALSE()</f>
        <v>0</v>
      </c>
      <c r="U956" s="60" t="b">
        <f>FALSE()</f>
        <v>0</v>
      </c>
      <c r="V956" s="60">
        <v>279</v>
      </c>
      <c r="W956" s="62" t="s">
        <v>3432</v>
      </c>
      <c r="X956" s="60">
        <v>1</v>
      </c>
      <c r="Y956" s="63">
        <v>0.01</v>
      </c>
      <c r="Z956" s="60" t="b">
        <f>FALSE()</f>
        <v>0</v>
      </c>
      <c r="AA956" s="60" t="b">
        <f>TRUE()</f>
        <v>1</v>
      </c>
      <c r="AB956" s="60" t="b">
        <f>FALSE()</f>
        <v>0</v>
      </c>
      <c r="AC956" s="60" t="b">
        <f>FALSE()</f>
        <v>0</v>
      </c>
      <c r="AD956" s="60" t="b">
        <f>FALSE()</f>
        <v>0</v>
      </c>
      <c r="AE956" s="60">
        <v>1</v>
      </c>
      <c r="AF956" s="64">
        <v>14.3</v>
      </c>
      <c r="AG956" s="60" t="s">
        <v>74</v>
      </c>
      <c r="AH956" s="60" t="s">
        <v>3433</v>
      </c>
      <c r="AI956">
        <f>IF(AND(OR(Company_Explorer!$B$5="All Companies",$E956=Company_Explorer!$B$5),OR(Company_Explorer!$B$6="All Platforms",$B956=Company_Explorer!$B$6),OR(Company_Explorer!$B$7="All Roles",$D956=Company_Explorer!$B$7),OR(Company_Explorer!$B$8="All Ghost Labels",$AG956=Company_Explorer!$B$8)),1,0)</f>
        <v>0</v>
      </c>
    </row>
    <row r="957" spans="1:35" ht="15" customHeight="1" x14ac:dyDescent="0.3">
      <c r="A957" s="65" t="s">
        <v>3434</v>
      </c>
      <c r="B957" s="65" t="s">
        <v>80</v>
      </c>
      <c r="C957" s="65" t="s">
        <v>3435</v>
      </c>
      <c r="D957" s="65" t="s">
        <v>125</v>
      </c>
      <c r="E957" s="65" t="s">
        <v>3436</v>
      </c>
      <c r="F957" s="65" t="b">
        <f>TRUE()</f>
        <v>1</v>
      </c>
      <c r="G957" s="65" t="s">
        <v>170</v>
      </c>
      <c r="H957" s="65" t="s">
        <v>165</v>
      </c>
      <c r="I957" s="66">
        <v>45998</v>
      </c>
      <c r="J957" s="66">
        <v>46210</v>
      </c>
      <c r="K957" s="65">
        <v>212</v>
      </c>
      <c r="L957" s="65" t="s">
        <v>192</v>
      </c>
      <c r="M957" s="65" t="s">
        <v>184</v>
      </c>
      <c r="N957" s="65" t="b">
        <f>TRUE()</f>
        <v>1</v>
      </c>
      <c r="O957" s="71">
        <v>1000000</v>
      </c>
      <c r="P957" s="71">
        <v>1500000</v>
      </c>
      <c r="Q957" s="65" t="s">
        <v>332</v>
      </c>
      <c r="R957" s="65" t="s">
        <v>237</v>
      </c>
      <c r="S957" s="65"/>
      <c r="T957" s="65" t="b">
        <f>FALSE()</f>
        <v>0</v>
      </c>
      <c r="U957" s="65" t="b">
        <f>FALSE()</f>
        <v>0</v>
      </c>
      <c r="V957" s="65">
        <v>285</v>
      </c>
      <c r="W957" s="67" t="s">
        <v>3437</v>
      </c>
      <c r="X957" s="65">
        <v>1</v>
      </c>
      <c r="Y957" s="68">
        <v>0.01</v>
      </c>
      <c r="Z957" s="65" t="b">
        <f>FALSE()</f>
        <v>0</v>
      </c>
      <c r="AA957" s="65" t="b">
        <f>FALSE()</f>
        <v>0</v>
      </c>
      <c r="AB957" s="65" t="b">
        <f>FALSE()</f>
        <v>0</v>
      </c>
      <c r="AC957" s="65" t="b">
        <f>TRUE()</f>
        <v>1</v>
      </c>
      <c r="AD957" s="65" t="b">
        <f>FALSE()</f>
        <v>0</v>
      </c>
      <c r="AE957" s="65">
        <v>1</v>
      </c>
      <c r="AF957" s="69">
        <v>14.3</v>
      </c>
      <c r="AG957" s="65" t="s">
        <v>74</v>
      </c>
      <c r="AH957" s="65" t="s">
        <v>3438</v>
      </c>
      <c r="AI957">
        <f>IF(AND(OR(Company_Explorer!$B$5="All Companies",$E957=Company_Explorer!$B$5),OR(Company_Explorer!$B$6="All Platforms",$B957=Company_Explorer!$B$6),OR(Company_Explorer!$B$7="All Roles",$D957=Company_Explorer!$B$7),OR(Company_Explorer!$B$8="All Ghost Labels",$AG957=Company_Explorer!$B$8)),1,0)</f>
        <v>0</v>
      </c>
    </row>
    <row r="958" spans="1:35" ht="15" customHeight="1" x14ac:dyDescent="0.3">
      <c r="A958" s="60" t="s">
        <v>3439</v>
      </c>
      <c r="B958" s="60" t="s">
        <v>80</v>
      </c>
      <c r="C958" s="60" t="s">
        <v>3440</v>
      </c>
      <c r="D958" s="60" t="s">
        <v>130</v>
      </c>
      <c r="E958" s="60" t="s">
        <v>3441</v>
      </c>
      <c r="F958" s="60" t="b">
        <f>TRUE()</f>
        <v>1</v>
      </c>
      <c r="G958" s="60" t="s">
        <v>370</v>
      </c>
      <c r="H958" s="60" t="s">
        <v>165</v>
      </c>
      <c r="I958" s="61">
        <v>46197</v>
      </c>
      <c r="J958" s="61">
        <v>46210</v>
      </c>
      <c r="K958" s="60">
        <v>13</v>
      </c>
      <c r="L958" s="60" t="s">
        <v>188</v>
      </c>
      <c r="M958" s="60" t="s">
        <v>188</v>
      </c>
      <c r="N958" s="60" t="b">
        <f>FALSE()</f>
        <v>0</v>
      </c>
      <c r="O958" s="60"/>
      <c r="P958" s="60"/>
      <c r="Q958" s="60" t="s">
        <v>236</v>
      </c>
      <c r="R958" s="60" t="s">
        <v>237</v>
      </c>
      <c r="S958" s="60"/>
      <c r="T958" s="60" t="b">
        <f>FALSE()</f>
        <v>0</v>
      </c>
      <c r="U958" s="60" t="b">
        <f>FALSE()</f>
        <v>0</v>
      </c>
      <c r="V958" s="60">
        <v>300</v>
      </c>
      <c r="W958" s="60" t="s">
        <v>3442</v>
      </c>
      <c r="X958" s="60">
        <v>1</v>
      </c>
      <c r="Y958" s="63">
        <v>0.01</v>
      </c>
      <c r="Z958" s="60" t="b">
        <f>FALSE()</f>
        <v>0</v>
      </c>
      <c r="AA958" s="60" t="b">
        <f>TRUE()</f>
        <v>1</v>
      </c>
      <c r="AB958" s="60" t="b">
        <f>FALSE()</f>
        <v>0</v>
      </c>
      <c r="AC958" s="60" t="b">
        <f>FALSE()</f>
        <v>0</v>
      </c>
      <c r="AD958" s="60" t="b">
        <f>FALSE()</f>
        <v>0</v>
      </c>
      <c r="AE958" s="60">
        <v>1</v>
      </c>
      <c r="AF958" s="64">
        <v>14.3</v>
      </c>
      <c r="AG958" s="60" t="s">
        <v>74</v>
      </c>
      <c r="AH958" s="60" t="s">
        <v>3443</v>
      </c>
      <c r="AI958">
        <f>IF(AND(OR(Company_Explorer!$B$5="All Companies",$E958=Company_Explorer!$B$5),OR(Company_Explorer!$B$6="All Platforms",$B958=Company_Explorer!$B$6),OR(Company_Explorer!$B$7="All Roles",$D958=Company_Explorer!$B$7),OR(Company_Explorer!$B$8="All Ghost Labels",$AG958=Company_Explorer!$B$8)),1,0)</f>
        <v>0</v>
      </c>
    </row>
    <row r="959" spans="1:35" ht="15" customHeight="1" x14ac:dyDescent="0.3">
      <c r="A959" s="65" t="s">
        <v>3444</v>
      </c>
      <c r="B959" s="65" t="s">
        <v>80</v>
      </c>
      <c r="C959" s="65" t="s">
        <v>2553</v>
      </c>
      <c r="D959" s="65" t="s">
        <v>125</v>
      </c>
      <c r="E959" s="65" t="s">
        <v>3445</v>
      </c>
      <c r="F959" s="65" t="b">
        <f>TRUE()</f>
        <v>1</v>
      </c>
      <c r="G959" s="65" t="s">
        <v>253</v>
      </c>
      <c r="H959" s="65" t="s">
        <v>254</v>
      </c>
      <c r="I959" s="66">
        <v>46198</v>
      </c>
      <c r="J959" s="66">
        <v>46210</v>
      </c>
      <c r="K959" s="65">
        <v>12</v>
      </c>
      <c r="L959" s="65" t="s">
        <v>192</v>
      </c>
      <c r="M959" s="65" t="s">
        <v>184</v>
      </c>
      <c r="N959" s="65" t="b">
        <f>FALSE()</f>
        <v>0</v>
      </c>
      <c r="O959" s="65"/>
      <c r="P959" s="65"/>
      <c r="Q959" s="65" t="s">
        <v>236</v>
      </c>
      <c r="R959" s="65" t="s">
        <v>237</v>
      </c>
      <c r="S959" s="65"/>
      <c r="T959" s="65" t="b">
        <f>FALSE()</f>
        <v>0</v>
      </c>
      <c r="U959" s="65" t="b">
        <f>FALSE()</f>
        <v>0</v>
      </c>
      <c r="V959" s="65">
        <v>252</v>
      </c>
      <c r="W959" s="67" t="s">
        <v>3446</v>
      </c>
      <c r="X959" s="65">
        <v>1</v>
      </c>
      <c r="Y959" s="68">
        <v>0.01</v>
      </c>
      <c r="Z959" s="65" t="b">
        <f>FALSE()</f>
        <v>0</v>
      </c>
      <c r="AA959" s="65" t="b">
        <f>TRUE()</f>
        <v>1</v>
      </c>
      <c r="AB959" s="65" t="b">
        <f>TRUE()</f>
        <v>1</v>
      </c>
      <c r="AC959" s="65" t="b">
        <f>FALSE()</f>
        <v>0</v>
      </c>
      <c r="AD959" s="65" t="b">
        <f>FALSE()</f>
        <v>0</v>
      </c>
      <c r="AE959" s="65">
        <v>2</v>
      </c>
      <c r="AF959" s="69">
        <v>28.6</v>
      </c>
      <c r="AG959" s="65" t="s">
        <v>73</v>
      </c>
      <c r="AH959" s="65" t="s">
        <v>3447</v>
      </c>
      <c r="AI959">
        <f>IF(AND(OR(Company_Explorer!$B$5="All Companies",$E959=Company_Explorer!$B$5),OR(Company_Explorer!$B$6="All Platforms",$B959=Company_Explorer!$B$6),OR(Company_Explorer!$B$7="All Roles",$D959=Company_Explorer!$B$7),OR(Company_Explorer!$B$8="All Ghost Labels",$AG959=Company_Explorer!$B$8)),1,0)</f>
        <v>0</v>
      </c>
    </row>
    <row r="960" spans="1:35" ht="15" customHeight="1" x14ac:dyDescent="0.3">
      <c r="A960" s="60" t="s">
        <v>3448</v>
      </c>
      <c r="B960" s="60" t="s">
        <v>80</v>
      </c>
      <c r="C960" s="60" t="s">
        <v>3449</v>
      </c>
      <c r="D960" s="60" t="s">
        <v>125</v>
      </c>
      <c r="E960" s="60" t="s">
        <v>3450</v>
      </c>
      <c r="F960" s="60" t="b">
        <f>TRUE()</f>
        <v>1</v>
      </c>
      <c r="G960" s="60" t="s">
        <v>168</v>
      </c>
      <c r="H960" s="60" t="s">
        <v>254</v>
      </c>
      <c r="I960" s="61">
        <v>45733</v>
      </c>
      <c r="J960" s="61">
        <v>46210</v>
      </c>
      <c r="K960" s="60">
        <v>477</v>
      </c>
      <c r="L960" s="60" t="s">
        <v>192</v>
      </c>
      <c r="M960" s="60" t="s">
        <v>184</v>
      </c>
      <c r="N960" s="60" t="b">
        <f>FALSE()</f>
        <v>0</v>
      </c>
      <c r="O960" s="60"/>
      <c r="P960" s="60"/>
      <c r="Q960" s="60" t="s">
        <v>236</v>
      </c>
      <c r="R960" s="60" t="s">
        <v>237</v>
      </c>
      <c r="S960" s="60"/>
      <c r="T960" s="60" t="b">
        <f>FALSE()</f>
        <v>0</v>
      </c>
      <c r="U960" s="60" t="b">
        <f>FALSE()</f>
        <v>0</v>
      </c>
      <c r="V960" s="60">
        <v>361</v>
      </c>
      <c r="W960" s="62" t="s">
        <v>3451</v>
      </c>
      <c r="X960" s="60">
        <v>1</v>
      </c>
      <c r="Y960" s="63">
        <v>0.01</v>
      </c>
      <c r="Z960" s="60" t="b">
        <f>FALSE()</f>
        <v>0</v>
      </c>
      <c r="AA960" s="60" t="b">
        <f>TRUE()</f>
        <v>1</v>
      </c>
      <c r="AB960" s="60" t="b">
        <f>FALSE()</f>
        <v>0</v>
      </c>
      <c r="AC960" s="60" t="b">
        <f>TRUE()</f>
        <v>1</v>
      </c>
      <c r="AD960" s="60" t="b">
        <f>FALSE()</f>
        <v>0</v>
      </c>
      <c r="AE960" s="60">
        <v>2</v>
      </c>
      <c r="AF960" s="64">
        <v>28.6</v>
      </c>
      <c r="AG960" s="60" t="s">
        <v>73</v>
      </c>
      <c r="AH960" s="60" t="s">
        <v>3452</v>
      </c>
      <c r="AI960">
        <f>IF(AND(OR(Company_Explorer!$B$5="All Companies",$E960=Company_Explorer!$B$5),OR(Company_Explorer!$B$6="All Platforms",$B960=Company_Explorer!$B$6),OR(Company_Explorer!$B$7="All Roles",$D960=Company_Explorer!$B$7),OR(Company_Explorer!$B$8="All Ghost Labels",$AG960=Company_Explorer!$B$8)),1,0)</f>
        <v>0</v>
      </c>
    </row>
    <row r="961" spans="1:35" ht="15" customHeight="1" x14ac:dyDescent="0.3">
      <c r="A961" s="65" t="s">
        <v>3453</v>
      </c>
      <c r="B961" s="65" t="s">
        <v>80</v>
      </c>
      <c r="C961" s="65" t="s">
        <v>3328</v>
      </c>
      <c r="D961" s="65" t="s">
        <v>129</v>
      </c>
      <c r="E961" s="65" t="s">
        <v>3454</v>
      </c>
      <c r="F961" s="65" t="b">
        <f>TRUE()</f>
        <v>1</v>
      </c>
      <c r="G961" s="65" t="s">
        <v>3455</v>
      </c>
      <c r="H961" s="65" t="s">
        <v>276</v>
      </c>
      <c r="I961" s="66">
        <v>45930</v>
      </c>
      <c r="J961" s="66">
        <v>46210</v>
      </c>
      <c r="K961" s="65">
        <v>280</v>
      </c>
      <c r="L961" s="65" t="s">
        <v>192</v>
      </c>
      <c r="M961" s="65" t="s">
        <v>186</v>
      </c>
      <c r="N961" s="65" t="b">
        <f>TRUE()</f>
        <v>1</v>
      </c>
      <c r="O961" s="71">
        <v>400000</v>
      </c>
      <c r="P961" s="71">
        <v>1000000</v>
      </c>
      <c r="Q961" s="65" t="s">
        <v>332</v>
      </c>
      <c r="R961" s="65" t="s">
        <v>237</v>
      </c>
      <c r="S961" s="65"/>
      <c r="T961" s="65" t="b">
        <f>FALSE()</f>
        <v>0</v>
      </c>
      <c r="U961" s="65" t="b">
        <f>FALSE()</f>
        <v>0</v>
      </c>
      <c r="V961" s="65">
        <v>203</v>
      </c>
      <c r="W961" s="67" t="s">
        <v>3456</v>
      </c>
      <c r="X961" s="65">
        <v>1</v>
      </c>
      <c r="Y961" s="68">
        <v>0.01</v>
      </c>
      <c r="Z961" s="65" t="b">
        <f>FALSE()</f>
        <v>0</v>
      </c>
      <c r="AA961" s="65" t="b">
        <f>FALSE()</f>
        <v>0</v>
      </c>
      <c r="AB961" s="65" t="b">
        <f>TRUE()</f>
        <v>1</v>
      </c>
      <c r="AC961" s="65" t="b">
        <f>TRUE()</f>
        <v>1</v>
      </c>
      <c r="AD961" s="65" t="b">
        <f>FALSE()</f>
        <v>0</v>
      </c>
      <c r="AE961" s="65">
        <v>2</v>
      </c>
      <c r="AF961" s="69">
        <v>28.6</v>
      </c>
      <c r="AG961" s="65" t="s">
        <v>73</v>
      </c>
      <c r="AH961" s="65" t="s">
        <v>3457</v>
      </c>
      <c r="AI961">
        <f>IF(AND(OR(Company_Explorer!$B$5="All Companies",$E961=Company_Explorer!$B$5),OR(Company_Explorer!$B$6="All Platforms",$B961=Company_Explorer!$B$6),OR(Company_Explorer!$B$7="All Roles",$D961=Company_Explorer!$B$7),OR(Company_Explorer!$B$8="All Ghost Labels",$AG961=Company_Explorer!$B$8)),1,0)</f>
        <v>0</v>
      </c>
    </row>
    <row r="962" spans="1:35" ht="15" customHeight="1" x14ac:dyDescent="0.3">
      <c r="A962" s="60" t="s">
        <v>3458</v>
      </c>
      <c r="B962" s="60" t="s">
        <v>80</v>
      </c>
      <c r="C962" s="60" t="s">
        <v>258</v>
      </c>
      <c r="D962" s="60" t="s">
        <v>125</v>
      </c>
      <c r="E962" s="60" t="s">
        <v>141</v>
      </c>
      <c r="F962" s="60" t="b">
        <f>TRUE()</f>
        <v>1</v>
      </c>
      <c r="G962" s="60" t="s">
        <v>168</v>
      </c>
      <c r="H962" s="60" t="s">
        <v>254</v>
      </c>
      <c r="I962" s="61">
        <v>46198</v>
      </c>
      <c r="J962" s="61">
        <v>46210</v>
      </c>
      <c r="K962" s="60">
        <v>12</v>
      </c>
      <c r="L962" s="60" t="s">
        <v>192</v>
      </c>
      <c r="M962" s="60" t="s">
        <v>184</v>
      </c>
      <c r="N962" s="60" t="b">
        <f>FALSE()</f>
        <v>0</v>
      </c>
      <c r="O962" s="60"/>
      <c r="P962" s="60"/>
      <c r="Q962" s="60" t="s">
        <v>236</v>
      </c>
      <c r="R962" s="60" t="s">
        <v>237</v>
      </c>
      <c r="S962" s="60"/>
      <c r="T962" s="60" t="b">
        <f>FALSE()</f>
        <v>0</v>
      </c>
      <c r="U962" s="60" t="b">
        <f>FALSE()</f>
        <v>0</v>
      </c>
      <c r="V962" s="60">
        <v>313</v>
      </c>
      <c r="W962" s="62" t="s">
        <v>259</v>
      </c>
      <c r="X962" s="60">
        <v>429</v>
      </c>
      <c r="Y962" s="63">
        <v>2.66</v>
      </c>
      <c r="Z962" s="60" t="b">
        <f>FALSE()</f>
        <v>0</v>
      </c>
      <c r="AA962" s="60" t="b">
        <f>TRUE()</f>
        <v>1</v>
      </c>
      <c r="AB962" s="60" t="b">
        <f>FALSE()</f>
        <v>0</v>
      </c>
      <c r="AC962" s="60" t="b">
        <f>FALSE()</f>
        <v>0</v>
      </c>
      <c r="AD962" s="60" t="b">
        <f>TRUE()</f>
        <v>1</v>
      </c>
      <c r="AE962" s="60">
        <v>3</v>
      </c>
      <c r="AF962" s="64">
        <v>42.9</v>
      </c>
      <c r="AG962" s="60" t="s">
        <v>73</v>
      </c>
      <c r="AH962" s="60" t="s">
        <v>3459</v>
      </c>
      <c r="AI962">
        <f>IF(AND(OR(Company_Explorer!$B$5="All Companies",$E962=Company_Explorer!$B$5),OR(Company_Explorer!$B$6="All Platforms",$B962=Company_Explorer!$B$6),OR(Company_Explorer!$B$7="All Roles",$D962=Company_Explorer!$B$7),OR(Company_Explorer!$B$8="All Ghost Labels",$AG962=Company_Explorer!$B$8)),1,0)</f>
        <v>0</v>
      </c>
    </row>
    <row r="963" spans="1:35" ht="15" customHeight="1" x14ac:dyDescent="0.3">
      <c r="A963" s="65" t="s">
        <v>3460</v>
      </c>
      <c r="B963" s="65" t="s">
        <v>80</v>
      </c>
      <c r="C963" s="65" t="s">
        <v>125</v>
      </c>
      <c r="D963" s="65" t="s">
        <v>125</v>
      </c>
      <c r="E963" s="65" t="s">
        <v>3461</v>
      </c>
      <c r="F963" s="65" t="b">
        <f>TRUE()</f>
        <v>1</v>
      </c>
      <c r="G963" s="65" t="s">
        <v>347</v>
      </c>
      <c r="H963" s="65" t="s">
        <v>235</v>
      </c>
      <c r="I963" s="66">
        <v>46202</v>
      </c>
      <c r="J963" s="66">
        <v>46210</v>
      </c>
      <c r="K963" s="65">
        <v>8</v>
      </c>
      <c r="L963" s="65" t="s">
        <v>192</v>
      </c>
      <c r="M963" s="65" t="s">
        <v>185</v>
      </c>
      <c r="N963" s="65" t="b">
        <f>FALSE()</f>
        <v>0</v>
      </c>
      <c r="O963" s="65"/>
      <c r="P963" s="65"/>
      <c r="Q963" s="65" t="s">
        <v>236</v>
      </c>
      <c r="R963" s="65" t="s">
        <v>237</v>
      </c>
      <c r="S963" s="65"/>
      <c r="T963" s="65" t="b">
        <f>FALSE()</f>
        <v>0</v>
      </c>
      <c r="U963" s="65" t="b">
        <f>FALSE()</f>
        <v>0</v>
      </c>
      <c r="V963" s="65">
        <v>509</v>
      </c>
      <c r="W963" s="67" t="s">
        <v>3462</v>
      </c>
      <c r="X963" s="65">
        <v>1</v>
      </c>
      <c r="Y963" s="68">
        <v>0.01</v>
      </c>
      <c r="Z963" s="65" t="b">
        <f>FALSE()</f>
        <v>0</v>
      </c>
      <c r="AA963" s="65" t="b">
        <f>TRUE()</f>
        <v>1</v>
      </c>
      <c r="AB963" s="65" t="b">
        <f>FALSE()</f>
        <v>0</v>
      </c>
      <c r="AC963" s="65" t="b">
        <f>FALSE()</f>
        <v>0</v>
      </c>
      <c r="AD963" s="65" t="b">
        <f>FALSE()</f>
        <v>0</v>
      </c>
      <c r="AE963" s="65">
        <v>1</v>
      </c>
      <c r="AF963" s="69">
        <v>14.3</v>
      </c>
      <c r="AG963" s="65" t="s">
        <v>74</v>
      </c>
      <c r="AH963" s="65" t="s">
        <v>3463</v>
      </c>
      <c r="AI963">
        <f>IF(AND(OR(Company_Explorer!$B$5="All Companies",$E963=Company_Explorer!$B$5),OR(Company_Explorer!$B$6="All Platforms",$B963=Company_Explorer!$B$6),OR(Company_Explorer!$B$7="All Roles",$D963=Company_Explorer!$B$7),OR(Company_Explorer!$B$8="All Ghost Labels",$AG963=Company_Explorer!$B$8)),1,0)</f>
        <v>0</v>
      </c>
    </row>
    <row r="964" spans="1:35" ht="15" customHeight="1" x14ac:dyDescent="0.3">
      <c r="A964" s="60" t="s">
        <v>3464</v>
      </c>
      <c r="B964" s="60" t="s">
        <v>80</v>
      </c>
      <c r="C964" s="60" t="s">
        <v>3465</v>
      </c>
      <c r="D964" s="60" t="s">
        <v>129</v>
      </c>
      <c r="E964" s="60" t="s">
        <v>1839</v>
      </c>
      <c r="F964" s="60" t="b">
        <f>TRUE()</f>
        <v>1</v>
      </c>
      <c r="G964" s="60" t="s">
        <v>166</v>
      </c>
      <c r="H964" s="60" t="s">
        <v>235</v>
      </c>
      <c r="I964" s="61">
        <v>46160</v>
      </c>
      <c r="J964" s="61">
        <v>46210</v>
      </c>
      <c r="K964" s="60">
        <v>50</v>
      </c>
      <c r="L964" s="60" t="s">
        <v>192</v>
      </c>
      <c r="M964" s="60" t="s">
        <v>185</v>
      </c>
      <c r="N964" s="60" t="b">
        <f>FALSE()</f>
        <v>0</v>
      </c>
      <c r="O964" s="60"/>
      <c r="P964" s="60"/>
      <c r="Q964" s="60" t="s">
        <v>236</v>
      </c>
      <c r="R964" s="60" t="s">
        <v>237</v>
      </c>
      <c r="S964" s="60"/>
      <c r="T964" s="60" t="b">
        <f>FALSE()</f>
        <v>0</v>
      </c>
      <c r="U964" s="60" t="b">
        <f>FALSE()</f>
        <v>0</v>
      </c>
      <c r="V964" s="60">
        <v>1804</v>
      </c>
      <c r="W964" s="62" t="s">
        <v>1840</v>
      </c>
      <c r="X964" s="60">
        <v>2</v>
      </c>
      <c r="Y964" s="63">
        <v>0.01</v>
      </c>
      <c r="Z964" s="60" t="b">
        <f>FALSE()</f>
        <v>0</v>
      </c>
      <c r="AA964" s="60" t="b">
        <f>TRUE()</f>
        <v>1</v>
      </c>
      <c r="AB964" s="60" t="b">
        <f>FALSE()</f>
        <v>0</v>
      </c>
      <c r="AC964" s="60" t="b">
        <f>TRUE()</f>
        <v>1</v>
      </c>
      <c r="AD964" s="60" t="b">
        <f>FALSE()</f>
        <v>0</v>
      </c>
      <c r="AE964" s="60">
        <v>2</v>
      </c>
      <c r="AF964" s="64">
        <v>28.6</v>
      </c>
      <c r="AG964" s="60" t="s">
        <v>73</v>
      </c>
      <c r="AH964" s="60" t="s">
        <v>3466</v>
      </c>
      <c r="AI964">
        <f>IF(AND(OR(Company_Explorer!$B$5="All Companies",$E964=Company_Explorer!$B$5),OR(Company_Explorer!$B$6="All Platforms",$B964=Company_Explorer!$B$6),OR(Company_Explorer!$B$7="All Roles",$D964=Company_Explorer!$B$7),OR(Company_Explorer!$B$8="All Ghost Labels",$AG964=Company_Explorer!$B$8)),1,0)</f>
        <v>0</v>
      </c>
    </row>
    <row r="965" spans="1:35" ht="15" customHeight="1" x14ac:dyDescent="0.3">
      <c r="A965" s="65" t="s">
        <v>3467</v>
      </c>
      <c r="B965" s="65" t="s">
        <v>80</v>
      </c>
      <c r="C965" s="65" t="s">
        <v>3468</v>
      </c>
      <c r="D965" s="65" t="s">
        <v>130</v>
      </c>
      <c r="E965" s="65" t="s">
        <v>153</v>
      </c>
      <c r="F965" s="65" t="b">
        <f>TRUE()</f>
        <v>1</v>
      </c>
      <c r="G965" s="65" t="s">
        <v>171</v>
      </c>
      <c r="H965" s="65" t="s">
        <v>254</v>
      </c>
      <c r="I965" s="66">
        <v>46199</v>
      </c>
      <c r="J965" s="66">
        <v>46210</v>
      </c>
      <c r="K965" s="65">
        <v>11</v>
      </c>
      <c r="L965" s="65" t="s">
        <v>192</v>
      </c>
      <c r="M965" s="65" t="s">
        <v>184</v>
      </c>
      <c r="N965" s="65" t="b">
        <f>FALSE()</f>
        <v>0</v>
      </c>
      <c r="O965" s="65"/>
      <c r="P965" s="65"/>
      <c r="Q965" s="65" t="s">
        <v>236</v>
      </c>
      <c r="R965" s="65" t="s">
        <v>237</v>
      </c>
      <c r="S965" s="65"/>
      <c r="T965" s="65" t="b">
        <f>FALSE()</f>
        <v>0</v>
      </c>
      <c r="U965" s="65" t="b">
        <f>FALSE()</f>
        <v>0</v>
      </c>
      <c r="V965" s="65">
        <v>630</v>
      </c>
      <c r="W965" s="67" t="s">
        <v>3469</v>
      </c>
      <c r="X965" s="65">
        <v>4</v>
      </c>
      <c r="Y965" s="68">
        <v>0.02</v>
      </c>
      <c r="Z965" s="65" t="b">
        <f>FALSE()</f>
        <v>0</v>
      </c>
      <c r="AA965" s="65" t="b">
        <f>TRUE()</f>
        <v>1</v>
      </c>
      <c r="AB965" s="65" t="b">
        <f>FALSE()</f>
        <v>0</v>
      </c>
      <c r="AC965" s="65" t="b">
        <f>FALSE()</f>
        <v>0</v>
      </c>
      <c r="AD965" s="65" t="b">
        <f>FALSE()</f>
        <v>0</v>
      </c>
      <c r="AE965" s="65">
        <v>1</v>
      </c>
      <c r="AF965" s="69">
        <v>14.3</v>
      </c>
      <c r="AG965" s="65" t="s">
        <v>74</v>
      </c>
      <c r="AH965" s="65" t="s">
        <v>3470</v>
      </c>
      <c r="AI965">
        <f>IF(AND(OR(Company_Explorer!$B$5="All Companies",$E965=Company_Explorer!$B$5),OR(Company_Explorer!$B$6="All Platforms",$B965=Company_Explorer!$B$6),OR(Company_Explorer!$B$7="All Roles",$D965=Company_Explorer!$B$7),OR(Company_Explorer!$B$8="All Ghost Labels",$AG965=Company_Explorer!$B$8)),1,0)</f>
        <v>0</v>
      </c>
    </row>
    <row r="966" spans="1:35" ht="15" customHeight="1" x14ac:dyDescent="0.3">
      <c r="A966" s="60" t="s">
        <v>3471</v>
      </c>
      <c r="B966" s="60" t="s">
        <v>80</v>
      </c>
      <c r="C966" s="60" t="s">
        <v>2349</v>
      </c>
      <c r="D966" s="60" t="s">
        <v>131</v>
      </c>
      <c r="E966" s="60" t="s">
        <v>3472</v>
      </c>
      <c r="F966" s="60" t="b">
        <f>TRUE()</f>
        <v>1</v>
      </c>
      <c r="G966" s="60" t="s">
        <v>166</v>
      </c>
      <c r="H966" s="60" t="s">
        <v>235</v>
      </c>
      <c r="I966" s="61">
        <v>45894</v>
      </c>
      <c r="J966" s="61">
        <v>46210</v>
      </c>
      <c r="K966" s="60">
        <v>316</v>
      </c>
      <c r="L966" s="60" t="s">
        <v>192</v>
      </c>
      <c r="M966" s="60" t="s">
        <v>185</v>
      </c>
      <c r="N966" s="60" t="b">
        <f>FALSE()</f>
        <v>0</v>
      </c>
      <c r="O966" s="60"/>
      <c r="P966" s="60"/>
      <c r="Q966" s="60" t="s">
        <v>236</v>
      </c>
      <c r="R966" s="60" t="s">
        <v>237</v>
      </c>
      <c r="S966" s="60"/>
      <c r="T966" s="60" t="b">
        <f>FALSE()</f>
        <v>0</v>
      </c>
      <c r="U966" s="60" t="b">
        <f>FALSE()</f>
        <v>0</v>
      </c>
      <c r="V966" s="60">
        <v>162</v>
      </c>
      <c r="W966" s="62" t="s">
        <v>3473</v>
      </c>
      <c r="X966" s="60">
        <v>1</v>
      </c>
      <c r="Y966" s="63">
        <v>0.01</v>
      </c>
      <c r="Z966" s="60" t="b">
        <f>FALSE()</f>
        <v>0</v>
      </c>
      <c r="AA966" s="60" t="b">
        <f>TRUE()</f>
        <v>1</v>
      </c>
      <c r="AB966" s="60" t="b">
        <f>TRUE()</f>
        <v>1</v>
      </c>
      <c r="AC966" s="60" t="b">
        <f>TRUE()</f>
        <v>1</v>
      </c>
      <c r="AD966" s="60" t="b">
        <f>FALSE()</f>
        <v>0</v>
      </c>
      <c r="AE966" s="60">
        <v>3</v>
      </c>
      <c r="AF966" s="64">
        <v>42.9</v>
      </c>
      <c r="AG966" s="60" t="s">
        <v>73</v>
      </c>
      <c r="AH966" s="60" t="s">
        <v>3474</v>
      </c>
      <c r="AI966">
        <f>IF(AND(OR(Company_Explorer!$B$5="All Companies",$E966=Company_Explorer!$B$5),OR(Company_Explorer!$B$6="All Platforms",$B966=Company_Explorer!$B$6),OR(Company_Explorer!$B$7="All Roles",$D966=Company_Explorer!$B$7),OR(Company_Explorer!$B$8="All Ghost Labels",$AG966=Company_Explorer!$B$8)),1,0)</f>
        <v>0</v>
      </c>
    </row>
    <row r="967" spans="1:35" ht="15" customHeight="1" x14ac:dyDescent="0.3">
      <c r="A967" s="65" t="s">
        <v>3475</v>
      </c>
      <c r="B967" s="65" t="s">
        <v>80</v>
      </c>
      <c r="C967" s="65" t="s">
        <v>2869</v>
      </c>
      <c r="D967" s="65" t="s">
        <v>125</v>
      </c>
      <c r="E967" s="65" t="s">
        <v>141</v>
      </c>
      <c r="F967" s="65" t="b">
        <f>TRUE()</f>
        <v>1</v>
      </c>
      <c r="G967" s="65" t="s">
        <v>174</v>
      </c>
      <c r="H967" s="65" t="s">
        <v>302</v>
      </c>
      <c r="I967" s="66">
        <v>46198</v>
      </c>
      <c r="J967" s="66">
        <v>46210</v>
      </c>
      <c r="K967" s="65">
        <v>12</v>
      </c>
      <c r="L967" s="65" t="s">
        <v>192</v>
      </c>
      <c r="M967" s="65" t="s">
        <v>184</v>
      </c>
      <c r="N967" s="65" t="b">
        <f>FALSE()</f>
        <v>0</v>
      </c>
      <c r="O967" s="65"/>
      <c r="P967" s="65"/>
      <c r="Q967" s="65" t="s">
        <v>236</v>
      </c>
      <c r="R967" s="65" t="s">
        <v>237</v>
      </c>
      <c r="S967" s="65"/>
      <c r="T967" s="65" t="b">
        <f>FALSE()</f>
        <v>0</v>
      </c>
      <c r="U967" s="65" t="b">
        <f>FALSE()</f>
        <v>0</v>
      </c>
      <c r="V967" s="65">
        <v>311</v>
      </c>
      <c r="W967" s="67" t="s">
        <v>3476</v>
      </c>
      <c r="X967" s="65">
        <v>429</v>
      </c>
      <c r="Y967" s="68">
        <v>2.66</v>
      </c>
      <c r="Z967" s="65" t="b">
        <f>FALSE()</f>
        <v>0</v>
      </c>
      <c r="AA967" s="65" t="b">
        <f>TRUE()</f>
        <v>1</v>
      </c>
      <c r="AB967" s="65" t="b">
        <f>FALSE()</f>
        <v>0</v>
      </c>
      <c r="AC967" s="65" t="b">
        <f>FALSE()</f>
        <v>0</v>
      </c>
      <c r="AD967" s="65" t="b">
        <f>TRUE()</f>
        <v>1</v>
      </c>
      <c r="AE967" s="65">
        <v>3</v>
      </c>
      <c r="AF967" s="69">
        <v>42.9</v>
      </c>
      <c r="AG967" s="65" t="s">
        <v>73</v>
      </c>
      <c r="AH967" s="65" t="s">
        <v>3477</v>
      </c>
      <c r="AI967">
        <f>IF(AND(OR(Company_Explorer!$B$5="All Companies",$E967=Company_Explorer!$B$5),OR(Company_Explorer!$B$6="All Platforms",$B967=Company_Explorer!$B$6),OR(Company_Explorer!$B$7="All Roles",$D967=Company_Explorer!$B$7),OR(Company_Explorer!$B$8="All Ghost Labels",$AG967=Company_Explorer!$B$8)),1,0)</f>
        <v>0</v>
      </c>
    </row>
    <row r="968" spans="1:35" ht="15" customHeight="1" x14ac:dyDescent="0.3">
      <c r="A968" s="60" t="s">
        <v>3478</v>
      </c>
      <c r="B968" s="60" t="s">
        <v>80</v>
      </c>
      <c r="C968" s="60" t="s">
        <v>306</v>
      </c>
      <c r="D968" s="60" t="s">
        <v>125</v>
      </c>
      <c r="E968" s="60" t="s">
        <v>3479</v>
      </c>
      <c r="F968" s="60" t="b">
        <f>TRUE()</f>
        <v>1</v>
      </c>
      <c r="G968" s="60" t="s">
        <v>168</v>
      </c>
      <c r="H968" s="60" t="s">
        <v>254</v>
      </c>
      <c r="I968" s="61">
        <v>45930</v>
      </c>
      <c r="J968" s="61">
        <v>46210</v>
      </c>
      <c r="K968" s="60">
        <v>280</v>
      </c>
      <c r="L968" s="60" t="s">
        <v>192</v>
      </c>
      <c r="M968" s="60" t="s">
        <v>185</v>
      </c>
      <c r="N968" s="60" t="b">
        <f>TRUE()</f>
        <v>1</v>
      </c>
      <c r="O968" s="70">
        <v>600000</v>
      </c>
      <c r="P968" s="70">
        <v>1000000</v>
      </c>
      <c r="Q968" s="60" t="s">
        <v>332</v>
      </c>
      <c r="R968" s="60" t="s">
        <v>237</v>
      </c>
      <c r="S968" s="60"/>
      <c r="T968" s="60" t="b">
        <f>FALSE()</f>
        <v>0</v>
      </c>
      <c r="U968" s="60" t="b">
        <f>FALSE()</f>
        <v>0</v>
      </c>
      <c r="V968" s="60">
        <v>130</v>
      </c>
      <c r="W968" s="62" t="s">
        <v>3480</v>
      </c>
      <c r="X968" s="60">
        <v>1</v>
      </c>
      <c r="Y968" s="63">
        <v>0.01</v>
      </c>
      <c r="Z968" s="60" t="b">
        <f>FALSE()</f>
        <v>0</v>
      </c>
      <c r="AA968" s="60" t="b">
        <f>FALSE()</f>
        <v>0</v>
      </c>
      <c r="AB968" s="60" t="b">
        <f>TRUE()</f>
        <v>1</v>
      </c>
      <c r="AC968" s="60" t="b">
        <f>TRUE()</f>
        <v>1</v>
      </c>
      <c r="AD968" s="60" t="b">
        <f>FALSE()</f>
        <v>0</v>
      </c>
      <c r="AE968" s="60">
        <v>2</v>
      </c>
      <c r="AF968" s="64">
        <v>28.6</v>
      </c>
      <c r="AG968" s="60" t="s">
        <v>73</v>
      </c>
      <c r="AH968" s="60" t="s">
        <v>3481</v>
      </c>
      <c r="AI968">
        <f>IF(AND(OR(Company_Explorer!$B$5="All Companies",$E968=Company_Explorer!$B$5),OR(Company_Explorer!$B$6="All Platforms",$B968=Company_Explorer!$B$6),OR(Company_Explorer!$B$7="All Roles",$D968=Company_Explorer!$B$7),OR(Company_Explorer!$B$8="All Ghost Labels",$AG968=Company_Explorer!$B$8)),1,0)</f>
        <v>0</v>
      </c>
    </row>
    <row r="969" spans="1:35" ht="15" customHeight="1" x14ac:dyDescent="0.3">
      <c r="A969" s="65" t="s">
        <v>3482</v>
      </c>
      <c r="B969" s="65" t="s">
        <v>80</v>
      </c>
      <c r="C969" s="65" t="s">
        <v>3483</v>
      </c>
      <c r="D969" s="65" t="s">
        <v>129</v>
      </c>
      <c r="E969" s="65" t="s">
        <v>3484</v>
      </c>
      <c r="F969" s="65" t="b">
        <f>TRUE()</f>
        <v>1</v>
      </c>
      <c r="G969" s="65" t="s">
        <v>166</v>
      </c>
      <c r="H969" s="65" t="s">
        <v>235</v>
      </c>
      <c r="I969" s="66">
        <v>46195</v>
      </c>
      <c r="J969" s="66">
        <v>46210</v>
      </c>
      <c r="K969" s="65">
        <v>15</v>
      </c>
      <c r="L969" s="65" t="s">
        <v>192</v>
      </c>
      <c r="M969" s="65" t="s">
        <v>184</v>
      </c>
      <c r="N969" s="65" t="b">
        <f>FALSE()</f>
        <v>0</v>
      </c>
      <c r="O969" s="65"/>
      <c r="P969" s="65"/>
      <c r="Q969" s="65" t="s">
        <v>236</v>
      </c>
      <c r="R969" s="65" t="s">
        <v>237</v>
      </c>
      <c r="S969" s="65"/>
      <c r="T969" s="65" t="b">
        <f>FALSE()</f>
        <v>0</v>
      </c>
      <c r="U969" s="65" t="b">
        <f>FALSE()</f>
        <v>0</v>
      </c>
      <c r="V969" s="65">
        <v>520</v>
      </c>
      <c r="W969" s="65" t="s">
        <v>3485</v>
      </c>
      <c r="X969" s="65">
        <v>1</v>
      </c>
      <c r="Y969" s="68">
        <v>0.01</v>
      </c>
      <c r="Z969" s="65" t="b">
        <f>FALSE()</f>
        <v>0</v>
      </c>
      <c r="AA969" s="65" t="b">
        <f>TRUE()</f>
        <v>1</v>
      </c>
      <c r="AB969" s="65" t="b">
        <f>FALSE()</f>
        <v>0</v>
      </c>
      <c r="AC969" s="65" t="b">
        <f>FALSE()</f>
        <v>0</v>
      </c>
      <c r="AD969" s="65" t="b">
        <f>FALSE()</f>
        <v>0</v>
      </c>
      <c r="AE969" s="65">
        <v>1</v>
      </c>
      <c r="AF969" s="69">
        <v>14.3</v>
      </c>
      <c r="AG969" s="65" t="s">
        <v>74</v>
      </c>
      <c r="AH969" s="65" t="s">
        <v>3486</v>
      </c>
      <c r="AI969">
        <f>IF(AND(OR(Company_Explorer!$B$5="All Companies",$E969=Company_Explorer!$B$5),OR(Company_Explorer!$B$6="All Platforms",$B969=Company_Explorer!$B$6),OR(Company_Explorer!$B$7="All Roles",$D969=Company_Explorer!$B$7),OR(Company_Explorer!$B$8="All Ghost Labels",$AG969=Company_Explorer!$B$8)),1,0)</f>
        <v>0</v>
      </c>
    </row>
    <row r="970" spans="1:35" ht="15" customHeight="1" x14ac:dyDescent="0.3">
      <c r="A970" s="60" t="s">
        <v>3487</v>
      </c>
      <c r="B970" s="60" t="s">
        <v>80</v>
      </c>
      <c r="C970" s="60" t="s">
        <v>2672</v>
      </c>
      <c r="D970" s="60" t="s">
        <v>125</v>
      </c>
      <c r="E970" s="60" t="s">
        <v>3488</v>
      </c>
      <c r="F970" s="60" t="b">
        <f>TRUE()</f>
        <v>1</v>
      </c>
      <c r="G970" s="60" t="s">
        <v>166</v>
      </c>
      <c r="H970" s="60" t="s">
        <v>235</v>
      </c>
      <c r="I970" s="61">
        <v>46191</v>
      </c>
      <c r="J970" s="61">
        <v>46210</v>
      </c>
      <c r="K970" s="60">
        <v>19</v>
      </c>
      <c r="L970" s="60" t="s">
        <v>192</v>
      </c>
      <c r="M970" s="60" t="s">
        <v>185</v>
      </c>
      <c r="N970" s="60" t="b">
        <f>FALSE()</f>
        <v>0</v>
      </c>
      <c r="O970" s="60"/>
      <c r="P970" s="60"/>
      <c r="Q970" s="60" t="s">
        <v>236</v>
      </c>
      <c r="R970" s="60" t="s">
        <v>237</v>
      </c>
      <c r="S970" s="60"/>
      <c r="T970" s="60" t="b">
        <f>FALSE()</f>
        <v>0</v>
      </c>
      <c r="U970" s="60" t="b">
        <f>FALSE()</f>
        <v>0</v>
      </c>
      <c r="V970" s="60">
        <v>971</v>
      </c>
      <c r="W970" s="60" t="s">
        <v>3489</v>
      </c>
      <c r="X970" s="60">
        <v>1</v>
      </c>
      <c r="Y970" s="63">
        <v>0.01</v>
      </c>
      <c r="Z970" s="60" t="b">
        <f>FALSE()</f>
        <v>0</v>
      </c>
      <c r="AA970" s="60" t="b">
        <f>TRUE()</f>
        <v>1</v>
      </c>
      <c r="AB970" s="60" t="b">
        <f>FALSE()</f>
        <v>0</v>
      </c>
      <c r="AC970" s="60" t="b">
        <f>TRUE()</f>
        <v>1</v>
      </c>
      <c r="AD970" s="60" t="b">
        <f>FALSE()</f>
        <v>0</v>
      </c>
      <c r="AE970" s="60">
        <v>2</v>
      </c>
      <c r="AF970" s="64">
        <v>28.6</v>
      </c>
      <c r="AG970" s="60" t="s">
        <v>73</v>
      </c>
      <c r="AH970" s="60" t="s">
        <v>3490</v>
      </c>
      <c r="AI970">
        <f>IF(AND(OR(Company_Explorer!$B$5="All Companies",$E970=Company_Explorer!$B$5),OR(Company_Explorer!$B$6="All Platforms",$B970=Company_Explorer!$B$6),OR(Company_Explorer!$B$7="All Roles",$D970=Company_Explorer!$B$7),OR(Company_Explorer!$B$8="All Ghost Labels",$AG970=Company_Explorer!$B$8)),1,0)</f>
        <v>0</v>
      </c>
    </row>
    <row r="971" spans="1:35" ht="15" customHeight="1" x14ac:dyDescent="0.3">
      <c r="A971" s="65" t="s">
        <v>3491</v>
      </c>
      <c r="B971" s="65" t="s">
        <v>80</v>
      </c>
      <c r="C971" s="65" t="s">
        <v>258</v>
      </c>
      <c r="D971" s="65" t="s">
        <v>125</v>
      </c>
      <c r="E971" s="65" t="s">
        <v>141</v>
      </c>
      <c r="F971" s="65" t="b">
        <f>TRUE()</f>
        <v>1</v>
      </c>
      <c r="G971" s="65" t="s">
        <v>169</v>
      </c>
      <c r="H971" s="65" t="s">
        <v>294</v>
      </c>
      <c r="I971" s="66">
        <v>46206</v>
      </c>
      <c r="J971" s="66">
        <v>46210</v>
      </c>
      <c r="K971" s="65">
        <v>4</v>
      </c>
      <c r="L971" s="65" t="s">
        <v>192</v>
      </c>
      <c r="M971" s="65" t="s">
        <v>184</v>
      </c>
      <c r="N971" s="65" t="b">
        <f>FALSE()</f>
        <v>0</v>
      </c>
      <c r="O971" s="65"/>
      <c r="P971" s="65"/>
      <c r="Q971" s="65" t="s">
        <v>236</v>
      </c>
      <c r="R971" s="65" t="s">
        <v>237</v>
      </c>
      <c r="S971" s="65"/>
      <c r="T971" s="65" t="b">
        <f>FALSE()</f>
        <v>0</v>
      </c>
      <c r="U971" s="65" t="b">
        <f>FALSE()</f>
        <v>0</v>
      </c>
      <c r="V971" s="65">
        <v>313</v>
      </c>
      <c r="W971" s="67" t="s">
        <v>259</v>
      </c>
      <c r="X971" s="65">
        <v>429</v>
      </c>
      <c r="Y971" s="68">
        <v>2.66</v>
      </c>
      <c r="Z971" s="65" t="b">
        <f>FALSE()</f>
        <v>0</v>
      </c>
      <c r="AA971" s="65" t="b">
        <f>TRUE()</f>
        <v>1</v>
      </c>
      <c r="AB971" s="65" t="b">
        <f>FALSE()</f>
        <v>0</v>
      </c>
      <c r="AC971" s="65" t="b">
        <f>FALSE()</f>
        <v>0</v>
      </c>
      <c r="AD971" s="65" t="b">
        <f>TRUE()</f>
        <v>1</v>
      </c>
      <c r="AE971" s="65">
        <v>3</v>
      </c>
      <c r="AF971" s="69">
        <v>42.9</v>
      </c>
      <c r="AG971" s="65" t="s">
        <v>73</v>
      </c>
      <c r="AH971" s="65" t="s">
        <v>3492</v>
      </c>
      <c r="AI971">
        <f>IF(AND(OR(Company_Explorer!$B$5="All Companies",$E971=Company_Explorer!$B$5),OR(Company_Explorer!$B$6="All Platforms",$B971=Company_Explorer!$B$6),OR(Company_Explorer!$B$7="All Roles",$D971=Company_Explorer!$B$7),OR(Company_Explorer!$B$8="All Ghost Labels",$AG971=Company_Explorer!$B$8)),1,0)</f>
        <v>0</v>
      </c>
    </row>
    <row r="972" spans="1:35" ht="15" customHeight="1" x14ac:dyDescent="0.3">
      <c r="A972" s="60" t="s">
        <v>3493</v>
      </c>
      <c r="B972" s="60" t="s">
        <v>80</v>
      </c>
      <c r="C972" s="60" t="s">
        <v>3494</v>
      </c>
      <c r="D972" s="60" t="s">
        <v>125</v>
      </c>
      <c r="E972" s="60" t="s">
        <v>3495</v>
      </c>
      <c r="F972" s="60" t="b">
        <f>TRUE()</f>
        <v>1</v>
      </c>
      <c r="G972" s="60" t="s">
        <v>166</v>
      </c>
      <c r="H972" s="60" t="s">
        <v>235</v>
      </c>
      <c r="I972" s="61">
        <v>46112</v>
      </c>
      <c r="J972" s="61">
        <v>46210</v>
      </c>
      <c r="K972" s="60">
        <v>98</v>
      </c>
      <c r="L972" s="60" t="s">
        <v>194</v>
      </c>
      <c r="M972" s="60" t="s">
        <v>184</v>
      </c>
      <c r="N972" s="60" t="b">
        <f>TRUE()</f>
        <v>1</v>
      </c>
      <c r="O972" s="70">
        <v>14</v>
      </c>
      <c r="P972" s="70">
        <v>15</v>
      </c>
      <c r="Q972" s="60" t="s">
        <v>332</v>
      </c>
      <c r="R972" s="60" t="s">
        <v>237</v>
      </c>
      <c r="S972" s="60"/>
      <c r="T972" s="60" t="b">
        <f>FALSE()</f>
        <v>0</v>
      </c>
      <c r="U972" s="60" t="b">
        <f>FALSE()</f>
        <v>0</v>
      </c>
      <c r="V972" s="60">
        <v>63</v>
      </c>
      <c r="W972" s="62" t="s">
        <v>3496</v>
      </c>
      <c r="X972" s="60">
        <v>1</v>
      </c>
      <c r="Y972" s="63">
        <v>0.01</v>
      </c>
      <c r="Z972" s="60" t="b">
        <f>FALSE()</f>
        <v>0</v>
      </c>
      <c r="AA972" s="60" t="b">
        <f>FALSE()</f>
        <v>0</v>
      </c>
      <c r="AB972" s="60" t="b">
        <f>TRUE()</f>
        <v>1</v>
      </c>
      <c r="AC972" s="60" t="b">
        <f>TRUE()</f>
        <v>1</v>
      </c>
      <c r="AD972" s="60" t="b">
        <f>FALSE()</f>
        <v>0</v>
      </c>
      <c r="AE972" s="60">
        <v>2</v>
      </c>
      <c r="AF972" s="64">
        <v>28.6</v>
      </c>
      <c r="AG972" s="60" t="s">
        <v>73</v>
      </c>
      <c r="AH972" s="60" t="s">
        <v>3497</v>
      </c>
      <c r="AI972">
        <f>IF(AND(OR(Company_Explorer!$B$5="All Companies",$E972=Company_Explorer!$B$5),OR(Company_Explorer!$B$6="All Platforms",$B972=Company_Explorer!$B$6),OR(Company_Explorer!$B$7="All Roles",$D972=Company_Explorer!$B$7),OR(Company_Explorer!$B$8="All Ghost Labels",$AG972=Company_Explorer!$B$8)),1,0)</f>
        <v>0</v>
      </c>
    </row>
    <row r="973" spans="1:35" ht="15" customHeight="1" x14ac:dyDescent="0.3">
      <c r="A973" s="65" t="s">
        <v>3498</v>
      </c>
      <c r="B973" s="65" t="s">
        <v>80</v>
      </c>
      <c r="C973" s="65" t="s">
        <v>2869</v>
      </c>
      <c r="D973" s="65" t="s">
        <v>125</v>
      </c>
      <c r="E973" s="65" t="s">
        <v>141</v>
      </c>
      <c r="F973" s="65" t="b">
        <f>TRUE()</f>
        <v>1</v>
      </c>
      <c r="G973" s="65" t="s">
        <v>167</v>
      </c>
      <c r="H973" s="65" t="s">
        <v>276</v>
      </c>
      <c r="I973" s="66">
        <v>46198</v>
      </c>
      <c r="J973" s="66">
        <v>46210</v>
      </c>
      <c r="K973" s="65">
        <v>12</v>
      </c>
      <c r="L973" s="65" t="s">
        <v>192</v>
      </c>
      <c r="M973" s="65" t="s">
        <v>184</v>
      </c>
      <c r="N973" s="65" t="b">
        <f>FALSE()</f>
        <v>0</v>
      </c>
      <c r="O973" s="65"/>
      <c r="P973" s="65"/>
      <c r="Q973" s="65" t="s">
        <v>236</v>
      </c>
      <c r="R973" s="65" t="s">
        <v>237</v>
      </c>
      <c r="S973" s="65"/>
      <c r="T973" s="65" t="b">
        <f>FALSE()</f>
        <v>0</v>
      </c>
      <c r="U973" s="65" t="b">
        <f>FALSE()</f>
        <v>0</v>
      </c>
      <c r="V973" s="65">
        <v>266</v>
      </c>
      <c r="W973" s="67" t="s">
        <v>3499</v>
      </c>
      <c r="X973" s="65">
        <v>429</v>
      </c>
      <c r="Y973" s="68">
        <v>2.66</v>
      </c>
      <c r="Z973" s="65" t="b">
        <f>FALSE()</f>
        <v>0</v>
      </c>
      <c r="AA973" s="65" t="b">
        <f>TRUE()</f>
        <v>1</v>
      </c>
      <c r="AB973" s="65" t="b">
        <f>TRUE()</f>
        <v>1</v>
      </c>
      <c r="AC973" s="65" t="b">
        <f>FALSE()</f>
        <v>0</v>
      </c>
      <c r="AD973" s="65" t="b">
        <f>TRUE()</f>
        <v>1</v>
      </c>
      <c r="AE973" s="65">
        <v>4</v>
      </c>
      <c r="AF973" s="69">
        <v>57.1</v>
      </c>
      <c r="AG973" s="65" t="s">
        <v>72</v>
      </c>
      <c r="AH973" s="65" t="s">
        <v>3500</v>
      </c>
      <c r="AI973">
        <f>IF(AND(OR(Company_Explorer!$B$5="All Companies",$E973=Company_Explorer!$B$5),OR(Company_Explorer!$B$6="All Platforms",$B973=Company_Explorer!$B$6),OR(Company_Explorer!$B$7="All Roles",$D973=Company_Explorer!$B$7),OR(Company_Explorer!$B$8="All Ghost Labels",$AG973=Company_Explorer!$B$8)),1,0)</f>
        <v>0</v>
      </c>
    </row>
    <row r="974" spans="1:35" ht="15" customHeight="1" x14ac:dyDescent="0.3">
      <c r="A974" s="60" t="s">
        <v>3501</v>
      </c>
      <c r="B974" s="60" t="s">
        <v>80</v>
      </c>
      <c r="C974" s="60" t="s">
        <v>130</v>
      </c>
      <c r="D974" s="60" t="s">
        <v>130</v>
      </c>
      <c r="E974" s="60" t="s">
        <v>141</v>
      </c>
      <c r="F974" s="60" t="b">
        <f>TRUE()</f>
        <v>1</v>
      </c>
      <c r="G974" s="60" t="s">
        <v>166</v>
      </c>
      <c r="H974" s="60" t="s">
        <v>235</v>
      </c>
      <c r="I974" s="61">
        <v>46198</v>
      </c>
      <c r="J974" s="61">
        <v>46210</v>
      </c>
      <c r="K974" s="60">
        <v>12</v>
      </c>
      <c r="L974" s="60" t="s">
        <v>192</v>
      </c>
      <c r="M974" s="60" t="s">
        <v>184</v>
      </c>
      <c r="N974" s="60" t="b">
        <f>FALSE()</f>
        <v>0</v>
      </c>
      <c r="O974" s="60"/>
      <c r="P974" s="60"/>
      <c r="Q974" s="60" t="s">
        <v>236</v>
      </c>
      <c r="R974" s="60" t="s">
        <v>237</v>
      </c>
      <c r="S974" s="60"/>
      <c r="T974" s="60" t="b">
        <f>FALSE()</f>
        <v>0</v>
      </c>
      <c r="U974" s="60" t="b">
        <f>FALSE()</f>
        <v>0</v>
      </c>
      <c r="V974" s="60">
        <v>350</v>
      </c>
      <c r="W974" s="62" t="s">
        <v>861</v>
      </c>
      <c r="X974" s="60">
        <v>429</v>
      </c>
      <c r="Y974" s="63">
        <v>2.66</v>
      </c>
      <c r="Z974" s="60" t="b">
        <f>FALSE()</f>
        <v>0</v>
      </c>
      <c r="AA974" s="60" t="b">
        <f>TRUE()</f>
        <v>1</v>
      </c>
      <c r="AB974" s="60" t="b">
        <f>FALSE()</f>
        <v>0</v>
      </c>
      <c r="AC974" s="60" t="b">
        <f>FALSE()</f>
        <v>0</v>
      </c>
      <c r="AD974" s="60" t="b">
        <f>TRUE()</f>
        <v>1</v>
      </c>
      <c r="AE974" s="60">
        <v>3</v>
      </c>
      <c r="AF974" s="64">
        <v>42.9</v>
      </c>
      <c r="AG974" s="60" t="s">
        <v>73</v>
      </c>
      <c r="AH974" s="60" t="s">
        <v>3502</v>
      </c>
      <c r="AI974">
        <f>IF(AND(OR(Company_Explorer!$B$5="All Companies",$E974=Company_Explorer!$B$5),OR(Company_Explorer!$B$6="All Platforms",$B974=Company_Explorer!$B$6),OR(Company_Explorer!$B$7="All Roles",$D974=Company_Explorer!$B$7),OR(Company_Explorer!$B$8="All Ghost Labels",$AG974=Company_Explorer!$B$8)),1,0)</f>
        <v>0</v>
      </c>
    </row>
    <row r="975" spans="1:35" ht="15" customHeight="1" x14ac:dyDescent="0.3">
      <c r="A975" s="65" t="s">
        <v>3503</v>
      </c>
      <c r="B975" s="65" t="s">
        <v>80</v>
      </c>
      <c r="C975" s="65" t="s">
        <v>306</v>
      </c>
      <c r="D975" s="65" t="s">
        <v>125</v>
      </c>
      <c r="E975" s="65" t="s">
        <v>3504</v>
      </c>
      <c r="F975" s="65" t="b">
        <f>TRUE()</f>
        <v>1</v>
      </c>
      <c r="G975" s="65" t="s">
        <v>178</v>
      </c>
      <c r="H975" s="65" t="s">
        <v>165</v>
      </c>
      <c r="I975" s="66">
        <v>46208</v>
      </c>
      <c r="J975" s="66">
        <v>46210</v>
      </c>
      <c r="K975" s="65">
        <v>2</v>
      </c>
      <c r="L975" s="65" t="s">
        <v>188</v>
      </c>
      <c r="M975" s="65" t="s">
        <v>188</v>
      </c>
      <c r="N975" s="65" t="b">
        <f>FALSE()</f>
        <v>0</v>
      </c>
      <c r="O975" s="65"/>
      <c r="P975" s="65"/>
      <c r="Q975" s="65" t="s">
        <v>236</v>
      </c>
      <c r="R975" s="65" t="s">
        <v>237</v>
      </c>
      <c r="S975" s="65"/>
      <c r="T975" s="65" t="b">
        <f>FALSE()</f>
        <v>0</v>
      </c>
      <c r="U975" s="65" t="b">
        <f>FALSE()</f>
        <v>0</v>
      </c>
      <c r="V975" s="65">
        <v>309</v>
      </c>
      <c r="W975" s="67" t="s">
        <v>3505</v>
      </c>
      <c r="X975" s="65">
        <v>1</v>
      </c>
      <c r="Y975" s="68">
        <v>0.01</v>
      </c>
      <c r="Z975" s="65" t="b">
        <f>FALSE()</f>
        <v>0</v>
      </c>
      <c r="AA975" s="65" t="b">
        <f>TRUE()</f>
        <v>1</v>
      </c>
      <c r="AB975" s="65" t="b">
        <f>FALSE()</f>
        <v>0</v>
      </c>
      <c r="AC975" s="65" t="b">
        <f>FALSE()</f>
        <v>0</v>
      </c>
      <c r="AD975" s="65" t="b">
        <f>FALSE()</f>
        <v>0</v>
      </c>
      <c r="AE975" s="65">
        <v>1</v>
      </c>
      <c r="AF975" s="69">
        <v>14.3</v>
      </c>
      <c r="AG975" s="65" t="s">
        <v>74</v>
      </c>
      <c r="AH975" s="65" t="s">
        <v>3506</v>
      </c>
      <c r="AI975">
        <f>IF(AND(OR(Company_Explorer!$B$5="All Companies",$E975=Company_Explorer!$B$5),OR(Company_Explorer!$B$6="All Platforms",$B975=Company_Explorer!$B$6),OR(Company_Explorer!$B$7="All Roles",$D975=Company_Explorer!$B$7),OR(Company_Explorer!$B$8="All Ghost Labels",$AG975=Company_Explorer!$B$8)),1,0)</f>
        <v>0</v>
      </c>
    </row>
    <row r="976" spans="1:35" ht="15" customHeight="1" x14ac:dyDescent="0.3">
      <c r="A976" s="60" t="s">
        <v>3507</v>
      </c>
      <c r="B976" s="60" t="s">
        <v>80</v>
      </c>
      <c r="C976" s="60" t="s">
        <v>130</v>
      </c>
      <c r="D976" s="60" t="s">
        <v>130</v>
      </c>
      <c r="E976" s="60" t="s">
        <v>141</v>
      </c>
      <c r="F976" s="60" t="b">
        <f>TRUE()</f>
        <v>1</v>
      </c>
      <c r="G976" s="60" t="s">
        <v>169</v>
      </c>
      <c r="H976" s="60" t="s">
        <v>294</v>
      </c>
      <c r="I976" s="61">
        <v>46198</v>
      </c>
      <c r="J976" s="61">
        <v>46210</v>
      </c>
      <c r="K976" s="60">
        <v>12</v>
      </c>
      <c r="L976" s="60" t="s">
        <v>192</v>
      </c>
      <c r="M976" s="60" t="s">
        <v>184</v>
      </c>
      <c r="N976" s="60" t="b">
        <f>FALSE()</f>
        <v>0</v>
      </c>
      <c r="O976" s="60"/>
      <c r="P976" s="60"/>
      <c r="Q976" s="60" t="s">
        <v>236</v>
      </c>
      <c r="R976" s="60" t="s">
        <v>237</v>
      </c>
      <c r="S976" s="60"/>
      <c r="T976" s="60" t="b">
        <f>FALSE()</f>
        <v>0</v>
      </c>
      <c r="U976" s="60" t="b">
        <f>FALSE()</f>
        <v>0</v>
      </c>
      <c r="V976" s="60">
        <v>341</v>
      </c>
      <c r="W976" s="62" t="s">
        <v>861</v>
      </c>
      <c r="X976" s="60">
        <v>429</v>
      </c>
      <c r="Y976" s="63">
        <v>2.66</v>
      </c>
      <c r="Z976" s="60" t="b">
        <f>FALSE()</f>
        <v>0</v>
      </c>
      <c r="AA976" s="60" t="b">
        <f>TRUE()</f>
        <v>1</v>
      </c>
      <c r="AB976" s="60" t="b">
        <f>FALSE()</f>
        <v>0</v>
      </c>
      <c r="AC976" s="60" t="b">
        <f>FALSE()</f>
        <v>0</v>
      </c>
      <c r="AD976" s="60" t="b">
        <f>TRUE()</f>
        <v>1</v>
      </c>
      <c r="AE976" s="60">
        <v>3</v>
      </c>
      <c r="AF976" s="64">
        <v>42.9</v>
      </c>
      <c r="AG976" s="60" t="s">
        <v>73</v>
      </c>
      <c r="AH976" s="60" t="s">
        <v>3508</v>
      </c>
      <c r="AI976">
        <f>IF(AND(OR(Company_Explorer!$B$5="All Companies",$E976=Company_Explorer!$B$5),OR(Company_Explorer!$B$6="All Platforms",$B976=Company_Explorer!$B$6),OR(Company_Explorer!$B$7="All Roles",$D976=Company_Explorer!$B$7),OR(Company_Explorer!$B$8="All Ghost Labels",$AG976=Company_Explorer!$B$8)),1,0)</f>
        <v>0</v>
      </c>
    </row>
    <row r="977" spans="1:35" ht="15" customHeight="1" x14ac:dyDescent="0.3">
      <c r="A977" s="65" t="s">
        <v>3509</v>
      </c>
      <c r="B977" s="65" t="s">
        <v>80</v>
      </c>
      <c r="C977" s="65" t="s">
        <v>3510</v>
      </c>
      <c r="D977" s="65" t="s">
        <v>129</v>
      </c>
      <c r="E977" s="65" t="s">
        <v>3511</v>
      </c>
      <c r="F977" s="65" t="b">
        <f>TRUE()</f>
        <v>1</v>
      </c>
      <c r="G977" s="65" t="s">
        <v>166</v>
      </c>
      <c r="H977" s="65" t="s">
        <v>235</v>
      </c>
      <c r="I977" s="66">
        <v>45082</v>
      </c>
      <c r="J977" s="66">
        <v>46210</v>
      </c>
      <c r="K977" s="65">
        <v>1128</v>
      </c>
      <c r="L977" s="65" t="s">
        <v>192</v>
      </c>
      <c r="M977" s="65" t="s">
        <v>185</v>
      </c>
      <c r="N977" s="65" t="b">
        <f>TRUE()</f>
        <v>1</v>
      </c>
      <c r="O977" s="71">
        <v>10000</v>
      </c>
      <c r="P977" s="71">
        <v>20000</v>
      </c>
      <c r="Q977" s="65" t="s">
        <v>332</v>
      </c>
      <c r="R977" s="65" t="s">
        <v>237</v>
      </c>
      <c r="S977" s="65"/>
      <c r="T977" s="65" t="b">
        <f>FALSE()</f>
        <v>0</v>
      </c>
      <c r="U977" s="65" t="b">
        <f>FALSE()</f>
        <v>0</v>
      </c>
      <c r="V977" s="65">
        <v>192</v>
      </c>
      <c r="W977" s="65" t="s">
        <v>3512</v>
      </c>
      <c r="X977" s="65">
        <v>1</v>
      </c>
      <c r="Y977" s="68">
        <v>0.01</v>
      </c>
      <c r="Z977" s="65" t="b">
        <f>FALSE()</f>
        <v>0</v>
      </c>
      <c r="AA977" s="65" t="b">
        <f>FALSE()</f>
        <v>0</v>
      </c>
      <c r="AB977" s="65" t="b">
        <f>TRUE()</f>
        <v>1</v>
      </c>
      <c r="AC977" s="65" t="b">
        <f>TRUE()</f>
        <v>1</v>
      </c>
      <c r="AD977" s="65" t="b">
        <f>FALSE()</f>
        <v>0</v>
      </c>
      <c r="AE977" s="65">
        <v>2</v>
      </c>
      <c r="AF977" s="69">
        <v>28.6</v>
      </c>
      <c r="AG977" s="65" t="s">
        <v>73</v>
      </c>
      <c r="AH977" s="65" t="s">
        <v>3513</v>
      </c>
      <c r="AI977">
        <f>IF(AND(OR(Company_Explorer!$B$5="All Companies",$E977=Company_Explorer!$B$5),OR(Company_Explorer!$B$6="All Platforms",$B977=Company_Explorer!$B$6),OR(Company_Explorer!$B$7="All Roles",$D977=Company_Explorer!$B$7),OR(Company_Explorer!$B$8="All Ghost Labels",$AG977=Company_Explorer!$B$8)),1,0)</f>
        <v>0</v>
      </c>
    </row>
    <row r="978" spans="1:35" ht="15" customHeight="1" x14ac:dyDescent="0.3">
      <c r="A978" s="60" t="s">
        <v>3514</v>
      </c>
      <c r="B978" s="60" t="s">
        <v>80</v>
      </c>
      <c r="C978" s="60" t="s">
        <v>3328</v>
      </c>
      <c r="D978" s="60" t="s">
        <v>129</v>
      </c>
      <c r="E978" s="60" t="s">
        <v>158</v>
      </c>
      <c r="F978" s="60" t="b">
        <f>TRUE()</f>
        <v>1</v>
      </c>
      <c r="G978" s="60" t="s">
        <v>178</v>
      </c>
      <c r="H978" s="60" t="s">
        <v>165</v>
      </c>
      <c r="I978" s="61">
        <v>46209</v>
      </c>
      <c r="J978" s="61">
        <v>46210</v>
      </c>
      <c r="K978" s="60">
        <v>1</v>
      </c>
      <c r="L978" s="60" t="s">
        <v>192</v>
      </c>
      <c r="M978" s="60" t="s">
        <v>184</v>
      </c>
      <c r="N978" s="60" t="b">
        <f>FALSE()</f>
        <v>0</v>
      </c>
      <c r="O978" s="60"/>
      <c r="P978" s="60"/>
      <c r="Q978" s="60" t="s">
        <v>236</v>
      </c>
      <c r="R978" s="60" t="s">
        <v>237</v>
      </c>
      <c r="S978" s="60"/>
      <c r="T978" s="60" t="b">
        <f>FALSE()</f>
        <v>0</v>
      </c>
      <c r="U978" s="60" t="b">
        <f>FALSE()</f>
        <v>0</v>
      </c>
      <c r="V978" s="60">
        <v>333</v>
      </c>
      <c r="W978" s="62" t="s">
        <v>3515</v>
      </c>
      <c r="X978" s="60">
        <v>14</v>
      </c>
      <c r="Y978" s="63">
        <v>0.09</v>
      </c>
      <c r="Z978" s="60" t="b">
        <f>FALSE()</f>
        <v>0</v>
      </c>
      <c r="AA978" s="60" t="b">
        <f>TRUE()</f>
        <v>1</v>
      </c>
      <c r="AB978" s="60" t="b">
        <f>FALSE()</f>
        <v>0</v>
      </c>
      <c r="AC978" s="60" t="b">
        <f>FALSE()</f>
        <v>0</v>
      </c>
      <c r="AD978" s="60" t="b">
        <f>FALSE()</f>
        <v>0</v>
      </c>
      <c r="AE978" s="60">
        <v>1</v>
      </c>
      <c r="AF978" s="64">
        <v>14.3</v>
      </c>
      <c r="AG978" s="60" t="s">
        <v>74</v>
      </c>
      <c r="AH978" s="60" t="s">
        <v>3516</v>
      </c>
      <c r="AI978">
        <f>IF(AND(OR(Company_Explorer!$B$5="All Companies",$E978=Company_Explorer!$B$5),OR(Company_Explorer!$B$6="All Platforms",$B978=Company_Explorer!$B$6),OR(Company_Explorer!$B$7="All Roles",$D978=Company_Explorer!$B$7),OR(Company_Explorer!$B$8="All Ghost Labels",$AG978=Company_Explorer!$B$8)),1,0)</f>
        <v>0</v>
      </c>
    </row>
    <row r="979" spans="1:35" ht="15" customHeight="1" x14ac:dyDescent="0.3">
      <c r="A979" s="65" t="s">
        <v>3517</v>
      </c>
      <c r="B979" s="65" t="s">
        <v>80</v>
      </c>
      <c r="C979" s="65" t="s">
        <v>258</v>
      </c>
      <c r="D979" s="65" t="s">
        <v>125</v>
      </c>
      <c r="E979" s="65" t="s">
        <v>141</v>
      </c>
      <c r="F979" s="65" t="b">
        <f>TRUE()</f>
        <v>1</v>
      </c>
      <c r="G979" s="65" t="s">
        <v>168</v>
      </c>
      <c r="H979" s="65" t="s">
        <v>254</v>
      </c>
      <c r="I979" s="66">
        <v>46198</v>
      </c>
      <c r="J979" s="66">
        <v>46210</v>
      </c>
      <c r="K979" s="65">
        <v>12</v>
      </c>
      <c r="L979" s="65" t="s">
        <v>192</v>
      </c>
      <c r="M979" s="65" t="s">
        <v>184</v>
      </c>
      <c r="N979" s="65" t="b">
        <f>FALSE()</f>
        <v>0</v>
      </c>
      <c r="O979" s="65"/>
      <c r="P979" s="65"/>
      <c r="Q979" s="65" t="s">
        <v>236</v>
      </c>
      <c r="R979" s="65" t="s">
        <v>237</v>
      </c>
      <c r="S979" s="65"/>
      <c r="T979" s="65" t="b">
        <f>FALSE()</f>
        <v>0</v>
      </c>
      <c r="U979" s="65" t="b">
        <f>FALSE()</f>
        <v>0</v>
      </c>
      <c r="V979" s="65">
        <v>284</v>
      </c>
      <c r="W979" s="67" t="s">
        <v>259</v>
      </c>
      <c r="X979" s="65">
        <v>429</v>
      </c>
      <c r="Y979" s="68">
        <v>2.66</v>
      </c>
      <c r="Z979" s="65" t="b">
        <f>FALSE()</f>
        <v>0</v>
      </c>
      <c r="AA979" s="65" t="b">
        <f>TRUE()</f>
        <v>1</v>
      </c>
      <c r="AB979" s="65" t="b">
        <f>FALSE()</f>
        <v>0</v>
      </c>
      <c r="AC979" s="65" t="b">
        <f>FALSE()</f>
        <v>0</v>
      </c>
      <c r="AD979" s="65" t="b">
        <f>TRUE()</f>
        <v>1</v>
      </c>
      <c r="AE979" s="65">
        <v>3</v>
      </c>
      <c r="AF979" s="69">
        <v>42.9</v>
      </c>
      <c r="AG979" s="65" t="s">
        <v>73</v>
      </c>
      <c r="AH979" s="65" t="s">
        <v>3518</v>
      </c>
      <c r="AI979">
        <f>IF(AND(OR(Company_Explorer!$B$5="All Companies",$E979=Company_Explorer!$B$5),OR(Company_Explorer!$B$6="All Platforms",$B979=Company_Explorer!$B$6),OR(Company_Explorer!$B$7="All Roles",$D979=Company_Explorer!$B$7),OR(Company_Explorer!$B$8="All Ghost Labels",$AG979=Company_Explorer!$B$8)),1,0)</f>
        <v>0</v>
      </c>
    </row>
    <row r="980" spans="1:35" ht="15" customHeight="1" x14ac:dyDescent="0.3">
      <c r="A980" s="60" t="s">
        <v>3519</v>
      </c>
      <c r="B980" s="60" t="s">
        <v>80</v>
      </c>
      <c r="C980" s="60" t="s">
        <v>3520</v>
      </c>
      <c r="D980" s="60" t="s">
        <v>126</v>
      </c>
      <c r="E980" s="60" t="s">
        <v>3521</v>
      </c>
      <c r="F980" s="60" t="b">
        <f>TRUE()</f>
        <v>1</v>
      </c>
      <c r="G980" s="60" t="s">
        <v>3522</v>
      </c>
      <c r="H980" s="60" t="s">
        <v>254</v>
      </c>
      <c r="I980" s="61">
        <v>45848</v>
      </c>
      <c r="J980" s="61">
        <v>46210</v>
      </c>
      <c r="K980" s="60">
        <v>362</v>
      </c>
      <c r="L980" s="60" t="s">
        <v>192</v>
      </c>
      <c r="M980" s="60" t="s">
        <v>185</v>
      </c>
      <c r="N980" s="60" t="b">
        <f>FALSE()</f>
        <v>0</v>
      </c>
      <c r="O980" s="60"/>
      <c r="P980" s="60"/>
      <c r="Q980" s="60" t="s">
        <v>236</v>
      </c>
      <c r="R980" s="60" t="s">
        <v>237</v>
      </c>
      <c r="S980" s="60"/>
      <c r="T980" s="60" t="b">
        <f>FALSE()</f>
        <v>0</v>
      </c>
      <c r="U980" s="60" t="b">
        <f>FALSE()</f>
        <v>0</v>
      </c>
      <c r="V980" s="60">
        <v>432</v>
      </c>
      <c r="W980" s="60" t="s">
        <v>3523</v>
      </c>
      <c r="X980" s="60">
        <v>1</v>
      </c>
      <c r="Y980" s="63">
        <v>0.01</v>
      </c>
      <c r="Z980" s="60" t="b">
        <f>FALSE()</f>
        <v>0</v>
      </c>
      <c r="AA980" s="60" t="b">
        <f>TRUE()</f>
        <v>1</v>
      </c>
      <c r="AB980" s="60" t="b">
        <f>FALSE()</f>
        <v>0</v>
      </c>
      <c r="AC980" s="60" t="b">
        <f>TRUE()</f>
        <v>1</v>
      </c>
      <c r="AD980" s="60" t="b">
        <f>FALSE()</f>
        <v>0</v>
      </c>
      <c r="AE980" s="60">
        <v>2</v>
      </c>
      <c r="AF980" s="64">
        <v>28.6</v>
      </c>
      <c r="AG980" s="60" t="s">
        <v>73</v>
      </c>
      <c r="AH980" s="60" t="s">
        <v>3524</v>
      </c>
      <c r="AI980">
        <f>IF(AND(OR(Company_Explorer!$B$5="All Companies",$E980=Company_Explorer!$B$5),OR(Company_Explorer!$B$6="All Platforms",$B980=Company_Explorer!$B$6),OR(Company_Explorer!$B$7="All Roles",$D980=Company_Explorer!$B$7),OR(Company_Explorer!$B$8="All Ghost Labels",$AG980=Company_Explorer!$B$8)),1,0)</f>
        <v>0</v>
      </c>
    </row>
    <row r="981" spans="1:35" ht="15" customHeight="1" x14ac:dyDescent="0.3">
      <c r="A981" s="65" t="s">
        <v>3525</v>
      </c>
      <c r="B981" s="65" t="s">
        <v>80</v>
      </c>
      <c r="C981" s="65" t="s">
        <v>3526</v>
      </c>
      <c r="D981" s="65" t="s">
        <v>129</v>
      </c>
      <c r="E981" s="65" t="s">
        <v>3527</v>
      </c>
      <c r="F981" s="65" t="b">
        <f>TRUE()</f>
        <v>1</v>
      </c>
      <c r="G981" s="65" t="s">
        <v>166</v>
      </c>
      <c r="H981" s="65" t="s">
        <v>235</v>
      </c>
      <c r="I981" s="66">
        <v>46184</v>
      </c>
      <c r="J981" s="66">
        <v>46210</v>
      </c>
      <c r="K981" s="65">
        <v>26</v>
      </c>
      <c r="L981" s="65" t="s">
        <v>192</v>
      </c>
      <c r="M981" s="65" t="s">
        <v>187</v>
      </c>
      <c r="N981" s="65" t="b">
        <f>FALSE()</f>
        <v>0</v>
      </c>
      <c r="O981" s="65"/>
      <c r="P981" s="65"/>
      <c r="Q981" s="65" t="s">
        <v>236</v>
      </c>
      <c r="R981" s="65" t="s">
        <v>237</v>
      </c>
      <c r="S981" s="65"/>
      <c r="T981" s="65" t="b">
        <f>FALSE()</f>
        <v>0</v>
      </c>
      <c r="U981" s="65" t="b">
        <f>FALSE()</f>
        <v>0</v>
      </c>
      <c r="V981" s="65">
        <v>119</v>
      </c>
      <c r="W981" s="67" t="s">
        <v>3528</v>
      </c>
      <c r="X981" s="65">
        <v>1</v>
      </c>
      <c r="Y981" s="68">
        <v>0.01</v>
      </c>
      <c r="Z981" s="65" t="b">
        <f>FALSE()</f>
        <v>0</v>
      </c>
      <c r="AA981" s="65" t="b">
        <f>TRUE()</f>
        <v>1</v>
      </c>
      <c r="AB981" s="65" t="b">
        <f>TRUE()</f>
        <v>1</v>
      </c>
      <c r="AC981" s="65" t="b">
        <f>TRUE()</f>
        <v>1</v>
      </c>
      <c r="AD981" s="65" t="b">
        <f>FALSE()</f>
        <v>0</v>
      </c>
      <c r="AE981" s="65">
        <v>3</v>
      </c>
      <c r="AF981" s="69">
        <v>42.9</v>
      </c>
      <c r="AG981" s="65" t="s">
        <v>73</v>
      </c>
      <c r="AH981" s="65" t="s">
        <v>3529</v>
      </c>
      <c r="AI981">
        <f>IF(AND(OR(Company_Explorer!$B$5="All Companies",$E981=Company_Explorer!$B$5),OR(Company_Explorer!$B$6="All Platforms",$B981=Company_Explorer!$B$6),OR(Company_Explorer!$B$7="All Roles",$D981=Company_Explorer!$B$7),OR(Company_Explorer!$B$8="All Ghost Labels",$AG981=Company_Explorer!$B$8)),1,0)</f>
        <v>0</v>
      </c>
    </row>
    <row r="982" spans="1:35" ht="15" customHeight="1" x14ac:dyDescent="0.3">
      <c r="A982" s="60" t="s">
        <v>3530</v>
      </c>
      <c r="B982" s="60" t="s">
        <v>80</v>
      </c>
      <c r="C982" s="60" t="s">
        <v>3531</v>
      </c>
      <c r="D982" s="60" t="s">
        <v>129</v>
      </c>
      <c r="E982" s="60" t="s">
        <v>3532</v>
      </c>
      <c r="F982" s="60" t="b">
        <f>TRUE()</f>
        <v>1</v>
      </c>
      <c r="G982" s="60" t="s">
        <v>173</v>
      </c>
      <c r="H982" s="60" t="s">
        <v>827</v>
      </c>
      <c r="I982" s="61">
        <v>46207</v>
      </c>
      <c r="J982" s="61">
        <v>46210</v>
      </c>
      <c r="K982" s="60">
        <v>3</v>
      </c>
      <c r="L982" s="60" t="s">
        <v>192</v>
      </c>
      <c r="M982" s="60" t="s">
        <v>185</v>
      </c>
      <c r="N982" s="60" t="b">
        <f>FALSE()</f>
        <v>0</v>
      </c>
      <c r="O982" s="60"/>
      <c r="P982" s="60"/>
      <c r="Q982" s="60" t="s">
        <v>236</v>
      </c>
      <c r="R982" s="60" t="s">
        <v>237</v>
      </c>
      <c r="S982" s="60"/>
      <c r="T982" s="60" t="b">
        <f>FALSE()</f>
        <v>0</v>
      </c>
      <c r="U982" s="60" t="b">
        <f>FALSE()</f>
        <v>0</v>
      </c>
      <c r="V982" s="60">
        <v>158</v>
      </c>
      <c r="W982" s="60" t="s">
        <v>3533</v>
      </c>
      <c r="X982" s="60">
        <v>1</v>
      </c>
      <c r="Y982" s="63">
        <v>0.01</v>
      </c>
      <c r="Z982" s="60" t="b">
        <f>FALSE()</f>
        <v>0</v>
      </c>
      <c r="AA982" s="60" t="b">
        <f>TRUE()</f>
        <v>1</v>
      </c>
      <c r="AB982" s="60" t="b">
        <f>TRUE()</f>
        <v>1</v>
      </c>
      <c r="AC982" s="60" t="b">
        <f>FALSE()</f>
        <v>0</v>
      </c>
      <c r="AD982" s="60" t="b">
        <f>FALSE()</f>
        <v>0</v>
      </c>
      <c r="AE982" s="60">
        <v>2</v>
      </c>
      <c r="AF982" s="64">
        <v>28.6</v>
      </c>
      <c r="AG982" s="60" t="s">
        <v>73</v>
      </c>
      <c r="AH982" s="60" t="s">
        <v>3534</v>
      </c>
      <c r="AI982">
        <f>IF(AND(OR(Company_Explorer!$B$5="All Companies",$E982=Company_Explorer!$B$5),OR(Company_Explorer!$B$6="All Platforms",$B982=Company_Explorer!$B$6),OR(Company_Explorer!$B$7="All Roles",$D982=Company_Explorer!$B$7),OR(Company_Explorer!$B$8="All Ghost Labels",$AG982=Company_Explorer!$B$8)),1,0)</f>
        <v>0</v>
      </c>
    </row>
    <row r="983" spans="1:35" ht="15" customHeight="1" x14ac:dyDescent="0.3">
      <c r="A983" s="65" t="s">
        <v>3535</v>
      </c>
      <c r="B983" s="65" t="s">
        <v>80</v>
      </c>
      <c r="C983" s="65" t="s">
        <v>306</v>
      </c>
      <c r="D983" s="65" t="s">
        <v>125</v>
      </c>
      <c r="E983" s="65" t="s">
        <v>141</v>
      </c>
      <c r="F983" s="65" t="b">
        <f>TRUE()</f>
        <v>1</v>
      </c>
      <c r="G983" s="65" t="s">
        <v>462</v>
      </c>
      <c r="H983" s="65" t="s">
        <v>254</v>
      </c>
      <c r="I983" s="66">
        <v>46196</v>
      </c>
      <c r="J983" s="66">
        <v>46210</v>
      </c>
      <c r="K983" s="65">
        <v>14</v>
      </c>
      <c r="L983" s="65" t="s">
        <v>192</v>
      </c>
      <c r="M983" s="65" t="s">
        <v>184</v>
      </c>
      <c r="N983" s="65" t="b">
        <f>FALSE()</f>
        <v>0</v>
      </c>
      <c r="O983" s="65"/>
      <c r="P983" s="65"/>
      <c r="Q983" s="65" t="s">
        <v>236</v>
      </c>
      <c r="R983" s="65" t="s">
        <v>237</v>
      </c>
      <c r="S983" s="65"/>
      <c r="T983" s="65" t="b">
        <f>FALSE()</f>
        <v>0</v>
      </c>
      <c r="U983" s="65" t="b">
        <f>FALSE()</f>
        <v>0</v>
      </c>
      <c r="V983" s="65">
        <v>274</v>
      </c>
      <c r="W983" s="67" t="s">
        <v>1375</v>
      </c>
      <c r="X983" s="65">
        <v>429</v>
      </c>
      <c r="Y983" s="68">
        <v>2.66</v>
      </c>
      <c r="Z983" s="65" t="b">
        <f>FALSE()</f>
        <v>0</v>
      </c>
      <c r="AA983" s="65" t="b">
        <f>TRUE()</f>
        <v>1</v>
      </c>
      <c r="AB983" s="65" t="b">
        <f>FALSE()</f>
        <v>0</v>
      </c>
      <c r="AC983" s="65" t="b">
        <f>FALSE()</f>
        <v>0</v>
      </c>
      <c r="AD983" s="65" t="b">
        <f>TRUE()</f>
        <v>1</v>
      </c>
      <c r="AE983" s="65">
        <v>3</v>
      </c>
      <c r="AF983" s="69">
        <v>42.9</v>
      </c>
      <c r="AG983" s="65" t="s">
        <v>73</v>
      </c>
      <c r="AH983" s="65" t="s">
        <v>3536</v>
      </c>
      <c r="AI983">
        <f>IF(AND(OR(Company_Explorer!$B$5="All Companies",$E983=Company_Explorer!$B$5),OR(Company_Explorer!$B$6="All Platforms",$B983=Company_Explorer!$B$6),OR(Company_Explorer!$B$7="All Roles",$D983=Company_Explorer!$B$7),OR(Company_Explorer!$B$8="All Ghost Labels",$AG983=Company_Explorer!$B$8)),1,0)</f>
        <v>0</v>
      </c>
    </row>
    <row r="984" spans="1:35" ht="15" customHeight="1" x14ac:dyDescent="0.3">
      <c r="A984" s="60" t="s">
        <v>3537</v>
      </c>
      <c r="B984" s="60" t="s">
        <v>80</v>
      </c>
      <c r="C984" s="60" t="s">
        <v>3538</v>
      </c>
      <c r="D984" s="60" t="s">
        <v>129</v>
      </c>
      <c r="E984" s="60" t="s">
        <v>1944</v>
      </c>
      <c r="F984" s="60" t="b">
        <f>TRUE()</f>
        <v>1</v>
      </c>
      <c r="G984" s="60" t="s">
        <v>753</v>
      </c>
      <c r="H984" s="60" t="s">
        <v>754</v>
      </c>
      <c r="I984" s="61">
        <v>46197</v>
      </c>
      <c r="J984" s="61">
        <v>46210</v>
      </c>
      <c r="K984" s="60">
        <v>13</v>
      </c>
      <c r="L984" s="60" t="s">
        <v>192</v>
      </c>
      <c r="M984" s="60" t="s">
        <v>185</v>
      </c>
      <c r="N984" s="60" t="b">
        <f>FALSE()</f>
        <v>0</v>
      </c>
      <c r="O984" s="60"/>
      <c r="P984" s="60"/>
      <c r="Q984" s="60" t="s">
        <v>236</v>
      </c>
      <c r="R984" s="60" t="s">
        <v>237</v>
      </c>
      <c r="S984" s="60"/>
      <c r="T984" s="60" t="b">
        <f>FALSE()</f>
        <v>0</v>
      </c>
      <c r="U984" s="60" t="b">
        <f>FALSE()</f>
        <v>0</v>
      </c>
      <c r="V984" s="60">
        <v>318</v>
      </c>
      <c r="W984" s="62" t="s">
        <v>3539</v>
      </c>
      <c r="X984" s="60">
        <v>2</v>
      </c>
      <c r="Y984" s="63">
        <v>0.01</v>
      </c>
      <c r="Z984" s="60" t="b">
        <f>FALSE()</f>
        <v>0</v>
      </c>
      <c r="AA984" s="60" t="b">
        <f>TRUE()</f>
        <v>1</v>
      </c>
      <c r="AB984" s="60" t="b">
        <f>FALSE()</f>
        <v>0</v>
      </c>
      <c r="AC984" s="60" t="b">
        <f>FALSE()</f>
        <v>0</v>
      </c>
      <c r="AD984" s="60" t="b">
        <f>FALSE()</f>
        <v>0</v>
      </c>
      <c r="AE984" s="60">
        <v>1</v>
      </c>
      <c r="AF984" s="64">
        <v>14.3</v>
      </c>
      <c r="AG984" s="60" t="s">
        <v>74</v>
      </c>
      <c r="AH984" s="60" t="s">
        <v>3540</v>
      </c>
      <c r="AI984">
        <f>IF(AND(OR(Company_Explorer!$B$5="All Companies",$E984=Company_Explorer!$B$5),OR(Company_Explorer!$B$6="All Platforms",$B984=Company_Explorer!$B$6),OR(Company_Explorer!$B$7="All Roles",$D984=Company_Explorer!$B$7),OR(Company_Explorer!$B$8="All Ghost Labels",$AG984=Company_Explorer!$B$8)),1,0)</f>
        <v>0</v>
      </c>
    </row>
    <row r="985" spans="1:35" ht="15" customHeight="1" x14ac:dyDescent="0.3">
      <c r="A985" s="65" t="s">
        <v>3541</v>
      </c>
      <c r="B985" s="65" t="s">
        <v>80</v>
      </c>
      <c r="C985" s="65" t="s">
        <v>2553</v>
      </c>
      <c r="D985" s="65" t="s">
        <v>125</v>
      </c>
      <c r="E985" s="65" t="s">
        <v>3542</v>
      </c>
      <c r="F985" s="65" t="b">
        <f>TRUE()</f>
        <v>1</v>
      </c>
      <c r="G985" s="65" t="s">
        <v>3455</v>
      </c>
      <c r="H985" s="65" t="s">
        <v>276</v>
      </c>
      <c r="I985" s="66">
        <v>46197</v>
      </c>
      <c r="J985" s="66">
        <v>46210</v>
      </c>
      <c r="K985" s="65">
        <v>13</v>
      </c>
      <c r="L985" s="65" t="s">
        <v>192</v>
      </c>
      <c r="M985" s="65" t="s">
        <v>184</v>
      </c>
      <c r="N985" s="65" t="b">
        <f>TRUE()</f>
        <v>1</v>
      </c>
      <c r="O985" s="71">
        <v>400000</v>
      </c>
      <c r="P985" s="71">
        <v>800000</v>
      </c>
      <c r="Q985" s="65" t="s">
        <v>332</v>
      </c>
      <c r="R985" s="65" t="s">
        <v>237</v>
      </c>
      <c r="S985" s="65"/>
      <c r="T985" s="65" t="b">
        <f>FALSE()</f>
        <v>0</v>
      </c>
      <c r="U985" s="65" t="b">
        <f>FALSE()</f>
        <v>0</v>
      </c>
      <c r="V985" s="65">
        <v>161</v>
      </c>
      <c r="W985" s="67" t="s">
        <v>3543</v>
      </c>
      <c r="X985" s="65">
        <v>1</v>
      </c>
      <c r="Y985" s="68">
        <v>0.01</v>
      </c>
      <c r="Z985" s="65" t="b">
        <f>FALSE()</f>
        <v>0</v>
      </c>
      <c r="AA985" s="65" t="b">
        <f>FALSE()</f>
        <v>0</v>
      </c>
      <c r="AB985" s="65" t="b">
        <f>TRUE()</f>
        <v>1</v>
      </c>
      <c r="AC985" s="65" t="b">
        <f>FALSE()</f>
        <v>0</v>
      </c>
      <c r="AD985" s="65" t="b">
        <f>FALSE()</f>
        <v>0</v>
      </c>
      <c r="AE985" s="65">
        <v>1</v>
      </c>
      <c r="AF985" s="69">
        <v>14.3</v>
      </c>
      <c r="AG985" s="65" t="s">
        <v>74</v>
      </c>
      <c r="AH985" s="65" t="s">
        <v>3544</v>
      </c>
      <c r="AI985">
        <f>IF(AND(OR(Company_Explorer!$B$5="All Companies",$E985=Company_Explorer!$B$5),OR(Company_Explorer!$B$6="All Platforms",$B985=Company_Explorer!$B$6),OR(Company_Explorer!$B$7="All Roles",$D985=Company_Explorer!$B$7),OR(Company_Explorer!$B$8="All Ghost Labels",$AG985=Company_Explorer!$B$8)),1,0)</f>
        <v>0</v>
      </c>
    </row>
    <row r="986" spans="1:35" ht="15" customHeight="1" x14ac:dyDescent="0.3">
      <c r="A986" s="60" t="s">
        <v>3545</v>
      </c>
      <c r="B986" s="60" t="s">
        <v>80</v>
      </c>
      <c r="C986" s="60" t="s">
        <v>3546</v>
      </c>
      <c r="D986" s="60" t="s">
        <v>129</v>
      </c>
      <c r="E986" s="60" t="s">
        <v>3547</v>
      </c>
      <c r="F986" s="60" t="b">
        <f>TRUE()</f>
        <v>1</v>
      </c>
      <c r="G986" s="60" t="s">
        <v>3548</v>
      </c>
      <c r="H986" s="60" t="s">
        <v>270</v>
      </c>
      <c r="I986" s="61">
        <v>45887</v>
      </c>
      <c r="J986" s="61">
        <v>46210</v>
      </c>
      <c r="K986" s="60">
        <v>323</v>
      </c>
      <c r="L986" s="60" t="s">
        <v>192</v>
      </c>
      <c r="M986" s="60" t="s">
        <v>185</v>
      </c>
      <c r="N986" s="60" t="b">
        <f>FALSE()</f>
        <v>0</v>
      </c>
      <c r="O986" s="60"/>
      <c r="P986" s="60"/>
      <c r="Q986" s="60" t="s">
        <v>236</v>
      </c>
      <c r="R986" s="60" t="s">
        <v>237</v>
      </c>
      <c r="S986" s="60"/>
      <c r="T986" s="60" t="b">
        <f>FALSE()</f>
        <v>0</v>
      </c>
      <c r="U986" s="60" t="b">
        <f>FALSE()</f>
        <v>0</v>
      </c>
      <c r="V986" s="60">
        <v>860</v>
      </c>
      <c r="W986" s="62" t="s">
        <v>3549</v>
      </c>
      <c r="X986" s="60">
        <v>1</v>
      </c>
      <c r="Y986" s="63">
        <v>0.01</v>
      </c>
      <c r="Z986" s="60" t="b">
        <f>FALSE()</f>
        <v>0</v>
      </c>
      <c r="AA986" s="60" t="b">
        <f>TRUE()</f>
        <v>1</v>
      </c>
      <c r="AB986" s="60" t="b">
        <f>FALSE()</f>
        <v>0</v>
      </c>
      <c r="AC986" s="60" t="b">
        <f>TRUE()</f>
        <v>1</v>
      </c>
      <c r="AD986" s="60" t="b">
        <f>FALSE()</f>
        <v>0</v>
      </c>
      <c r="AE986" s="60">
        <v>2</v>
      </c>
      <c r="AF986" s="64">
        <v>28.6</v>
      </c>
      <c r="AG986" s="60" t="s">
        <v>73</v>
      </c>
      <c r="AH986" s="60" t="s">
        <v>3550</v>
      </c>
      <c r="AI986">
        <f>IF(AND(OR(Company_Explorer!$B$5="All Companies",$E986=Company_Explorer!$B$5),OR(Company_Explorer!$B$6="All Platforms",$B986=Company_Explorer!$B$6),OR(Company_Explorer!$B$7="All Roles",$D986=Company_Explorer!$B$7),OR(Company_Explorer!$B$8="All Ghost Labels",$AG986=Company_Explorer!$B$8)),1,0)</f>
        <v>0</v>
      </c>
    </row>
    <row r="987" spans="1:35" ht="15" customHeight="1" x14ac:dyDescent="0.3">
      <c r="A987" s="65" t="s">
        <v>3551</v>
      </c>
      <c r="B987" s="65" t="s">
        <v>80</v>
      </c>
      <c r="C987" s="65" t="s">
        <v>3328</v>
      </c>
      <c r="D987" s="65" t="s">
        <v>129</v>
      </c>
      <c r="E987" s="65" t="s">
        <v>3552</v>
      </c>
      <c r="F987" s="65" t="b">
        <f>TRUE()</f>
        <v>1</v>
      </c>
      <c r="G987" s="65" t="s">
        <v>174</v>
      </c>
      <c r="H987" s="65" t="s">
        <v>302</v>
      </c>
      <c r="I987" s="66">
        <v>46199</v>
      </c>
      <c r="J987" s="66">
        <v>46210</v>
      </c>
      <c r="K987" s="65">
        <v>11</v>
      </c>
      <c r="L987" s="65" t="s">
        <v>192</v>
      </c>
      <c r="M987" s="65" t="s">
        <v>187</v>
      </c>
      <c r="N987" s="65" t="b">
        <f>FALSE()</f>
        <v>0</v>
      </c>
      <c r="O987" s="65"/>
      <c r="P987" s="65"/>
      <c r="Q987" s="65" t="s">
        <v>236</v>
      </c>
      <c r="R987" s="65" t="s">
        <v>237</v>
      </c>
      <c r="S987" s="65"/>
      <c r="T987" s="65" t="b">
        <f>FALSE()</f>
        <v>0</v>
      </c>
      <c r="U987" s="65" t="b">
        <f>FALSE()</f>
        <v>0</v>
      </c>
      <c r="V987" s="65">
        <v>337</v>
      </c>
      <c r="W987" s="67" t="s">
        <v>3553</v>
      </c>
      <c r="X987" s="65">
        <v>1</v>
      </c>
      <c r="Y987" s="68">
        <v>0.01</v>
      </c>
      <c r="Z987" s="65" t="b">
        <f>FALSE()</f>
        <v>0</v>
      </c>
      <c r="AA987" s="65" t="b">
        <f>TRUE()</f>
        <v>1</v>
      </c>
      <c r="AB987" s="65" t="b">
        <f>FALSE()</f>
        <v>0</v>
      </c>
      <c r="AC987" s="65" t="b">
        <f>FALSE()</f>
        <v>0</v>
      </c>
      <c r="AD987" s="65" t="b">
        <f>FALSE()</f>
        <v>0</v>
      </c>
      <c r="AE987" s="65">
        <v>1</v>
      </c>
      <c r="AF987" s="69">
        <v>14.3</v>
      </c>
      <c r="AG987" s="65" t="s">
        <v>74</v>
      </c>
      <c r="AH987" s="65" t="s">
        <v>3554</v>
      </c>
      <c r="AI987">
        <f>IF(AND(OR(Company_Explorer!$B$5="All Companies",$E987=Company_Explorer!$B$5),OR(Company_Explorer!$B$6="All Platforms",$B987=Company_Explorer!$B$6),OR(Company_Explorer!$B$7="All Roles",$D987=Company_Explorer!$B$7),OR(Company_Explorer!$B$8="All Ghost Labels",$AG987=Company_Explorer!$B$8)),1,0)</f>
        <v>0</v>
      </c>
    </row>
    <row r="988" spans="1:35" ht="15" customHeight="1" x14ac:dyDescent="0.3">
      <c r="A988" s="60" t="s">
        <v>3555</v>
      </c>
      <c r="B988" s="60" t="s">
        <v>80</v>
      </c>
      <c r="C988" s="60" t="s">
        <v>3556</v>
      </c>
      <c r="D988" s="60" t="s">
        <v>125</v>
      </c>
      <c r="E988" s="60" t="s">
        <v>3557</v>
      </c>
      <c r="F988" s="60" t="b">
        <f>TRUE()</f>
        <v>1</v>
      </c>
      <c r="G988" s="60" t="s">
        <v>2065</v>
      </c>
      <c r="H988" s="60" t="s">
        <v>2066</v>
      </c>
      <c r="I988" s="61">
        <v>45691</v>
      </c>
      <c r="J988" s="61">
        <v>46210</v>
      </c>
      <c r="K988" s="60">
        <v>519</v>
      </c>
      <c r="L988" s="60" t="s">
        <v>192</v>
      </c>
      <c r="M988" s="60" t="s">
        <v>186</v>
      </c>
      <c r="N988" s="60" t="b">
        <f>FALSE()</f>
        <v>0</v>
      </c>
      <c r="O988" s="60"/>
      <c r="P988" s="60"/>
      <c r="Q988" s="60" t="s">
        <v>236</v>
      </c>
      <c r="R988" s="60" t="s">
        <v>237</v>
      </c>
      <c r="S988" s="60"/>
      <c r="T988" s="60" t="b">
        <f>FALSE()</f>
        <v>0</v>
      </c>
      <c r="U988" s="60" t="b">
        <f>FALSE()</f>
        <v>0</v>
      </c>
      <c r="V988" s="60">
        <v>254</v>
      </c>
      <c r="W988" s="62" t="s">
        <v>3558</v>
      </c>
      <c r="X988" s="60">
        <v>1</v>
      </c>
      <c r="Y988" s="63">
        <v>0.01</v>
      </c>
      <c r="Z988" s="60" t="b">
        <f>FALSE()</f>
        <v>0</v>
      </c>
      <c r="AA988" s="60" t="b">
        <f>TRUE()</f>
        <v>1</v>
      </c>
      <c r="AB988" s="60" t="b">
        <f>TRUE()</f>
        <v>1</v>
      </c>
      <c r="AC988" s="60" t="b">
        <f>TRUE()</f>
        <v>1</v>
      </c>
      <c r="AD988" s="60" t="b">
        <f>FALSE()</f>
        <v>0</v>
      </c>
      <c r="AE988" s="60">
        <v>3</v>
      </c>
      <c r="AF988" s="64">
        <v>42.9</v>
      </c>
      <c r="AG988" s="60" t="s">
        <v>73</v>
      </c>
      <c r="AH988" s="60" t="s">
        <v>3559</v>
      </c>
      <c r="AI988">
        <f>IF(AND(OR(Company_Explorer!$B$5="All Companies",$E988=Company_Explorer!$B$5),OR(Company_Explorer!$B$6="All Platforms",$B988=Company_Explorer!$B$6),OR(Company_Explorer!$B$7="All Roles",$D988=Company_Explorer!$B$7),OR(Company_Explorer!$B$8="All Ghost Labels",$AG988=Company_Explorer!$B$8)),1,0)</f>
        <v>0</v>
      </c>
    </row>
    <row r="989" spans="1:35" ht="15" customHeight="1" x14ac:dyDescent="0.3">
      <c r="A989" s="65" t="s">
        <v>3560</v>
      </c>
      <c r="B989" s="65" t="s">
        <v>80</v>
      </c>
      <c r="C989" s="65" t="s">
        <v>2034</v>
      </c>
      <c r="D989" s="65" t="s">
        <v>130</v>
      </c>
      <c r="E989" s="65" t="s">
        <v>158</v>
      </c>
      <c r="F989" s="65" t="b">
        <f>TRUE()</f>
        <v>1</v>
      </c>
      <c r="G989" s="65" t="s">
        <v>168</v>
      </c>
      <c r="H989" s="65" t="s">
        <v>254</v>
      </c>
      <c r="I989" s="66">
        <v>46198</v>
      </c>
      <c r="J989" s="66">
        <v>46210</v>
      </c>
      <c r="K989" s="65">
        <v>12</v>
      </c>
      <c r="L989" s="65" t="s">
        <v>192</v>
      </c>
      <c r="M989" s="65" t="s">
        <v>185</v>
      </c>
      <c r="N989" s="65" t="b">
        <f>FALSE()</f>
        <v>0</v>
      </c>
      <c r="O989" s="65"/>
      <c r="P989" s="65"/>
      <c r="Q989" s="65" t="s">
        <v>236</v>
      </c>
      <c r="R989" s="65" t="s">
        <v>237</v>
      </c>
      <c r="S989" s="65"/>
      <c r="T989" s="65" t="b">
        <f>FALSE()</f>
        <v>0</v>
      </c>
      <c r="U989" s="65" t="b">
        <f>FALSE()</f>
        <v>0</v>
      </c>
      <c r="V989" s="65">
        <v>643</v>
      </c>
      <c r="W989" s="67" t="s">
        <v>2501</v>
      </c>
      <c r="X989" s="65">
        <v>14</v>
      </c>
      <c r="Y989" s="68">
        <v>0.09</v>
      </c>
      <c r="Z989" s="65" t="b">
        <f>FALSE()</f>
        <v>0</v>
      </c>
      <c r="AA989" s="65" t="b">
        <f>TRUE()</f>
        <v>1</v>
      </c>
      <c r="AB989" s="65" t="b">
        <f>FALSE()</f>
        <v>0</v>
      </c>
      <c r="AC989" s="65" t="b">
        <f>FALSE()</f>
        <v>0</v>
      </c>
      <c r="AD989" s="65" t="b">
        <f>FALSE()</f>
        <v>0</v>
      </c>
      <c r="AE989" s="65">
        <v>1</v>
      </c>
      <c r="AF989" s="69">
        <v>14.3</v>
      </c>
      <c r="AG989" s="65" t="s">
        <v>74</v>
      </c>
      <c r="AH989" s="65" t="s">
        <v>3561</v>
      </c>
      <c r="AI989">
        <f>IF(AND(OR(Company_Explorer!$B$5="All Companies",$E989=Company_Explorer!$B$5),OR(Company_Explorer!$B$6="All Platforms",$B989=Company_Explorer!$B$6),OR(Company_Explorer!$B$7="All Roles",$D989=Company_Explorer!$B$7),OR(Company_Explorer!$B$8="All Ghost Labels",$AG989=Company_Explorer!$B$8)),1,0)</f>
        <v>0</v>
      </c>
    </row>
    <row r="990" spans="1:35" ht="15" customHeight="1" x14ac:dyDescent="0.3">
      <c r="A990" s="60" t="s">
        <v>3562</v>
      </c>
      <c r="B990" s="60" t="s">
        <v>80</v>
      </c>
      <c r="C990" s="60" t="s">
        <v>3328</v>
      </c>
      <c r="D990" s="60" t="s">
        <v>129</v>
      </c>
      <c r="E990" s="60" t="s">
        <v>3563</v>
      </c>
      <c r="F990" s="60" t="b">
        <f>TRUE()</f>
        <v>1</v>
      </c>
      <c r="G990" s="60" t="s">
        <v>1417</v>
      </c>
      <c r="H990" s="60" t="s">
        <v>165</v>
      </c>
      <c r="I990" s="61">
        <v>46198</v>
      </c>
      <c r="J990" s="61">
        <v>46210</v>
      </c>
      <c r="K990" s="60">
        <v>12</v>
      </c>
      <c r="L990" s="60" t="s">
        <v>192</v>
      </c>
      <c r="M990" s="60" t="s">
        <v>185</v>
      </c>
      <c r="N990" s="60" t="b">
        <f>FALSE()</f>
        <v>0</v>
      </c>
      <c r="O990" s="60"/>
      <c r="P990" s="60"/>
      <c r="Q990" s="60" t="s">
        <v>236</v>
      </c>
      <c r="R990" s="60" t="s">
        <v>237</v>
      </c>
      <c r="S990" s="60"/>
      <c r="T990" s="60" t="b">
        <f>FALSE()</f>
        <v>0</v>
      </c>
      <c r="U990" s="60" t="b">
        <f>FALSE()</f>
        <v>0</v>
      </c>
      <c r="V990" s="60">
        <v>258</v>
      </c>
      <c r="W990" s="62" t="s">
        <v>3564</v>
      </c>
      <c r="X990" s="60">
        <v>1</v>
      </c>
      <c r="Y990" s="63">
        <v>0.01</v>
      </c>
      <c r="Z990" s="60" t="b">
        <f>FALSE()</f>
        <v>0</v>
      </c>
      <c r="AA990" s="60" t="b">
        <f>TRUE()</f>
        <v>1</v>
      </c>
      <c r="AB990" s="60" t="b">
        <f>TRUE()</f>
        <v>1</v>
      </c>
      <c r="AC990" s="60" t="b">
        <f>FALSE()</f>
        <v>0</v>
      </c>
      <c r="AD990" s="60" t="b">
        <f>FALSE()</f>
        <v>0</v>
      </c>
      <c r="AE990" s="60">
        <v>2</v>
      </c>
      <c r="AF990" s="64">
        <v>28.6</v>
      </c>
      <c r="AG990" s="60" t="s">
        <v>73</v>
      </c>
      <c r="AH990" s="60" t="s">
        <v>3565</v>
      </c>
      <c r="AI990">
        <f>IF(AND(OR(Company_Explorer!$B$5="All Companies",$E990=Company_Explorer!$B$5),OR(Company_Explorer!$B$6="All Platforms",$B990=Company_Explorer!$B$6),OR(Company_Explorer!$B$7="All Roles",$D990=Company_Explorer!$B$7),OR(Company_Explorer!$B$8="All Ghost Labels",$AG990=Company_Explorer!$B$8)),1,0)</f>
        <v>0</v>
      </c>
    </row>
    <row r="991" spans="1:35" ht="15" customHeight="1" x14ac:dyDescent="0.3">
      <c r="A991" s="65" t="s">
        <v>3566</v>
      </c>
      <c r="B991" s="65" t="s">
        <v>80</v>
      </c>
      <c r="C991" s="65" t="s">
        <v>3567</v>
      </c>
      <c r="D991" s="65" t="s">
        <v>125</v>
      </c>
      <c r="E991" s="65" t="s">
        <v>3568</v>
      </c>
      <c r="F991" s="65" t="b">
        <f>TRUE()</f>
        <v>1</v>
      </c>
      <c r="G991" s="65" t="s">
        <v>174</v>
      </c>
      <c r="H991" s="65" t="s">
        <v>302</v>
      </c>
      <c r="I991" s="66">
        <v>46050</v>
      </c>
      <c r="J991" s="66">
        <v>46210</v>
      </c>
      <c r="K991" s="65">
        <v>160</v>
      </c>
      <c r="L991" s="65" t="s">
        <v>192</v>
      </c>
      <c r="M991" s="65" t="s">
        <v>184</v>
      </c>
      <c r="N991" s="65" t="b">
        <f>TRUE()</f>
        <v>1</v>
      </c>
      <c r="O991" s="71">
        <v>700000</v>
      </c>
      <c r="P991" s="71">
        <v>1100000</v>
      </c>
      <c r="Q991" s="65" t="s">
        <v>332</v>
      </c>
      <c r="R991" s="65" t="s">
        <v>237</v>
      </c>
      <c r="S991" s="65"/>
      <c r="T991" s="65" t="b">
        <f>FALSE()</f>
        <v>0</v>
      </c>
      <c r="U991" s="65" t="b">
        <f>FALSE()</f>
        <v>0</v>
      </c>
      <c r="V991" s="65">
        <v>152</v>
      </c>
      <c r="W991" s="67" t="s">
        <v>3569</v>
      </c>
      <c r="X991" s="65">
        <v>1</v>
      </c>
      <c r="Y991" s="68">
        <v>0.01</v>
      </c>
      <c r="Z991" s="65" t="b">
        <f>FALSE()</f>
        <v>0</v>
      </c>
      <c r="AA991" s="65" t="b">
        <f>FALSE()</f>
        <v>0</v>
      </c>
      <c r="AB991" s="65" t="b">
        <f>TRUE()</f>
        <v>1</v>
      </c>
      <c r="AC991" s="65" t="b">
        <f>TRUE()</f>
        <v>1</v>
      </c>
      <c r="AD991" s="65" t="b">
        <f>FALSE()</f>
        <v>0</v>
      </c>
      <c r="AE991" s="65">
        <v>2</v>
      </c>
      <c r="AF991" s="69">
        <v>28.6</v>
      </c>
      <c r="AG991" s="65" t="s">
        <v>73</v>
      </c>
      <c r="AH991" s="65" t="s">
        <v>3570</v>
      </c>
      <c r="AI991">
        <f>IF(AND(OR(Company_Explorer!$B$5="All Companies",$E991=Company_Explorer!$B$5),OR(Company_Explorer!$B$6="All Platforms",$B991=Company_Explorer!$B$6),OR(Company_Explorer!$B$7="All Roles",$D991=Company_Explorer!$B$7),OR(Company_Explorer!$B$8="All Ghost Labels",$AG991=Company_Explorer!$B$8)),1,0)</f>
        <v>0</v>
      </c>
    </row>
    <row r="992" spans="1:35" ht="15" customHeight="1" x14ac:dyDescent="0.3">
      <c r="A992" s="60" t="s">
        <v>3571</v>
      </c>
      <c r="B992" s="60" t="s">
        <v>80</v>
      </c>
      <c r="C992" s="60" t="s">
        <v>3572</v>
      </c>
      <c r="D992" s="60" t="s">
        <v>126</v>
      </c>
      <c r="E992" s="60" t="s">
        <v>155</v>
      </c>
      <c r="F992" s="60" t="b">
        <f>TRUE()</f>
        <v>1</v>
      </c>
      <c r="G992" s="60" t="s">
        <v>166</v>
      </c>
      <c r="H992" s="60" t="s">
        <v>235</v>
      </c>
      <c r="I992" s="61">
        <v>46200</v>
      </c>
      <c r="J992" s="61">
        <v>46210</v>
      </c>
      <c r="K992" s="60">
        <v>10</v>
      </c>
      <c r="L992" s="60" t="s">
        <v>192</v>
      </c>
      <c r="M992" s="60" t="s">
        <v>184</v>
      </c>
      <c r="N992" s="60" t="b">
        <f>FALSE()</f>
        <v>0</v>
      </c>
      <c r="O992" s="60"/>
      <c r="P992" s="60"/>
      <c r="Q992" s="60" t="s">
        <v>236</v>
      </c>
      <c r="R992" s="60" t="s">
        <v>237</v>
      </c>
      <c r="S992" s="60"/>
      <c r="T992" s="60" t="b">
        <f>FALSE()</f>
        <v>0</v>
      </c>
      <c r="U992" s="60" t="b">
        <f>FALSE()</f>
        <v>0</v>
      </c>
      <c r="V992" s="60">
        <v>523</v>
      </c>
      <c r="W992" s="62" t="s">
        <v>3573</v>
      </c>
      <c r="X992" s="60">
        <v>16</v>
      </c>
      <c r="Y992" s="63">
        <v>0.1</v>
      </c>
      <c r="Z992" s="60" t="b">
        <f>FALSE()</f>
        <v>0</v>
      </c>
      <c r="AA992" s="60" t="b">
        <f>TRUE()</f>
        <v>1</v>
      </c>
      <c r="AB992" s="60" t="b">
        <f>FALSE()</f>
        <v>0</v>
      </c>
      <c r="AC992" s="60" t="b">
        <f>FALSE()</f>
        <v>0</v>
      </c>
      <c r="AD992" s="60" t="b">
        <f>FALSE()</f>
        <v>0</v>
      </c>
      <c r="AE992" s="60">
        <v>1</v>
      </c>
      <c r="AF992" s="64">
        <v>14.3</v>
      </c>
      <c r="AG992" s="60" t="s">
        <v>74</v>
      </c>
      <c r="AH992" s="60" t="s">
        <v>3574</v>
      </c>
      <c r="AI992">
        <f>IF(AND(OR(Company_Explorer!$B$5="All Companies",$E992=Company_Explorer!$B$5),OR(Company_Explorer!$B$6="All Platforms",$B992=Company_Explorer!$B$6),OR(Company_Explorer!$B$7="All Roles",$D992=Company_Explorer!$B$7),OR(Company_Explorer!$B$8="All Ghost Labels",$AG992=Company_Explorer!$B$8)),1,0)</f>
        <v>0</v>
      </c>
    </row>
    <row r="993" spans="1:35" ht="15" customHeight="1" x14ac:dyDescent="0.3">
      <c r="A993" s="65" t="s">
        <v>3575</v>
      </c>
      <c r="B993" s="65" t="s">
        <v>80</v>
      </c>
      <c r="C993" s="65" t="s">
        <v>3576</v>
      </c>
      <c r="D993" s="65" t="s">
        <v>125</v>
      </c>
      <c r="E993" s="65" t="s">
        <v>3577</v>
      </c>
      <c r="F993" s="65" t="b">
        <f>TRUE()</f>
        <v>1</v>
      </c>
      <c r="G993" s="65" t="s">
        <v>768</v>
      </c>
      <c r="H993" s="65" t="s">
        <v>769</v>
      </c>
      <c r="I993" s="66">
        <v>45940</v>
      </c>
      <c r="J993" s="66">
        <v>46210</v>
      </c>
      <c r="K993" s="65">
        <v>270</v>
      </c>
      <c r="L993" s="65" t="s">
        <v>192</v>
      </c>
      <c r="M993" s="65" t="s">
        <v>185</v>
      </c>
      <c r="N993" s="65" t="b">
        <f>FALSE()</f>
        <v>0</v>
      </c>
      <c r="O993" s="65"/>
      <c r="P993" s="65"/>
      <c r="Q993" s="65" t="s">
        <v>236</v>
      </c>
      <c r="R993" s="65" t="s">
        <v>237</v>
      </c>
      <c r="S993" s="65"/>
      <c r="T993" s="65" t="b">
        <f>FALSE()</f>
        <v>0</v>
      </c>
      <c r="U993" s="65" t="b">
        <f>FALSE()</f>
        <v>0</v>
      </c>
      <c r="V993" s="65">
        <v>311</v>
      </c>
      <c r="W993" s="67" t="s">
        <v>3578</v>
      </c>
      <c r="X993" s="65">
        <v>1</v>
      </c>
      <c r="Y993" s="68">
        <v>0.01</v>
      </c>
      <c r="Z993" s="65" t="b">
        <f>FALSE()</f>
        <v>0</v>
      </c>
      <c r="AA993" s="65" t="b">
        <f>TRUE()</f>
        <v>1</v>
      </c>
      <c r="AB993" s="65" t="b">
        <f>FALSE()</f>
        <v>0</v>
      </c>
      <c r="AC993" s="65" t="b">
        <f>TRUE()</f>
        <v>1</v>
      </c>
      <c r="AD993" s="65" t="b">
        <f>FALSE()</f>
        <v>0</v>
      </c>
      <c r="AE993" s="65">
        <v>2</v>
      </c>
      <c r="AF993" s="69">
        <v>28.6</v>
      </c>
      <c r="AG993" s="65" t="s">
        <v>73</v>
      </c>
      <c r="AH993" s="65" t="s">
        <v>3579</v>
      </c>
      <c r="AI993">
        <f>IF(AND(OR(Company_Explorer!$B$5="All Companies",$E993=Company_Explorer!$B$5),OR(Company_Explorer!$B$6="All Platforms",$B993=Company_Explorer!$B$6),OR(Company_Explorer!$B$7="All Roles",$D993=Company_Explorer!$B$7),OR(Company_Explorer!$B$8="All Ghost Labels",$AG993=Company_Explorer!$B$8)),1,0)</f>
        <v>0</v>
      </c>
    </row>
    <row r="994" spans="1:35" ht="15" customHeight="1" x14ac:dyDescent="0.3">
      <c r="A994" s="60" t="s">
        <v>3580</v>
      </c>
      <c r="B994" s="60" t="s">
        <v>80</v>
      </c>
      <c r="C994" s="60" t="s">
        <v>306</v>
      </c>
      <c r="D994" s="60" t="s">
        <v>125</v>
      </c>
      <c r="E994" s="60" t="s">
        <v>3581</v>
      </c>
      <c r="F994" s="60" t="b">
        <f>TRUE()</f>
        <v>1</v>
      </c>
      <c r="G994" s="60" t="s">
        <v>2381</v>
      </c>
      <c r="H994" s="60" t="s">
        <v>2066</v>
      </c>
      <c r="I994" s="61">
        <v>46209</v>
      </c>
      <c r="J994" s="61">
        <v>46210</v>
      </c>
      <c r="K994" s="60">
        <v>1</v>
      </c>
      <c r="L994" s="60" t="s">
        <v>192</v>
      </c>
      <c r="M994" s="60" t="s">
        <v>187</v>
      </c>
      <c r="N994" s="60" t="b">
        <f>FALSE()</f>
        <v>0</v>
      </c>
      <c r="O994" s="60"/>
      <c r="P994" s="60"/>
      <c r="Q994" s="60" t="s">
        <v>236</v>
      </c>
      <c r="R994" s="60" t="s">
        <v>237</v>
      </c>
      <c r="S994" s="60"/>
      <c r="T994" s="60" t="b">
        <f>FALSE()</f>
        <v>0</v>
      </c>
      <c r="U994" s="60" t="b">
        <f>FALSE()</f>
        <v>0</v>
      </c>
      <c r="V994" s="60">
        <v>328</v>
      </c>
      <c r="W994" s="60" t="s">
        <v>3582</v>
      </c>
      <c r="X994" s="60">
        <v>1</v>
      </c>
      <c r="Y994" s="63">
        <v>0.01</v>
      </c>
      <c r="Z994" s="60" t="b">
        <f>FALSE()</f>
        <v>0</v>
      </c>
      <c r="AA994" s="60" t="b">
        <f>TRUE()</f>
        <v>1</v>
      </c>
      <c r="AB994" s="60" t="b">
        <f>FALSE()</f>
        <v>0</v>
      </c>
      <c r="AC994" s="60" t="b">
        <f>FALSE()</f>
        <v>0</v>
      </c>
      <c r="AD994" s="60" t="b">
        <f>FALSE()</f>
        <v>0</v>
      </c>
      <c r="AE994" s="60">
        <v>1</v>
      </c>
      <c r="AF994" s="64">
        <v>14.3</v>
      </c>
      <c r="AG994" s="60" t="s">
        <v>74</v>
      </c>
      <c r="AH994" s="60" t="s">
        <v>3583</v>
      </c>
      <c r="AI994">
        <f>IF(AND(OR(Company_Explorer!$B$5="All Companies",$E994=Company_Explorer!$B$5),OR(Company_Explorer!$B$6="All Platforms",$B994=Company_Explorer!$B$6),OR(Company_Explorer!$B$7="All Roles",$D994=Company_Explorer!$B$7),OR(Company_Explorer!$B$8="All Ghost Labels",$AG994=Company_Explorer!$B$8)),1,0)</f>
        <v>0</v>
      </c>
    </row>
    <row r="995" spans="1:35" ht="15" customHeight="1" x14ac:dyDescent="0.3">
      <c r="A995" s="65" t="s">
        <v>3584</v>
      </c>
      <c r="B995" s="65" t="s">
        <v>80</v>
      </c>
      <c r="C995" s="65" t="s">
        <v>3585</v>
      </c>
      <c r="D995" s="65" t="s">
        <v>126</v>
      </c>
      <c r="E995" s="65" t="s">
        <v>3586</v>
      </c>
      <c r="F995" s="65" t="b">
        <f>TRUE()</f>
        <v>1</v>
      </c>
      <c r="G995" s="65" t="s">
        <v>166</v>
      </c>
      <c r="H995" s="65" t="s">
        <v>235</v>
      </c>
      <c r="I995" s="66">
        <v>46181</v>
      </c>
      <c r="J995" s="66">
        <v>46210</v>
      </c>
      <c r="K995" s="65">
        <v>29</v>
      </c>
      <c r="L995" s="65" t="s">
        <v>192</v>
      </c>
      <c r="M995" s="65" t="s">
        <v>184</v>
      </c>
      <c r="N995" s="65" t="b">
        <f>FALSE()</f>
        <v>0</v>
      </c>
      <c r="O995" s="65"/>
      <c r="P995" s="65"/>
      <c r="Q995" s="65" t="s">
        <v>236</v>
      </c>
      <c r="R995" s="65" t="s">
        <v>237</v>
      </c>
      <c r="S995" s="65"/>
      <c r="T995" s="65" t="b">
        <f>FALSE()</f>
        <v>0</v>
      </c>
      <c r="U995" s="65" t="b">
        <f>FALSE()</f>
        <v>0</v>
      </c>
      <c r="V995" s="65">
        <v>153</v>
      </c>
      <c r="W995" s="67" t="s">
        <v>3587</v>
      </c>
      <c r="X995" s="65">
        <v>1</v>
      </c>
      <c r="Y995" s="68">
        <v>0.01</v>
      </c>
      <c r="Z995" s="65" t="b">
        <f>FALSE()</f>
        <v>0</v>
      </c>
      <c r="AA995" s="65" t="b">
        <f>TRUE()</f>
        <v>1</v>
      </c>
      <c r="AB995" s="65" t="b">
        <f>TRUE()</f>
        <v>1</v>
      </c>
      <c r="AC995" s="65" t="b">
        <f>TRUE()</f>
        <v>1</v>
      </c>
      <c r="AD995" s="65" t="b">
        <f>FALSE()</f>
        <v>0</v>
      </c>
      <c r="AE995" s="65">
        <v>3</v>
      </c>
      <c r="AF995" s="69">
        <v>42.9</v>
      </c>
      <c r="AG995" s="65" t="s">
        <v>73</v>
      </c>
      <c r="AH995" s="65" t="s">
        <v>3588</v>
      </c>
      <c r="AI995">
        <f>IF(AND(OR(Company_Explorer!$B$5="All Companies",$E995=Company_Explorer!$B$5),OR(Company_Explorer!$B$6="All Platforms",$B995=Company_Explorer!$B$6),OR(Company_Explorer!$B$7="All Roles",$D995=Company_Explorer!$B$7),OR(Company_Explorer!$B$8="All Ghost Labels",$AG995=Company_Explorer!$B$8)),1,0)</f>
        <v>0</v>
      </c>
    </row>
    <row r="996" spans="1:35" ht="15" customHeight="1" x14ac:dyDescent="0.3">
      <c r="A996" s="60" t="s">
        <v>3589</v>
      </c>
      <c r="B996" s="60" t="s">
        <v>80</v>
      </c>
      <c r="C996" s="60" t="s">
        <v>3590</v>
      </c>
      <c r="D996" s="60" t="s">
        <v>130</v>
      </c>
      <c r="E996" s="60" t="s">
        <v>3591</v>
      </c>
      <c r="F996" s="60" t="b">
        <f>TRUE()</f>
        <v>1</v>
      </c>
      <c r="G996" s="60" t="s">
        <v>178</v>
      </c>
      <c r="H996" s="60" t="s">
        <v>165</v>
      </c>
      <c r="I996" s="61">
        <v>46209</v>
      </c>
      <c r="J996" s="61">
        <v>46210</v>
      </c>
      <c r="K996" s="60">
        <v>1</v>
      </c>
      <c r="L996" s="60" t="s">
        <v>188</v>
      </c>
      <c r="M996" s="60" t="s">
        <v>188</v>
      </c>
      <c r="N996" s="60" t="b">
        <f>FALSE()</f>
        <v>0</v>
      </c>
      <c r="O996" s="60"/>
      <c r="P996" s="60"/>
      <c r="Q996" s="60" t="s">
        <v>236</v>
      </c>
      <c r="R996" s="60" t="s">
        <v>237</v>
      </c>
      <c r="S996" s="60"/>
      <c r="T996" s="60" t="b">
        <f>FALSE()</f>
        <v>0</v>
      </c>
      <c r="U996" s="60" t="b">
        <f>FALSE()</f>
        <v>0</v>
      </c>
      <c r="V996" s="60">
        <v>159</v>
      </c>
      <c r="W996" s="62" t="s">
        <v>3592</v>
      </c>
      <c r="X996" s="60">
        <v>1</v>
      </c>
      <c r="Y996" s="63">
        <v>0.01</v>
      </c>
      <c r="Z996" s="60" t="b">
        <f>FALSE()</f>
        <v>0</v>
      </c>
      <c r="AA996" s="60" t="b">
        <f>TRUE()</f>
        <v>1</v>
      </c>
      <c r="AB996" s="60" t="b">
        <f>TRUE()</f>
        <v>1</v>
      </c>
      <c r="AC996" s="60" t="b">
        <f>FALSE()</f>
        <v>0</v>
      </c>
      <c r="AD996" s="60" t="b">
        <f>FALSE()</f>
        <v>0</v>
      </c>
      <c r="AE996" s="60">
        <v>2</v>
      </c>
      <c r="AF996" s="64">
        <v>28.6</v>
      </c>
      <c r="AG996" s="60" t="s">
        <v>73</v>
      </c>
      <c r="AH996" s="60" t="s">
        <v>3593</v>
      </c>
      <c r="AI996">
        <f>IF(AND(OR(Company_Explorer!$B$5="All Companies",$E996=Company_Explorer!$B$5),OR(Company_Explorer!$B$6="All Platforms",$B996=Company_Explorer!$B$6),OR(Company_Explorer!$B$7="All Roles",$D996=Company_Explorer!$B$7),OR(Company_Explorer!$B$8="All Ghost Labels",$AG996=Company_Explorer!$B$8)),1,0)</f>
        <v>0</v>
      </c>
    </row>
    <row r="997" spans="1:35" ht="15" customHeight="1" x14ac:dyDescent="0.3">
      <c r="A997" s="65" t="s">
        <v>3594</v>
      </c>
      <c r="B997" s="65" t="s">
        <v>80</v>
      </c>
      <c r="C997" s="65" t="s">
        <v>3595</v>
      </c>
      <c r="D997" s="65" t="s">
        <v>130</v>
      </c>
      <c r="E997" s="65" t="s">
        <v>3596</v>
      </c>
      <c r="F997" s="65" t="b">
        <f>TRUE()</f>
        <v>1</v>
      </c>
      <c r="G997" s="65" t="s">
        <v>169</v>
      </c>
      <c r="H997" s="65" t="s">
        <v>294</v>
      </c>
      <c r="I997" s="66">
        <v>46206</v>
      </c>
      <c r="J997" s="66">
        <v>46210</v>
      </c>
      <c r="K997" s="65">
        <v>4</v>
      </c>
      <c r="L997" s="65" t="s">
        <v>192</v>
      </c>
      <c r="M997" s="65" t="s">
        <v>185</v>
      </c>
      <c r="N997" s="65" t="b">
        <f>FALSE()</f>
        <v>0</v>
      </c>
      <c r="O997" s="65"/>
      <c r="P997" s="65"/>
      <c r="Q997" s="65" t="s">
        <v>236</v>
      </c>
      <c r="R997" s="65" t="s">
        <v>237</v>
      </c>
      <c r="S997" s="65"/>
      <c r="T997" s="65" t="b">
        <f>FALSE()</f>
        <v>0</v>
      </c>
      <c r="U997" s="65" t="b">
        <f>FALSE()</f>
        <v>0</v>
      </c>
      <c r="V997" s="65">
        <v>655</v>
      </c>
      <c r="W997" s="65" t="s">
        <v>3597</v>
      </c>
      <c r="X997" s="65">
        <v>1</v>
      </c>
      <c r="Y997" s="68">
        <v>0.01</v>
      </c>
      <c r="Z997" s="65" t="b">
        <f>FALSE()</f>
        <v>0</v>
      </c>
      <c r="AA997" s="65" t="b">
        <f>TRUE()</f>
        <v>1</v>
      </c>
      <c r="AB997" s="65" t="b">
        <f>FALSE()</f>
        <v>0</v>
      </c>
      <c r="AC997" s="65" t="b">
        <f>FALSE()</f>
        <v>0</v>
      </c>
      <c r="AD997" s="65" t="b">
        <f>FALSE()</f>
        <v>0</v>
      </c>
      <c r="AE997" s="65">
        <v>1</v>
      </c>
      <c r="AF997" s="69">
        <v>14.3</v>
      </c>
      <c r="AG997" s="65" t="s">
        <v>74</v>
      </c>
      <c r="AH997" s="65" t="s">
        <v>3598</v>
      </c>
      <c r="AI997">
        <f>IF(AND(OR(Company_Explorer!$B$5="All Companies",$E997=Company_Explorer!$B$5),OR(Company_Explorer!$B$6="All Platforms",$B997=Company_Explorer!$B$6),OR(Company_Explorer!$B$7="All Roles",$D997=Company_Explorer!$B$7),OR(Company_Explorer!$B$8="All Ghost Labels",$AG997=Company_Explorer!$B$8)),1,0)</f>
        <v>0</v>
      </c>
    </row>
    <row r="998" spans="1:35" ht="15" customHeight="1" x14ac:dyDescent="0.3">
      <c r="A998" s="60" t="s">
        <v>3599</v>
      </c>
      <c r="B998" s="60" t="s">
        <v>80</v>
      </c>
      <c r="C998" s="60" t="s">
        <v>3600</v>
      </c>
      <c r="D998" s="60" t="s">
        <v>125</v>
      </c>
      <c r="E998" s="60" t="s">
        <v>3601</v>
      </c>
      <c r="F998" s="60" t="b">
        <f>TRUE()</f>
        <v>1</v>
      </c>
      <c r="G998" s="60" t="s">
        <v>2381</v>
      </c>
      <c r="H998" s="60" t="s">
        <v>2066</v>
      </c>
      <c r="I998" s="61">
        <v>46135</v>
      </c>
      <c r="J998" s="61">
        <v>46210</v>
      </c>
      <c r="K998" s="60">
        <v>75</v>
      </c>
      <c r="L998" s="60" t="s">
        <v>192</v>
      </c>
      <c r="M998" s="60" t="s">
        <v>185</v>
      </c>
      <c r="N998" s="60" t="b">
        <f>FALSE()</f>
        <v>0</v>
      </c>
      <c r="O998" s="60"/>
      <c r="P998" s="60"/>
      <c r="Q998" s="60" t="s">
        <v>236</v>
      </c>
      <c r="R998" s="60" t="s">
        <v>237</v>
      </c>
      <c r="S998" s="60"/>
      <c r="T998" s="60" t="b">
        <f>FALSE()</f>
        <v>0</v>
      </c>
      <c r="U998" s="60" t="b">
        <f>FALSE()</f>
        <v>0</v>
      </c>
      <c r="V998" s="60">
        <v>104</v>
      </c>
      <c r="W998" s="62" t="s">
        <v>3602</v>
      </c>
      <c r="X998" s="60">
        <v>1</v>
      </c>
      <c r="Y998" s="63">
        <v>0.01</v>
      </c>
      <c r="Z998" s="60" t="b">
        <f>FALSE()</f>
        <v>0</v>
      </c>
      <c r="AA998" s="60" t="b">
        <f>TRUE()</f>
        <v>1</v>
      </c>
      <c r="AB998" s="60" t="b">
        <f>TRUE()</f>
        <v>1</v>
      </c>
      <c r="AC998" s="60" t="b">
        <f>TRUE()</f>
        <v>1</v>
      </c>
      <c r="AD998" s="60" t="b">
        <f>FALSE()</f>
        <v>0</v>
      </c>
      <c r="AE998" s="60">
        <v>3</v>
      </c>
      <c r="AF998" s="64">
        <v>42.9</v>
      </c>
      <c r="AG998" s="60" t="s">
        <v>73</v>
      </c>
      <c r="AH998" s="60" t="s">
        <v>3603</v>
      </c>
      <c r="AI998">
        <f>IF(AND(OR(Company_Explorer!$B$5="All Companies",$E998=Company_Explorer!$B$5),OR(Company_Explorer!$B$6="All Platforms",$B998=Company_Explorer!$B$6),OR(Company_Explorer!$B$7="All Roles",$D998=Company_Explorer!$B$7),OR(Company_Explorer!$B$8="All Ghost Labels",$AG998=Company_Explorer!$B$8)),1,0)</f>
        <v>0</v>
      </c>
    </row>
    <row r="999" spans="1:35" ht="15" customHeight="1" x14ac:dyDescent="0.3">
      <c r="A999" s="65" t="s">
        <v>3604</v>
      </c>
      <c r="B999" s="65" t="s">
        <v>80</v>
      </c>
      <c r="C999" s="65" t="s">
        <v>306</v>
      </c>
      <c r="D999" s="65" t="s">
        <v>125</v>
      </c>
      <c r="E999" s="65" t="s">
        <v>3605</v>
      </c>
      <c r="F999" s="65" t="b">
        <f>TRUE()</f>
        <v>1</v>
      </c>
      <c r="G999" s="65" t="s">
        <v>3606</v>
      </c>
      <c r="H999" s="65" t="s">
        <v>754</v>
      </c>
      <c r="I999" s="66">
        <v>46191</v>
      </c>
      <c r="J999" s="66">
        <v>46210</v>
      </c>
      <c r="K999" s="65">
        <v>19</v>
      </c>
      <c r="L999" s="65" t="s">
        <v>192</v>
      </c>
      <c r="M999" s="65" t="s">
        <v>185</v>
      </c>
      <c r="N999" s="65" t="b">
        <f>FALSE()</f>
        <v>0</v>
      </c>
      <c r="O999" s="65"/>
      <c r="P999" s="65"/>
      <c r="Q999" s="65" t="s">
        <v>236</v>
      </c>
      <c r="R999" s="65" t="s">
        <v>237</v>
      </c>
      <c r="S999" s="65"/>
      <c r="T999" s="65" t="b">
        <f>FALSE()</f>
        <v>0</v>
      </c>
      <c r="U999" s="65" t="b">
        <f>FALSE()</f>
        <v>0</v>
      </c>
      <c r="V999" s="65">
        <v>180</v>
      </c>
      <c r="W999" s="67" t="s">
        <v>3607</v>
      </c>
      <c r="X999" s="65">
        <v>1</v>
      </c>
      <c r="Y999" s="68">
        <v>0.01</v>
      </c>
      <c r="Z999" s="65" t="b">
        <f>FALSE()</f>
        <v>0</v>
      </c>
      <c r="AA999" s="65" t="b">
        <f>TRUE()</f>
        <v>1</v>
      </c>
      <c r="AB999" s="65" t="b">
        <f>TRUE()</f>
        <v>1</v>
      </c>
      <c r="AC999" s="65" t="b">
        <f>TRUE()</f>
        <v>1</v>
      </c>
      <c r="AD999" s="65" t="b">
        <f>FALSE()</f>
        <v>0</v>
      </c>
      <c r="AE999" s="65">
        <v>3</v>
      </c>
      <c r="AF999" s="69">
        <v>42.9</v>
      </c>
      <c r="AG999" s="65" t="s">
        <v>73</v>
      </c>
      <c r="AH999" s="65" t="s">
        <v>3608</v>
      </c>
      <c r="AI999">
        <f>IF(AND(OR(Company_Explorer!$B$5="All Companies",$E999=Company_Explorer!$B$5),OR(Company_Explorer!$B$6="All Platforms",$B999=Company_Explorer!$B$6),OR(Company_Explorer!$B$7="All Roles",$D999=Company_Explorer!$B$7),OR(Company_Explorer!$B$8="All Ghost Labels",$AG999=Company_Explorer!$B$8)),1,0)</f>
        <v>0</v>
      </c>
    </row>
    <row r="1000" spans="1:35" ht="15" customHeight="1" x14ac:dyDescent="0.3">
      <c r="A1000" s="60" t="s">
        <v>3609</v>
      </c>
      <c r="B1000" s="60" t="s">
        <v>80</v>
      </c>
      <c r="C1000" s="60" t="s">
        <v>3610</v>
      </c>
      <c r="D1000" s="60" t="s">
        <v>129</v>
      </c>
      <c r="E1000" s="60" t="s">
        <v>2690</v>
      </c>
      <c r="F1000" s="60" t="b">
        <f>TRUE()</f>
        <v>1</v>
      </c>
      <c r="G1000" s="60" t="s">
        <v>2326</v>
      </c>
      <c r="H1000" s="60" t="s">
        <v>2066</v>
      </c>
      <c r="I1000" s="61">
        <v>46192</v>
      </c>
      <c r="J1000" s="61">
        <v>46210</v>
      </c>
      <c r="K1000" s="60">
        <v>18</v>
      </c>
      <c r="L1000" s="60" t="s">
        <v>192</v>
      </c>
      <c r="M1000" s="60" t="s">
        <v>184</v>
      </c>
      <c r="N1000" s="60" t="b">
        <f>FALSE()</f>
        <v>0</v>
      </c>
      <c r="O1000" s="60"/>
      <c r="P1000" s="60"/>
      <c r="Q1000" s="60" t="s">
        <v>236</v>
      </c>
      <c r="R1000" s="60" t="s">
        <v>237</v>
      </c>
      <c r="S1000" s="60"/>
      <c r="T1000" s="60" t="b">
        <f>FALSE()</f>
        <v>0</v>
      </c>
      <c r="U1000" s="60" t="b">
        <f>FALSE()</f>
        <v>0</v>
      </c>
      <c r="V1000" s="60">
        <v>654</v>
      </c>
      <c r="W1000" s="62" t="s">
        <v>3611</v>
      </c>
      <c r="X1000" s="60">
        <v>3</v>
      </c>
      <c r="Y1000" s="63">
        <v>0.02</v>
      </c>
      <c r="Z1000" s="60" t="b">
        <f>FALSE()</f>
        <v>0</v>
      </c>
      <c r="AA1000" s="60" t="b">
        <f>TRUE()</f>
        <v>1</v>
      </c>
      <c r="AB1000" s="60" t="b">
        <f>FALSE()</f>
        <v>0</v>
      </c>
      <c r="AC1000" s="60" t="b">
        <f>FALSE()</f>
        <v>0</v>
      </c>
      <c r="AD1000" s="60" t="b">
        <f>FALSE()</f>
        <v>0</v>
      </c>
      <c r="AE1000" s="60">
        <v>1</v>
      </c>
      <c r="AF1000" s="64">
        <v>14.3</v>
      </c>
      <c r="AG1000" s="60" t="s">
        <v>74</v>
      </c>
      <c r="AH1000" s="60" t="s">
        <v>3612</v>
      </c>
      <c r="AI1000">
        <f>IF(AND(OR(Company_Explorer!$B$5="All Companies",$E1000=Company_Explorer!$B$5),OR(Company_Explorer!$B$6="All Platforms",$B1000=Company_Explorer!$B$6),OR(Company_Explorer!$B$7="All Roles",$D1000=Company_Explorer!$B$7),OR(Company_Explorer!$B$8="All Ghost Labels",$AG1000=Company_Explorer!$B$8)),1,0)</f>
        <v>0</v>
      </c>
    </row>
    <row r="1001" spans="1:35" ht="15" customHeight="1" x14ac:dyDescent="0.3">
      <c r="A1001" s="65" t="s">
        <v>3613</v>
      </c>
      <c r="B1001" s="65" t="s">
        <v>80</v>
      </c>
      <c r="C1001" s="65" t="s">
        <v>3614</v>
      </c>
      <c r="D1001" s="65" t="s">
        <v>126</v>
      </c>
      <c r="E1001" s="65" t="s">
        <v>2891</v>
      </c>
      <c r="F1001" s="65" t="b">
        <f>TRUE()</f>
        <v>1</v>
      </c>
      <c r="G1001" s="65" t="s">
        <v>2065</v>
      </c>
      <c r="H1001" s="65" t="s">
        <v>2066</v>
      </c>
      <c r="I1001" s="66">
        <v>46139</v>
      </c>
      <c r="J1001" s="66">
        <v>46210</v>
      </c>
      <c r="K1001" s="65">
        <v>71</v>
      </c>
      <c r="L1001" s="65" t="s">
        <v>192</v>
      </c>
      <c r="M1001" s="65" t="s">
        <v>185</v>
      </c>
      <c r="N1001" s="65" t="b">
        <f>FALSE()</f>
        <v>0</v>
      </c>
      <c r="O1001" s="65"/>
      <c r="P1001" s="65"/>
      <c r="Q1001" s="65" t="s">
        <v>236</v>
      </c>
      <c r="R1001" s="65" t="s">
        <v>237</v>
      </c>
      <c r="S1001" s="65"/>
      <c r="T1001" s="65" t="b">
        <f>FALSE()</f>
        <v>0</v>
      </c>
      <c r="U1001" s="65" t="b">
        <f>FALSE()</f>
        <v>0</v>
      </c>
      <c r="V1001" s="65">
        <v>306</v>
      </c>
      <c r="W1001" s="67" t="s">
        <v>3615</v>
      </c>
      <c r="X1001" s="65">
        <v>2</v>
      </c>
      <c r="Y1001" s="68">
        <v>0.01</v>
      </c>
      <c r="Z1001" s="65" t="b">
        <f>FALSE()</f>
        <v>0</v>
      </c>
      <c r="AA1001" s="65" t="b">
        <f>TRUE()</f>
        <v>1</v>
      </c>
      <c r="AB1001" s="65" t="b">
        <f>FALSE()</f>
        <v>0</v>
      </c>
      <c r="AC1001" s="65" t="b">
        <f>TRUE()</f>
        <v>1</v>
      </c>
      <c r="AD1001" s="65" t="b">
        <f>FALSE()</f>
        <v>0</v>
      </c>
      <c r="AE1001" s="65">
        <v>2</v>
      </c>
      <c r="AF1001" s="69">
        <v>28.6</v>
      </c>
      <c r="AG1001" s="65" t="s">
        <v>73</v>
      </c>
      <c r="AH1001" s="65" t="s">
        <v>3616</v>
      </c>
      <c r="AI1001">
        <f>IF(AND(OR(Company_Explorer!$B$5="All Companies",$E1001=Company_Explorer!$B$5),OR(Company_Explorer!$B$6="All Platforms",$B1001=Company_Explorer!$B$6),OR(Company_Explorer!$B$7="All Roles",$D1001=Company_Explorer!$B$7),OR(Company_Explorer!$B$8="All Ghost Labels",$AG1001=Company_Explorer!$B$8)),1,0)</f>
        <v>0</v>
      </c>
    </row>
    <row r="1002" spans="1:35" ht="15" customHeight="1" x14ac:dyDescent="0.3">
      <c r="A1002" s="60" t="s">
        <v>3617</v>
      </c>
      <c r="B1002" s="60" t="s">
        <v>81</v>
      </c>
      <c r="C1002" s="60" t="s">
        <v>3618</v>
      </c>
      <c r="D1002" s="60" t="s">
        <v>126</v>
      </c>
      <c r="E1002" s="60" t="s">
        <v>3619</v>
      </c>
      <c r="F1002" s="60" t="b">
        <f>TRUE()</f>
        <v>1</v>
      </c>
      <c r="G1002" s="60" t="s">
        <v>165</v>
      </c>
      <c r="H1002" s="60" t="s">
        <v>3620</v>
      </c>
      <c r="I1002" s="61">
        <v>46209.652406689798</v>
      </c>
      <c r="J1002" s="61">
        <v>46210.282943252299</v>
      </c>
      <c r="K1002" s="60">
        <v>0.6</v>
      </c>
      <c r="L1002" s="60" t="s">
        <v>183</v>
      </c>
      <c r="M1002" s="60" t="s">
        <v>183</v>
      </c>
      <c r="N1002" s="60" t="b">
        <f>FALSE()</f>
        <v>0</v>
      </c>
      <c r="O1002" s="60"/>
      <c r="P1002" s="60"/>
      <c r="Q1002" s="60" t="s">
        <v>236</v>
      </c>
      <c r="R1002" s="60" t="s">
        <v>236</v>
      </c>
      <c r="S1002" s="60"/>
      <c r="T1002" s="60" t="b">
        <f>FALSE()</f>
        <v>0</v>
      </c>
      <c r="U1002" s="60" t="b">
        <f>FALSE()</f>
        <v>0</v>
      </c>
      <c r="V1002" s="60">
        <v>395</v>
      </c>
      <c r="W1002" s="62" t="s">
        <v>3621</v>
      </c>
      <c r="X1002" s="60">
        <v>1</v>
      </c>
      <c r="Y1002" s="63">
        <v>1.75</v>
      </c>
      <c r="Z1002" s="60" t="b">
        <f>FALSE()</f>
        <v>0</v>
      </c>
      <c r="AA1002" s="60" t="b">
        <f>TRUE()</f>
        <v>1</v>
      </c>
      <c r="AB1002" s="60" t="b">
        <f>FALSE()</f>
        <v>0</v>
      </c>
      <c r="AC1002" s="60" t="b">
        <f>FALSE()</f>
        <v>0</v>
      </c>
      <c r="AD1002" s="60" t="b">
        <f>FALSE()</f>
        <v>0</v>
      </c>
      <c r="AE1002" s="60">
        <v>1</v>
      </c>
      <c r="AF1002" s="64">
        <v>14.3</v>
      </c>
      <c r="AG1002" s="60" t="s">
        <v>74</v>
      </c>
      <c r="AH1002" s="60" t="s">
        <v>3622</v>
      </c>
      <c r="AI1002">
        <f>IF(AND(OR(Company_Explorer!$B$5="All Companies",$E1002=Company_Explorer!$B$5),OR(Company_Explorer!$B$6="All Platforms",$B1002=Company_Explorer!$B$6),OR(Company_Explorer!$B$7="All Roles",$D1002=Company_Explorer!$B$7),OR(Company_Explorer!$B$8="All Ghost Labels",$AG1002=Company_Explorer!$B$8)),1,0)</f>
        <v>0</v>
      </c>
    </row>
    <row r="1003" spans="1:35" ht="15" customHeight="1" x14ac:dyDescent="0.3">
      <c r="A1003" s="65" t="s">
        <v>3623</v>
      </c>
      <c r="B1003" s="65" t="s">
        <v>81</v>
      </c>
      <c r="C1003" s="65" t="s">
        <v>3624</v>
      </c>
      <c r="D1003" s="65" t="s">
        <v>127</v>
      </c>
      <c r="E1003" s="65" t="s">
        <v>3625</v>
      </c>
      <c r="F1003" s="65" t="b">
        <f>TRUE()</f>
        <v>1</v>
      </c>
      <c r="G1003" s="65" t="s">
        <v>165</v>
      </c>
      <c r="H1003" s="65" t="s">
        <v>3620</v>
      </c>
      <c r="I1003" s="66">
        <v>46209.649213599499</v>
      </c>
      <c r="J1003" s="66">
        <v>46210.282943530103</v>
      </c>
      <c r="K1003" s="65">
        <v>0.6</v>
      </c>
      <c r="L1003" s="65" t="s">
        <v>183</v>
      </c>
      <c r="M1003" s="65" t="s">
        <v>183</v>
      </c>
      <c r="N1003" s="65" t="b">
        <f>FALSE()</f>
        <v>0</v>
      </c>
      <c r="O1003" s="65"/>
      <c r="P1003" s="65"/>
      <c r="Q1003" s="65" t="s">
        <v>236</v>
      </c>
      <c r="R1003" s="65" t="s">
        <v>236</v>
      </c>
      <c r="S1003" s="65"/>
      <c r="T1003" s="65" t="b">
        <f>FALSE()</f>
        <v>0</v>
      </c>
      <c r="U1003" s="65" t="b">
        <f>FALSE()</f>
        <v>0</v>
      </c>
      <c r="V1003" s="65">
        <v>672</v>
      </c>
      <c r="W1003" s="67" t="s">
        <v>3626</v>
      </c>
      <c r="X1003" s="65">
        <v>1</v>
      </c>
      <c r="Y1003" s="68">
        <v>1.75</v>
      </c>
      <c r="Z1003" s="65" t="b">
        <f>FALSE()</f>
        <v>0</v>
      </c>
      <c r="AA1003" s="65" t="b">
        <f>TRUE()</f>
        <v>1</v>
      </c>
      <c r="AB1003" s="65" t="b">
        <f>FALSE()</f>
        <v>0</v>
      </c>
      <c r="AC1003" s="65" t="b">
        <f>FALSE()</f>
        <v>0</v>
      </c>
      <c r="AD1003" s="65" t="b">
        <f>FALSE()</f>
        <v>0</v>
      </c>
      <c r="AE1003" s="65">
        <v>1</v>
      </c>
      <c r="AF1003" s="69">
        <v>14.3</v>
      </c>
      <c r="AG1003" s="65" t="s">
        <v>74</v>
      </c>
      <c r="AH1003" s="65" t="s">
        <v>3627</v>
      </c>
      <c r="AI1003">
        <f>IF(AND(OR(Company_Explorer!$B$5="All Companies",$E1003=Company_Explorer!$B$5),OR(Company_Explorer!$B$6="All Platforms",$B1003=Company_Explorer!$B$6),OR(Company_Explorer!$B$7="All Roles",$D1003=Company_Explorer!$B$7),OR(Company_Explorer!$B$8="All Ghost Labels",$AG1003=Company_Explorer!$B$8)),1,0)</f>
        <v>0</v>
      </c>
    </row>
    <row r="1004" spans="1:35" ht="15" customHeight="1" x14ac:dyDescent="0.3">
      <c r="A1004" s="60" t="s">
        <v>3628</v>
      </c>
      <c r="B1004" s="60" t="s">
        <v>81</v>
      </c>
      <c r="C1004" s="60" t="s">
        <v>3629</v>
      </c>
      <c r="D1004" s="60" t="s">
        <v>126</v>
      </c>
      <c r="E1004" s="60" t="s">
        <v>2758</v>
      </c>
      <c r="F1004" s="60" t="b">
        <f>TRUE()</f>
        <v>1</v>
      </c>
      <c r="G1004" s="60" t="s">
        <v>165</v>
      </c>
      <c r="H1004" s="60" t="s">
        <v>3630</v>
      </c>
      <c r="I1004" s="61">
        <v>46209.918595023199</v>
      </c>
      <c r="J1004" s="61">
        <v>46210.2829433796</v>
      </c>
      <c r="K1004" s="60">
        <v>0.4</v>
      </c>
      <c r="L1004" s="60" t="s">
        <v>183</v>
      </c>
      <c r="M1004" s="60" t="s">
        <v>183</v>
      </c>
      <c r="N1004" s="60" t="b">
        <f>FALSE()</f>
        <v>0</v>
      </c>
      <c r="O1004" s="60"/>
      <c r="P1004" s="60"/>
      <c r="Q1004" s="60" t="s">
        <v>236</v>
      </c>
      <c r="R1004" s="60" t="s">
        <v>236</v>
      </c>
      <c r="S1004" s="60"/>
      <c r="T1004" s="60" t="b">
        <f>FALSE()</f>
        <v>0</v>
      </c>
      <c r="U1004" s="60" t="b">
        <f>FALSE()</f>
        <v>0</v>
      </c>
      <c r="V1004" s="60">
        <v>508</v>
      </c>
      <c r="W1004" s="62" t="s">
        <v>3631</v>
      </c>
      <c r="X1004" s="60">
        <v>11</v>
      </c>
      <c r="Y1004" s="63">
        <v>19.25</v>
      </c>
      <c r="Z1004" s="60" t="b">
        <f>FALSE()</f>
        <v>0</v>
      </c>
      <c r="AA1004" s="60" t="b">
        <f>TRUE()</f>
        <v>1</v>
      </c>
      <c r="AB1004" s="60" t="b">
        <f>FALSE()</f>
        <v>0</v>
      </c>
      <c r="AC1004" s="60" t="b">
        <f>FALSE()</f>
        <v>0</v>
      </c>
      <c r="AD1004" s="60" t="b">
        <f>FALSE()</f>
        <v>0</v>
      </c>
      <c r="AE1004" s="60">
        <v>1</v>
      </c>
      <c r="AF1004" s="64">
        <v>14.3</v>
      </c>
      <c r="AG1004" s="60" t="s">
        <v>74</v>
      </c>
      <c r="AH1004" s="60" t="s">
        <v>3632</v>
      </c>
      <c r="AI1004">
        <f>IF(AND(OR(Company_Explorer!$B$5="All Companies",$E1004=Company_Explorer!$B$5),OR(Company_Explorer!$B$6="All Platforms",$B1004=Company_Explorer!$B$6),OR(Company_Explorer!$B$7="All Roles",$D1004=Company_Explorer!$B$7),OR(Company_Explorer!$B$8="All Ghost Labels",$AG1004=Company_Explorer!$B$8)),1,0)</f>
        <v>0</v>
      </c>
    </row>
    <row r="1005" spans="1:35" ht="15" customHeight="1" x14ac:dyDescent="0.3">
      <c r="A1005" s="65" t="s">
        <v>3633</v>
      </c>
      <c r="B1005" s="65" t="s">
        <v>81</v>
      </c>
      <c r="C1005" s="65" t="s">
        <v>3634</v>
      </c>
      <c r="D1005" s="65" t="s">
        <v>126</v>
      </c>
      <c r="E1005" s="65" t="s">
        <v>3635</v>
      </c>
      <c r="F1005" s="65" t="b">
        <f>TRUE()</f>
        <v>1</v>
      </c>
      <c r="G1005" s="65" t="s">
        <v>165</v>
      </c>
      <c r="H1005" s="65" t="s">
        <v>3636</v>
      </c>
      <c r="I1005" s="66">
        <v>46209.640949178203</v>
      </c>
      <c r="J1005" s="66">
        <v>46210.282943587998</v>
      </c>
      <c r="K1005" s="65">
        <v>0.6</v>
      </c>
      <c r="L1005" s="65" t="s">
        <v>183</v>
      </c>
      <c r="M1005" s="65" t="s">
        <v>183</v>
      </c>
      <c r="N1005" s="65" t="b">
        <f>FALSE()</f>
        <v>0</v>
      </c>
      <c r="O1005" s="65"/>
      <c r="P1005" s="65"/>
      <c r="Q1005" s="65" t="s">
        <v>236</v>
      </c>
      <c r="R1005" s="65" t="s">
        <v>236</v>
      </c>
      <c r="S1005" s="65"/>
      <c r="T1005" s="65" t="b">
        <f>FALSE()</f>
        <v>0</v>
      </c>
      <c r="U1005" s="65" t="b">
        <f>FALSE()</f>
        <v>0</v>
      </c>
      <c r="V1005" s="65">
        <v>795</v>
      </c>
      <c r="W1005" s="67" t="s">
        <v>3637</v>
      </c>
      <c r="X1005" s="65">
        <v>3</v>
      </c>
      <c r="Y1005" s="68">
        <v>5.25</v>
      </c>
      <c r="Z1005" s="65" t="b">
        <f>FALSE()</f>
        <v>0</v>
      </c>
      <c r="AA1005" s="65" t="b">
        <f>TRUE()</f>
        <v>1</v>
      </c>
      <c r="AB1005" s="65" t="b">
        <f>FALSE()</f>
        <v>0</v>
      </c>
      <c r="AC1005" s="65" t="b">
        <f>FALSE()</f>
        <v>0</v>
      </c>
      <c r="AD1005" s="65" t="b">
        <f>FALSE()</f>
        <v>0</v>
      </c>
      <c r="AE1005" s="65">
        <v>1</v>
      </c>
      <c r="AF1005" s="69">
        <v>14.3</v>
      </c>
      <c r="AG1005" s="65" t="s">
        <v>74</v>
      </c>
      <c r="AH1005" s="65" t="s">
        <v>3638</v>
      </c>
      <c r="AI1005">
        <f>IF(AND(OR(Company_Explorer!$B$5="All Companies",$E1005=Company_Explorer!$B$5),OR(Company_Explorer!$B$6="All Platforms",$B1005=Company_Explorer!$B$6),OR(Company_Explorer!$B$7="All Roles",$D1005=Company_Explorer!$B$7),OR(Company_Explorer!$B$8="All Ghost Labels",$AG1005=Company_Explorer!$B$8)),1,0)</f>
        <v>0</v>
      </c>
    </row>
    <row r="1006" spans="1:35" ht="15" customHeight="1" x14ac:dyDescent="0.3">
      <c r="A1006" s="60" t="s">
        <v>3639</v>
      </c>
      <c r="B1006" s="60" t="s">
        <v>81</v>
      </c>
      <c r="C1006" s="60" t="s">
        <v>3640</v>
      </c>
      <c r="D1006" s="60" t="s">
        <v>126</v>
      </c>
      <c r="E1006" s="60" t="s">
        <v>3641</v>
      </c>
      <c r="F1006" s="60" t="b">
        <f>TRUE()</f>
        <v>1</v>
      </c>
      <c r="G1006" s="60" t="s">
        <v>165</v>
      </c>
      <c r="H1006" s="60" t="s">
        <v>3620</v>
      </c>
      <c r="I1006" s="61">
        <v>46209.916351805601</v>
      </c>
      <c r="J1006" s="61">
        <v>46210.282943622697</v>
      </c>
      <c r="K1006" s="60">
        <v>0.4</v>
      </c>
      <c r="L1006" s="60" t="s">
        <v>183</v>
      </c>
      <c r="M1006" s="60" t="s">
        <v>183</v>
      </c>
      <c r="N1006" s="60" t="b">
        <f>FALSE()</f>
        <v>0</v>
      </c>
      <c r="O1006" s="60"/>
      <c r="P1006" s="60"/>
      <c r="Q1006" s="60" t="s">
        <v>236</v>
      </c>
      <c r="R1006" s="60" t="s">
        <v>236</v>
      </c>
      <c r="S1006" s="60"/>
      <c r="T1006" s="60" t="b">
        <f>FALSE()</f>
        <v>0</v>
      </c>
      <c r="U1006" s="60" t="b">
        <f>FALSE()</f>
        <v>0</v>
      </c>
      <c r="V1006" s="60">
        <v>268</v>
      </c>
      <c r="W1006" s="62" t="s">
        <v>3642</v>
      </c>
      <c r="X1006" s="60">
        <v>1</v>
      </c>
      <c r="Y1006" s="63">
        <v>1.75</v>
      </c>
      <c r="Z1006" s="60" t="b">
        <f>FALSE()</f>
        <v>0</v>
      </c>
      <c r="AA1006" s="60" t="b">
        <f>TRUE()</f>
        <v>1</v>
      </c>
      <c r="AB1006" s="60" t="b">
        <f>TRUE()</f>
        <v>1</v>
      </c>
      <c r="AC1006" s="60" t="b">
        <f>FALSE()</f>
        <v>0</v>
      </c>
      <c r="AD1006" s="60" t="b">
        <f>FALSE()</f>
        <v>0</v>
      </c>
      <c r="AE1006" s="60">
        <v>2</v>
      </c>
      <c r="AF1006" s="64">
        <v>28.6</v>
      </c>
      <c r="AG1006" s="60" t="s">
        <v>73</v>
      </c>
      <c r="AH1006" s="60" t="s">
        <v>3643</v>
      </c>
      <c r="AI1006">
        <f>IF(AND(OR(Company_Explorer!$B$5="All Companies",$E1006=Company_Explorer!$B$5),OR(Company_Explorer!$B$6="All Platforms",$B1006=Company_Explorer!$B$6),OR(Company_Explorer!$B$7="All Roles",$D1006=Company_Explorer!$B$7),OR(Company_Explorer!$B$8="All Ghost Labels",$AG1006=Company_Explorer!$B$8)),1,0)</f>
        <v>0</v>
      </c>
    </row>
    <row r="1007" spans="1:35" ht="15" customHeight="1" x14ac:dyDescent="0.3">
      <c r="A1007" s="65" t="s">
        <v>3644</v>
      </c>
      <c r="B1007" s="65" t="s">
        <v>81</v>
      </c>
      <c r="C1007" s="65" t="s">
        <v>3645</v>
      </c>
      <c r="D1007" s="65" t="s">
        <v>127</v>
      </c>
      <c r="E1007" s="65" t="s">
        <v>145</v>
      </c>
      <c r="F1007" s="65" t="b">
        <f>TRUE()</f>
        <v>1</v>
      </c>
      <c r="G1007" s="65" t="s">
        <v>165</v>
      </c>
      <c r="H1007" s="65" t="s">
        <v>3620</v>
      </c>
      <c r="I1007" s="66">
        <v>46209.919247673599</v>
      </c>
      <c r="J1007" s="66">
        <v>46210.282943472201</v>
      </c>
      <c r="K1007" s="65">
        <v>0.4</v>
      </c>
      <c r="L1007" s="65" t="s">
        <v>183</v>
      </c>
      <c r="M1007" s="65" t="s">
        <v>183</v>
      </c>
      <c r="N1007" s="65" t="b">
        <f>FALSE()</f>
        <v>0</v>
      </c>
      <c r="O1007" s="65"/>
      <c r="P1007" s="65"/>
      <c r="Q1007" s="65" t="s">
        <v>236</v>
      </c>
      <c r="R1007" s="65" t="s">
        <v>236</v>
      </c>
      <c r="S1007" s="65"/>
      <c r="T1007" s="65" t="b">
        <f>FALSE()</f>
        <v>0</v>
      </c>
      <c r="U1007" s="65" t="b">
        <f>FALSE()</f>
        <v>0</v>
      </c>
      <c r="V1007" s="65">
        <v>840</v>
      </c>
      <c r="W1007" s="67" t="s">
        <v>3646</v>
      </c>
      <c r="X1007" s="65">
        <v>42</v>
      </c>
      <c r="Y1007" s="68">
        <v>73.5</v>
      </c>
      <c r="Z1007" s="65" t="b">
        <f>FALSE()</f>
        <v>0</v>
      </c>
      <c r="AA1007" s="65" t="b">
        <f>TRUE()</f>
        <v>1</v>
      </c>
      <c r="AB1007" s="65" t="b">
        <f>FALSE()</f>
        <v>0</v>
      </c>
      <c r="AC1007" s="65" t="b">
        <f>FALSE()</f>
        <v>0</v>
      </c>
      <c r="AD1007" s="65" t="b">
        <f>FALSE()</f>
        <v>0</v>
      </c>
      <c r="AE1007" s="65">
        <v>1</v>
      </c>
      <c r="AF1007" s="69">
        <v>14.3</v>
      </c>
      <c r="AG1007" s="65" t="s">
        <v>74</v>
      </c>
      <c r="AH1007" s="65" t="s">
        <v>3647</v>
      </c>
      <c r="AI1007">
        <f>IF(AND(OR(Company_Explorer!$B$5="All Companies",$E1007=Company_Explorer!$B$5),OR(Company_Explorer!$B$6="All Platforms",$B1007=Company_Explorer!$B$6),OR(Company_Explorer!$B$7="All Roles",$D1007=Company_Explorer!$B$7),OR(Company_Explorer!$B$8="All Ghost Labels",$AG1007=Company_Explorer!$B$8)),1,0)</f>
        <v>0</v>
      </c>
    </row>
    <row r="1008" spans="1:35" ht="15" customHeight="1" x14ac:dyDescent="0.3">
      <c r="A1008" s="60" t="s">
        <v>3648</v>
      </c>
      <c r="B1008" s="60" t="s">
        <v>81</v>
      </c>
      <c r="C1008" s="60" t="s">
        <v>3649</v>
      </c>
      <c r="D1008" s="60" t="s">
        <v>126</v>
      </c>
      <c r="E1008" s="60" t="s">
        <v>146</v>
      </c>
      <c r="F1008" s="60" t="b">
        <f>TRUE()</f>
        <v>1</v>
      </c>
      <c r="G1008" s="60" t="s">
        <v>165</v>
      </c>
      <c r="H1008" s="60" t="s">
        <v>3620</v>
      </c>
      <c r="I1008" s="61">
        <v>46209.9108697107</v>
      </c>
      <c r="J1008" s="61">
        <v>46210.282943692102</v>
      </c>
      <c r="K1008" s="60">
        <v>0.4</v>
      </c>
      <c r="L1008" s="60" t="s">
        <v>183</v>
      </c>
      <c r="M1008" s="60" t="s">
        <v>183</v>
      </c>
      <c r="N1008" s="60" t="b">
        <f>FALSE()</f>
        <v>0</v>
      </c>
      <c r="O1008" s="60"/>
      <c r="P1008" s="60"/>
      <c r="Q1008" s="60" t="s">
        <v>236</v>
      </c>
      <c r="R1008" s="60" t="s">
        <v>236</v>
      </c>
      <c r="S1008" s="60"/>
      <c r="T1008" s="60" t="b">
        <f>FALSE()</f>
        <v>0</v>
      </c>
      <c r="U1008" s="60" t="b">
        <f>FALSE()</f>
        <v>0</v>
      </c>
      <c r="V1008" s="60">
        <v>601</v>
      </c>
      <c r="W1008" s="62" t="s">
        <v>3650</v>
      </c>
      <c r="X1008" s="60">
        <v>33</v>
      </c>
      <c r="Y1008" s="63">
        <v>57.75</v>
      </c>
      <c r="Z1008" s="60" t="b">
        <f>FALSE()</f>
        <v>0</v>
      </c>
      <c r="AA1008" s="60" t="b">
        <f>TRUE()</f>
        <v>1</v>
      </c>
      <c r="AB1008" s="60" t="b">
        <f>FALSE()</f>
        <v>0</v>
      </c>
      <c r="AC1008" s="60" t="b">
        <f>FALSE()</f>
        <v>0</v>
      </c>
      <c r="AD1008" s="60" t="b">
        <f>FALSE()</f>
        <v>0</v>
      </c>
      <c r="AE1008" s="60">
        <v>1</v>
      </c>
      <c r="AF1008" s="64">
        <v>14.3</v>
      </c>
      <c r="AG1008" s="60" t="s">
        <v>74</v>
      </c>
      <c r="AH1008" s="60" t="s">
        <v>3651</v>
      </c>
      <c r="AI1008">
        <f>IF(AND(OR(Company_Explorer!$B$5="All Companies",$E1008=Company_Explorer!$B$5),OR(Company_Explorer!$B$6="All Platforms",$B1008=Company_Explorer!$B$6),OR(Company_Explorer!$B$7="All Roles",$D1008=Company_Explorer!$B$7),OR(Company_Explorer!$B$8="All Ghost Labels",$AG1008=Company_Explorer!$B$8)),1,0)</f>
        <v>0</v>
      </c>
    </row>
    <row r="1009" spans="1:35" ht="15" customHeight="1" x14ac:dyDescent="0.3">
      <c r="A1009" s="65" t="s">
        <v>3652</v>
      </c>
      <c r="B1009" s="65" t="s">
        <v>81</v>
      </c>
      <c r="C1009" s="65" t="s">
        <v>3653</v>
      </c>
      <c r="D1009" s="65" t="s">
        <v>126</v>
      </c>
      <c r="E1009" s="65" t="s">
        <v>3654</v>
      </c>
      <c r="F1009" s="65" t="b">
        <f>TRUE()</f>
        <v>1</v>
      </c>
      <c r="G1009" s="65" t="s">
        <v>165</v>
      </c>
      <c r="H1009" s="65" t="s">
        <v>3655</v>
      </c>
      <c r="I1009" s="66">
        <v>46209.636016388897</v>
      </c>
      <c r="J1009" s="66">
        <v>46210.282945462997</v>
      </c>
      <c r="K1009" s="65">
        <v>0.6</v>
      </c>
      <c r="L1009" s="65" t="s">
        <v>183</v>
      </c>
      <c r="M1009" s="65" t="s">
        <v>183</v>
      </c>
      <c r="N1009" s="65" t="b">
        <f>FALSE()</f>
        <v>0</v>
      </c>
      <c r="O1009" s="65"/>
      <c r="P1009" s="65"/>
      <c r="Q1009" s="65" t="s">
        <v>236</v>
      </c>
      <c r="R1009" s="65" t="s">
        <v>236</v>
      </c>
      <c r="S1009" s="65"/>
      <c r="T1009" s="65" t="b">
        <f>FALSE()</f>
        <v>0</v>
      </c>
      <c r="U1009" s="65" t="b">
        <f>FALSE()</f>
        <v>0</v>
      </c>
      <c r="V1009" s="65">
        <v>1048</v>
      </c>
      <c r="W1009" s="67" t="s">
        <v>3656</v>
      </c>
      <c r="X1009" s="65">
        <v>1</v>
      </c>
      <c r="Y1009" s="68">
        <v>1.75</v>
      </c>
      <c r="Z1009" s="65" t="b">
        <f>FALSE()</f>
        <v>0</v>
      </c>
      <c r="AA1009" s="65" t="b">
        <f>TRUE()</f>
        <v>1</v>
      </c>
      <c r="AB1009" s="65" t="b">
        <f>FALSE()</f>
        <v>0</v>
      </c>
      <c r="AC1009" s="65" t="b">
        <f>FALSE()</f>
        <v>0</v>
      </c>
      <c r="AD1009" s="65" t="b">
        <f>FALSE()</f>
        <v>0</v>
      </c>
      <c r="AE1009" s="65">
        <v>1</v>
      </c>
      <c r="AF1009" s="69">
        <v>14.3</v>
      </c>
      <c r="AG1009" s="65" t="s">
        <v>74</v>
      </c>
      <c r="AH1009" s="65" t="s">
        <v>3657</v>
      </c>
      <c r="AI1009">
        <f>IF(AND(OR(Company_Explorer!$B$5="All Companies",$E1009=Company_Explorer!$B$5),OR(Company_Explorer!$B$6="All Platforms",$B1009=Company_Explorer!$B$6),OR(Company_Explorer!$B$7="All Roles",$D1009=Company_Explorer!$B$7),OR(Company_Explorer!$B$8="All Ghost Labels",$AG1009=Company_Explorer!$B$8)),1,0)</f>
        <v>0</v>
      </c>
    </row>
    <row r="1010" spans="1:35" ht="15" customHeight="1" x14ac:dyDescent="0.3">
      <c r="A1010" s="60" t="s">
        <v>3658</v>
      </c>
      <c r="B1010" s="60" t="s">
        <v>81</v>
      </c>
      <c r="C1010" s="60" t="s">
        <v>3649</v>
      </c>
      <c r="D1010" s="60" t="s">
        <v>126</v>
      </c>
      <c r="E1010" s="60" t="s">
        <v>146</v>
      </c>
      <c r="F1010" s="60" t="b">
        <f>TRUE()</f>
        <v>1</v>
      </c>
      <c r="G1010" s="60" t="s">
        <v>165</v>
      </c>
      <c r="H1010" s="60" t="s">
        <v>3620</v>
      </c>
      <c r="I1010" s="61">
        <v>46209.910887696802</v>
      </c>
      <c r="J1010" s="61">
        <v>46210.282945891202</v>
      </c>
      <c r="K1010" s="60">
        <v>0.4</v>
      </c>
      <c r="L1010" s="60" t="s">
        <v>183</v>
      </c>
      <c r="M1010" s="60" t="s">
        <v>183</v>
      </c>
      <c r="N1010" s="60" t="b">
        <f>FALSE()</f>
        <v>0</v>
      </c>
      <c r="O1010" s="60"/>
      <c r="P1010" s="60"/>
      <c r="Q1010" s="60" t="s">
        <v>236</v>
      </c>
      <c r="R1010" s="60" t="s">
        <v>236</v>
      </c>
      <c r="S1010" s="60"/>
      <c r="T1010" s="60" t="b">
        <f>FALSE()</f>
        <v>0</v>
      </c>
      <c r="U1010" s="60" t="b">
        <f>FALSE()</f>
        <v>0</v>
      </c>
      <c r="V1010" s="60">
        <v>611</v>
      </c>
      <c r="W1010" s="62" t="s">
        <v>3650</v>
      </c>
      <c r="X1010" s="60">
        <v>33</v>
      </c>
      <c r="Y1010" s="63">
        <v>57.75</v>
      </c>
      <c r="Z1010" s="60" t="b">
        <f>FALSE()</f>
        <v>0</v>
      </c>
      <c r="AA1010" s="60" t="b">
        <f>TRUE()</f>
        <v>1</v>
      </c>
      <c r="AB1010" s="60" t="b">
        <f>FALSE()</f>
        <v>0</v>
      </c>
      <c r="AC1010" s="60" t="b">
        <f>FALSE()</f>
        <v>0</v>
      </c>
      <c r="AD1010" s="60" t="b">
        <f>FALSE()</f>
        <v>0</v>
      </c>
      <c r="AE1010" s="60">
        <v>1</v>
      </c>
      <c r="AF1010" s="64">
        <v>14.3</v>
      </c>
      <c r="AG1010" s="60" t="s">
        <v>74</v>
      </c>
      <c r="AH1010" s="60" t="s">
        <v>3659</v>
      </c>
      <c r="AI1010">
        <f>IF(AND(OR(Company_Explorer!$B$5="All Companies",$E1010=Company_Explorer!$B$5),OR(Company_Explorer!$B$6="All Platforms",$B1010=Company_Explorer!$B$6),OR(Company_Explorer!$B$7="All Roles",$D1010=Company_Explorer!$B$7),OR(Company_Explorer!$B$8="All Ghost Labels",$AG1010=Company_Explorer!$B$8)),1,0)</f>
        <v>0</v>
      </c>
    </row>
    <row r="1011" spans="1:35" ht="15" customHeight="1" x14ac:dyDescent="0.3">
      <c r="A1011" s="65" t="s">
        <v>3660</v>
      </c>
      <c r="B1011" s="65" t="s">
        <v>81</v>
      </c>
      <c r="C1011" s="65" t="s">
        <v>3661</v>
      </c>
      <c r="D1011" s="65" t="s">
        <v>127</v>
      </c>
      <c r="E1011" s="65" t="s">
        <v>3662</v>
      </c>
      <c r="F1011" s="65" t="b">
        <f>TRUE()</f>
        <v>1</v>
      </c>
      <c r="G1011" s="65" t="s">
        <v>165</v>
      </c>
      <c r="H1011" s="65" t="s">
        <v>3630</v>
      </c>
      <c r="I1011" s="66">
        <v>46209.634634155103</v>
      </c>
      <c r="J1011" s="66">
        <v>46210.282945972198</v>
      </c>
      <c r="K1011" s="65">
        <v>0.6</v>
      </c>
      <c r="L1011" s="65" t="s">
        <v>183</v>
      </c>
      <c r="M1011" s="65" t="s">
        <v>183</v>
      </c>
      <c r="N1011" s="65" t="b">
        <f>TRUE()</f>
        <v>1</v>
      </c>
      <c r="O1011" s="71">
        <v>20000</v>
      </c>
      <c r="P1011" s="71">
        <v>30000</v>
      </c>
      <c r="Q1011" s="65" t="s">
        <v>3663</v>
      </c>
      <c r="R1011" s="65" t="s">
        <v>3664</v>
      </c>
      <c r="S1011" s="71">
        <v>300000</v>
      </c>
      <c r="T1011" s="65" t="b">
        <f>TRUE()</f>
        <v>1</v>
      </c>
      <c r="U1011" s="65" t="b">
        <f>FALSE()</f>
        <v>0</v>
      </c>
      <c r="V1011" s="65">
        <v>154</v>
      </c>
      <c r="W1011" s="65" t="s">
        <v>3665</v>
      </c>
      <c r="X1011" s="65">
        <v>1</v>
      </c>
      <c r="Y1011" s="68">
        <v>1.75</v>
      </c>
      <c r="Z1011" s="65" t="b">
        <f>FALSE()</f>
        <v>0</v>
      </c>
      <c r="AA1011" s="65" t="b">
        <f>FALSE()</f>
        <v>0</v>
      </c>
      <c r="AB1011" s="65" t="b">
        <f>TRUE()</f>
        <v>1</v>
      </c>
      <c r="AC1011" s="65" t="b">
        <f>FALSE()</f>
        <v>0</v>
      </c>
      <c r="AD1011" s="65" t="b">
        <f>FALSE()</f>
        <v>0</v>
      </c>
      <c r="AE1011" s="65">
        <v>1</v>
      </c>
      <c r="AF1011" s="69">
        <v>14.3</v>
      </c>
      <c r="AG1011" s="65" t="s">
        <v>74</v>
      </c>
      <c r="AH1011" s="65" t="s">
        <v>3666</v>
      </c>
      <c r="AI1011">
        <f>IF(AND(OR(Company_Explorer!$B$5="All Companies",$E1011=Company_Explorer!$B$5),OR(Company_Explorer!$B$6="All Platforms",$B1011=Company_Explorer!$B$6),OR(Company_Explorer!$B$7="All Roles",$D1011=Company_Explorer!$B$7),OR(Company_Explorer!$B$8="All Ghost Labels",$AG1011=Company_Explorer!$B$8)),1,0)</f>
        <v>0</v>
      </c>
    </row>
    <row r="1012" spans="1:35" ht="15" customHeight="1" x14ac:dyDescent="0.3">
      <c r="A1012" s="60" t="s">
        <v>3667</v>
      </c>
      <c r="B1012" s="60" t="s">
        <v>81</v>
      </c>
      <c r="C1012" s="60" t="s">
        <v>3649</v>
      </c>
      <c r="D1012" s="60" t="s">
        <v>126</v>
      </c>
      <c r="E1012" s="60" t="s">
        <v>146</v>
      </c>
      <c r="F1012" s="60" t="b">
        <f>TRUE()</f>
        <v>1</v>
      </c>
      <c r="G1012" s="60" t="s">
        <v>165</v>
      </c>
      <c r="H1012" s="60" t="s">
        <v>3620</v>
      </c>
      <c r="I1012" s="61">
        <v>46209.910887592603</v>
      </c>
      <c r="J1012" s="61">
        <v>46210.282946099498</v>
      </c>
      <c r="K1012" s="60">
        <v>0.4</v>
      </c>
      <c r="L1012" s="60" t="s">
        <v>183</v>
      </c>
      <c r="M1012" s="60" t="s">
        <v>183</v>
      </c>
      <c r="N1012" s="60" t="b">
        <f>FALSE()</f>
        <v>0</v>
      </c>
      <c r="O1012" s="60"/>
      <c r="P1012" s="60"/>
      <c r="Q1012" s="60" t="s">
        <v>236</v>
      </c>
      <c r="R1012" s="60" t="s">
        <v>236</v>
      </c>
      <c r="S1012" s="60"/>
      <c r="T1012" s="60" t="b">
        <f>FALSE()</f>
        <v>0</v>
      </c>
      <c r="U1012" s="60" t="b">
        <f>FALSE()</f>
        <v>0</v>
      </c>
      <c r="V1012" s="60">
        <v>607</v>
      </c>
      <c r="W1012" s="62" t="s">
        <v>3650</v>
      </c>
      <c r="X1012" s="60">
        <v>33</v>
      </c>
      <c r="Y1012" s="63">
        <v>57.75</v>
      </c>
      <c r="Z1012" s="60" t="b">
        <f>FALSE()</f>
        <v>0</v>
      </c>
      <c r="AA1012" s="60" t="b">
        <f>TRUE()</f>
        <v>1</v>
      </c>
      <c r="AB1012" s="60" t="b">
        <f>FALSE()</f>
        <v>0</v>
      </c>
      <c r="AC1012" s="60" t="b">
        <f>FALSE()</f>
        <v>0</v>
      </c>
      <c r="AD1012" s="60" t="b">
        <f>FALSE()</f>
        <v>0</v>
      </c>
      <c r="AE1012" s="60">
        <v>1</v>
      </c>
      <c r="AF1012" s="64">
        <v>14.3</v>
      </c>
      <c r="AG1012" s="60" t="s">
        <v>74</v>
      </c>
      <c r="AH1012" s="60" t="s">
        <v>3668</v>
      </c>
      <c r="AI1012">
        <f>IF(AND(OR(Company_Explorer!$B$5="All Companies",$E1012=Company_Explorer!$B$5),OR(Company_Explorer!$B$6="All Platforms",$B1012=Company_Explorer!$B$6),OR(Company_Explorer!$B$7="All Roles",$D1012=Company_Explorer!$B$7),OR(Company_Explorer!$B$8="All Ghost Labels",$AG1012=Company_Explorer!$B$8)),1,0)</f>
        <v>0</v>
      </c>
    </row>
    <row r="1013" spans="1:35" ht="15" customHeight="1" x14ac:dyDescent="0.3">
      <c r="A1013" s="65" t="s">
        <v>3669</v>
      </c>
      <c r="B1013" s="65" t="s">
        <v>81</v>
      </c>
      <c r="C1013" s="65" t="s">
        <v>3670</v>
      </c>
      <c r="D1013" s="65" t="s">
        <v>127</v>
      </c>
      <c r="E1013" s="65" t="s">
        <v>3671</v>
      </c>
      <c r="F1013" s="65" t="b">
        <f>TRUE()</f>
        <v>1</v>
      </c>
      <c r="G1013" s="65" t="s">
        <v>165</v>
      </c>
      <c r="H1013" s="65" t="s">
        <v>3672</v>
      </c>
      <c r="I1013" s="66">
        <v>46209.6340947801</v>
      </c>
      <c r="J1013" s="66">
        <v>46210.282946041698</v>
      </c>
      <c r="K1013" s="65">
        <v>0.6</v>
      </c>
      <c r="L1013" s="65" t="s">
        <v>183</v>
      </c>
      <c r="M1013" s="65" t="s">
        <v>183</v>
      </c>
      <c r="N1013" s="65" t="b">
        <f>FALSE()</f>
        <v>0</v>
      </c>
      <c r="O1013" s="65"/>
      <c r="P1013" s="65"/>
      <c r="Q1013" s="65" t="s">
        <v>236</v>
      </c>
      <c r="R1013" s="65" t="s">
        <v>236</v>
      </c>
      <c r="S1013" s="65"/>
      <c r="T1013" s="65" t="b">
        <f>FALSE()</f>
        <v>0</v>
      </c>
      <c r="U1013" s="65" t="b">
        <f>FALSE()</f>
        <v>0</v>
      </c>
      <c r="V1013" s="65">
        <v>948</v>
      </c>
      <c r="W1013" s="67" t="s">
        <v>3673</v>
      </c>
      <c r="X1013" s="65">
        <v>1</v>
      </c>
      <c r="Y1013" s="68">
        <v>1.75</v>
      </c>
      <c r="Z1013" s="65" t="b">
        <f>FALSE()</f>
        <v>0</v>
      </c>
      <c r="AA1013" s="65" t="b">
        <f>TRUE()</f>
        <v>1</v>
      </c>
      <c r="AB1013" s="65" t="b">
        <f>FALSE()</f>
        <v>0</v>
      </c>
      <c r="AC1013" s="65" t="b">
        <f>FALSE()</f>
        <v>0</v>
      </c>
      <c r="AD1013" s="65" t="b">
        <f>FALSE()</f>
        <v>0</v>
      </c>
      <c r="AE1013" s="65">
        <v>1</v>
      </c>
      <c r="AF1013" s="69">
        <v>14.3</v>
      </c>
      <c r="AG1013" s="65" t="s">
        <v>74</v>
      </c>
      <c r="AH1013" s="65" t="s">
        <v>3674</v>
      </c>
      <c r="AI1013">
        <f>IF(AND(OR(Company_Explorer!$B$5="All Companies",$E1013=Company_Explorer!$B$5),OR(Company_Explorer!$B$6="All Platforms",$B1013=Company_Explorer!$B$6),OR(Company_Explorer!$B$7="All Roles",$D1013=Company_Explorer!$B$7),OR(Company_Explorer!$B$8="All Ghost Labels",$AG1013=Company_Explorer!$B$8)),1,0)</f>
        <v>0</v>
      </c>
    </row>
    <row r="1014" spans="1:35" ht="15" customHeight="1" x14ac:dyDescent="0.3">
      <c r="A1014" s="60" t="s">
        <v>3675</v>
      </c>
      <c r="B1014" s="60" t="s">
        <v>81</v>
      </c>
      <c r="C1014" s="60" t="s">
        <v>3676</v>
      </c>
      <c r="D1014" s="60" t="s">
        <v>126</v>
      </c>
      <c r="E1014" s="60" t="s">
        <v>3677</v>
      </c>
      <c r="F1014" s="60" t="b">
        <f>TRUE()</f>
        <v>1</v>
      </c>
      <c r="G1014" s="60" t="s">
        <v>165</v>
      </c>
      <c r="H1014" s="60" t="s">
        <v>3678</v>
      </c>
      <c r="I1014" s="61">
        <v>46209.629295335697</v>
      </c>
      <c r="J1014" s="61">
        <v>46210.282946736101</v>
      </c>
      <c r="K1014" s="60">
        <v>0.7</v>
      </c>
      <c r="L1014" s="60" t="s">
        <v>183</v>
      </c>
      <c r="M1014" s="60" t="s">
        <v>183</v>
      </c>
      <c r="N1014" s="60" t="b">
        <f>FALSE()</f>
        <v>0</v>
      </c>
      <c r="O1014" s="60"/>
      <c r="P1014" s="60"/>
      <c r="Q1014" s="60" t="s">
        <v>236</v>
      </c>
      <c r="R1014" s="60" t="s">
        <v>236</v>
      </c>
      <c r="S1014" s="60"/>
      <c r="T1014" s="60" t="b">
        <f>FALSE()</f>
        <v>0</v>
      </c>
      <c r="U1014" s="60" t="b">
        <f>FALSE()</f>
        <v>0</v>
      </c>
      <c r="V1014" s="60">
        <v>868</v>
      </c>
      <c r="W1014" s="62" t="s">
        <v>3679</v>
      </c>
      <c r="X1014" s="60">
        <v>1</v>
      </c>
      <c r="Y1014" s="63">
        <v>1.75</v>
      </c>
      <c r="Z1014" s="60" t="b">
        <f>FALSE()</f>
        <v>0</v>
      </c>
      <c r="AA1014" s="60" t="b">
        <f>TRUE()</f>
        <v>1</v>
      </c>
      <c r="AB1014" s="60" t="b">
        <f>FALSE()</f>
        <v>0</v>
      </c>
      <c r="AC1014" s="60" t="b">
        <f>FALSE()</f>
        <v>0</v>
      </c>
      <c r="AD1014" s="60" t="b">
        <f>FALSE()</f>
        <v>0</v>
      </c>
      <c r="AE1014" s="60">
        <v>1</v>
      </c>
      <c r="AF1014" s="64">
        <v>14.3</v>
      </c>
      <c r="AG1014" s="60" t="s">
        <v>74</v>
      </c>
      <c r="AH1014" s="60" t="s">
        <v>3680</v>
      </c>
      <c r="AI1014">
        <f>IF(AND(OR(Company_Explorer!$B$5="All Companies",$E1014=Company_Explorer!$B$5),OR(Company_Explorer!$B$6="All Platforms",$B1014=Company_Explorer!$B$6),OR(Company_Explorer!$B$7="All Roles",$D1014=Company_Explorer!$B$7),OR(Company_Explorer!$B$8="All Ghost Labels",$AG1014=Company_Explorer!$B$8)),1,0)</f>
        <v>0</v>
      </c>
    </row>
    <row r="1015" spans="1:35" ht="15" customHeight="1" x14ac:dyDescent="0.3">
      <c r="A1015" s="65" t="s">
        <v>3681</v>
      </c>
      <c r="B1015" s="65" t="s">
        <v>81</v>
      </c>
      <c r="C1015" s="65" t="s">
        <v>3649</v>
      </c>
      <c r="D1015" s="65" t="s">
        <v>126</v>
      </c>
      <c r="E1015" s="65" t="s">
        <v>146</v>
      </c>
      <c r="F1015" s="65" t="b">
        <f>TRUE()</f>
        <v>1</v>
      </c>
      <c r="G1015" s="65" t="s">
        <v>165</v>
      </c>
      <c r="H1015" s="65" t="s">
        <v>3620</v>
      </c>
      <c r="I1015" s="66">
        <v>46209.910869282401</v>
      </c>
      <c r="J1015" s="66">
        <v>46210.282946435203</v>
      </c>
      <c r="K1015" s="65">
        <v>0.4</v>
      </c>
      <c r="L1015" s="65" t="s">
        <v>183</v>
      </c>
      <c r="M1015" s="65" t="s">
        <v>183</v>
      </c>
      <c r="N1015" s="65" t="b">
        <f>FALSE()</f>
        <v>0</v>
      </c>
      <c r="O1015" s="65"/>
      <c r="P1015" s="65"/>
      <c r="Q1015" s="65" t="s">
        <v>236</v>
      </c>
      <c r="R1015" s="65" t="s">
        <v>236</v>
      </c>
      <c r="S1015" s="65"/>
      <c r="T1015" s="65" t="b">
        <f>FALSE()</f>
        <v>0</v>
      </c>
      <c r="U1015" s="65" t="b">
        <f>FALSE()</f>
        <v>0</v>
      </c>
      <c r="V1015" s="65">
        <v>601</v>
      </c>
      <c r="W1015" s="67" t="s">
        <v>3650</v>
      </c>
      <c r="X1015" s="65">
        <v>33</v>
      </c>
      <c r="Y1015" s="68">
        <v>57.75</v>
      </c>
      <c r="Z1015" s="65" t="b">
        <f>FALSE()</f>
        <v>0</v>
      </c>
      <c r="AA1015" s="65" t="b">
        <f>TRUE()</f>
        <v>1</v>
      </c>
      <c r="AB1015" s="65" t="b">
        <f>FALSE()</f>
        <v>0</v>
      </c>
      <c r="AC1015" s="65" t="b">
        <f>FALSE()</f>
        <v>0</v>
      </c>
      <c r="AD1015" s="65" t="b">
        <f>FALSE()</f>
        <v>0</v>
      </c>
      <c r="AE1015" s="65">
        <v>1</v>
      </c>
      <c r="AF1015" s="69">
        <v>14.3</v>
      </c>
      <c r="AG1015" s="65" t="s">
        <v>74</v>
      </c>
      <c r="AH1015" s="65" t="s">
        <v>3682</v>
      </c>
      <c r="AI1015">
        <f>IF(AND(OR(Company_Explorer!$B$5="All Companies",$E1015=Company_Explorer!$B$5),OR(Company_Explorer!$B$6="All Platforms",$B1015=Company_Explorer!$B$6),OR(Company_Explorer!$B$7="All Roles",$D1015=Company_Explorer!$B$7),OR(Company_Explorer!$B$8="All Ghost Labels",$AG1015=Company_Explorer!$B$8)),1,0)</f>
        <v>0</v>
      </c>
    </row>
    <row r="1016" spans="1:35" ht="15" customHeight="1" x14ac:dyDescent="0.3">
      <c r="A1016" s="60" t="s">
        <v>3683</v>
      </c>
      <c r="B1016" s="60" t="s">
        <v>81</v>
      </c>
      <c r="C1016" s="60" t="s">
        <v>3684</v>
      </c>
      <c r="D1016" s="60" t="s">
        <v>126</v>
      </c>
      <c r="E1016" s="60" t="s">
        <v>146</v>
      </c>
      <c r="F1016" s="60" t="b">
        <f>TRUE()</f>
        <v>1</v>
      </c>
      <c r="G1016" s="60" t="s">
        <v>165</v>
      </c>
      <c r="H1016" s="60" t="s">
        <v>3620</v>
      </c>
      <c r="I1016" s="61">
        <v>46209.910870752297</v>
      </c>
      <c r="J1016" s="61">
        <v>46210.282947256899</v>
      </c>
      <c r="K1016" s="60">
        <v>0.4</v>
      </c>
      <c r="L1016" s="60" t="s">
        <v>183</v>
      </c>
      <c r="M1016" s="60" t="s">
        <v>183</v>
      </c>
      <c r="N1016" s="60" t="b">
        <f>FALSE()</f>
        <v>0</v>
      </c>
      <c r="O1016" s="60"/>
      <c r="P1016" s="60"/>
      <c r="Q1016" s="60" t="s">
        <v>236</v>
      </c>
      <c r="R1016" s="60" t="s">
        <v>236</v>
      </c>
      <c r="S1016" s="60"/>
      <c r="T1016" s="60" t="b">
        <f>FALSE()</f>
        <v>0</v>
      </c>
      <c r="U1016" s="60" t="b">
        <f>FALSE()</f>
        <v>0</v>
      </c>
      <c r="V1016" s="60">
        <v>429</v>
      </c>
      <c r="W1016" s="62" t="s">
        <v>3685</v>
      </c>
      <c r="X1016" s="60">
        <v>33</v>
      </c>
      <c r="Y1016" s="63">
        <v>57.75</v>
      </c>
      <c r="Z1016" s="60" t="b">
        <f>FALSE()</f>
        <v>0</v>
      </c>
      <c r="AA1016" s="60" t="b">
        <f>TRUE()</f>
        <v>1</v>
      </c>
      <c r="AB1016" s="60" t="b">
        <f>FALSE()</f>
        <v>0</v>
      </c>
      <c r="AC1016" s="60" t="b">
        <f>FALSE()</f>
        <v>0</v>
      </c>
      <c r="AD1016" s="60" t="b">
        <f>FALSE()</f>
        <v>0</v>
      </c>
      <c r="AE1016" s="60">
        <v>1</v>
      </c>
      <c r="AF1016" s="64">
        <v>14.3</v>
      </c>
      <c r="AG1016" s="60" t="s">
        <v>74</v>
      </c>
      <c r="AH1016" s="60" t="s">
        <v>3686</v>
      </c>
      <c r="AI1016">
        <f>IF(AND(OR(Company_Explorer!$B$5="All Companies",$E1016=Company_Explorer!$B$5),OR(Company_Explorer!$B$6="All Platforms",$B1016=Company_Explorer!$B$6),OR(Company_Explorer!$B$7="All Roles",$D1016=Company_Explorer!$B$7),OR(Company_Explorer!$B$8="All Ghost Labels",$AG1016=Company_Explorer!$B$8)),1,0)</f>
        <v>0</v>
      </c>
    </row>
    <row r="1017" spans="1:35" ht="15" customHeight="1" x14ac:dyDescent="0.3">
      <c r="A1017" s="65" t="s">
        <v>3687</v>
      </c>
      <c r="B1017" s="65" t="s">
        <v>81</v>
      </c>
      <c r="C1017" s="65" t="s">
        <v>3688</v>
      </c>
      <c r="D1017" s="65" t="s">
        <v>127</v>
      </c>
      <c r="E1017" s="65" t="s">
        <v>3689</v>
      </c>
      <c r="F1017" s="65" t="b">
        <f>TRUE()</f>
        <v>1</v>
      </c>
      <c r="G1017" s="65" t="s">
        <v>165</v>
      </c>
      <c r="H1017" s="65" t="s">
        <v>3636</v>
      </c>
      <c r="I1017" s="66">
        <v>46209.628233750002</v>
      </c>
      <c r="J1017" s="66">
        <v>46210.282947210697</v>
      </c>
      <c r="K1017" s="65">
        <v>0.7</v>
      </c>
      <c r="L1017" s="65" t="s">
        <v>183</v>
      </c>
      <c r="M1017" s="65" t="s">
        <v>183</v>
      </c>
      <c r="N1017" s="65" t="b">
        <f>FALSE()</f>
        <v>0</v>
      </c>
      <c r="O1017" s="65"/>
      <c r="P1017" s="65"/>
      <c r="Q1017" s="65" t="s">
        <v>236</v>
      </c>
      <c r="R1017" s="65" t="s">
        <v>236</v>
      </c>
      <c r="S1017" s="65"/>
      <c r="T1017" s="65" t="b">
        <f>FALSE()</f>
        <v>0</v>
      </c>
      <c r="U1017" s="65" t="b">
        <f>FALSE()</f>
        <v>0</v>
      </c>
      <c r="V1017" s="65">
        <v>867</v>
      </c>
      <c r="W1017" s="67" t="s">
        <v>3690</v>
      </c>
      <c r="X1017" s="65">
        <v>1</v>
      </c>
      <c r="Y1017" s="68">
        <v>1.75</v>
      </c>
      <c r="Z1017" s="65" t="b">
        <f>FALSE()</f>
        <v>0</v>
      </c>
      <c r="AA1017" s="65" t="b">
        <f>TRUE()</f>
        <v>1</v>
      </c>
      <c r="AB1017" s="65" t="b">
        <f>FALSE()</f>
        <v>0</v>
      </c>
      <c r="AC1017" s="65" t="b">
        <f>FALSE()</f>
        <v>0</v>
      </c>
      <c r="AD1017" s="65" t="b">
        <f>FALSE()</f>
        <v>0</v>
      </c>
      <c r="AE1017" s="65">
        <v>1</v>
      </c>
      <c r="AF1017" s="69">
        <v>14.3</v>
      </c>
      <c r="AG1017" s="65" t="s">
        <v>74</v>
      </c>
      <c r="AH1017" s="65" t="s">
        <v>3691</v>
      </c>
      <c r="AI1017">
        <f>IF(AND(OR(Company_Explorer!$B$5="All Companies",$E1017=Company_Explorer!$B$5),OR(Company_Explorer!$B$6="All Platforms",$B1017=Company_Explorer!$B$6),OR(Company_Explorer!$B$7="All Roles",$D1017=Company_Explorer!$B$7),OR(Company_Explorer!$B$8="All Ghost Labels",$AG1017=Company_Explorer!$B$8)),1,0)</f>
        <v>0</v>
      </c>
    </row>
    <row r="1018" spans="1:35" ht="15" customHeight="1" x14ac:dyDescent="0.3">
      <c r="A1018" s="60" t="s">
        <v>3692</v>
      </c>
      <c r="B1018" s="60" t="s">
        <v>81</v>
      </c>
      <c r="C1018" s="60" t="s">
        <v>3693</v>
      </c>
      <c r="D1018" s="60" t="s">
        <v>126</v>
      </c>
      <c r="E1018" s="60" t="s">
        <v>146</v>
      </c>
      <c r="F1018" s="60" t="b">
        <f>TRUE()</f>
        <v>1</v>
      </c>
      <c r="G1018" s="60" t="s">
        <v>165</v>
      </c>
      <c r="H1018" s="60" t="s">
        <v>3620</v>
      </c>
      <c r="I1018" s="61">
        <v>46209.910846296298</v>
      </c>
      <c r="J1018" s="61">
        <v>46210.282947534703</v>
      </c>
      <c r="K1018" s="60">
        <v>0.4</v>
      </c>
      <c r="L1018" s="60" t="s">
        <v>183</v>
      </c>
      <c r="M1018" s="60" t="s">
        <v>183</v>
      </c>
      <c r="N1018" s="60" t="b">
        <f>FALSE()</f>
        <v>0</v>
      </c>
      <c r="O1018" s="60"/>
      <c r="P1018" s="60"/>
      <c r="Q1018" s="60" t="s">
        <v>236</v>
      </c>
      <c r="R1018" s="60" t="s">
        <v>236</v>
      </c>
      <c r="S1018" s="60"/>
      <c r="T1018" s="60" t="b">
        <f>FALSE()</f>
        <v>0</v>
      </c>
      <c r="U1018" s="60" t="b">
        <f>FALSE()</f>
        <v>0</v>
      </c>
      <c r="V1018" s="60">
        <v>882</v>
      </c>
      <c r="W1018" s="62" t="s">
        <v>3694</v>
      </c>
      <c r="X1018" s="60">
        <v>33</v>
      </c>
      <c r="Y1018" s="63">
        <v>57.75</v>
      </c>
      <c r="Z1018" s="60" t="b">
        <f>FALSE()</f>
        <v>0</v>
      </c>
      <c r="AA1018" s="60" t="b">
        <f>TRUE()</f>
        <v>1</v>
      </c>
      <c r="AB1018" s="60" t="b">
        <f>FALSE()</f>
        <v>0</v>
      </c>
      <c r="AC1018" s="60" t="b">
        <f>FALSE()</f>
        <v>0</v>
      </c>
      <c r="AD1018" s="60" t="b">
        <f>FALSE()</f>
        <v>0</v>
      </c>
      <c r="AE1018" s="60">
        <v>1</v>
      </c>
      <c r="AF1018" s="64">
        <v>14.3</v>
      </c>
      <c r="AG1018" s="60" t="s">
        <v>74</v>
      </c>
      <c r="AH1018" s="60" t="s">
        <v>3695</v>
      </c>
      <c r="AI1018">
        <f>IF(AND(OR(Company_Explorer!$B$5="All Companies",$E1018=Company_Explorer!$B$5),OR(Company_Explorer!$B$6="All Platforms",$B1018=Company_Explorer!$B$6),OR(Company_Explorer!$B$7="All Roles",$D1018=Company_Explorer!$B$7),OR(Company_Explorer!$B$8="All Ghost Labels",$AG1018=Company_Explorer!$B$8)),1,0)</f>
        <v>0</v>
      </c>
    </row>
    <row r="1019" spans="1:35" ht="15" customHeight="1" x14ac:dyDescent="0.3">
      <c r="A1019" s="65" t="s">
        <v>3696</v>
      </c>
      <c r="B1019" s="65" t="s">
        <v>81</v>
      </c>
      <c r="C1019" s="65" t="s">
        <v>3697</v>
      </c>
      <c r="D1019" s="65" t="s">
        <v>126</v>
      </c>
      <c r="E1019" s="65" t="s">
        <v>149</v>
      </c>
      <c r="F1019" s="65" t="b">
        <f>TRUE()</f>
        <v>1</v>
      </c>
      <c r="G1019" s="65" t="s">
        <v>165</v>
      </c>
      <c r="H1019" s="65" t="s">
        <v>3655</v>
      </c>
      <c r="I1019" s="66">
        <v>46209.623696620401</v>
      </c>
      <c r="J1019" s="66">
        <v>46210.282947662003</v>
      </c>
      <c r="K1019" s="65">
        <v>0.7</v>
      </c>
      <c r="L1019" s="65" t="s">
        <v>183</v>
      </c>
      <c r="M1019" s="65" t="s">
        <v>183</v>
      </c>
      <c r="N1019" s="65" t="b">
        <f>FALSE()</f>
        <v>0</v>
      </c>
      <c r="O1019" s="65"/>
      <c r="P1019" s="65"/>
      <c r="Q1019" s="65" t="s">
        <v>236</v>
      </c>
      <c r="R1019" s="65" t="s">
        <v>236</v>
      </c>
      <c r="S1019" s="65"/>
      <c r="T1019" s="65" t="b">
        <f>FALSE()</f>
        <v>0</v>
      </c>
      <c r="U1019" s="65" t="b">
        <f>FALSE()</f>
        <v>0</v>
      </c>
      <c r="V1019" s="65">
        <v>840</v>
      </c>
      <c r="W1019" s="67" t="s">
        <v>3698</v>
      </c>
      <c r="X1019" s="65">
        <v>16</v>
      </c>
      <c r="Y1019" s="68">
        <v>28</v>
      </c>
      <c r="Z1019" s="65" t="b">
        <f>FALSE()</f>
        <v>0</v>
      </c>
      <c r="AA1019" s="65" t="b">
        <f>TRUE()</f>
        <v>1</v>
      </c>
      <c r="AB1019" s="65" t="b">
        <f>FALSE()</f>
        <v>0</v>
      </c>
      <c r="AC1019" s="65" t="b">
        <f>FALSE()</f>
        <v>0</v>
      </c>
      <c r="AD1019" s="65" t="b">
        <f>FALSE()</f>
        <v>0</v>
      </c>
      <c r="AE1019" s="65">
        <v>1</v>
      </c>
      <c r="AF1019" s="69">
        <v>14.3</v>
      </c>
      <c r="AG1019" s="65" t="s">
        <v>74</v>
      </c>
      <c r="AH1019" s="65" t="s">
        <v>3699</v>
      </c>
      <c r="AI1019">
        <f>IF(AND(OR(Company_Explorer!$B$5="All Companies",$E1019=Company_Explorer!$B$5),OR(Company_Explorer!$B$6="All Platforms",$B1019=Company_Explorer!$B$6),OR(Company_Explorer!$B$7="All Roles",$D1019=Company_Explorer!$B$7),OR(Company_Explorer!$B$8="All Ghost Labels",$AG1019=Company_Explorer!$B$8)),1,0)</f>
        <v>0</v>
      </c>
    </row>
    <row r="1020" spans="1:35" ht="15" customHeight="1" x14ac:dyDescent="0.3">
      <c r="A1020" s="60" t="s">
        <v>3700</v>
      </c>
      <c r="B1020" s="60" t="s">
        <v>81</v>
      </c>
      <c r="C1020" s="60" t="s">
        <v>127</v>
      </c>
      <c r="D1020" s="60" t="s">
        <v>127</v>
      </c>
      <c r="E1020" s="60" t="s">
        <v>3701</v>
      </c>
      <c r="F1020" s="60" t="b">
        <f>TRUE()</f>
        <v>1</v>
      </c>
      <c r="G1020" s="60" t="s">
        <v>165</v>
      </c>
      <c r="H1020" s="60" t="s">
        <v>3702</v>
      </c>
      <c r="I1020" s="61">
        <v>46209.908295763897</v>
      </c>
      <c r="J1020" s="61">
        <v>46210.282948009299</v>
      </c>
      <c r="K1020" s="60">
        <v>0.4</v>
      </c>
      <c r="L1020" s="60" t="s">
        <v>183</v>
      </c>
      <c r="M1020" s="60" t="s">
        <v>183</v>
      </c>
      <c r="N1020" s="60" t="b">
        <f>FALSE()</f>
        <v>0</v>
      </c>
      <c r="O1020" s="60"/>
      <c r="P1020" s="60"/>
      <c r="Q1020" s="60" t="s">
        <v>236</v>
      </c>
      <c r="R1020" s="60" t="s">
        <v>236</v>
      </c>
      <c r="S1020" s="60"/>
      <c r="T1020" s="60" t="b">
        <f>FALSE()</f>
        <v>0</v>
      </c>
      <c r="U1020" s="60" t="b">
        <f>FALSE()</f>
        <v>0</v>
      </c>
      <c r="V1020" s="60">
        <v>796</v>
      </c>
      <c r="W1020" s="62" t="s">
        <v>3703</v>
      </c>
      <c r="X1020" s="60">
        <v>6</v>
      </c>
      <c r="Y1020" s="63">
        <v>10.5</v>
      </c>
      <c r="Z1020" s="60" t="b">
        <f>FALSE()</f>
        <v>0</v>
      </c>
      <c r="AA1020" s="60" t="b">
        <f>TRUE()</f>
        <v>1</v>
      </c>
      <c r="AB1020" s="60" t="b">
        <f>FALSE()</f>
        <v>0</v>
      </c>
      <c r="AC1020" s="60" t="b">
        <f>FALSE()</f>
        <v>0</v>
      </c>
      <c r="AD1020" s="60" t="b">
        <f>FALSE()</f>
        <v>0</v>
      </c>
      <c r="AE1020" s="60">
        <v>1</v>
      </c>
      <c r="AF1020" s="64">
        <v>14.3</v>
      </c>
      <c r="AG1020" s="60" t="s">
        <v>74</v>
      </c>
      <c r="AH1020" s="60" t="s">
        <v>3704</v>
      </c>
      <c r="AI1020">
        <f>IF(AND(OR(Company_Explorer!$B$5="All Companies",$E1020=Company_Explorer!$B$5),OR(Company_Explorer!$B$6="All Platforms",$B1020=Company_Explorer!$B$6),OR(Company_Explorer!$B$7="All Roles",$D1020=Company_Explorer!$B$7),OR(Company_Explorer!$B$8="All Ghost Labels",$AG1020=Company_Explorer!$B$8)),1,0)</f>
        <v>0</v>
      </c>
    </row>
    <row r="1021" spans="1:35" ht="15" customHeight="1" x14ac:dyDescent="0.3">
      <c r="A1021" s="65" t="s">
        <v>3705</v>
      </c>
      <c r="B1021" s="65" t="s">
        <v>81</v>
      </c>
      <c r="C1021" s="65" t="s">
        <v>3706</v>
      </c>
      <c r="D1021" s="65" t="s">
        <v>127</v>
      </c>
      <c r="E1021" s="65" t="s">
        <v>146</v>
      </c>
      <c r="F1021" s="65" t="b">
        <f>TRUE()</f>
        <v>1</v>
      </c>
      <c r="G1021" s="65" t="s">
        <v>165</v>
      </c>
      <c r="H1021" s="65" t="s">
        <v>3620</v>
      </c>
      <c r="I1021" s="66">
        <v>46209.619176967601</v>
      </c>
      <c r="J1021" s="66">
        <v>46210.282948911998</v>
      </c>
      <c r="K1021" s="65">
        <v>0.7</v>
      </c>
      <c r="L1021" s="65" t="s">
        <v>183</v>
      </c>
      <c r="M1021" s="65" t="s">
        <v>183</v>
      </c>
      <c r="N1021" s="65" t="b">
        <f>FALSE()</f>
        <v>0</v>
      </c>
      <c r="O1021" s="65"/>
      <c r="P1021" s="65"/>
      <c r="Q1021" s="65" t="s">
        <v>236</v>
      </c>
      <c r="R1021" s="65" t="s">
        <v>236</v>
      </c>
      <c r="S1021" s="65"/>
      <c r="T1021" s="65" t="b">
        <f>FALSE()</f>
        <v>0</v>
      </c>
      <c r="U1021" s="65" t="b">
        <f>FALSE()</f>
        <v>0</v>
      </c>
      <c r="V1021" s="65">
        <v>607</v>
      </c>
      <c r="W1021" s="67" t="s">
        <v>3707</v>
      </c>
      <c r="X1021" s="65">
        <v>33</v>
      </c>
      <c r="Y1021" s="68">
        <v>57.75</v>
      </c>
      <c r="Z1021" s="65" t="b">
        <f>FALSE()</f>
        <v>0</v>
      </c>
      <c r="AA1021" s="65" t="b">
        <f>TRUE()</f>
        <v>1</v>
      </c>
      <c r="AB1021" s="65" t="b">
        <f>FALSE()</f>
        <v>0</v>
      </c>
      <c r="AC1021" s="65" t="b">
        <f>FALSE()</f>
        <v>0</v>
      </c>
      <c r="AD1021" s="65" t="b">
        <f>FALSE()</f>
        <v>0</v>
      </c>
      <c r="AE1021" s="65">
        <v>1</v>
      </c>
      <c r="AF1021" s="69">
        <v>14.3</v>
      </c>
      <c r="AG1021" s="65" t="s">
        <v>74</v>
      </c>
      <c r="AH1021" s="65" t="s">
        <v>3708</v>
      </c>
      <c r="AI1021">
        <f>IF(AND(OR(Company_Explorer!$B$5="All Companies",$E1021=Company_Explorer!$B$5),OR(Company_Explorer!$B$6="All Platforms",$B1021=Company_Explorer!$B$6),OR(Company_Explorer!$B$7="All Roles",$D1021=Company_Explorer!$B$7),OR(Company_Explorer!$B$8="All Ghost Labels",$AG1021=Company_Explorer!$B$8)),1,0)</f>
        <v>0</v>
      </c>
    </row>
    <row r="1022" spans="1:35" ht="15" customHeight="1" x14ac:dyDescent="0.3">
      <c r="A1022" s="60" t="s">
        <v>3709</v>
      </c>
      <c r="B1022" s="60" t="s">
        <v>81</v>
      </c>
      <c r="C1022" s="60" t="s">
        <v>3710</v>
      </c>
      <c r="D1022" s="60" t="s">
        <v>126</v>
      </c>
      <c r="E1022" s="60" t="s">
        <v>156</v>
      </c>
      <c r="F1022" s="60" t="b">
        <f>TRUE()</f>
        <v>1</v>
      </c>
      <c r="G1022" s="60" t="s">
        <v>165</v>
      </c>
      <c r="H1022" s="60" t="s">
        <v>3620</v>
      </c>
      <c r="I1022" s="61">
        <v>46209.898472361099</v>
      </c>
      <c r="J1022" s="61">
        <v>46210.282948854197</v>
      </c>
      <c r="K1022" s="60">
        <v>0.4</v>
      </c>
      <c r="L1022" s="60" t="s">
        <v>183</v>
      </c>
      <c r="M1022" s="60" t="s">
        <v>183</v>
      </c>
      <c r="N1022" s="60" t="b">
        <f>FALSE()</f>
        <v>0</v>
      </c>
      <c r="O1022" s="60"/>
      <c r="P1022" s="60"/>
      <c r="Q1022" s="60" t="s">
        <v>236</v>
      </c>
      <c r="R1022" s="60" t="s">
        <v>236</v>
      </c>
      <c r="S1022" s="60"/>
      <c r="T1022" s="60" t="b">
        <f>FALSE()</f>
        <v>0</v>
      </c>
      <c r="U1022" s="60" t="b">
        <f>FALSE()</f>
        <v>0</v>
      </c>
      <c r="V1022" s="60">
        <v>645</v>
      </c>
      <c r="W1022" s="62" t="s">
        <v>3711</v>
      </c>
      <c r="X1022" s="60">
        <v>14</v>
      </c>
      <c r="Y1022" s="63">
        <v>24.5</v>
      </c>
      <c r="Z1022" s="60" t="b">
        <f>FALSE()</f>
        <v>0</v>
      </c>
      <c r="AA1022" s="60" t="b">
        <f>TRUE()</f>
        <v>1</v>
      </c>
      <c r="AB1022" s="60" t="b">
        <f>FALSE()</f>
        <v>0</v>
      </c>
      <c r="AC1022" s="60" t="b">
        <f>FALSE()</f>
        <v>0</v>
      </c>
      <c r="AD1022" s="60" t="b">
        <f>FALSE()</f>
        <v>0</v>
      </c>
      <c r="AE1022" s="60">
        <v>1</v>
      </c>
      <c r="AF1022" s="64">
        <v>14.3</v>
      </c>
      <c r="AG1022" s="60" t="s">
        <v>74</v>
      </c>
      <c r="AH1022" s="60" t="s">
        <v>3712</v>
      </c>
      <c r="AI1022">
        <f>IF(AND(OR(Company_Explorer!$B$5="All Companies",$E1022=Company_Explorer!$B$5),OR(Company_Explorer!$B$6="All Platforms",$B1022=Company_Explorer!$B$6),OR(Company_Explorer!$B$7="All Roles",$D1022=Company_Explorer!$B$7),OR(Company_Explorer!$B$8="All Ghost Labels",$AG1022=Company_Explorer!$B$8)),1,0)</f>
        <v>0</v>
      </c>
    </row>
    <row r="1023" spans="1:35" ht="15" customHeight="1" x14ac:dyDescent="0.3">
      <c r="A1023" s="65" t="s">
        <v>3713</v>
      </c>
      <c r="B1023" s="65" t="s">
        <v>81</v>
      </c>
      <c r="C1023" s="65" t="s">
        <v>3714</v>
      </c>
      <c r="D1023" s="65" t="s">
        <v>126</v>
      </c>
      <c r="E1023" s="65" t="s">
        <v>149</v>
      </c>
      <c r="F1023" s="65" t="b">
        <f>TRUE()</f>
        <v>1</v>
      </c>
      <c r="G1023" s="65" t="s">
        <v>165</v>
      </c>
      <c r="H1023" s="65" t="s">
        <v>3672</v>
      </c>
      <c r="I1023" s="66">
        <v>46209.623686817104</v>
      </c>
      <c r="J1023" s="66">
        <v>46210.282948784698</v>
      </c>
      <c r="K1023" s="65">
        <v>0.7</v>
      </c>
      <c r="L1023" s="65" t="s">
        <v>183</v>
      </c>
      <c r="M1023" s="65" t="s">
        <v>183</v>
      </c>
      <c r="N1023" s="65" t="b">
        <f>FALSE()</f>
        <v>0</v>
      </c>
      <c r="O1023" s="65"/>
      <c r="P1023" s="65"/>
      <c r="Q1023" s="65" t="s">
        <v>236</v>
      </c>
      <c r="R1023" s="65" t="s">
        <v>236</v>
      </c>
      <c r="S1023" s="65"/>
      <c r="T1023" s="65" t="b">
        <f>FALSE()</f>
        <v>0</v>
      </c>
      <c r="U1023" s="65" t="b">
        <f>FALSE()</f>
        <v>0</v>
      </c>
      <c r="V1023" s="65">
        <v>769</v>
      </c>
      <c r="W1023" s="67" t="s">
        <v>3698</v>
      </c>
      <c r="X1023" s="65">
        <v>16</v>
      </c>
      <c r="Y1023" s="68">
        <v>28</v>
      </c>
      <c r="Z1023" s="65" t="b">
        <f>FALSE()</f>
        <v>0</v>
      </c>
      <c r="AA1023" s="65" t="b">
        <f>TRUE()</f>
        <v>1</v>
      </c>
      <c r="AB1023" s="65" t="b">
        <f>FALSE()</f>
        <v>0</v>
      </c>
      <c r="AC1023" s="65" t="b">
        <f>FALSE()</f>
        <v>0</v>
      </c>
      <c r="AD1023" s="65" t="b">
        <f>FALSE()</f>
        <v>0</v>
      </c>
      <c r="AE1023" s="65">
        <v>1</v>
      </c>
      <c r="AF1023" s="69">
        <v>14.3</v>
      </c>
      <c r="AG1023" s="65" t="s">
        <v>74</v>
      </c>
      <c r="AH1023" s="65" t="s">
        <v>3715</v>
      </c>
      <c r="AI1023">
        <f>IF(AND(OR(Company_Explorer!$B$5="All Companies",$E1023=Company_Explorer!$B$5),OR(Company_Explorer!$B$6="All Platforms",$B1023=Company_Explorer!$B$6),OR(Company_Explorer!$B$7="All Roles",$D1023=Company_Explorer!$B$7),OR(Company_Explorer!$B$8="All Ghost Labels",$AG1023=Company_Explorer!$B$8)),1,0)</f>
        <v>0</v>
      </c>
    </row>
    <row r="1024" spans="1:35" ht="15" customHeight="1" x14ac:dyDescent="0.3">
      <c r="A1024" s="60" t="s">
        <v>3716</v>
      </c>
      <c r="B1024" s="60" t="s">
        <v>81</v>
      </c>
      <c r="C1024" s="60" t="s">
        <v>3717</v>
      </c>
      <c r="D1024" s="60" t="s">
        <v>136</v>
      </c>
      <c r="E1024" s="60" t="s">
        <v>3718</v>
      </c>
      <c r="F1024" s="60" t="b">
        <f>TRUE()</f>
        <v>1</v>
      </c>
      <c r="G1024" s="60" t="s">
        <v>165</v>
      </c>
      <c r="H1024" s="60" t="s">
        <v>3620</v>
      </c>
      <c r="I1024" s="61">
        <v>46209.800289340303</v>
      </c>
      <c r="J1024" s="61">
        <v>46210.282948657397</v>
      </c>
      <c r="K1024" s="60">
        <v>0.5</v>
      </c>
      <c r="L1024" s="60" t="s">
        <v>183</v>
      </c>
      <c r="M1024" s="60" t="s">
        <v>183</v>
      </c>
      <c r="N1024" s="60" t="b">
        <f>FALSE()</f>
        <v>0</v>
      </c>
      <c r="O1024" s="60"/>
      <c r="P1024" s="60"/>
      <c r="Q1024" s="60" t="s">
        <v>236</v>
      </c>
      <c r="R1024" s="60" t="s">
        <v>236</v>
      </c>
      <c r="S1024" s="60"/>
      <c r="T1024" s="60" t="b">
        <f>FALSE()</f>
        <v>0</v>
      </c>
      <c r="U1024" s="60" t="b">
        <f>FALSE()</f>
        <v>0</v>
      </c>
      <c r="V1024" s="60">
        <v>1014</v>
      </c>
      <c r="W1024" s="62" t="s">
        <v>3719</v>
      </c>
      <c r="X1024" s="60">
        <v>7</v>
      </c>
      <c r="Y1024" s="63">
        <v>12.25</v>
      </c>
      <c r="Z1024" s="60" t="b">
        <f>FALSE()</f>
        <v>0</v>
      </c>
      <c r="AA1024" s="60" t="b">
        <f>TRUE()</f>
        <v>1</v>
      </c>
      <c r="AB1024" s="60" t="b">
        <f>FALSE()</f>
        <v>0</v>
      </c>
      <c r="AC1024" s="60" t="b">
        <f>FALSE()</f>
        <v>0</v>
      </c>
      <c r="AD1024" s="60" t="b">
        <f>FALSE()</f>
        <v>0</v>
      </c>
      <c r="AE1024" s="60">
        <v>1</v>
      </c>
      <c r="AF1024" s="64">
        <v>14.3</v>
      </c>
      <c r="AG1024" s="60" t="s">
        <v>74</v>
      </c>
      <c r="AH1024" s="60" t="s">
        <v>3720</v>
      </c>
      <c r="AI1024">
        <f>IF(AND(OR(Company_Explorer!$B$5="All Companies",$E1024=Company_Explorer!$B$5),OR(Company_Explorer!$B$6="All Platforms",$B1024=Company_Explorer!$B$6),OR(Company_Explorer!$B$7="All Roles",$D1024=Company_Explorer!$B$7),OR(Company_Explorer!$B$8="All Ghost Labels",$AG1024=Company_Explorer!$B$8)),1,0)</f>
        <v>0</v>
      </c>
    </row>
    <row r="1025" spans="1:35" ht="15" customHeight="1" x14ac:dyDescent="0.3">
      <c r="A1025" s="65" t="s">
        <v>3721</v>
      </c>
      <c r="B1025" s="65" t="s">
        <v>81</v>
      </c>
      <c r="C1025" s="65" t="s">
        <v>3722</v>
      </c>
      <c r="D1025" s="65" t="s">
        <v>127</v>
      </c>
      <c r="E1025" s="65" t="s">
        <v>3718</v>
      </c>
      <c r="F1025" s="65" t="b">
        <f>TRUE()</f>
        <v>1</v>
      </c>
      <c r="G1025" s="65" t="s">
        <v>165</v>
      </c>
      <c r="H1025" s="65" t="s">
        <v>3636</v>
      </c>
      <c r="I1025" s="66">
        <v>46209.800287094899</v>
      </c>
      <c r="J1025" s="66">
        <v>46210.282949143497</v>
      </c>
      <c r="K1025" s="65">
        <v>0.5</v>
      </c>
      <c r="L1025" s="65" t="s">
        <v>183</v>
      </c>
      <c r="M1025" s="65" t="s">
        <v>183</v>
      </c>
      <c r="N1025" s="65" t="b">
        <f>FALSE()</f>
        <v>0</v>
      </c>
      <c r="O1025" s="65"/>
      <c r="P1025" s="65"/>
      <c r="Q1025" s="65" t="s">
        <v>236</v>
      </c>
      <c r="R1025" s="65" t="s">
        <v>236</v>
      </c>
      <c r="S1025" s="65"/>
      <c r="T1025" s="65" t="b">
        <f>FALSE()</f>
        <v>0</v>
      </c>
      <c r="U1025" s="65" t="b">
        <f>FALSE()</f>
        <v>0</v>
      </c>
      <c r="V1025" s="65">
        <v>939</v>
      </c>
      <c r="W1025" s="67" t="s">
        <v>3719</v>
      </c>
      <c r="X1025" s="65">
        <v>7</v>
      </c>
      <c r="Y1025" s="68">
        <v>12.25</v>
      </c>
      <c r="Z1025" s="65" t="b">
        <f>FALSE()</f>
        <v>0</v>
      </c>
      <c r="AA1025" s="65" t="b">
        <f>TRUE()</f>
        <v>1</v>
      </c>
      <c r="AB1025" s="65" t="b">
        <f>FALSE()</f>
        <v>0</v>
      </c>
      <c r="AC1025" s="65" t="b">
        <f>FALSE()</f>
        <v>0</v>
      </c>
      <c r="AD1025" s="65" t="b">
        <f>FALSE()</f>
        <v>0</v>
      </c>
      <c r="AE1025" s="65">
        <v>1</v>
      </c>
      <c r="AF1025" s="69">
        <v>14.3</v>
      </c>
      <c r="AG1025" s="65" t="s">
        <v>74</v>
      </c>
      <c r="AH1025" s="65" t="s">
        <v>3723</v>
      </c>
      <c r="AI1025">
        <f>IF(AND(OR(Company_Explorer!$B$5="All Companies",$E1025=Company_Explorer!$B$5),OR(Company_Explorer!$B$6="All Platforms",$B1025=Company_Explorer!$B$6),OR(Company_Explorer!$B$7="All Roles",$D1025=Company_Explorer!$B$7),OR(Company_Explorer!$B$8="All Ghost Labels",$AG1025=Company_Explorer!$B$8)),1,0)</f>
        <v>0</v>
      </c>
    </row>
    <row r="1026" spans="1:35" ht="15" customHeight="1" x14ac:dyDescent="0.3">
      <c r="A1026" s="60" t="s">
        <v>3724</v>
      </c>
      <c r="B1026" s="60" t="s">
        <v>81</v>
      </c>
      <c r="C1026" s="60" t="s">
        <v>3725</v>
      </c>
      <c r="D1026" s="60" t="s">
        <v>126</v>
      </c>
      <c r="E1026" s="60" t="s">
        <v>3726</v>
      </c>
      <c r="F1026" s="60" t="b">
        <f>FALSE()</f>
        <v>0</v>
      </c>
      <c r="G1026" s="60" t="s">
        <v>165</v>
      </c>
      <c r="H1026" s="60" t="s">
        <v>3727</v>
      </c>
      <c r="I1026" s="61">
        <v>46210.2326901505</v>
      </c>
      <c r="J1026" s="61">
        <v>46210.282949490698</v>
      </c>
      <c r="K1026" s="60">
        <v>0.1</v>
      </c>
      <c r="L1026" s="60" t="s">
        <v>183</v>
      </c>
      <c r="M1026" s="60" t="s">
        <v>183</v>
      </c>
      <c r="N1026" s="60" t="b">
        <f>TRUE()</f>
        <v>1</v>
      </c>
      <c r="O1026" s="70">
        <v>30000</v>
      </c>
      <c r="P1026" s="70">
        <v>40000</v>
      </c>
      <c r="Q1026" s="60" t="s">
        <v>3663</v>
      </c>
      <c r="R1026" s="60" t="s">
        <v>3664</v>
      </c>
      <c r="S1026" s="70">
        <v>420000</v>
      </c>
      <c r="T1026" s="60" t="b">
        <f>TRUE()</f>
        <v>1</v>
      </c>
      <c r="U1026" s="60" t="b">
        <f>FALSE()</f>
        <v>0</v>
      </c>
      <c r="V1026" s="60">
        <v>536</v>
      </c>
      <c r="W1026" s="62" t="s">
        <v>3728</v>
      </c>
      <c r="X1026" s="60"/>
      <c r="Y1026" s="63"/>
      <c r="Z1026" s="60" t="b">
        <f>TRUE()</f>
        <v>1</v>
      </c>
      <c r="AA1026" s="60" t="b">
        <f>FALSE()</f>
        <v>0</v>
      </c>
      <c r="AB1026" s="60" t="b">
        <f>FALSE()</f>
        <v>0</v>
      </c>
      <c r="AC1026" s="60" t="b">
        <f>FALSE()</f>
        <v>0</v>
      </c>
      <c r="AD1026" s="60" t="b">
        <f>FALSE()</f>
        <v>0</v>
      </c>
      <c r="AE1026" s="60">
        <v>2</v>
      </c>
      <c r="AF1026" s="64">
        <v>28.6</v>
      </c>
      <c r="AG1026" s="60" t="s">
        <v>73</v>
      </c>
      <c r="AH1026" s="60" t="s">
        <v>3729</v>
      </c>
      <c r="AI1026">
        <f>IF(AND(OR(Company_Explorer!$B$5="All Companies",$E1026=Company_Explorer!$B$5),OR(Company_Explorer!$B$6="All Platforms",$B1026=Company_Explorer!$B$6),OR(Company_Explorer!$B$7="All Roles",$D1026=Company_Explorer!$B$7),OR(Company_Explorer!$B$8="All Ghost Labels",$AG1026=Company_Explorer!$B$8)),1,0)</f>
        <v>0</v>
      </c>
    </row>
    <row r="1027" spans="1:35" ht="15" customHeight="1" x14ac:dyDescent="0.3">
      <c r="A1027" s="65" t="s">
        <v>3730</v>
      </c>
      <c r="B1027" s="65" t="s">
        <v>81</v>
      </c>
      <c r="C1027" s="65" t="s">
        <v>3731</v>
      </c>
      <c r="D1027" s="65" t="s">
        <v>126</v>
      </c>
      <c r="E1027" s="65" t="s">
        <v>3732</v>
      </c>
      <c r="F1027" s="65" t="b">
        <f>TRUE()</f>
        <v>1</v>
      </c>
      <c r="G1027" s="65" t="s">
        <v>165</v>
      </c>
      <c r="H1027" s="65" t="s">
        <v>3678</v>
      </c>
      <c r="I1027" s="66">
        <v>46209.615332569498</v>
      </c>
      <c r="J1027" s="66">
        <v>46210.282949930603</v>
      </c>
      <c r="K1027" s="65">
        <v>0.7</v>
      </c>
      <c r="L1027" s="65" t="s">
        <v>183</v>
      </c>
      <c r="M1027" s="65" t="s">
        <v>183</v>
      </c>
      <c r="N1027" s="65" t="b">
        <f>FALSE()</f>
        <v>0</v>
      </c>
      <c r="O1027" s="65"/>
      <c r="P1027" s="65"/>
      <c r="Q1027" s="65" t="s">
        <v>236</v>
      </c>
      <c r="R1027" s="65" t="s">
        <v>236</v>
      </c>
      <c r="S1027" s="65"/>
      <c r="T1027" s="65" t="b">
        <f>FALSE()</f>
        <v>0</v>
      </c>
      <c r="U1027" s="65" t="b">
        <f>FALSE()</f>
        <v>0</v>
      </c>
      <c r="V1027" s="65">
        <v>641</v>
      </c>
      <c r="W1027" s="67" t="s">
        <v>3733</v>
      </c>
      <c r="X1027" s="65">
        <v>2</v>
      </c>
      <c r="Y1027" s="68">
        <v>3.5</v>
      </c>
      <c r="Z1027" s="65" t="b">
        <f>FALSE()</f>
        <v>0</v>
      </c>
      <c r="AA1027" s="65" t="b">
        <f>TRUE()</f>
        <v>1</v>
      </c>
      <c r="AB1027" s="65" t="b">
        <f>FALSE()</f>
        <v>0</v>
      </c>
      <c r="AC1027" s="65" t="b">
        <f>FALSE()</f>
        <v>0</v>
      </c>
      <c r="AD1027" s="65" t="b">
        <f>FALSE()</f>
        <v>0</v>
      </c>
      <c r="AE1027" s="65">
        <v>1</v>
      </c>
      <c r="AF1027" s="69">
        <v>14.3</v>
      </c>
      <c r="AG1027" s="65" t="s">
        <v>74</v>
      </c>
      <c r="AH1027" s="65" t="s">
        <v>3734</v>
      </c>
      <c r="AI1027">
        <f>IF(AND(OR(Company_Explorer!$B$5="All Companies",$E1027=Company_Explorer!$B$5),OR(Company_Explorer!$B$6="All Platforms",$B1027=Company_Explorer!$B$6),OR(Company_Explorer!$B$7="All Roles",$D1027=Company_Explorer!$B$7),OR(Company_Explorer!$B$8="All Ghost Labels",$AG1027=Company_Explorer!$B$8)),1,0)</f>
        <v>0</v>
      </c>
    </row>
    <row r="1028" spans="1:35" ht="15" customHeight="1" x14ac:dyDescent="0.3">
      <c r="A1028" s="60" t="s">
        <v>3735</v>
      </c>
      <c r="B1028" s="60" t="s">
        <v>81</v>
      </c>
      <c r="C1028" s="60" t="s">
        <v>3736</v>
      </c>
      <c r="D1028" s="60" t="s">
        <v>126</v>
      </c>
      <c r="E1028" s="60" t="s">
        <v>149</v>
      </c>
      <c r="F1028" s="60" t="b">
        <f>TRUE()</f>
        <v>1</v>
      </c>
      <c r="G1028" s="60" t="s">
        <v>165</v>
      </c>
      <c r="H1028" s="60" t="s">
        <v>3655</v>
      </c>
      <c r="I1028" s="61">
        <v>46209.874856921298</v>
      </c>
      <c r="J1028" s="61">
        <v>46210.282950381901</v>
      </c>
      <c r="K1028" s="60">
        <v>0.4</v>
      </c>
      <c r="L1028" s="60" t="s">
        <v>183</v>
      </c>
      <c r="M1028" s="60" t="s">
        <v>183</v>
      </c>
      <c r="N1028" s="60" t="b">
        <f>FALSE()</f>
        <v>0</v>
      </c>
      <c r="O1028" s="60"/>
      <c r="P1028" s="60"/>
      <c r="Q1028" s="60" t="s">
        <v>236</v>
      </c>
      <c r="R1028" s="60" t="s">
        <v>236</v>
      </c>
      <c r="S1028" s="60"/>
      <c r="T1028" s="60" t="b">
        <f>FALSE()</f>
        <v>0</v>
      </c>
      <c r="U1028" s="60" t="b">
        <f>FALSE()</f>
        <v>0</v>
      </c>
      <c r="V1028" s="60">
        <v>572</v>
      </c>
      <c r="W1028" s="62" t="s">
        <v>3698</v>
      </c>
      <c r="X1028" s="60">
        <v>16</v>
      </c>
      <c r="Y1028" s="63">
        <v>28</v>
      </c>
      <c r="Z1028" s="60" t="b">
        <f>FALSE()</f>
        <v>0</v>
      </c>
      <c r="AA1028" s="60" t="b">
        <f>TRUE()</f>
        <v>1</v>
      </c>
      <c r="AB1028" s="60" t="b">
        <f>FALSE()</f>
        <v>0</v>
      </c>
      <c r="AC1028" s="60" t="b">
        <f>FALSE()</f>
        <v>0</v>
      </c>
      <c r="AD1028" s="60" t="b">
        <f>FALSE()</f>
        <v>0</v>
      </c>
      <c r="AE1028" s="60">
        <v>1</v>
      </c>
      <c r="AF1028" s="64">
        <v>14.3</v>
      </c>
      <c r="AG1028" s="60" t="s">
        <v>74</v>
      </c>
      <c r="AH1028" s="60" t="s">
        <v>3737</v>
      </c>
      <c r="AI1028">
        <f>IF(AND(OR(Company_Explorer!$B$5="All Companies",$E1028=Company_Explorer!$B$5),OR(Company_Explorer!$B$6="All Platforms",$B1028=Company_Explorer!$B$6),OR(Company_Explorer!$B$7="All Roles",$D1028=Company_Explorer!$B$7),OR(Company_Explorer!$B$8="All Ghost Labels",$AG1028=Company_Explorer!$B$8)),1,0)</f>
        <v>0</v>
      </c>
    </row>
    <row r="1029" spans="1:35" ht="15" customHeight="1" x14ac:dyDescent="0.3">
      <c r="A1029" s="65" t="s">
        <v>3738</v>
      </c>
      <c r="B1029" s="65" t="s">
        <v>81</v>
      </c>
      <c r="C1029" s="65" t="s">
        <v>3739</v>
      </c>
      <c r="D1029" s="65" t="s">
        <v>126</v>
      </c>
      <c r="E1029" s="65" t="s">
        <v>3740</v>
      </c>
      <c r="F1029" s="65" t="b">
        <f>TRUE()</f>
        <v>1</v>
      </c>
      <c r="G1029" s="65" t="s">
        <v>165</v>
      </c>
      <c r="H1029" s="65" t="s">
        <v>3620</v>
      </c>
      <c r="I1029" s="66">
        <v>46209.7799567361</v>
      </c>
      <c r="J1029" s="66">
        <v>46210.282950451401</v>
      </c>
      <c r="K1029" s="65">
        <v>0.5</v>
      </c>
      <c r="L1029" s="65" t="s">
        <v>183</v>
      </c>
      <c r="M1029" s="65" t="s">
        <v>183</v>
      </c>
      <c r="N1029" s="65" t="b">
        <f>FALSE()</f>
        <v>0</v>
      </c>
      <c r="O1029" s="65"/>
      <c r="P1029" s="65"/>
      <c r="Q1029" s="65" t="s">
        <v>236</v>
      </c>
      <c r="R1029" s="65" t="s">
        <v>236</v>
      </c>
      <c r="S1029" s="65"/>
      <c r="T1029" s="65" t="b">
        <f>FALSE()</f>
        <v>0</v>
      </c>
      <c r="U1029" s="65" t="b">
        <f>FALSE()</f>
        <v>0</v>
      </c>
      <c r="V1029" s="65">
        <v>935</v>
      </c>
      <c r="W1029" s="67" t="s">
        <v>3741</v>
      </c>
      <c r="X1029" s="65">
        <v>5</v>
      </c>
      <c r="Y1029" s="68">
        <v>8.75</v>
      </c>
      <c r="Z1029" s="65" t="b">
        <f>FALSE()</f>
        <v>0</v>
      </c>
      <c r="AA1029" s="65" t="b">
        <f>TRUE()</f>
        <v>1</v>
      </c>
      <c r="AB1029" s="65" t="b">
        <f>FALSE()</f>
        <v>0</v>
      </c>
      <c r="AC1029" s="65" t="b">
        <f>FALSE()</f>
        <v>0</v>
      </c>
      <c r="AD1029" s="65" t="b">
        <f>FALSE()</f>
        <v>0</v>
      </c>
      <c r="AE1029" s="65">
        <v>1</v>
      </c>
      <c r="AF1029" s="69">
        <v>14.3</v>
      </c>
      <c r="AG1029" s="65" t="s">
        <v>74</v>
      </c>
      <c r="AH1029" s="65" t="s">
        <v>3742</v>
      </c>
      <c r="AI1029">
        <f>IF(AND(OR(Company_Explorer!$B$5="All Companies",$E1029=Company_Explorer!$B$5),OR(Company_Explorer!$B$6="All Platforms",$B1029=Company_Explorer!$B$6),OR(Company_Explorer!$B$7="All Roles",$D1029=Company_Explorer!$B$7),OR(Company_Explorer!$B$8="All Ghost Labels",$AG1029=Company_Explorer!$B$8)),1,0)</f>
        <v>0</v>
      </c>
    </row>
    <row r="1030" spans="1:35" ht="15" customHeight="1" x14ac:dyDescent="0.3">
      <c r="A1030" s="60" t="s">
        <v>3743</v>
      </c>
      <c r="B1030" s="60" t="s">
        <v>81</v>
      </c>
      <c r="C1030" s="60" t="s">
        <v>3744</v>
      </c>
      <c r="D1030" s="60" t="s">
        <v>126</v>
      </c>
      <c r="E1030" s="60" t="s">
        <v>3745</v>
      </c>
      <c r="F1030" s="60" t="b">
        <f>TRUE()</f>
        <v>1</v>
      </c>
      <c r="G1030" s="60" t="s">
        <v>165</v>
      </c>
      <c r="H1030" s="60" t="s">
        <v>3655</v>
      </c>
      <c r="I1030" s="61">
        <v>46209.6041441204</v>
      </c>
      <c r="J1030" s="61">
        <v>46210.282950624998</v>
      </c>
      <c r="K1030" s="60">
        <v>0.7</v>
      </c>
      <c r="L1030" s="60" t="s">
        <v>183</v>
      </c>
      <c r="M1030" s="60" t="s">
        <v>183</v>
      </c>
      <c r="N1030" s="60" t="b">
        <f>FALSE()</f>
        <v>0</v>
      </c>
      <c r="O1030" s="60"/>
      <c r="P1030" s="60"/>
      <c r="Q1030" s="60" t="s">
        <v>236</v>
      </c>
      <c r="R1030" s="60" t="s">
        <v>236</v>
      </c>
      <c r="S1030" s="60"/>
      <c r="T1030" s="60" t="b">
        <f>FALSE()</f>
        <v>0</v>
      </c>
      <c r="U1030" s="60" t="b">
        <f>FALSE()</f>
        <v>0</v>
      </c>
      <c r="V1030" s="60">
        <v>811</v>
      </c>
      <c r="W1030" s="62" t="s">
        <v>3746</v>
      </c>
      <c r="X1030" s="60">
        <v>2</v>
      </c>
      <c r="Y1030" s="63">
        <v>3.5</v>
      </c>
      <c r="Z1030" s="60" t="b">
        <f>FALSE()</f>
        <v>0</v>
      </c>
      <c r="AA1030" s="60" t="b">
        <f>TRUE()</f>
        <v>1</v>
      </c>
      <c r="AB1030" s="60" t="b">
        <f>FALSE()</f>
        <v>0</v>
      </c>
      <c r="AC1030" s="60" t="b">
        <f>FALSE()</f>
        <v>0</v>
      </c>
      <c r="AD1030" s="60" t="b">
        <f>FALSE()</f>
        <v>0</v>
      </c>
      <c r="AE1030" s="60">
        <v>1</v>
      </c>
      <c r="AF1030" s="64">
        <v>14.3</v>
      </c>
      <c r="AG1030" s="60" t="s">
        <v>74</v>
      </c>
      <c r="AH1030" s="60" t="s">
        <v>3747</v>
      </c>
      <c r="AI1030">
        <f>IF(AND(OR(Company_Explorer!$B$5="All Companies",$E1030=Company_Explorer!$B$5),OR(Company_Explorer!$B$6="All Platforms",$B1030=Company_Explorer!$B$6),OR(Company_Explorer!$B$7="All Roles",$D1030=Company_Explorer!$B$7),OR(Company_Explorer!$B$8="All Ghost Labels",$AG1030=Company_Explorer!$B$8)),1,0)</f>
        <v>0</v>
      </c>
    </row>
    <row r="1031" spans="1:35" ht="15" customHeight="1" x14ac:dyDescent="0.3">
      <c r="A1031" s="65" t="s">
        <v>3748</v>
      </c>
      <c r="B1031" s="65" t="s">
        <v>81</v>
      </c>
      <c r="C1031" s="65" t="s">
        <v>3749</v>
      </c>
      <c r="D1031" s="65" t="s">
        <v>133</v>
      </c>
      <c r="E1031" s="65" t="s">
        <v>3750</v>
      </c>
      <c r="F1031" s="65" t="b">
        <f>TRUE()</f>
        <v>1</v>
      </c>
      <c r="G1031" s="65" t="s">
        <v>165</v>
      </c>
      <c r="H1031" s="65" t="s">
        <v>3620</v>
      </c>
      <c r="I1031" s="66">
        <v>46209.863767766197</v>
      </c>
      <c r="J1031" s="66">
        <v>46210.282950868102</v>
      </c>
      <c r="K1031" s="65">
        <v>0.4</v>
      </c>
      <c r="L1031" s="65" t="s">
        <v>183</v>
      </c>
      <c r="M1031" s="65" t="s">
        <v>183</v>
      </c>
      <c r="N1031" s="65" t="b">
        <f>FALSE()</f>
        <v>0</v>
      </c>
      <c r="O1031" s="65"/>
      <c r="P1031" s="65"/>
      <c r="Q1031" s="65" t="s">
        <v>236</v>
      </c>
      <c r="R1031" s="65" t="s">
        <v>236</v>
      </c>
      <c r="S1031" s="65"/>
      <c r="T1031" s="65" t="b">
        <f>FALSE()</f>
        <v>0</v>
      </c>
      <c r="U1031" s="65" t="b">
        <f>FALSE()</f>
        <v>0</v>
      </c>
      <c r="V1031" s="65">
        <v>910</v>
      </c>
      <c r="W1031" s="65" t="s">
        <v>3751</v>
      </c>
      <c r="X1031" s="65">
        <v>1</v>
      </c>
      <c r="Y1031" s="68">
        <v>1.75</v>
      </c>
      <c r="Z1031" s="65" t="b">
        <f>FALSE()</f>
        <v>0</v>
      </c>
      <c r="AA1031" s="65" t="b">
        <f>TRUE()</f>
        <v>1</v>
      </c>
      <c r="AB1031" s="65" t="b">
        <f>FALSE()</f>
        <v>0</v>
      </c>
      <c r="AC1031" s="65" t="b">
        <f>FALSE()</f>
        <v>0</v>
      </c>
      <c r="AD1031" s="65" t="b">
        <f>FALSE()</f>
        <v>0</v>
      </c>
      <c r="AE1031" s="65">
        <v>1</v>
      </c>
      <c r="AF1031" s="69">
        <v>14.3</v>
      </c>
      <c r="AG1031" s="65" t="s">
        <v>74</v>
      </c>
      <c r="AH1031" s="65" t="s">
        <v>3752</v>
      </c>
      <c r="AI1031">
        <f>IF(AND(OR(Company_Explorer!$B$5="All Companies",$E1031=Company_Explorer!$B$5),OR(Company_Explorer!$B$6="All Platforms",$B1031=Company_Explorer!$B$6),OR(Company_Explorer!$B$7="All Roles",$D1031=Company_Explorer!$B$7),OR(Company_Explorer!$B$8="All Ghost Labels",$AG1031=Company_Explorer!$B$8)),1,0)</f>
        <v>0</v>
      </c>
    </row>
    <row r="1032" spans="1:35" ht="15" customHeight="1" x14ac:dyDescent="0.3">
      <c r="A1032" s="60" t="s">
        <v>3753</v>
      </c>
      <c r="B1032" s="60" t="s">
        <v>81</v>
      </c>
      <c r="C1032" s="60" t="s">
        <v>127</v>
      </c>
      <c r="D1032" s="60" t="s">
        <v>127</v>
      </c>
      <c r="E1032" s="60" t="s">
        <v>3754</v>
      </c>
      <c r="F1032" s="60" t="b">
        <f>TRUE()</f>
        <v>1</v>
      </c>
      <c r="G1032" s="60" t="s">
        <v>165</v>
      </c>
      <c r="H1032" s="60" t="s">
        <v>3678</v>
      </c>
      <c r="I1032" s="61">
        <v>46210.225669560197</v>
      </c>
      <c r="J1032" s="61">
        <v>46210.282951064801</v>
      </c>
      <c r="K1032" s="60">
        <v>0.1</v>
      </c>
      <c r="L1032" s="60" t="s">
        <v>183</v>
      </c>
      <c r="M1032" s="60" t="s">
        <v>183</v>
      </c>
      <c r="N1032" s="60" t="b">
        <f>FALSE()</f>
        <v>0</v>
      </c>
      <c r="O1032" s="60"/>
      <c r="P1032" s="60"/>
      <c r="Q1032" s="60" t="s">
        <v>3663</v>
      </c>
      <c r="R1032" s="60" t="s">
        <v>3664</v>
      </c>
      <c r="S1032" s="60"/>
      <c r="T1032" s="60" t="b">
        <f>FALSE()</f>
        <v>0</v>
      </c>
      <c r="U1032" s="60" t="b">
        <f>FALSE()</f>
        <v>0</v>
      </c>
      <c r="V1032" s="60">
        <v>486</v>
      </c>
      <c r="W1032" s="62" t="s">
        <v>3755</v>
      </c>
      <c r="X1032" s="60">
        <v>2</v>
      </c>
      <c r="Y1032" s="63">
        <v>3.5</v>
      </c>
      <c r="Z1032" s="60" t="b">
        <f>FALSE()</f>
        <v>0</v>
      </c>
      <c r="AA1032" s="60" t="b">
        <f>TRUE()</f>
        <v>1</v>
      </c>
      <c r="AB1032" s="60" t="b">
        <f>FALSE()</f>
        <v>0</v>
      </c>
      <c r="AC1032" s="60" t="b">
        <f>FALSE()</f>
        <v>0</v>
      </c>
      <c r="AD1032" s="60" t="b">
        <f>FALSE()</f>
        <v>0</v>
      </c>
      <c r="AE1032" s="60">
        <v>1</v>
      </c>
      <c r="AF1032" s="64">
        <v>14.3</v>
      </c>
      <c r="AG1032" s="60" t="s">
        <v>74</v>
      </c>
      <c r="AH1032" s="60" t="s">
        <v>3756</v>
      </c>
      <c r="AI1032">
        <f>IF(AND(OR(Company_Explorer!$B$5="All Companies",$E1032=Company_Explorer!$B$5),OR(Company_Explorer!$B$6="All Platforms",$B1032=Company_Explorer!$B$6),OR(Company_Explorer!$B$7="All Roles",$D1032=Company_Explorer!$B$7),OR(Company_Explorer!$B$8="All Ghost Labels",$AG1032=Company_Explorer!$B$8)),1,0)</f>
        <v>0</v>
      </c>
    </row>
    <row r="1033" spans="1:35" ht="15" customHeight="1" x14ac:dyDescent="0.3">
      <c r="A1033" s="65" t="s">
        <v>3757</v>
      </c>
      <c r="B1033" s="65" t="s">
        <v>81</v>
      </c>
      <c r="C1033" s="65" t="s">
        <v>3739</v>
      </c>
      <c r="D1033" s="65" t="s">
        <v>126</v>
      </c>
      <c r="E1033" s="65" t="s">
        <v>3740</v>
      </c>
      <c r="F1033" s="65" t="b">
        <f>TRUE()</f>
        <v>1</v>
      </c>
      <c r="G1033" s="65" t="s">
        <v>165</v>
      </c>
      <c r="H1033" s="65" t="s">
        <v>3620</v>
      </c>
      <c r="I1033" s="66">
        <v>46209.779945833303</v>
      </c>
      <c r="J1033" s="66">
        <v>46210.282950798603</v>
      </c>
      <c r="K1033" s="65">
        <v>0.5</v>
      </c>
      <c r="L1033" s="65" t="s">
        <v>183</v>
      </c>
      <c r="M1033" s="65" t="s">
        <v>183</v>
      </c>
      <c r="N1033" s="65" t="b">
        <f>FALSE()</f>
        <v>0</v>
      </c>
      <c r="O1033" s="65"/>
      <c r="P1033" s="65"/>
      <c r="Q1033" s="65" t="s">
        <v>236</v>
      </c>
      <c r="R1033" s="65" t="s">
        <v>236</v>
      </c>
      <c r="S1033" s="65"/>
      <c r="T1033" s="65" t="b">
        <f>FALSE()</f>
        <v>0</v>
      </c>
      <c r="U1033" s="65" t="b">
        <f>FALSE()</f>
        <v>0</v>
      </c>
      <c r="V1033" s="65">
        <v>825</v>
      </c>
      <c r="W1033" s="67" t="s">
        <v>3741</v>
      </c>
      <c r="X1033" s="65">
        <v>5</v>
      </c>
      <c r="Y1033" s="68">
        <v>8.75</v>
      </c>
      <c r="Z1033" s="65" t="b">
        <f>FALSE()</f>
        <v>0</v>
      </c>
      <c r="AA1033" s="65" t="b">
        <f>TRUE()</f>
        <v>1</v>
      </c>
      <c r="AB1033" s="65" t="b">
        <f>FALSE()</f>
        <v>0</v>
      </c>
      <c r="AC1033" s="65" t="b">
        <f>FALSE()</f>
        <v>0</v>
      </c>
      <c r="AD1033" s="65" t="b">
        <f>FALSE()</f>
        <v>0</v>
      </c>
      <c r="AE1033" s="65">
        <v>1</v>
      </c>
      <c r="AF1033" s="69">
        <v>14.3</v>
      </c>
      <c r="AG1033" s="65" t="s">
        <v>74</v>
      </c>
      <c r="AH1033" s="65" t="s">
        <v>3758</v>
      </c>
      <c r="AI1033">
        <f>IF(AND(OR(Company_Explorer!$B$5="All Companies",$E1033=Company_Explorer!$B$5),OR(Company_Explorer!$B$6="All Platforms",$B1033=Company_Explorer!$B$6),OR(Company_Explorer!$B$7="All Roles",$D1033=Company_Explorer!$B$7),OR(Company_Explorer!$B$8="All Ghost Labels",$AG1033=Company_Explorer!$B$8)),1,0)</f>
        <v>0</v>
      </c>
    </row>
    <row r="1034" spans="1:35" ht="15" customHeight="1" x14ac:dyDescent="0.3">
      <c r="A1034" s="60" t="s">
        <v>3759</v>
      </c>
      <c r="B1034" s="60" t="s">
        <v>81</v>
      </c>
      <c r="C1034" s="60" t="s">
        <v>3760</v>
      </c>
      <c r="D1034" s="60" t="s">
        <v>126</v>
      </c>
      <c r="E1034" s="60" t="s">
        <v>3761</v>
      </c>
      <c r="F1034" s="60" t="b">
        <f>TRUE()</f>
        <v>1</v>
      </c>
      <c r="G1034" s="60" t="s">
        <v>165</v>
      </c>
      <c r="H1034" s="60" t="s">
        <v>3636</v>
      </c>
      <c r="I1034" s="61">
        <v>46209.601789143497</v>
      </c>
      <c r="J1034" s="61">
        <v>46210.282951608802</v>
      </c>
      <c r="K1034" s="60">
        <v>0.7</v>
      </c>
      <c r="L1034" s="60" t="s">
        <v>183</v>
      </c>
      <c r="M1034" s="60" t="s">
        <v>183</v>
      </c>
      <c r="N1034" s="60" t="b">
        <f>FALSE()</f>
        <v>0</v>
      </c>
      <c r="O1034" s="60"/>
      <c r="P1034" s="60"/>
      <c r="Q1034" s="60" t="s">
        <v>236</v>
      </c>
      <c r="R1034" s="60" t="s">
        <v>236</v>
      </c>
      <c r="S1034" s="60"/>
      <c r="T1034" s="60" t="b">
        <f>FALSE()</f>
        <v>0</v>
      </c>
      <c r="U1034" s="60" t="b">
        <f>FALSE()</f>
        <v>0</v>
      </c>
      <c r="V1034" s="60">
        <v>1043</v>
      </c>
      <c r="W1034" s="62" t="s">
        <v>3762</v>
      </c>
      <c r="X1034" s="60">
        <v>1</v>
      </c>
      <c r="Y1034" s="63">
        <v>1.75</v>
      </c>
      <c r="Z1034" s="60" t="b">
        <f>FALSE()</f>
        <v>0</v>
      </c>
      <c r="AA1034" s="60" t="b">
        <f>TRUE()</f>
        <v>1</v>
      </c>
      <c r="AB1034" s="60" t="b">
        <f>FALSE()</f>
        <v>0</v>
      </c>
      <c r="AC1034" s="60" t="b">
        <f>FALSE()</f>
        <v>0</v>
      </c>
      <c r="AD1034" s="60" t="b">
        <f>FALSE()</f>
        <v>0</v>
      </c>
      <c r="AE1034" s="60">
        <v>1</v>
      </c>
      <c r="AF1034" s="64">
        <v>14.3</v>
      </c>
      <c r="AG1034" s="60" t="s">
        <v>74</v>
      </c>
      <c r="AH1034" s="60" t="s">
        <v>3763</v>
      </c>
      <c r="AI1034">
        <f>IF(AND(OR(Company_Explorer!$B$5="All Companies",$E1034=Company_Explorer!$B$5),OR(Company_Explorer!$B$6="All Platforms",$B1034=Company_Explorer!$B$6),OR(Company_Explorer!$B$7="All Roles",$D1034=Company_Explorer!$B$7),OR(Company_Explorer!$B$8="All Ghost Labels",$AG1034=Company_Explorer!$B$8)),1,0)</f>
        <v>0</v>
      </c>
    </row>
    <row r="1035" spans="1:35" ht="15" customHeight="1" x14ac:dyDescent="0.3">
      <c r="A1035" s="65" t="s">
        <v>3764</v>
      </c>
      <c r="B1035" s="65" t="s">
        <v>81</v>
      </c>
      <c r="C1035" s="65" t="s">
        <v>3765</v>
      </c>
      <c r="D1035" s="65" t="s">
        <v>126</v>
      </c>
      <c r="E1035" s="65" t="s">
        <v>3740</v>
      </c>
      <c r="F1035" s="65" t="b">
        <f>TRUE()</f>
        <v>1</v>
      </c>
      <c r="G1035" s="65" t="s">
        <v>165</v>
      </c>
      <c r="H1035" s="65" t="s">
        <v>3636</v>
      </c>
      <c r="I1035" s="66">
        <v>46209.779932210702</v>
      </c>
      <c r="J1035" s="66">
        <v>46210.282951539397</v>
      </c>
      <c r="K1035" s="65">
        <v>0.5</v>
      </c>
      <c r="L1035" s="65" t="s">
        <v>183</v>
      </c>
      <c r="M1035" s="65" t="s">
        <v>183</v>
      </c>
      <c r="N1035" s="65" t="b">
        <f>FALSE()</f>
        <v>0</v>
      </c>
      <c r="O1035" s="65"/>
      <c r="P1035" s="65"/>
      <c r="Q1035" s="65" t="s">
        <v>236</v>
      </c>
      <c r="R1035" s="65" t="s">
        <v>236</v>
      </c>
      <c r="S1035" s="65"/>
      <c r="T1035" s="65" t="b">
        <f>FALSE()</f>
        <v>0</v>
      </c>
      <c r="U1035" s="65" t="b">
        <f>FALSE()</f>
        <v>0</v>
      </c>
      <c r="V1035" s="65">
        <v>802</v>
      </c>
      <c r="W1035" s="67" t="s">
        <v>3766</v>
      </c>
      <c r="X1035" s="65">
        <v>5</v>
      </c>
      <c r="Y1035" s="68">
        <v>8.75</v>
      </c>
      <c r="Z1035" s="65" t="b">
        <f>FALSE()</f>
        <v>0</v>
      </c>
      <c r="AA1035" s="65" t="b">
        <f>TRUE()</f>
        <v>1</v>
      </c>
      <c r="AB1035" s="65" t="b">
        <f>FALSE()</f>
        <v>0</v>
      </c>
      <c r="AC1035" s="65" t="b">
        <f>FALSE()</f>
        <v>0</v>
      </c>
      <c r="AD1035" s="65" t="b">
        <f>FALSE()</f>
        <v>0</v>
      </c>
      <c r="AE1035" s="65">
        <v>1</v>
      </c>
      <c r="AF1035" s="69">
        <v>14.3</v>
      </c>
      <c r="AG1035" s="65" t="s">
        <v>74</v>
      </c>
      <c r="AH1035" s="65" t="s">
        <v>3767</v>
      </c>
      <c r="AI1035">
        <f>IF(AND(OR(Company_Explorer!$B$5="All Companies",$E1035=Company_Explorer!$B$5),OR(Company_Explorer!$B$6="All Platforms",$B1035=Company_Explorer!$B$6),OR(Company_Explorer!$B$7="All Roles",$D1035=Company_Explorer!$B$7),OR(Company_Explorer!$B$8="All Ghost Labels",$AG1035=Company_Explorer!$B$8)),1,0)</f>
        <v>0</v>
      </c>
    </row>
    <row r="1036" spans="1:35" ht="15" customHeight="1" x14ac:dyDescent="0.3">
      <c r="A1036" s="60" t="s">
        <v>3768</v>
      </c>
      <c r="B1036" s="60" t="s">
        <v>81</v>
      </c>
      <c r="C1036" s="60" t="s">
        <v>3769</v>
      </c>
      <c r="D1036" s="60" t="s">
        <v>127</v>
      </c>
      <c r="E1036" s="60" t="s">
        <v>147</v>
      </c>
      <c r="F1036" s="60" t="b">
        <f>TRUE()</f>
        <v>1</v>
      </c>
      <c r="G1036" s="60" t="s">
        <v>165</v>
      </c>
      <c r="H1036" s="60" t="s">
        <v>3620</v>
      </c>
      <c r="I1036" s="61">
        <v>46210.222498912</v>
      </c>
      <c r="J1036" s="61">
        <v>46210.282951666697</v>
      </c>
      <c r="K1036" s="60">
        <v>0.1</v>
      </c>
      <c r="L1036" s="60" t="s">
        <v>183</v>
      </c>
      <c r="M1036" s="60" t="s">
        <v>183</v>
      </c>
      <c r="N1036" s="60" t="b">
        <f>FALSE()</f>
        <v>0</v>
      </c>
      <c r="O1036" s="60"/>
      <c r="P1036" s="60"/>
      <c r="Q1036" s="60" t="s">
        <v>236</v>
      </c>
      <c r="R1036" s="60" t="s">
        <v>236</v>
      </c>
      <c r="S1036" s="60"/>
      <c r="T1036" s="60" t="b">
        <f>FALSE()</f>
        <v>0</v>
      </c>
      <c r="U1036" s="60" t="b">
        <f>FALSE()</f>
        <v>0</v>
      </c>
      <c r="V1036" s="60">
        <v>247</v>
      </c>
      <c r="W1036" s="62" t="s">
        <v>3770</v>
      </c>
      <c r="X1036" s="60">
        <v>16</v>
      </c>
      <c r="Y1036" s="63">
        <v>28</v>
      </c>
      <c r="Z1036" s="60" t="b">
        <f>FALSE()</f>
        <v>0</v>
      </c>
      <c r="AA1036" s="60" t="b">
        <f>TRUE()</f>
        <v>1</v>
      </c>
      <c r="AB1036" s="60" t="b">
        <f>TRUE()</f>
        <v>1</v>
      </c>
      <c r="AC1036" s="60" t="b">
        <f>FALSE()</f>
        <v>0</v>
      </c>
      <c r="AD1036" s="60" t="b">
        <f>FALSE()</f>
        <v>0</v>
      </c>
      <c r="AE1036" s="60">
        <v>2</v>
      </c>
      <c r="AF1036" s="64">
        <v>28.6</v>
      </c>
      <c r="AG1036" s="60" t="s">
        <v>73</v>
      </c>
      <c r="AH1036" s="60" t="s">
        <v>3771</v>
      </c>
      <c r="AI1036">
        <f>IF(AND(OR(Company_Explorer!$B$5="All Companies",$E1036=Company_Explorer!$B$5),OR(Company_Explorer!$B$6="All Platforms",$B1036=Company_Explorer!$B$6),OR(Company_Explorer!$B$7="All Roles",$D1036=Company_Explorer!$B$7),OR(Company_Explorer!$B$8="All Ghost Labels",$AG1036=Company_Explorer!$B$8)),1,0)</f>
        <v>1</v>
      </c>
    </row>
    <row r="1037" spans="1:35" ht="15" customHeight="1" x14ac:dyDescent="0.3">
      <c r="A1037" s="65" t="s">
        <v>3772</v>
      </c>
      <c r="B1037" s="65" t="s">
        <v>81</v>
      </c>
      <c r="C1037" s="65" t="s">
        <v>3773</v>
      </c>
      <c r="D1037" s="65" t="s">
        <v>126</v>
      </c>
      <c r="E1037" s="65" t="s">
        <v>3774</v>
      </c>
      <c r="F1037" s="65" t="b">
        <f>TRUE()</f>
        <v>1</v>
      </c>
      <c r="G1037" s="65" t="s">
        <v>165</v>
      </c>
      <c r="H1037" s="65" t="s">
        <v>3620</v>
      </c>
      <c r="I1037" s="66">
        <v>46209.8590641435</v>
      </c>
      <c r="J1037" s="66">
        <v>46210.282951828704</v>
      </c>
      <c r="K1037" s="65">
        <v>0.4</v>
      </c>
      <c r="L1037" s="65" t="s">
        <v>183</v>
      </c>
      <c r="M1037" s="65" t="s">
        <v>183</v>
      </c>
      <c r="N1037" s="65" t="b">
        <f>FALSE()</f>
        <v>0</v>
      </c>
      <c r="O1037" s="65"/>
      <c r="P1037" s="65"/>
      <c r="Q1037" s="65" t="s">
        <v>236</v>
      </c>
      <c r="R1037" s="65" t="s">
        <v>236</v>
      </c>
      <c r="S1037" s="65"/>
      <c r="T1037" s="65" t="b">
        <f>FALSE()</f>
        <v>0</v>
      </c>
      <c r="U1037" s="65" t="b">
        <f>FALSE()</f>
        <v>0</v>
      </c>
      <c r="V1037" s="65">
        <v>437</v>
      </c>
      <c r="W1037" s="67" t="s">
        <v>3775</v>
      </c>
      <c r="X1037" s="65">
        <v>2</v>
      </c>
      <c r="Y1037" s="68">
        <v>3.5</v>
      </c>
      <c r="Z1037" s="65" t="b">
        <f>FALSE()</f>
        <v>0</v>
      </c>
      <c r="AA1037" s="65" t="b">
        <f>TRUE()</f>
        <v>1</v>
      </c>
      <c r="AB1037" s="65" t="b">
        <f>FALSE()</f>
        <v>0</v>
      </c>
      <c r="AC1037" s="65" t="b">
        <f>FALSE()</f>
        <v>0</v>
      </c>
      <c r="AD1037" s="65" t="b">
        <f>FALSE()</f>
        <v>0</v>
      </c>
      <c r="AE1037" s="65">
        <v>1</v>
      </c>
      <c r="AF1037" s="69">
        <v>14.3</v>
      </c>
      <c r="AG1037" s="65" t="s">
        <v>74</v>
      </c>
      <c r="AH1037" s="65" t="s">
        <v>3776</v>
      </c>
      <c r="AI1037">
        <f>IF(AND(OR(Company_Explorer!$B$5="All Companies",$E1037=Company_Explorer!$B$5),OR(Company_Explorer!$B$6="All Platforms",$B1037=Company_Explorer!$B$6),OR(Company_Explorer!$B$7="All Roles",$D1037=Company_Explorer!$B$7),OR(Company_Explorer!$B$8="All Ghost Labels",$AG1037=Company_Explorer!$B$8)),1,0)</f>
        <v>0</v>
      </c>
    </row>
    <row r="1038" spans="1:35" ht="15" customHeight="1" x14ac:dyDescent="0.3">
      <c r="A1038" s="60" t="s">
        <v>3777</v>
      </c>
      <c r="B1038" s="60" t="s">
        <v>81</v>
      </c>
      <c r="C1038" s="60" t="s">
        <v>3773</v>
      </c>
      <c r="D1038" s="60" t="s">
        <v>126</v>
      </c>
      <c r="E1038" s="60" t="s">
        <v>3774</v>
      </c>
      <c r="F1038" s="60" t="b">
        <f>TRUE()</f>
        <v>1</v>
      </c>
      <c r="G1038" s="60" t="s">
        <v>165</v>
      </c>
      <c r="H1038" s="60" t="s">
        <v>3620</v>
      </c>
      <c r="I1038" s="61">
        <v>46209.859070057901</v>
      </c>
      <c r="J1038" s="61">
        <v>46210.2829523611</v>
      </c>
      <c r="K1038" s="60">
        <v>0.4</v>
      </c>
      <c r="L1038" s="60" t="s">
        <v>183</v>
      </c>
      <c r="M1038" s="60" t="s">
        <v>183</v>
      </c>
      <c r="N1038" s="60" t="b">
        <f>FALSE()</f>
        <v>0</v>
      </c>
      <c r="O1038" s="60"/>
      <c r="P1038" s="60"/>
      <c r="Q1038" s="60" t="s">
        <v>236</v>
      </c>
      <c r="R1038" s="60" t="s">
        <v>236</v>
      </c>
      <c r="S1038" s="60"/>
      <c r="T1038" s="60" t="b">
        <f>FALSE()</f>
        <v>0</v>
      </c>
      <c r="U1038" s="60" t="b">
        <f>FALSE()</f>
        <v>0</v>
      </c>
      <c r="V1038" s="60">
        <v>437</v>
      </c>
      <c r="W1038" s="62" t="s">
        <v>3775</v>
      </c>
      <c r="X1038" s="60">
        <v>2</v>
      </c>
      <c r="Y1038" s="63">
        <v>3.5</v>
      </c>
      <c r="Z1038" s="60" t="b">
        <f>FALSE()</f>
        <v>0</v>
      </c>
      <c r="AA1038" s="60" t="b">
        <f>TRUE()</f>
        <v>1</v>
      </c>
      <c r="AB1038" s="60" t="b">
        <f>FALSE()</f>
        <v>0</v>
      </c>
      <c r="AC1038" s="60" t="b">
        <f>FALSE()</f>
        <v>0</v>
      </c>
      <c r="AD1038" s="60" t="b">
        <f>FALSE()</f>
        <v>0</v>
      </c>
      <c r="AE1038" s="60">
        <v>1</v>
      </c>
      <c r="AF1038" s="64">
        <v>14.3</v>
      </c>
      <c r="AG1038" s="60" t="s">
        <v>74</v>
      </c>
      <c r="AH1038" s="60" t="s">
        <v>3778</v>
      </c>
      <c r="AI1038">
        <f>IF(AND(OR(Company_Explorer!$B$5="All Companies",$E1038=Company_Explorer!$B$5),OR(Company_Explorer!$B$6="All Platforms",$B1038=Company_Explorer!$B$6),OR(Company_Explorer!$B$7="All Roles",$D1038=Company_Explorer!$B$7),OR(Company_Explorer!$B$8="All Ghost Labels",$AG1038=Company_Explorer!$B$8)),1,0)</f>
        <v>0</v>
      </c>
    </row>
    <row r="1039" spans="1:35" ht="15" customHeight="1" x14ac:dyDescent="0.3">
      <c r="A1039" s="65" t="s">
        <v>3779</v>
      </c>
      <c r="B1039" s="65" t="s">
        <v>81</v>
      </c>
      <c r="C1039" s="65" t="s">
        <v>3780</v>
      </c>
      <c r="D1039" s="65" t="s">
        <v>127</v>
      </c>
      <c r="E1039" s="65" t="s">
        <v>153</v>
      </c>
      <c r="F1039" s="65" t="b">
        <f>TRUE()</f>
        <v>1</v>
      </c>
      <c r="G1039" s="65" t="s">
        <v>165</v>
      </c>
      <c r="H1039" s="65" t="s">
        <v>3781</v>
      </c>
      <c r="I1039" s="66">
        <v>46209.778021655096</v>
      </c>
      <c r="J1039" s="66">
        <v>46210.282952743102</v>
      </c>
      <c r="K1039" s="65">
        <v>0.5</v>
      </c>
      <c r="L1039" s="65" t="s">
        <v>183</v>
      </c>
      <c r="M1039" s="65" t="s">
        <v>183</v>
      </c>
      <c r="N1039" s="65" t="b">
        <f>FALSE()</f>
        <v>0</v>
      </c>
      <c r="O1039" s="65"/>
      <c r="P1039" s="65"/>
      <c r="Q1039" s="65" t="s">
        <v>236</v>
      </c>
      <c r="R1039" s="65" t="s">
        <v>236</v>
      </c>
      <c r="S1039" s="65"/>
      <c r="T1039" s="65" t="b">
        <f>FALSE()</f>
        <v>0</v>
      </c>
      <c r="U1039" s="65" t="b">
        <f>FALSE()</f>
        <v>0</v>
      </c>
      <c r="V1039" s="65">
        <v>319</v>
      </c>
      <c r="W1039" s="67" t="s">
        <v>3782</v>
      </c>
      <c r="X1039" s="65">
        <v>12</v>
      </c>
      <c r="Y1039" s="68">
        <v>21</v>
      </c>
      <c r="Z1039" s="65" t="b">
        <f>FALSE()</f>
        <v>0</v>
      </c>
      <c r="AA1039" s="65" t="b">
        <f>TRUE()</f>
        <v>1</v>
      </c>
      <c r="AB1039" s="65" t="b">
        <f>FALSE()</f>
        <v>0</v>
      </c>
      <c r="AC1039" s="65" t="b">
        <f>FALSE()</f>
        <v>0</v>
      </c>
      <c r="AD1039" s="65" t="b">
        <f>FALSE()</f>
        <v>0</v>
      </c>
      <c r="AE1039" s="65">
        <v>1</v>
      </c>
      <c r="AF1039" s="69">
        <v>14.3</v>
      </c>
      <c r="AG1039" s="65" t="s">
        <v>74</v>
      </c>
      <c r="AH1039" s="65" t="s">
        <v>3783</v>
      </c>
      <c r="AI1039">
        <f>IF(AND(OR(Company_Explorer!$B$5="All Companies",$E1039=Company_Explorer!$B$5),OR(Company_Explorer!$B$6="All Platforms",$B1039=Company_Explorer!$B$6),OR(Company_Explorer!$B$7="All Roles",$D1039=Company_Explorer!$B$7),OR(Company_Explorer!$B$8="All Ghost Labels",$AG1039=Company_Explorer!$B$8)),1,0)</f>
        <v>0</v>
      </c>
    </row>
    <row r="1040" spans="1:35" ht="15" customHeight="1" x14ac:dyDescent="0.3">
      <c r="A1040" s="60" t="s">
        <v>3784</v>
      </c>
      <c r="B1040" s="60" t="s">
        <v>81</v>
      </c>
      <c r="C1040" s="60" t="s">
        <v>3785</v>
      </c>
      <c r="D1040" s="60" t="s">
        <v>126</v>
      </c>
      <c r="E1040" s="60" t="s">
        <v>156</v>
      </c>
      <c r="F1040" s="60" t="b">
        <f>TRUE()</f>
        <v>1</v>
      </c>
      <c r="G1040" s="60" t="s">
        <v>165</v>
      </c>
      <c r="H1040" s="60" t="s">
        <v>3620</v>
      </c>
      <c r="I1040" s="61">
        <v>46210.195843229201</v>
      </c>
      <c r="J1040" s="61">
        <v>46210.282952893504</v>
      </c>
      <c r="K1040" s="60">
        <v>0.1</v>
      </c>
      <c r="L1040" s="60" t="s">
        <v>183</v>
      </c>
      <c r="M1040" s="60" t="s">
        <v>183</v>
      </c>
      <c r="N1040" s="60" t="b">
        <f>FALSE()</f>
        <v>0</v>
      </c>
      <c r="O1040" s="60"/>
      <c r="P1040" s="60"/>
      <c r="Q1040" s="60" t="s">
        <v>236</v>
      </c>
      <c r="R1040" s="60" t="s">
        <v>236</v>
      </c>
      <c r="S1040" s="60"/>
      <c r="T1040" s="60" t="b">
        <f>FALSE()</f>
        <v>0</v>
      </c>
      <c r="U1040" s="60" t="b">
        <f>FALSE()</f>
        <v>0</v>
      </c>
      <c r="V1040" s="60">
        <v>791</v>
      </c>
      <c r="W1040" s="62" t="s">
        <v>3786</v>
      </c>
      <c r="X1040" s="60">
        <v>14</v>
      </c>
      <c r="Y1040" s="63">
        <v>24.5</v>
      </c>
      <c r="Z1040" s="60" t="b">
        <f>FALSE()</f>
        <v>0</v>
      </c>
      <c r="AA1040" s="60" t="b">
        <f>TRUE()</f>
        <v>1</v>
      </c>
      <c r="AB1040" s="60" t="b">
        <f>FALSE()</f>
        <v>0</v>
      </c>
      <c r="AC1040" s="60" t="b">
        <f>FALSE()</f>
        <v>0</v>
      </c>
      <c r="AD1040" s="60" t="b">
        <f>FALSE()</f>
        <v>0</v>
      </c>
      <c r="AE1040" s="60">
        <v>1</v>
      </c>
      <c r="AF1040" s="64">
        <v>14.3</v>
      </c>
      <c r="AG1040" s="60" t="s">
        <v>74</v>
      </c>
      <c r="AH1040" s="60" t="s">
        <v>3787</v>
      </c>
      <c r="AI1040">
        <f>IF(AND(OR(Company_Explorer!$B$5="All Companies",$E1040=Company_Explorer!$B$5),OR(Company_Explorer!$B$6="All Platforms",$B1040=Company_Explorer!$B$6),OR(Company_Explorer!$B$7="All Roles",$D1040=Company_Explorer!$B$7),OR(Company_Explorer!$B$8="All Ghost Labels",$AG1040=Company_Explorer!$B$8)),1,0)</f>
        <v>0</v>
      </c>
    </row>
    <row r="1041" spans="1:35" ht="15" customHeight="1" x14ac:dyDescent="0.3">
      <c r="A1041" s="65" t="s">
        <v>3788</v>
      </c>
      <c r="B1041" s="65" t="s">
        <v>81</v>
      </c>
      <c r="C1041" s="65" t="s">
        <v>3789</v>
      </c>
      <c r="D1041" s="65" t="s">
        <v>126</v>
      </c>
      <c r="E1041" s="65" t="s">
        <v>3740</v>
      </c>
      <c r="F1041" s="65" t="b">
        <f>TRUE()</f>
        <v>1</v>
      </c>
      <c r="G1041" s="65" t="s">
        <v>165</v>
      </c>
      <c r="H1041" s="65" t="s">
        <v>3636</v>
      </c>
      <c r="I1041" s="66">
        <v>46209.779878159701</v>
      </c>
      <c r="J1041" s="66">
        <v>46210.282952847199</v>
      </c>
      <c r="K1041" s="65">
        <v>0.5</v>
      </c>
      <c r="L1041" s="65" t="s">
        <v>183</v>
      </c>
      <c r="M1041" s="65" t="s">
        <v>183</v>
      </c>
      <c r="N1041" s="65" t="b">
        <f>FALSE()</f>
        <v>0</v>
      </c>
      <c r="O1041" s="65"/>
      <c r="P1041" s="65"/>
      <c r="Q1041" s="65" t="s">
        <v>236</v>
      </c>
      <c r="R1041" s="65" t="s">
        <v>236</v>
      </c>
      <c r="S1041" s="65"/>
      <c r="T1041" s="65" t="b">
        <f>FALSE()</f>
        <v>0</v>
      </c>
      <c r="U1041" s="65" t="b">
        <f>FALSE()</f>
        <v>0</v>
      </c>
      <c r="V1041" s="65">
        <v>700</v>
      </c>
      <c r="W1041" s="67" t="s">
        <v>3790</v>
      </c>
      <c r="X1041" s="65">
        <v>5</v>
      </c>
      <c r="Y1041" s="68">
        <v>8.75</v>
      </c>
      <c r="Z1041" s="65" t="b">
        <f>FALSE()</f>
        <v>0</v>
      </c>
      <c r="AA1041" s="65" t="b">
        <f>TRUE()</f>
        <v>1</v>
      </c>
      <c r="AB1041" s="65" t="b">
        <f>FALSE()</f>
        <v>0</v>
      </c>
      <c r="AC1041" s="65" t="b">
        <f>FALSE()</f>
        <v>0</v>
      </c>
      <c r="AD1041" s="65" t="b">
        <f>FALSE()</f>
        <v>0</v>
      </c>
      <c r="AE1041" s="65">
        <v>1</v>
      </c>
      <c r="AF1041" s="69">
        <v>14.3</v>
      </c>
      <c r="AG1041" s="65" t="s">
        <v>74</v>
      </c>
      <c r="AH1041" s="65" t="s">
        <v>3791</v>
      </c>
      <c r="AI1041">
        <f>IF(AND(OR(Company_Explorer!$B$5="All Companies",$E1041=Company_Explorer!$B$5),OR(Company_Explorer!$B$6="All Platforms",$B1041=Company_Explorer!$B$6),OR(Company_Explorer!$B$7="All Roles",$D1041=Company_Explorer!$B$7),OR(Company_Explorer!$B$8="All Ghost Labels",$AG1041=Company_Explorer!$B$8)),1,0)</f>
        <v>0</v>
      </c>
    </row>
    <row r="1042" spans="1:35" ht="15" customHeight="1" x14ac:dyDescent="0.3">
      <c r="A1042" s="60" t="s">
        <v>3792</v>
      </c>
      <c r="B1042" s="60" t="s">
        <v>81</v>
      </c>
      <c r="C1042" s="60" t="s">
        <v>3793</v>
      </c>
      <c r="D1042" s="60" t="s">
        <v>127</v>
      </c>
      <c r="E1042" s="60" t="s">
        <v>3794</v>
      </c>
      <c r="F1042" s="60" t="b">
        <f>TRUE()</f>
        <v>1</v>
      </c>
      <c r="G1042" s="60" t="s">
        <v>165</v>
      </c>
      <c r="H1042" s="60" t="s">
        <v>3795</v>
      </c>
      <c r="I1042" s="61">
        <v>46209.596637222203</v>
      </c>
      <c r="J1042" s="61">
        <v>46210.2829528125</v>
      </c>
      <c r="K1042" s="60">
        <v>0.7</v>
      </c>
      <c r="L1042" s="60" t="s">
        <v>183</v>
      </c>
      <c r="M1042" s="60" t="s">
        <v>183</v>
      </c>
      <c r="N1042" s="60" t="b">
        <f>FALSE()</f>
        <v>0</v>
      </c>
      <c r="O1042" s="60"/>
      <c r="P1042" s="60"/>
      <c r="Q1042" s="60" t="s">
        <v>236</v>
      </c>
      <c r="R1042" s="60" t="s">
        <v>236</v>
      </c>
      <c r="S1042" s="60"/>
      <c r="T1042" s="60" t="b">
        <f>FALSE()</f>
        <v>0</v>
      </c>
      <c r="U1042" s="60" t="b">
        <f>FALSE()</f>
        <v>0</v>
      </c>
      <c r="V1042" s="60">
        <v>168</v>
      </c>
      <c r="W1042" s="62" t="s">
        <v>3796</v>
      </c>
      <c r="X1042" s="60">
        <v>1</v>
      </c>
      <c r="Y1042" s="63">
        <v>1.75</v>
      </c>
      <c r="Z1042" s="60" t="b">
        <f>FALSE()</f>
        <v>0</v>
      </c>
      <c r="AA1042" s="60" t="b">
        <f>TRUE()</f>
        <v>1</v>
      </c>
      <c r="AB1042" s="60" t="b">
        <f>TRUE()</f>
        <v>1</v>
      </c>
      <c r="AC1042" s="60" t="b">
        <f>FALSE()</f>
        <v>0</v>
      </c>
      <c r="AD1042" s="60" t="b">
        <f>FALSE()</f>
        <v>0</v>
      </c>
      <c r="AE1042" s="60">
        <v>2</v>
      </c>
      <c r="AF1042" s="64">
        <v>28.6</v>
      </c>
      <c r="AG1042" s="60" t="s">
        <v>73</v>
      </c>
      <c r="AH1042" s="60" t="s">
        <v>3797</v>
      </c>
      <c r="AI1042">
        <f>IF(AND(OR(Company_Explorer!$B$5="All Companies",$E1042=Company_Explorer!$B$5),OR(Company_Explorer!$B$6="All Platforms",$B1042=Company_Explorer!$B$6),OR(Company_Explorer!$B$7="All Roles",$D1042=Company_Explorer!$B$7),OR(Company_Explorer!$B$8="All Ghost Labels",$AG1042=Company_Explorer!$B$8)),1,0)</f>
        <v>0</v>
      </c>
    </row>
    <row r="1043" spans="1:35" ht="15" customHeight="1" x14ac:dyDescent="0.3">
      <c r="A1043" s="65" t="s">
        <v>3798</v>
      </c>
      <c r="B1043" s="65" t="s">
        <v>81</v>
      </c>
      <c r="C1043" s="65" t="s">
        <v>3799</v>
      </c>
      <c r="D1043" s="65" t="s">
        <v>126</v>
      </c>
      <c r="E1043" s="65" t="s">
        <v>3800</v>
      </c>
      <c r="F1043" s="65" t="b">
        <f>TRUE()</f>
        <v>1</v>
      </c>
      <c r="G1043" s="65" t="s">
        <v>165</v>
      </c>
      <c r="H1043" s="65" t="s">
        <v>3702</v>
      </c>
      <c r="I1043" s="66">
        <v>46209.594032534696</v>
      </c>
      <c r="J1043" s="66">
        <v>46210.282953032402</v>
      </c>
      <c r="K1043" s="65">
        <v>0.7</v>
      </c>
      <c r="L1043" s="65" t="s">
        <v>183</v>
      </c>
      <c r="M1043" s="65" t="s">
        <v>183</v>
      </c>
      <c r="N1043" s="65" t="b">
        <f>FALSE()</f>
        <v>0</v>
      </c>
      <c r="O1043" s="65"/>
      <c r="P1043" s="65"/>
      <c r="Q1043" s="65" t="s">
        <v>236</v>
      </c>
      <c r="R1043" s="65" t="s">
        <v>236</v>
      </c>
      <c r="S1043" s="65"/>
      <c r="T1043" s="65" t="b">
        <f>FALSE()</f>
        <v>0</v>
      </c>
      <c r="U1043" s="65" t="b">
        <f>FALSE()</f>
        <v>0</v>
      </c>
      <c r="V1043" s="65">
        <v>340</v>
      </c>
      <c r="W1043" s="65" t="s">
        <v>3801</v>
      </c>
      <c r="X1043" s="65">
        <v>2</v>
      </c>
      <c r="Y1043" s="68">
        <v>3.5</v>
      </c>
      <c r="Z1043" s="65" t="b">
        <f>FALSE()</f>
        <v>0</v>
      </c>
      <c r="AA1043" s="65" t="b">
        <f>TRUE()</f>
        <v>1</v>
      </c>
      <c r="AB1043" s="65" t="b">
        <f>FALSE()</f>
        <v>0</v>
      </c>
      <c r="AC1043" s="65" t="b">
        <f>FALSE()</f>
        <v>0</v>
      </c>
      <c r="AD1043" s="65" t="b">
        <f>FALSE()</f>
        <v>0</v>
      </c>
      <c r="AE1043" s="65">
        <v>1</v>
      </c>
      <c r="AF1043" s="69">
        <v>14.3</v>
      </c>
      <c r="AG1043" s="65" t="s">
        <v>74</v>
      </c>
      <c r="AH1043" s="65" t="s">
        <v>3802</v>
      </c>
      <c r="AI1043">
        <f>IF(AND(OR(Company_Explorer!$B$5="All Companies",$E1043=Company_Explorer!$B$5),OR(Company_Explorer!$B$6="All Platforms",$B1043=Company_Explorer!$B$6),OR(Company_Explorer!$B$7="All Roles",$D1043=Company_Explorer!$B$7),OR(Company_Explorer!$B$8="All Ghost Labels",$AG1043=Company_Explorer!$B$8)),1,0)</f>
        <v>0</v>
      </c>
    </row>
    <row r="1044" spans="1:35" ht="15" customHeight="1" x14ac:dyDescent="0.3">
      <c r="A1044" s="60" t="s">
        <v>3803</v>
      </c>
      <c r="B1044" s="60" t="s">
        <v>81</v>
      </c>
      <c r="C1044" s="60" t="s">
        <v>127</v>
      </c>
      <c r="D1044" s="60" t="s">
        <v>127</v>
      </c>
      <c r="E1044" s="60" t="s">
        <v>3804</v>
      </c>
      <c r="F1044" s="60" t="b">
        <f>TRUE()</f>
        <v>1</v>
      </c>
      <c r="G1044" s="60" t="s">
        <v>165</v>
      </c>
      <c r="H1044" s="60" t="s">
        <v>3805</v>
      </c>
      <c r="I1044" s="61">
        <v>46210.2145789352</v>
      </c>
      <c r="J1044" s="61">
        <v>46210.2829521065</v>
      </c>
      <c r="K1044" s="60">
        <v>0.1</v>
      </c>
      <c r="L1044" s="60" t="s">
        <v>183</v>
      </c>
      <c r="M1044" s="60" t="s">
        <v>183</v>
      </c>
      <c r="N1044" s="60" t="b">
        <f>TRUE()</f>
        <v>1</v>
      </c>
      <c r="O1044" s="70">
        <v>10000</v>
      </c>
      <c r="P1044" s="70">
        <v>25000</v>
      </c>
      <c r="Q1044" s="60" t="s">
        <v>3663</v>
      </c>
      <c r="R1044" s="60" t="s">
        <v>3664</v>
      </c>
      <c r="S1044" s="70">
        <v>210000</v>
      </c>
      <c r="T1044" s="60" t="b">
        <f>TRUE()</f>
        <v>1</v>
      </c>
      <c r="U1044" s="60" t="b">
        <f>FALSE()</f>
        <v>0</v>
      </c>
      <c r="V1044" s="60">
        <v>230</v>
      </c>
      <c r="W1044" s="62" t="s">
        <v>3806</v>
      </c>
      <c r="X1044" s="60">
        <v>1</v>
      </c>
      <c r="Y1044" s="63">
        <v>1.75</v>
      </c>
      <c r="Z1044" s="60" t="b">
        <f>FALSE()</f>
        <v>0</v>
      </c>
      <c r="AA1044" s="60" t="b">
        <f>FALSE()</f>
        <v>0</v>
      </c>
      <c r="AB1044" s="60" t="b">
        <f>TRUE()</f>
        <v>1</v>
      </c>
      <c r="AC1044" s="60" t="b">
        <f>FALSE()</f>
        <v>0</v>
      </c>
      <c r="AD1044" s="60" t="b">
        <f>FALSE()</f>
        <v>0</v>
      </c>
      <c r="AE1044" s="60">
        <v>1</v>
      </c>
      <c r="AF1044" s="64">
        <v>14.3</v>
      </c>
      <c r="AG1044" s="60" t="s">
        <v>74</v>
      </c>
      <c r="AH1044" s="60" t="s">
        <v>3807</v>
      </c>
      <c r="AI1044">
        <f>IF(AND(OR(Company_Explorer!$B$5="All Companies",$E1044=Company_Explorer!$B$5),OR(Company_Explorer!$B$6="All Platforms",$B1044=Company_Explorer!$B$6),OR(Company_Explorer!$B$7="All Roles",$D1044=Company_Explorer!$B$7),OR(Company_Explorer!$B$8="All Ghost Labels",$AG1044=Company_Explorer!$B$8)),1,0)</f>
        <v>0</v>
      </c>
    </row>
    <row r="1045" spans="1:35" ht="15" customHeight="1" x14ac:dyDescent="0.3">
      <c r="A1045" s="65" t="s">
        <v>3808</v>
      </c>
      <c r="B1045" s="65" t="s">
        <v>81</v>
      </c>
      <c r="C1045" s="65" t="s">
        <v>3809</v>
      </c>
      <c r="D1045" s="65" t="s">
        <v>126</v>
      </c>
      <c r="E1045" s="65" t="s">
        <v>3810</v>
      </c>
      <c r="F1045" s="65" t="b">
        <f>TRUE()</f>
        <v>1</v>
      </c>
      <c r="G1045" s="65" t="s">
        <v>165</v>
      </c>
      <c r="H1045" s="65" t="s">
        <v>3655</v>
      </c>
      <c r="I1045" s="66">
        <v>46209.8561221528</v>
      </c>
      <c r="J1045" s="66">
        <v>46210.282953564798</v>
      </c>
      <c r="K1045" s="65">
        <v>0.4</v>
      </c>
      <c r="L1045" s="65" t="s">
        <v>183</v>
      </c>
      <c r="M1045" s="65" t="s">
        <v>183</v>
      </c>
      <c r="N1045" s="65" t="b">
        <f>FALSE()</f>
        <v>0</v>
      </c>
      <c r="O1045" s="65"/>
      <c r="P1045" s="65"/>
      <c r="Q1045" s="65" t="s">
        <v>236</v>
      </c>
      <c r="R1045" s="65" t="s">
        <v>236</v>
      </c>
      <c r="S1045" s="65"/>
      <c r="T1045" s="65" t="b">
        <f>FALSE()</f>
        <v>0</v>
      </c>
      <c r="U1045" s="65" t="b">
        <f>FALSE()</f>
        <v>0</v>
      </c>
      <c r="V1045" s="65">
        <v>601</v>
      </c>
      <c r="W1045" s="67" t="s">
        <v>3811</v>
      </c>
      <c r="X1045" s="65">
        <v>10</v>
      </c>
      <c r="Y1045" s="68">
        <v>17.5</v>
      </c>
      <c r="Z1045" s="65" t="b">
        <f>FALSE()</f>
        <v>0</v>
      </c>
      <c r="AA1045" s="65" t="b">
        <f>TRUE()</f>
        <v>1</v>
      </c>
      <c r="AB1045" s="65" t="b">
        <f>FALSE()</f>
        <v>0</v>
      </c>
      <c r="AC1045" s="65" t="b">
        <f>FALSE()</f>
        <v>0</v>
      </c>
      <c r="AD1045" s="65" t="b">
        <f>FALSE()</f>
        <v>0</v>
      </c>
      <c r="AE1045" s="65">
        <v>1</v>
      </c>
      <c r="AF1045" s="69">
        <v>14.3</v>
      </c>
      <c r="AG1045" s="65" t="s">
        <v>74</v>
      </c>
      <c r="AH1045" s="65" t="s">
        <v>3812</v>
      </c>
      <c r="AI1045">
        <f>IF(AND(OR(Company_Explorer!$B$5="All Companies",$E1045=Company_Explorer!$B$5),OR(Company_Explorer!$B$6="All Platforms",$B1045=Company_Explorer!$B$6),OR(Company_Explorer!$B$7="All Roles",$D1045=Company_Explorer!$B$7),OR(Company_Explorer!$B$8="All Ghost Labels",$AG1045=Company_Explorer!$B$8)),1,0)</f>
        <v>0</v>
      </c>
    </row>
    <row r="1046" spans="1:35" ht="15" customHeight="1" x14ac:dyDescent="0.3">
      <c r="A1046" s="60" t="s">
        <v>3813</v>
      </c>
      <c r="B1046" s="60" t="s">
        <v>81</v>
      </c>
      <c r="C1046" s="60" t="s">
        <v>3814</v>
      </c>
      <c r="D1046" s="60" t="s">
        <v>127</v>
      </c>
      <c r="E1046" s="60" t="s">
        <v>3815</v>
      </c>
      <c r="F1046" s="60" t="b">
        <f>TRUE()</f>
        <v>1</v>
      </c>
      <c r="G1046" s="60" t="s">
        <v>165</v>
      </c>
      <c r="H1046" s="60" t="s">
        <v>3636</v>
      </c>
      <c r="I1046" s="61">
        <v>46209.593706909698</v>
      </c>
      <c r="J1046" s="61">
        <v>46210.282953958304</v>
      </c>
      <c r="K1046" s="60">
        <v>0.7</v>
      </c>
      <c r="L1046" s="60" t="s">
        <v>183</v>
      </c>
      <c r="M1046" s="60" t="s">
        <v>183</v>
      </c>
      <c r="N1046" s="60" t="b">
        <f>FALSE()</f>
        <v>0</v>
      </c>
      <c r="O1046" s="60"/>
      <c r="P1046" s="60"/>
      <c r="Q1046" s="60" t="s">
        <v>236</v>
      </c>
      <c r="R1046" s="60" t="s">
        <v>236</v>
      </c>
      <c r="S1046" s="60"/>
      <c r="T1046" s="60" t="b">
        <f>FALSE()</f>
        <v>0</v>
      </c>
      <c r="U1046" s="60" t="b">
        <f>FALSE()</f>
        <v>0</v>
      </c>
      <c r="V1046" s="60">
        <v>919</v>
      </c>
      <c r="W1046" s="60" t="s">
        <v>3816</v>
      </c>
      <c r="X1046" s="60">
        <v>2</v>
      </c>
      <c r="Y1046" s="63">
        <v>3.5</v>
      </c>
      <c r="Z1046" s="60" t="b">
        <f>FALSE()</f>
        <v>0</v>
      </c>
      <c r="AA1046" s="60" t="b">
        <f>TRUE()</f>
        <v>1</v>
      </c>
      <c r="AB1046" s="60" t="b">
        <f>FALSE()</f>
        <v>0</v>
      </c>
      <c r="AC1046" s="60" t="b">
        <f>FALSE()</f>
        <v>0</v>
      </c>
      <c r="AD1046" s="60" t="b">
        <f>FALSE()</f>
        <v>0</v>
      </c>
      <c r="AE1046" s="60">
        <v>1</v>
      </c>
      <c r="AF1046" s="64">
        <v>14.3</v>
      </c>
      <c r="AG1046" s="60" t="s">
        <v>74</v>
      </c>
      <c r="AH1046" s="60" t="s">
        <v>3817</v>
      </c>
      <c r="AI1046">
        <f>IF(AND(OR(Company_Explorer!$B$5="All Companies",$E1046=Company_Explorer!$B$5),OR(Company_Explorer!$B$6="All Platforms",$B1046=Company_Explorer!$B$6),OR(Company_Explorer!$B$7="All Roles",$D1046=Company_Explorer!$B$7),OR(Company_Explorer!$B$8="All Ghost Labels",$AG1046=Company_Explorer!$B$8)),1,0)</f>
        <v>0</v>
      </c>
    </row>
    <row r="1047" spans="1:35" ht="15" customHeight="1" x14ac:dyDescent="0.3">
      <c r="A1047" s="65" t="s">
        <v>3818</v>
      </c>
      <c r="B1047" s="65" t="s">
        <v>81</v>
      </c>
      <c r="C1047" s="65" t="s">
        <v>3819</v>
      </c>
      <c r="D1047" s="65" t="s">
        <v>126</v>
      </c>
      <c r="E1047" s="65" t="s">
        <v>3820</v>
      </c>
      <c r="F1047" s="65" t="b">
        <f>TRUE()</f>
        <v>1</v>
      </c>
      <c r="G1047" s="65" t="s">
        <v>165</v>
      </c>
      <c r="H1047" s="65" t="s">
        <v>3821</v>
      </c>
      <c r="I1047" s="66">
        <v>46210.1926546412</v>
      </c>
      <c r="J1047" s="66">
        <v>46210.282954039401</v>
      </c>
      <c r="K1047" s="65">
        <v>0.1</v>
      </c>
      <c r="L1047" s="65" t="s">
        <v>183</v>
      </c>
      <c r="M1047" s="65" t="s">
        <v>183</v>
      </c>
      <c r="N1047" s="65" t="b">
        <f>TRUE()</f>
        <v>1</v>
      </c>
      <c r="O1047" s="71">
        <v>2474.52001953125</v>
      </c>
      <c r="P1047" s="71">
        <v>5000.64990234375</v>
      </c>
      <c r="Q1047" s="65" t="s">
        <v>3663</v>
      </c>
      <c r="R1047" s="65" t="s">
        <v>3664</v>
      </c>
      <c r="S1047" s="71">
        <v>44851</v>
      </c>
      <c r="T1047" s="65" t="b">
        <f>TRUE()</f>
        <v>1</v>
      </c>
      <c r="U1047" s="65" t="b">
        <f>TRUE()</f>
        <v>1</v>
      </c>
      <c r="V1047" s="65">
        <v>338</v>
      </c>
      <c r="W1047" s="67" t="s">
        <v>3822</v>
      </c>
      <c r="X1047" s="65">
        <v>4</v>
      </c>
      <c r="Y1047" s="68">
        <v>7</v>
      </c>
      <c r="Z1047" s="65" t="b">
        <f>FALSE()</f>
        <v>0</v>
      </c>
      <c r="AA1047" s="65" t="b">
        <f>FALSE()</f>
        <v>0</v>
      </c>
      <c r="AB1047" s="65" t="b">
        <f>FALSE()</f>
        <v>0</v>
      </c>
      <c r="AC1047" s="65" t="b">
        <f>FALSE()</f>
        <v>0</v>
      </c>
      <c r="AD1047" s="65" t="b">
        <f>FALSE()</f>
        <v>0</v>
      </c>
      <c r="AE1047" s="65">
        <v>0</v>
      </c>
      <c r="AF1047" s="69">
        <v>0</v>
      </c>
      <c r="AG1047" s="65" t="s">
        <v>74</v>
      </c>
      <c r="AH1047" s="65" t="s">
        <v>3823</v>
      </c>
      <c r="AI1047">
        <f>IF(AND(OR(Company_Explorer!$B$5="All Companies",$E1047=Company_Explorer!$B$5),OR(Company_Explorer!$B$6="All Platforms",$B1047=Company_Explorer!$B$6),OR(Company_Explorer!$B$7="All Roles",$D1047=Company_Explorer!$B$7),OR(Company_Explorer!$B$8="All Ghost Labels",$AG1047=Company_Explorer!$B$8)),1,0)</f>
        <v>0</v>
      </c>
    </row>
    <row r="1048" spans="1:35" ht="15" customHeight="1" x14ac:dyDescent="0.3">
      <c r="A1048" s="60" t="s">
        <v>3824</v>
      </c>
      <c r="B1048" s="60" t="s">
        <v>81</v>
      </c>
      <c r="C1048" s="60" t="s">
        <v>3825</v>
      </c>
      <c r="D1048" s="60" t="s">
        <v>126</v>
      </c>
      <c r="E1048" s="60" t="s">
        <v>3826</v>
      </c>
      <c r="F1048" s="60" t="b">
        <f>TRUE()</f>
        <v>1</v>
      </c>
      <c r="G1048" s="60" t="s">
        <v>165</v>
      </c>
      <c r="H1048" s="60" t="s">
        <v>3620</v>
      </c>
      <c r="I1048" s="61">
        <v>46209.8322320023</v>
      </c>
      <c r="J1048" s="61">
        <v>46210.282954143499</v>
      </c>
      <c r="K1048" s="60">
        <v>0.5</v>
      </c>
      <c r="L1048" s="60" t="s">
        <v>183</v>
      </c>
      <c r="M1048" s="60" t="s">
        <v>183</v>
      </c>
      <c r="N1048" s="60" t="b">
        <f>FALSE()</f>
        <v>0</v>
      </c>
      <c r="O1048" s="60"/>
      <c r="P1048" s="60"/>
      <c r="Q1048" s="60" t="s">
        <v>236</v>
      </c>
      <c r="R1048" s="60" t="s">
        <v>236</v>
      </c>
      <c r="S1048" s="60"/>
      <c r="T1048" s="60" t="b">
        <f>FALSE()</f>
        <v>0</v>
      </c>
      <c r="U1048" s="60" t="b">
        <f>FALSE()</f>
        <v>0</v>
      </c>
      <c r="V1048" s="60">
        <v>1003</v>
      </c>
      <c r="W1048" s="62" t="s">
        <v>3827</v>
      </c>
      <c r="X1048" s="60">
        <v>2</v>
      </c>
      <c r="Y1048" s="63">
        <v>3.5</v>
      </c>
      <c r="Z1048" s="60" t="b">
        <f>FALSE()</f>
        <v>0</v>
      </c>
      <c r="AA1048" s="60" t="b">
        <f>TRUE()</f>
        <v>1</v>
      </c>
      <c r="AB1048" s="60" t="b">
        <f>FALSE()</f>
        <v>0</v>
      </c>
      <c r="AC1048" s="60" t="b">
        <f>FALSE()</f>
        <v>0</v>
      </c>
      <c r="AD1048" s="60" t="b">
        <f>FALSE()</f>
        <v>0</v>
      </c>
      <c r="AE1048" s="60">
        <v>1</v>
      </c>
      <c r="AF1048" s="64">
        <v>14.3</v>
      </c>
      <c r="AG1048" s="60" t="s">
        <v>74</v>
      </c>
      <c r="AH1048" s="60" t="s">
        <v>3828</v>
      </c>
      <c r="AI1048">
        <f>IF(AND(OR(Company_Explorer!$B$5="All Companies",$E1048=Company_Explorer!$B$5),OR(Company_Explorer!$B$6="All Platforms",$B1048=Company_Explorer!$B$6),OR(Company_Explorer!$B$7="All Roles",$D1048=Company_Explorer!$B$7),OR(Company_Explorer!$B$8="All Ghost Labels",$AG1048=Company_Explorer!$B$8)),1,0)</f>
        <v>0</v>
      </c>
    </row>
    <row r="1049" spans="1:35" ht="15" customHeight="1" x14ac:dyDescent="0.3">
      <c r="A1049" s="65" t="s">
        <v>3829</v>
      </c>
      <c r="B1049" s="65" t="s">
        <v>81</v>
      </c>
      <c r="C1049" s="65" t="s">
        <v>3830</v>
      </c>
      <c r="D1049" s="65" t="s">
        <v>126</v>
      </c>
      <c r="E1049" s="65" t="s">
        <v>3810</v>
      </c>
      <c r="F1049" s="65" t="b">
        <f>TRUE()</f>
        <v>1</v>
      </c>
      <c r="G1049" s="65" t="s">
        <v>165</v>
      </c>
      <c r="H1049" s="65" t="s">
        <v>3702</v>
      </c>
      <c r="I1049" s="66">
        <v>46209.767305428199</v>
      </c>
      <c r="J1049" s="66">
        <v>46210.282954178198</v>
      </c>
      <c r="K1049" s="65">
        <v>0.5</v>
      </c>
      <c r="L1049" s="65" t="s">
        <v>183</v>
      </c>
      <c r="M1049" s="65" t="s">
        <v>183</v>
      </c>
      <c r="N1049" s="65" t="b">
        <f>FALSE()</f>
        <v>0</v>
      </c>
      <c r="O1049" s="65"/>
      <c r="P1049" s="65"/>
      <c r="Q1049" s="65" t="s">
        <v>236</v>
      </c>
      <c r="R1049" s="65" t="s">
        <v>236</v>
      </c>
      <c r="S1049" s="65"/>
      <c r="T1049" s="65" t="b">
        <f>FALSE()</f>
        <v>0</v>
      </c>
      <c r="U1049" s="65" t="b">
        <f>FALSE()</f>
        <v>0</v>
      </c>
      <c r="V1049" s="65">
        <v>759</v>
      </c>
      <c r="W1049" s="67" t="s">
        <v>3831</v>
      </c>
      <c r="X1049" s="65">
        <v>10</v>
      </c>
      <c r="Y1049" s="68">
        <v>17.5</v>
      </c>
      <c r="Z1049" s="65" t="b">
        <f>FALSE()</f>
        <v>0</v>
      </c>
      <c r="AA1049" s="65" t="b">
        <f>TRUE()</f>
        <v>1</v>
      </c>
      <c r="AB1049" s="65" t="b">
        <f>FALSE()</f>
        <v>0</v>
      </c>
      <c r="AC1049" s="65" t="b">
        <f>FALSE()</f>
        <v>0</v>
      </c>
      <c r="AD1049" s="65" t="b">
        <f>FALSE()</f>
        <v>0</v>
      </c>
      <c r="AE1049" s="65">
        <v>1</v>
      </c>
      <c r="AF1049" s="69">
        <v>14.3</v>
      </c>
      <c r="AG1049" s="65" t="s">
        <v>74</v>
      </c>
      <c r="AH1049" s="65" t="s">
        <v>3832</v>
      </c>
      <c r="AI1049">
        <f>IF(AND(OR(Company_Explorer!$B$5="All Companies",$E1049=Company_Explorer!$B$5),OR(Company_Explorer!$B$6="All Platforms",$B1049=Company_Explorer!$B$6),OR(Company_Explorer!$B$7="All Roles",$D1049=Company_Explorer!$B$7),OR(Company_Explorer!$B$8="All Ghost Labels",$AG1049=Company_Explorer!$B$8)),1,0)</f>
        <v>0</v>
      </c>
    </row>
    <row r="1050" spans="1:35" ht="15" customHeight="1" x14ac:dyDescent="0.3">
      <c r="A1050" s="60" t="s">
        <v>3833</v>
      </c>
      <c r="B1050" s="60" t="s">
        <v>81</v>
      </c>
      <c r="C1050" s="60" t="s">
        <v>3834</v>
      </c>
      <c r="D1050" s="60" t="s">
        <v>126</v>
      </c>
      <c r="E1050" s="60" t="s">
        <v>1812</v>
      </c>
      <c r="F1050" s="60" t="b">
        <f>TRUE()</f>
        <v>1</v>
      </c>
      <c r="G1050" s="60" t="s">
        <v>165</v>
      </c>
      <c r="H1050" s="60" t="s">
        <v>165</v>
      </c>
      <c r="I1050" s="61">
        <v>46209.838235277799</v>
      </c>
      <c r="J1050" s="61">
        <v>46210.282954849499</v>
      </c>
      <c r="K1050" s="60">
        <v>0.4</v>
      </c>
      <c r="L1050" s="60" t="s">
        <v>183</v>
      </c>
      <c r="M1050" s="60" t="s">
        <v>183</v>
      </c>
      <c r="N1050" s="60" t="b">
        <f>FALSE()</f>
        <v>0</v>
      </c>
      <c r="O1050" s="60"/>
      <c r="P1050" s="60"/>
      <c r="Q1050" s="60" t="s">
        <v>236</v>
      </c>
      <c r="R1050" s="60" t="s">
        <v>236</v>
      </c>
      <c r="S1050" s="60"/>
      <c r="T1050" s="60" t="b">
        <f>FALSE()</f>
        <v>0</v>
      </c>
      <c r="U1050" s="60" t="b">
        <f>FALSE()</f>
        <v>0</v>
      </c>
      <c r="V1050" s="60">
        <v>571</v>
      </c>
      <c r="W1050" s="62" t="s">
        <v>1813</v>
      </c>
      <c r="X1050" s="60">
        <v>2</v>
      </c>
      <c r="Y1050" s="63">
        <v>3.5</v>
      </c>
      <c r="Z1050" s="60" t="b">
        <f>FALSE()</f>
        <v>0</v>
      </c>
      <c r="AA1050" s="60" t="b">
        <f>TRUE()</f>
        <v>1</v>
      </c>
      <c r="AB1050" s="60" t="b">
        <f>FALSE()</f>
        <v>0</v>
      </c>
      <c r="AC1050" s="60" t="b">
        <f>FALSE()</f>
        <v>0</v>
      </c>
      <c r="AD1050" s="60" t="b">
        <f>FALSE()</f>
        <v>0</v>
      </c>
      <c r="AE1050" s="60">
        <v>1</v>
      </c>
      <c r="AF1050" s="64">
        <v>14.3</v>
      </c>
      <c r="AG1050" s="60" t="s">
        <v>74</v>
      </c>
      <c r="AH1050" s="60" t="s">
        <v>3835</v>
      </c>
      <c r="AI1050">
        <f>IF(AND(OR(Company_Explorer!$B$5="All Companies",$E1050=Company_Explorer!$B$5),OR(Company_Explorer!$B$6="All Platforms",$B1050=Company_Explorer!$B$6),OR(Company_Explorer!$B$7="All Roles",$D1050=Company_Explorer!$B$7),OR(Company_Explorer!$B$8="All Ghost Labels",$AG1050=Company_Explorer!$B$8)),1,0)</f>
        <v>0</v>
      </c>
    </row>
    <row r="1051" spans="1:35" ht="15" customHeight="1" x14ac:dyDescent="0.3">
      <c r="A1051" s="65" t="s">
        <v>3836</v>
      </c>
      <c r="B1051" s="65" t="s">
        <v>81</v>
      </c>
      <c r="C1051" s="65" t="s">
        <v>3837</v>
      </c>
      <c r="D1051" s="65" t="s">
        <v>127</v>
      </c>
      <c r="E1051" s="65" t="s">
        <v>3838</v>
      </c>
      <c r="F1051" s="65" t="b">
        <f>TRUE()</f>
        <v>1</v>
      </c>
      <c r="G1051" s="65" t="s">
        <v>165</v>
      </c>
      <c r="H1051" s="65" t="s">
        <v>3620</v>
      </c>
      <c r="I1051" s="66">
        <v>46210.192358923603</v>
      </c>
      <c r="J1051" s="66">
        <v>46210.2829551389</v>
      </c>
      <c r="K1051" s="65">
        <v>0.1</v>
      </c>
      <c r="L1051" s="65" t="s">
        <v>183</v>
      </c>
      <c r="M1051" s="65" t="s">
        <v>183</v>
      </c>
      <c r="N1051" s="65" t="b">
        <f>FALSE()</f>
        <v>0</v>
      </c>
      <c r="O1051" s="65"/>
      <c r="P1051" s="65"/>
      <c r="Q1051" s="65" t="s">
        <v>236</v>
      </c>
      <c r="R1051" s="65" t="s">
        <v>236</v>
      </c>
      <c r="S1051" s="65"/>
      <c r="T1051" s="65" t="b">
        <f>FALSE()</f>
        <v>0</v>
      </c>
      <c r="U1051" s="65" t="b">
        <f>FALSE()</f>
        <v>0</v>
      </c>
      <c r="V1051" s="65">
        <v>1463</v>
      </c>
      <c r="W1051" s="67" t="s">
        <v>3839</v>
      </c>
      <c r="X1051" s="65">
        <v>2</v>
      </c>
      <c r="Y1051" s="68">
        <v>3.5</v>
      </c>
      <c r="Z1051" s="65" t="b">
        <f>FALSE()</f>
        <v>0</v>
      </c>
      <c r="AA1051" s="65" t="b">
        <f>TRUE()</f>
        <v>1</v>
      </c>
      <c r="AB1051" s="65" t="b">
        <f>FALSE()</f>
        <v>0</v>
      </c>
      <c r="AC1051" s="65" t="b">
        <f>FALSE()</f>
        <v>0</v>
      </c>
      <c r="AD1051" s="65" t="b">
        <f>FALSE()</f>
        <v>0</v>
      </c>
      <c r="AE1051" s="65">
        <v>1</v>
      </c>
      <c r="AF1051" s="69">
        <v>14.3</v>
      </c>
      <c r="AG1051" s="65" t="s">
        <v>74</v>
      </c>
      <c r="AH1051" s="65" t="s">
        <v>3840</v>
      </c>
      <c r="AI1051">
        <f>IF(AND(OR(Company_Explorer!$B$5="All Companies",$E1051=Company_Explorer!$B$5),OR(Company_Explorer!$B$6="All Platforms",$B1051=Company_Explorer!$B$6),OR(Company_Explorer!$B$7="All Roles",$D1051=Company_Explorer!$B$7),OR(Company_Explorer!$B$8="All Ghost Labels",$AG1051=Company_Explorer!$B$8)),1,0)</f>
        <v>0</v>
      </c>
    </row>
    <row r="1052" spans="1:35" ht="15" customHeight="1" x14ac:dyDescent="0.3">
      <c r="A1052" s="60" t="s">
        <v>3841</v>
      </c>
      <c r="B1052" s="60" t="s">
        <v>81</v>
      </c>
      <c r="C1052" s="60" t="s">
        <v>3842</v>
      </c>
      <c r="D1052" s="60" t="s">
        <v>127</v>
      </c>
      <c r="E1052" s="60" t="s">
        <v>142</v>
      </c>
      <c r="F1052" s="60" t="b">
        <f>TRUE()</f>
        <v>1</v>
      </c>
      <c r="G1052" s="60" t="s">
        <v>165</v>
      </c>
      <c r="H1052" s="60" t="s">
        <v>3636</v>
      </c>
      <c r="I1052" s="61">
        <v>46209.763550798598</v>
      </c>
      <c r="J1052" s="61">
        <v>46210.282955196803</v>
      </c>
      <c r="K1052" s="60">
        <v>0.5</v>
      </c>
      <c r="L1052" s="60" t="s">
        <v>183</v>
      </c>
      <c r="M1052" s="60" t="s">
        <v>183</v>
      </c>
      <c r="N1052" s="60" t="b">
        <f>FALSE()</f>
        <v>0</v>
      </c>
      <c r="O1052" s="60"/>
      <c r="P1052" s="60"/>
      <c r="Q1052" s="60" t="s">
        <v>236</v>
      </c>
      <c r="R1052" s="60" t="s">
        <v>236</v>
      </c>
      <c r="S1052" s="60"/>
      <c r="T1052" s="60" t="b">
        <f>FALSE()</f>
        <v>0</v>
      </c>
      <c r="U1052" s="60" t="b">
        <f>FALSE()</f>
        <v>0</v>
      </c>
      <c r="V1052" s="60">
        <v>514</v>
      </c>
      <c r="W1052" s="62" t="s">
        <v>3843</v>
      </c>
      <c r="X1052" s="60">
        <v>81</v>
      </c>
      <c r="Y1052" s="63">
        <v>141.75</v>
      </c>
      <c r="Z1052" s="60" t="b">
        <f>FALSE()</f>
        <v>0</v>
      </c>
      <c r="AA1052" s="60" t="b">
        <f>TRUE()</f>
        <v>1</v>
      </c>
      <c r="AB1052" s="60" t="b">
        <f>FALSE()</f>
        <v>0</v>
      </c>
      <c r="AC1052" s="60" t="b">
        <f>FALSE()</f>
        <v>0</v>
      </c>
      <c r="AD1052" s="60" t="b">
        <f>TRUE()</f>
        <v>1</v>
      </c>
      <c r="AE1052" s="60">
        <v>3</v>
      </c>
      <c r="AF1052" s="64">
        <v>42.9</v>
      </c>
      <c r="AG1052" s="60" t="s">
        <v>73</v>
      </c>
      <c r="AH1052" s="60" t="s">
        <v>3844</v>
      </c>
      <c r="AI1052">
        <f>IF(AND(OR(Company_Explorer!$B$5="All Companies",$E1052=Company_Explorer!$B$5),OR(Company_Explorer!$B$6="All Platforms",$B1052=Company_Explorer!$B$6),OR(Company_Explorer!$B$7="All Roles",$D1052=Company_Explorer!$B$7),OR(Company_Explorer!$B$8="All Ghost Labels",$AG1052=Company_Explorer!$B$8)),1,0)</f>
        <v>0</v>
      </c>
    </row>
    <row r="1053" spans="1:35" ht="15" customHeight="1" x14ac:dyDescent="0.3">
      <c r="A1053" s="65" t="s">
        <v>3845</v>
      </c>
      <c r="B1053" s="65" t="s">
        <v>81</v>
      </c>
      <c r="C1053" s="65" t="s">
        <v>3846</v>
      </c>
      <c r="D1053" s="65" t="s">
        <v>126</v>
      </c>
      <c r="E1053" s="65" t="s">
        <v>3847</v>
      </c>
      <c r="F1053" s="65" t="b">
        <f>TRUE()</f>
        <v>1</v>
      </c>
      <c r="G1053" s="65" t="s">
        <v>165</v>
      </c>
      <c r="H1053" s="65" t="s">
        <v>3678</v>
      </c>
      <c r="I1053" s="66">
        <v>46209.831367939798</v>
      </c>
      <c r="J1053" s="66">
        <v>46210.282955289404</v>
      </c>
      <c r="K1053" s="65">
        <v>0.5</v>
      </c>
      <c r="L1053" s="65" t="s">
        <v>183</v>
      </c>
      <c r="M1053" s="65" t="s">
        <v>183</v>
      </c>
      <c r="N1053" s="65" t="b">
        <f>FALSE()</f>
        <v>0</v>
      </c>
      <c r="O1053" s="65"/>
      <c r="P1053" s="65"/>
      <c r="Q1053" s="65" t="s">
        <v>236</v>
      </c>
      <c r="R1053" s="65" t="s">
        <v>236</v>
      </c>
      <c r="S1053" s="65"/>
      <c r="T1053" s="65" t="b">
        <f>FALSE()</f>
        <v>0</v>
      </c>
      <c r="U1053" s="65" t="b">
        <f>FALSE()</f>
        <v>0</v>
      </c>
      <c r="V1053" s="65">
        <v>920</v>
      </c>
      <c r="W1053" s="67" t="s">
        <v>3848</v>
      </c>
      <c r="X1053" s="65">
        <v>5</v>
      </c>
      <c r="Y1053" s="68">
        <v>8.75</v>
      </c>
      <c r="Z1053" s="65" t="b">
        <f>FALSE()</f>
        <v>0</v>
      </c>
      <c r="AA1053" s="65" t="b">
        <f>TRUE()</f>
        <v>1</v>
      </c>
      <c r="AB1053" s="65" t="b">
        <f>FALSE()</f>
        <v>0</v>
      </c>
      <c r="AC1053" s="65" t="b">
        <f>FALSE()</f>
        <v>0</v>
      </c>
      <c r="AD1053" s="65" t="b">
        <f>FALSE()</f>
        <v>0</v>
      </c>
      <c r="AE1053" s="65">
        <v>1</v>
      </c>
      <c r="AF1053" s="69">
        <v>14.3</v>
      </c>
      <c r="AG1053" s="65" t="s">
        <v>74</v>
      </c>
      <c r="AH1053" s="65" t="s">
        <v>3849</v>
      </c>
      <c r="AI1053">
        <f>IF(AND(OR(Company_Explorer!$B$5="All Companies",$E1053=Company_Explorer!$B$5),OR(Company_Explorer!$B$6="All Platforms",$B1053=Company_Explorer!$B$6),OR(Company_Explorer!$B$7="All Roles",$D1053=Company_Explorer!$B$7),OR(Company_Explorer!$B$8="All Ghost Labels",$AG1053=Company_Explorer!$B$8)),1,0)</f>
        <v>0</v>
      </c>
    </row>
    <row r="1054" spans="1:35" ht="15" customHeight="1" x14ac:dyDescent="0.3">
      <c r="A1054" s="60" t="s">
        <v>3850</v>
      </c>
      <c r="B1054" s="60" t="s">
        <v>81</v>
      </c>
      <c r="C1054" s="60" t="s">
        <v>3851</v>
      </c>
      <c r="D1054" s="60" t="s">
        <v>126</v>
      </c>
      <c r="E1054" s="60" t="s">
        <v>3852</v>
      </c>
      <c r="F1054" s="60" t="b">
        <f>TRUE()</f>
        <v>1</v>
      </c>
      <c r="G1054" s="60" t="s">
        <v>165</v>
      </c>
      <c r="H1054" s="60" t="s">
        <v>3655</v>
      </c>
      <c r="I1054" s="61">
        <v>46209.749429930598</v>
      </c>
      <c r="J1054" s="61">
        <v>46210.282955312498</v>
      </c>
      <c r="K1054" s="60">
        <v>0.5</v>
      </c>
      <c r="L1054" s="60" t="s">
        <v>183</v>
      </c>
      <c r="M1054" s="60" t="s">
        <v>183</v>
      </c>
      <c r="N1054" s="60" t="b">
        <f>FALSE()</f>
        <v>0</v>
      </c>
      <c r="O1054" s="60"/>
      <c r="P1054" s="60"/>
      <c r="Q1054" s="60" t="s">
        <v>236</v>
      </c>
      <c r="R1054" s="60" t="s">
        <v>236</v>
      </c>
      <c r="S1054" s="60"/>
      <c r="T1054" s="60" t="b">
        <f>FALSE()</f>
        <v>0</v>
      </c>
      <c r="U1054" s="60" t="b">
        <f>FALSE()</f>
        <v>0</v>
      </c>
      <c r="V1054" s="60">
        <v>18</v>
      </c>
      <c r="W1054" s="62" t="s">
        <v>3853</v>
      </c>
      <c r="X1054" s="60">
        <v>1</v>
      </c>
      <c r="Y1054" s="63">
        <v>1.75</v>
      </c>
      <c r="Z1054" s="60" t="b">
        <f>FALSE()</f>
        <v>0</v>
      </c>
      <c r="AA1054" s="60" t="b">
        <f>TRUE()</f>
        <v>1</v>
      </c>
      <c r="AB1054" s="60" t="b">
        <f>TRUE()</f>
        <v>1</v>
      </c>
      <c r="AC1054" s="60" t="b">
        <f>FALSE()</f>
        <v>0</v>
      </c>
      <c r="AD1054" s="60" t="b">
        <f>FALSE()</f>
        <v>0</v>
      </c>
      <c r="AE1054" s="60">
        <v>2</v>
      </c>
      <c r="AF1054" s="64">
        <v>28.6</v>
      </c>
      <c r="AG1054" s="60" t="s">
        <v>73</v>
      </c>
      <c r="AH1054" s="60" t="s">
        <v>3854</v>
      </c>
      <c r="AI1054">
        <f>IF(AND(OR(Company_Explorer!$B$5="All Companies",$E1054=Company_Explorer!$B$5),OR(Company_Explorer!$B$6="All Platforms",$B1054=Company_Explorer!$B$6),OR(Company_Explorer!$B$7="All Roles",$D1054=Company_Explorer!$B$7),OR(Company_Explorer!$B$8="All Ghost Labels",$AG1054=Company_Explorer!$B$8)),1,0)</f>
        <v>0</v>
      </c>
    </row>
    <row r="1055" spans="1:35" ht="15" customHeight="1" x14ac:dyDescent="0.3">
      <c r="A1055" s="65" t="s">
        <v>3855</v>
      </c>
      <c r="B1055" s="65" t="s">
        <v>81</v>
      </c>
      <c r="C1055" s="65" t="s">
        <v>3856</v>
      </c>
      <c r="D1055" s="65" t="s">
        <v>127</v>
      </c>
      <c r="E1055" s="65" t="s">
        <v>3800</v>
      </c>
      <c r="F1055" s="65" t="b">
        <f>TRUE()</f>
        <v>1</v>
      </c>
      <c r="G1055" s="65" t="s">
        <v>165</v>
      </c>
      <c r="H1055" s="65" t="s">
        <v>3702</v>
      </c>
      <c r="I1055" s="66">
        <v>46209.593594120401</v>
      </c>
      <c r="J1055" s="66">
        <v>46210.282955254603</v>
      </c>
      <c r="K1055" s="65">
        <v>0.7</v>
      </c>
      <c r="L1055" s="65" t="s">
        <v>183</v>
      </c>
      <c r="M1055" s="65" t="s">
        <v>183</v>
      </c>
      <c r="N1055" s="65" t="b">
        <f>FALSE()</f>
        <v>0</v>
      </c>
      <c r="O1055" s="65"/>
      <c r="P1055" s="65"/>
      <c r="Q1055" s="65" t="s">
        <v>236</v>
      </c>
      <c r="R1055" s="65" t="s">
        <v>236</v>
      </c>
      <c r="S1055" s="65"/>
      <c r="T1055" s="65" t="b">
        <f>FALSE()</f>
        <v>0</v>
      </c>
      <c r="U1055" s="65" t="b">
        <f>FALSE()</f>
        <v>0</v>
      </c>
      <c r="V1055" s="65">
        <v>361</v>
      </c>
      <c r="W1055" s="65" t="s">
        <v>3801</v>
      </c>
      <c r="X1055" s="65">
        <v>2</v>
      </c>
      <c r="Y1055" s="68">
        <v>3.5</v>
      </c>
      <c r="Z1055" s="65" t="b">
        <f>FALSE()</f>
        <v>0</v>
      </c>
      <c r="AA1055" s="65" t="b">
        <f>TRUE()</f>
        <v>1</v>
      </c>
      <c r="AB1055" s="65" t="b">
        <f>FALSE()</f>
        <v>0</v>
      </c>
      <c r="AC1055" s="65" t="b">
        <f>FALSE()</f>
        <v>0</v>
      </c>
      <c r="AD1055" s="65" t="b">
        <f>FALSE()</f>
        <v>0</v>
      </c>
      <c r="AE1055" s="65">
        <v>1</v>
      </c>
      <c r="AF1055" s="69">
        <v>14.3</v>
      </c>
      <c r="AG1055" s="65" t="s">
        <v>74</v>
      </c>
      <c r="AH1055" s="65" t="s">
        <v>3857</v>
      </c>
      <c r="AI1055">
        <f>IF(AND(OR(Company_Explorer!$B$5="All Companies",$E1055=Company_Explorer!$B$5),OR(Company_Explorer!$B$6="All Platforms",$B1055=Company_Explorer!$B$6),OR(Company_Explorer!$B$7="All Roles",$D1055=Company_Explorer!$B$7),OR(Company_Explorer!$B$8="All Ghost Labels",$AG1055=Company_Explorer!$B$8)),1,0)</f>
        <v>0</v>
      </c>
    </row>
    <row r="1056" spans="1:35" ht="15" customHeight="1" x14ac:dyDescent="0.3">
      <c r="A1056" s="60" t="s">
        <v>3858</v>
      </c>
      <c r="B1056" s="60" t="s">
        <v>81</v>
      </c>
      <c r="C1056" s="60" t="s">
        <v>3859</v>
      </c>
      <c r="D1056" s="60" t="s">
        <v>133</v>
      </c>
      <c r="E1056" s="60" t="s">
        <v>3860</v>
      </c>
      <c r="F1056" s="60" t="b">
        <f>TRUE()</f>
        <v>1</v>
      </c>
      <c r="G1056" s="60" t="s">
        <v>165</v>
      </c>
      <c r="H1056" s="60" t="s">
        <v>3620</v>
      </c>
      <c r="I1056" s="61">
        <v>46209.5761950694</v>
      </c>
      <c r="J1056" s="61">
        <v>46210.282956099501</v>
      </c>
      <c r="K1056" s="60">
        <v>0.7</v>
      </c>
      <c r="L1056" s="60" t="s">
        <v>183</v>
      </c>
      <c r="M1056" s="60" t="s">
        <v>183</v>
      </c>
      <c r="N1056" s="60" t="b">
        <f>FALSE()</f>
        <v>0</v>
      </c>
      <c r="O1056" s="60"/>
      <c r="P1056" s="60"/>
      <c r="Q1056" s="60" t="s">
        <v>236</v>
      </c>
      <c r="R1056" s="60" t="s">
        <v>236</v>
      </c>
      <c r="S1056" s="60"/>
      <c r="T1056" s="60" t="b">
        <f>FALSE()</f>
        <v>0</v>
      </c>
      <c r="U1056" s="60" t="b">
        <f>FALSE()</f>
        <v>0</v>
      </c>
      <c r="V1056" s="60">
        <v>874</v>
      </c>
      <c r="W1056" s="62" t="s">
        <v>3861</v>
      </c>
      <c r="X1056" s="60">
        <v>4</v>
      </c>
      <c r="Y1056" s="63">
        <v>7</v>
      </c>
      <c r="Z1056" s="60" t="b">
        <f>FALSE()</f>
        <v>0</v>
      </c>
      <c r="AA1056" s="60" t="b">
        <f>TRUE()</f>
        <v>1</v>
      </c>
      <c r="AB1056" s="60" t="b">
        <f>FALSE()</f>
        <v>0</v>
      </c>
      <c r="AC1056" s="60" t="b">
        <f>FALSE()</f>
        <v>0</v>
      </c>
      <c r="AD1056" s="60" t="b">
        <f>FALSE()</f>
        <v>0</v>
      </c>
      <c r="AE1056" s="60">
        <v>1</v>
      </c>
      <c r="AF1056" s="64">
        <v>14.3</v>
      </c>
      <c r="AG1056" s="60" t="s">
        <v>74</v>
      </c>
      <c r="AH1056" s="60" t="s">
        <v>3862</v>
      </c>
      <c r="AI1056">
        <f>IF(AND(OR(Company_Explorer!$B$5="All Companies",$E1056=Company_Explorer!$B$5),OR(Company_Explorer!$B$6="All Platforms",$B1056=Company_Explorer!$B$6),OR(Company_Explorer!$B$7="All Roles",$D1056=Company_Explorer!$B$7),OR(Company_Explorer!$B$8="All Ghost Labels",$AG1056=Company_Explorer!$B$8)),1,0)</f>
        <v>0</v>
      </c>
    </row>
    <row r="1057" spans="1:35" ht="15" customHeight="1" x14ac:dyDescent="0.3">
      <c r="A1057" s="65" t="s">
        <v>3863</v>
      </c>
      <c r="B1057" s="65" t="s">
        <v>81</v>
      </c>
      <c r="C1057" s="65" t="s">
        <v>3837</v>
      </c>
      <c r="D1057" s="65" t="s">
        <v>127</v>
      </c>
      <c r="E1057" s="65" t="s">
        <v>3838</v>
      </c>
      <c r="F1057" s="65" t="b">
        <f>TRUE()</f>
        <v>1</v>
      </c>
      <c r="G1057" s="65" t="s">
        <v>165</v>
      </c>
      <c r="H1057" s="65" t="s">
        <v>3620</v>
      </c>
      <c r="I1057" s="66">
        <v>46210.192312303203</v>
      </c>
      <c r="J1057" s="66">
        <v>46210.282956238399</v>
      </c>
      <c r="K1057" s="65">
        <v>0.1</v>
      </c>
      <c r="L1057" s="65" t="s">
        <v>183</v>
      </c>
      <c r="M1057" s="65" t="s">
        <v>183</v>
      </c>
      <c r="N1057" s="65" t="b">
        <f>FALSE()</f>
        <v>0</v>
      </c>
      <c r="O1057" s="65"/>
      <c r="P1057" s="65"/>
      <c r="Q1057" s="65" t="s">
        <v>236</v>
      </c>
      <c r="R1057" s="65" t="s">
        <v>236</v>
      </c>
      <c r="S1057" s="65"/>
      <c r="T1057" s="65" t="b">
        <f>FALSE()</f>
        <v>0</v>
      </c>
      <c r="U1057" s="65" t="b">
        <f>FALSE()</f>
        <v>0</v>
      </c>
      <c r="V1057" s="65">
        <v>1468</v>
      </c>
      <c r="W1057" s="67" t="s">
        <v>3864</v>
      </c>
      <c r="X1057" s="65">
        <v>2</v>
      </c>
      <c r="Y1057" s="68">
        <v>3.5</v>
      </c>
      <c r="Z1057" s="65" t="b">
        <f>FALSE()</f>
        <v>0</v>
      </c>
      <c r="AA1057" s="65" t="b">
        <f>TRUE()</f>
        <v>1</v>
      </c>
      <c r="AB1057" s="65" t="b">
        <f>FALSE()</f>
        <v>0</v>
      </c>
      <c r="AC1057" s="65" t="b">
        <f>FALSE()</f>
        <v>0</v>
      </c>
      <c r="AD1057" s="65" t="b">
        <f>FALSE()</f>
        <v>0</v>
      </c>
      <c r="AE1057" s="65">
        <v>1</v>
      </c>
      <c r="AF1057" s="69">
        <v>14.3</v>
      </c>
      <c r="AG1057" s="65" t="s">
        <v>74</v>
      </c>
      <c r="AH1057" s="65" t="s">
        <v>3865</v>
      </c>
      <c r="AI1057">
        <f>IF(AND(OR(Company_Explorer!$B$5="All Companies",$E1057=Company_Explorer!$B$5),OR(Company_Explorer!$B$6="All Platforms",$B1057=Company_Explorer!$B$6),OR(Company_Explorer!$B$7="All Roles",$D1057=Company_Explorer!$B$7),OR(Company_Explorer!$B$8="All Ghost Labels",$AG1057=Company_Explorer!$B$8)),1,0)</f>
        <v>0</v>
      </c>
    </row>
    <row r="1058" spans="1:35" ht="15" customHeight="1" x14ac:dyDescent="0.3">
      <c r="A1058" s="60" t="s">
        <v>3866</v>
      </c>
      <c r="B1058" s="60" t="s">
        <v>81</v>
      </c>
      <c r="C1058" s="60" t="s">
        <v>3867</v>
      </c>
      <c r="D1058" s="60" t="s">
        <v>127</v>
      </c>
      <c r="E1058" s="60" t="s">
        <v>3868</v>
      </c>
      <c r="F1058" s="60" t="b">
        <f>TRUE()</f>
        <v>1</v>
      </c>
      <c r="G1058" s="60" t="s">
        <v>165</v>
      </c>
      <c r="H1058" s="60" t="s">
        <v>3620</v>
      </c>
      <c r="I1058" s="61">
        <v>46210.142848923599</v>
      </c>
      <c r="J1058" s="61">
        <v>46210.2829564352</v>
      </c>
      <c r="K1058" s="60">
        <v>0.1</v>
      </c>
      <c r="L1058" s="60" t="s">
        <v>183</v>
      </c>
      <c r="M1058" s="60" t="s">
        <v>183</v>
      </c>
      <c r="N1058" s="60" t="b">
        <f>FALSE()</f>
        <v>0</v>
      </c>
      <c r="O1058" s="60"/>
      <c r="P1058" s="60"/>
      <c r="Q1058" s="60" t="s">
        <v>236</v>
      </c>
      <c r="R1058" s="60" t="s">
        <v>236</v>
      </c>
      <c r="S1058" s="60"/>
      <c r="T1058" s="60" t="b">
        <f>FALSE()</f>
        <v>0</v>
      </c>
      <c r="U1058" s="60" t="b">
        <f>FALSE()</f>
        <v>0</v>
      </c>
      <c r="V1058" s="60">
        <v>556</v>
      </c>
      <c r="W1058" s="62" t="s">
        <v>3869</v>
      </c>
      <c r="X1058" s="60">
        <v>12</v>
      </c>
      <c r="Y1058" s="63">
        <v>21</v>
      </c>
      <c r="Z1058" s="60" t="b">
        <f>FALSE()</f>
        <v>0</v>
      </c>
      <c r="AA1058" s="60" t="b">
        <f>TRUE()</f>
        <v>1</v>
      </c>
      <c r="AB1058" s="60" t="b">
        <f>FALSE()</f>
        <v>0</v>
      </c>
      <c r="AC1058" s="60" t="b">
        <f>FALSE()</f>
        <v>0</v>
      </c>
      <c r="AD1058" s="60" t="b">
        <f>FALSE()</f>
        <v>0</v>
      </c>
      <c r="AE1058" s="60">
        <v>1</v>
      </c>
      <c r="AF1058" s="64">
        <v>14.3</v>
      </c>
      <c r="AG1058" s="60" t="s">
        <v>74</v>
      </c>
      <c r="AH1058" s="60" t="s">
        <v>3870</v>
      </c>
      <c r="AI1058">
        <f>IF(AND(OR(Company_Explorer!$B$5="All Companies",$E1058=Company_Explorer!$B$5),OR(Company_Explorer!$B$6="All Platforms",$B1058=Company_Explorer!$B$6),OR(Company_Explorer!$B$7="All Roles",$D1058=Company_Explorer!$B$7),OR(Company_Explorer!$B$8="All Ghost Labels",$AG1058=Company_Explorer!$B$8)),1,0)</f>
        <v>0</v>
      </c>
    </row>
    <row r="1059" spans="1:35" ht="15" customHeight="1" x14ac:dyDescent="0.3">
      <c r="A1059" s="65" t="s">
        <v>3871</v>
      </c>
      <c r="B1059" s="65" t="s">
        <v>81</v>
      </c>
      <c r="C1059" s="65" t="s">
        <v>3872</v>
      </c>
      <c r="D1059" s="65" t="s">
        <v>126</v>
      </c>
      <c r="E1059" s="65" t="s">
        <v>3873</v>
      </c>
      <c r="F1059" s="65" t="b">
        <f>TRUE()</f>
        <v>1</v>
      </c>
      <c r="G1059" s="65" t="s">
        <v>165</v>
      </c>
      <c r="H1059" s="65" t="s">
        <v>3655</v>
      </c>
      <c r="I1059" s="66">
        <v>46209.7387516319</v>
      </c>
      <c r="J1059" s="66">
        <v>46210.282956493102</v>
      </c>
      <c r="K1059" s="65">
        <v>0.5</v>
      </c>
      <c r="L1059" s="65" t="s">
        <v>183</v>
      </c>
      <c r="M1059" s="65" t="s">
        <v>183</v>
      </c>
      <c r="N1059" s="65" t="b">
        <f>FALSE()</f>
        <v>0</v>
      </c>
      <c r="O1059" s="65"/>
      <c r="P1059" s="65"/>
      <c r="Q1059" s="65" t="s">
        <v>236</v>
      </c>
      <c r="R1059" s="65" t="s">
        <v>236</v>
      </c>
      <c r="S1059" s="65"/>
      <c r="T1059" s="65" t="b">
        <f>FALSE()</f>
        <v>0</v>
      </c>
      <c r="U1059" s="65" t="b">
        <f>FALSE()</f>
        <v>0</v>
      </c>
      <c r="V1059" s="65">
        <v>1040</v>
      </c>
      <c r="W1059" s="67" t="s">
        <v>3874</v>
      </c>
      <c r="X1059" s="65">
        <v>1</v>
      </c>
      <c r="Y1059" s="68">
        <v>1.75</v>
      </c>
      <c r="Z1059" s="65" t="b">
        <f>FALSE()</f>
        <v>0</v>
      </c>
      <c r="AA1059" s="65" t="b">
        <f>TRUE()</f>
        <v>1</v>
      </c>
      <c r="AB1059" s="65" t="b">
        <f>FALSE()</f>
        <v>0</v>
      </c>
      <c r="AC1059" s="65" t="b">
        <f>FALSE()</f>
        <v>0</v>
      </c>
      <c r="AD1059" s="65" t="b">
        <f>FALSE()</f>
        <v>0</v>
      </c>
      <c r="AE1059" s="65">
        <v>1</v>
      </c>
      <c r="AF1059" s="69">
        <v>14.3</v>
      </c>
      <c r="AG1059" s="65" t="s">
        <v>74</v>
      </c>
      <c r="AH1059" s="65" t="s">
        <v>3875</v>
      </c>
      <c r="AI1059">
        <f>IF(AND(OR(Company_Explorer!$B$5="All Companies",$E1059=Company_Explorer!$B$5),OR(Company_Explorer!$B$6="All Platforms",$B1059=Company_Explorer!$B$6),OR(Company_Explorer!$B$7="All Roles",$D1059=Company_Explorer!$B$7),OR(Company_Explorer!$B$8="All Ghost Labels",$AG1059=Company_Explorer!$B$8)),1,0)</f>
        <v>0</v>
      </c>
    </row>
    <row r="1060" spans="1:35" ht="15" customHeight="1" x14ac:dyDescent="0.3">
      <c r="A1060" s="60" t="s">
        <v>3876</v>
      </c>
      <c r="B1060" s="60" t="s">
        <v>81</v>
      </c>
      <c r="C1060" s="60" t="s">
        <v>3877</v>
      </c>
      <c r="D1060" s="60" t="s">
        <v>127</v>
      </c>
      <c r="E1060" s="60" t="s">
        <v>3878</v>
      </c>
      <c r="F1060" s="60" t="b">
        <f>TRUE()</f>
        <v>1</v>
      </c>
      <c r="G1060" s="60" t="s">
        <v>165</v>
      </c>
      <c r="H1060" s="60" t="s">
        <v>3702</v>
      </c>
      <c r="I1060" s="61">
        <v>46209.724855370398</v>
      </c>
      <c r="J1060" s="61">
        <v>46210.282956724499</v>
      </c>
      <c r="K1060" s="60">
        <v>0.6</v>
      </c>
      <c r="L1060" s="60" t="s">
        <v>183</v>
      </c>
      <c r="M1060" s="60" t="s">
        <v>183</v>
      </c>
      <c r="N1060" s="60" t="b">
        <f>FALSE()</f>
        <v>0</v>
      </c>
      <c r="O1060" s="60"/>
      <c r="P1060" s="60"/>
      <c r="Q1060" s="60" t="s">
        <v>236</v>
      </c>
      <c r="R1060" s="60" t="s">
        <v>236</v>
      </c>
      <c r="S1060" s="60"/>
      <c r="T1060" s="60" t="b">
        <f>FALSE()</f>
        <v>0</v>
      </c>
      <c r="U1060" s="60" t="b">
        <f>FALSE()</f>
        <v>0</v>
      </c>
      <c r="V1060" s="60">
        <v>754</v>
      </c>
      <c r="W1060" s="62" t="s">
        <v>3879</v>
      </c>
      <c r="X1060" s="60">
        <v>2</v>
      </c>
      <c r="Y1060" s="63">
        <v>3.5</v>
      </c>
      <c r="Z1060" s="60" t="b">
        <f>FALSE()</f>
        <v>0</v>
      </c>
      <c r="AA1060" s="60" t="b">
        <f>TRUE()</f>
        <v>1</v>
      </c>
      <c r="AB1060" s="60" t="b">
        <f>FALSE()</f>
        <v>0</v>
      </c>
      <c r="AC1060" s="60" t="b">
        <f>FALSE()</f>
        <v>0</v>
      </c>
      <c r="AD1060" s="60" t="b">
        <f>FALSE()</f>
        <v>0</v>
      </c>
      <c r="AE1060" s="60">
        <v>1</v>
      </c>
      <c r="AF1060" s="64">
        <v>14.3</v>
      </c>
      <c r="AG1060" s="60" t="s">
        <v>74</v>
      </c>
      <c r="AH1060" s="60" t="s">
        <v>3880</v>
      </c>
      <c r="AI1060">
        <f>IF(AND(OR(Company_Explorer!$B$5="All Companies",$E1060=Company_Explorer!$B$5),OR(Company_Explorer!$B$6="All Platforms",$B1060=Company_Explorer!$B$6),OR(Company_Explorer!$B$7="All Roles",$D1060=Company_Explorer!$B$7),OR(Company_Explorer!$B$8="All Ghost Labels",$AG1060=Company_Explorer!$B$8)),1,0)</f>
        <v>0</v>
      </c>
    </row>
    <row r="1061" spans="1:35" ht="15" customHeight="1" x14ac:dyDescent="0.3">
      <c r="A1061" s="65" t="s">
        <v>3881</v>
      </c>
      <c r="B1061" s="65" t="s">
        <v>81</v>
      </c>
      <c r="C1061" s="65" t="s">
        <v>3882</v>
      </c>
      <c r="D1061" s="65" t="s">
        <v>126</v>
      </c>
      <c r="E1061" s="65" t="s">
        <v>3860</v>
      </c>
      <c r="F1061" s="65" t="b">
        <f>TRUE()</f>
        <v>1</v>
      </c>
      <c r="G1061" s="65" t="s">
        <v>165</v>
      </c>
      <c r="H1061" s="65" t="s">
        <v>3620</v>
      </c>
      <c r="I1061" s="66">
        <v>46209.575624039397</v>
      </c>
      <c r="J1061" s="66">
        <v>46210.282956678202</v>
      </c>
      <c r="K1061" s="65">
        <v>0.7</v>
      </c>
      <c r="L1061" s="65" t="s">
        <v>183</v>
      </c>
      <c r="M1061" s="65" t="s">
        <v>183</v>
      </c>
      <c r="N1061" s="65" t="b">
        <f>FALSE()</f>
        <v>0</v>
      </c>
      <c r="O1061" s="65"/>
      <c r="P1061" s="65"/>
      <c r="Q1061" s="65" t="s">
        <v>236</v>
      </c>
      <c r="R1061" s="65" t="s">
        <v>236</v>
      </c>
      <c r="S1061" s="65"/>
      <c r="T1061" s="65" t="b">
        <f>FALSE()</f>
        <v>0</v>
      </c>
      <c r="U1061" s="65" t="b">
        <f>FALSE()</f>
        <v>0</v>
      </c>
      <c r="V1061" s="65">
        <v>753</v>
      </c>
      <c r="W1061" s="67" t="s">
        <v>3861</v>
      </c>
      <c r="X1061" s="65">
        <v>4</v>
      </c>
      <c r="Y1061" s="68">
        <v>7</v>
      </c>
      <c r="Z1061" s="65" t="b">
        <f>FALSE()</f>
        <v>0</v>
      </c>
      <c r="AA1061" s="65" t="b">
        <f>TRUE()</f>
        <v>1</v>
      </c>
      <c r="AB1061" s="65" t="b">
        <f>FALSE()</f>
        <v>0</v>
      </c>
      <c r="AC1061" s="65" t="b">
        <f>FALSE()</f>
        <v>0</v>
      </c>
      <c r="AD1061" s="65" t="b">
        <f>FALSE()</f>
        <v>0</v>
      </c>
      <c r="AE1061" s="65">
        <v>1</v>
      </c>
      <c r="AF1061" s="69">
        <v>14.3</v>
      </c>
      <c r="AG1061" s="65" t="s">
        <v>74</v>
      </c>
      <c r="AH1061" s="65" t="s">
        <v>3883</v>
      </c>
      <c r="AI1061">
        <f>IF(AND(OR(Company_Explorer!$B$5="All Companies",$E1061=Company_Explorer!$B$5),OR(Company_Explorer!$B$6="All Platforms",$B1061=Company_Explorer!$B$6),OR(Company_Explorer!$B$7="All Roles",$D1061=Company_Explorer!$B$7),OR(Company_Explorer!$B$8="All Ghost Labels",$AG1061=Company_Explorer!$B$8)),1,0)</f>
        <v>0</v>
      </c>
    </row>
    <row r="1062" spans="1:35" ht="15" customHeight="1" x14ac:dyDescent="0.3">
      <c r="A1062" s="60" t="s">
        <v>3884</v>
      </c>
      <c r="B1062" s="60" t="s">
        <v>81</v>
      </c>
      <c r="C1062" s="60" t="s">
        <v>3885</v>
      </c>
      <c r="D1062" s="60" t="s">
        <v>126</v>
      </c>
      <c r="E1062" s="60" t="s">
        <v>3847</v>
      </c>
      <c r="F1062" s="60" t="b">
        <f>TRUE()</f>
        <v>1</v>
      </c>
      <c r="G1062" s="60" t="s">
        <v>165</v>
      </c>
      <c r="H1062" s="60" t="s">
        <v>3702</v>
      </c>
      <c r="I1062" s="61">
        <v>46209.831365104197</v>
      </c>
      <c r="J1062" s="61">
        <v>46210.282956400501</v>
      </c>
      <c r="K1062" s="60">
        <v>0.5</v>
      </c>
      <c r="L1062" s="60" t="s">
        <v>183</v>
      </c>
      <c r="M1062" s="60" t="s">
        <v>183</v>
      </c>
      <c r="N1062" s="60" t="b">
        <f>FALSE()</f>
        <v>0</v>
      </c>
      <c r="O1062" s="60"/>
      <c r="P1062" s="60"/>
      <c r="Q1062" s="60" t="s">
        <v>236</v>
      </c>
      <c r="R1062" s="60" t="s">
        <v>236</v>
      </c>
      <c r="S1062" s="60"/>
      <c r="T1062" s="60" t="b">
        <f>FALSE()</f>
        <v>0</v>
      </c>
      <c r="U1062" s="60" t="b">
        <f>FALSE()</f>
        <v>0</v>
      </c>
      <c r="V1062" s="60">
        <v>824</v>
      </c>
      <c r="W1062" s="62" t="s">
        <v>3848</v>
      </c>
      <c r="X1062" s="60">
        <v>5</v>
      </c>
      <c r="Y1062" s="63">
        <v>8.75</v>
      </c>
      <c r="Z1062" s="60" t="b">
        <f>FALSE()</f>
        <v>0</v>
      </c>
      <c r="AA1062" s="60" t="b">
        <f>TRUE()</f>
        <v>1</v>
      </c>
      <c r="AB1062" s="60" t="b">
        <f>FALSE()</f>
        <v>0</v>
      </c>
      <c r="AC1062" s="60" t="b">
        <f>FALSE()</f>
        <v>0</v>
      </c>
      <c r="AD1062" s="60" t="b">
        <f>FALSE()</f>
        <v>0</v>
      </c>
      <c r="AE1062" s="60">
        <v>1</v>
      </c>
      <c r="AF1062" s="64">
        <v>14.3</v>
      </c>
      <c r="AG1062" s="60" t="s">
        <v>74</v>
      </c>
      <c r="AH1062" s="60" t="s">
        <v>3886</v>
      </c>
      <c r="AI1062">
        <f>IF(AND(OR(Company_Explorer!$B$5="All Companies",$E1062=Company_Explorer!$B$5),OR(Company_Explorer!$B$6="All Platforms",$B1062=Company_Explorer!$B$6),OR(Company_Explorer!$B$7="All Roles",$D1062=Company_Explorer!$B$7),OR(Company_Explorer!$B$8="All Ghost Labels",$AG1062=Company_Explorer!$B$8)),1,0)</f>
        <v>0</v>
      </c>
    </row>
    <row r="1063" spans="1:35" ht="15" customHeight="1" x14ac:dyDescent="0.3">
      <c r="A1063" s="65" t="s">
        <v>3887</v>
      </c>
      <c r="B1063" s="65" t="s">
        <v>81</v>
      </c>
      <c r="C1063" s="65" t="s">
        <v>3888</v>
      </c>
      <c r="D1063" s="65" t="s">
        <v>126</v>
      </c>
      <c r="E1063" s="65" t="s">
        <v>3847</v>
      </c>
      <c r="F1063" s="65" t="b">
        <f>TRUE()</f>
        <v>1</v>
      </c>
      <c r="G1063" s="65" t="s">
        <v>165</v>
      </c>
      <c r="H1063" s="65" t="s">
        <v>3702</v>
      </c>
      <c r="I1063" s="66">
        <v>46209.8313635417</v>
      </c>
      <c r="J1063" s="66">
        <v>46210.282957407398</v>
      </c>
      <c r="K1063" s="65">
        <v>0.5</v>
      </c>
      <c r="L1063" s="65" t="s">
        <v>183</v>
      </c>
      <c r="M1063" s="65" t="s">
        <v>183</v>
      </c>
      <c r="N1063" s="65" t="b">
        <f>FALSE()</f>
        <v>0</v>
      </c>
      <c r="O1063" s="65"/>
      <c r="P1063" s="65"/>
      <c r="Q1063" s="65" t="s">
        <v>236</v>
      </c>
      <c r="R1063" s="65" t="s">
        <v>236</v>
      </c>
      <c r="S1063" s="65"/>
      <c r="T1063" s="65" t="b">
        <f>FALSE()</f>
        <v>0</v>
      </c>
      <c r="U1063" s="65" t="b">
        <f>FALSE()</f>
        <v>0</v>
      </c>
      <c r="V1063" s="65">
        <v>815</v>
      </c>
      <c r="W1063" s="67" t="s">
        <v>3848</v>
      </c>
      <c r="X1063" s="65">
        <v>5</v>
      </c>
      <c r="Y1063" s="68">
        <v>8.75</v>
      </c>
      <c r="Z1063" s="65" t="b">
        <f>FALSE()</f>
        <v>0</v>
      </c>
      <c r="AA1063" s="65" t="b">
        <f>TRUE()</f>
        <v>1</v>
      </c>
      <c r="AB1063" s="65" t="b">
        <f>FALSE()</f>
        <v>0</v>
      </c>
      <c r="AC1063" s="65" t="b">
        <f>FALSE()</f>
        <v>0</v>
      </c>
      <c r="AD1063" s="65" t="b">
        <f>FALSE()</f>
        <v>0</v>
      </c>
      <c r="AE1063" s="65">
        <v>1</v>
      </c>
      <c r="AF1063" s="69">
        <v>14.3</v>
      </c>
      <c r="AG1063" s="65" t="s">
        <v>74</v>
      </c>
      <c r="AH1063" s="65" t="s">
        <v>3889</v>
      </c>
      <c r="AI1063">
        <f>IF(AND(OR(Company_Explorer!$B$5="All Companies",$E1063=Company_Explorer!$B$5),OR(Company_Explorer!$B$6="All Platforms",$B1063=Company_Explorer!$B$6),OR(Company_Explorer!$B$7="All Roles",$D1063=Company_Explorer!$B$7),OR(Company_Explorer!$B$8="All Ghost Labels",$AG1063=Company_Explorer!$B$8)),1,0)</f>
        <v>0</v>
      </c>
    </row>
    <row r="1064" spans="1:35" ht="15" customHeight="1" x14ac:dyDescent="0.3">
      <c r="A1064" s="60" t="s">
        <v>3890</v>
      </c>
      <c r="B1064" s="60" t="s">
        <v>81</v>
      </c>
      <c r="C1064" s="60" t="s">
        <v>3891</v>
      </c>
      <c r="D1064" s="60" t="s">
        <v>126</v>
      </c>
      <c r="E1064" s="60" t="s">
        <v>3892</v>
      </c>
      <c r="F1064" s="60" t="b">
        <f>TRUE()</f>
        <v>1</v>
      </c>
      <c r="G1064" s="60" t="s">
        <v>165</v>
      </c>
      <c r="H1064" s="60" t="s">
        <v>3678</v>
      </c>
      <c r="I1064" s="61">
        <v>46210.132924641199</v>
      </c>
      <c r="J1064" s="61">
        <v>46210.282957604199</v>
      </c>
      <c r="K1064" s="60">
        <v>0.2</v>
      </c>
      <c r="L1064" s="60" t="s">
        <v>183</v>
      </c>
      <c r="M1064" s="60" t="s">
        <v>183</v>
      </c>
      <c r="N1064" s="60" t="b">
        <f>FALSE()</f>
        <v>0</v>
      </c>
      <c r="O1064" s="60"/>
      <c r="P1064" s="60"/>
      <c r="Q1064" s="60" t="s">
        <v>236</v>
      </c>
      <c r="R1064" s="60" t="s">
        <v>236</v>
      </c>
      <c r="S1064" s="60"/>
      <c r="T1064" s="60" t="b">
        <f>FALSE()</f>
        <v>0</v>
      </c>
      <c r="U1064" s="60" t="b">
        <f>FALSE()</f>
        <v>0</v>
      </c>
      <c r="V1064" s="60">
        <v>760</v>
      </c>
      <c r="W1064" s="60" t="s">
        <v>3893</v>
      </c>
      <c r="X1064" s="60">
        <v>9</v>
      </c>
      <c r="Y1064" s="63">
        <v>15.75</v>
      </c>
      <c r="Z1064" s="60" t="b">
        <f>FALSE()</f>
        <v>0</v>
      </c>
      <c r="AA1064" s="60" t="b">
        <f>TRUE()</f>
        <v>1</v>
      </c>
      <c r="AB1064" s="60" t="b">
        <f>FALSE()</f>
        <v>0</v>
      </c>
      <c r="AC1064" s="60" t="b">
        <f>FALSE()</f>
        <v>0</v>
      </c>
      <c r="AD1064" s="60" t="b">
        <f>FALSE()</f>
        <v>0</v>
      </c>
      <c r="AE1064" s="60">
        <v>1</v>
      </c>
      <c r="AF1064" s="64">
        <v>14.3</v>
      </c>
      <c r="AG1064" s="60" t="s">
        <v>74</v>
      </c>
      <c r="AH1064" s="60" t="s">
        <v>3894</v>
      </c>
      <c r="AI1064">
        <f>IF(AND(OR(Company_Explorer!$B$5="All Companies",$E1064=Company_Explorer!$B$5),OR(Company_Explorer!$B$6="All Platforms",$B1064=Company_Explorer!$B$6),OR(Company_Explorer!$B$7="All Roles",$D1064=Company_Explorer!$B$7),OR(Company_Explorer!$B$8="All Ghost Labels",$AG1064=Company_Explorer!$B$8)),1,0)</f>
        <v>0</v>
      </c>
    </row>
    <row r="1065" spans="1:35" ht="15" customHeight="1" x14ac:dyDescent="0.3">
      <c r="A1065" s="65" t="s">
        <v>3895</v>
      </c>
      <c r="B1065" s="65" t="s">
        <v>81</v>
      </c>
      <c r="C1065" s="65" t="s">
        <v>3867</v>
      </c>
      <c r="D1065" s="65" t="s">
        <v>127</v>
      </c>
      <c r="E1065" s="65" t="s">
        <v>3896</v>
      </c>
      <c r="F1065" s="65" t="b">
        <f>TRUE()</f>
        <v>1</v>
      </c>
      <c r="G1065" s="65" t="s">
        <v>165</v>
      </c>
      <c r="H1065" s="65" t="s">
        <v>3702</v>
      </c>
      <c r="I1065" s="66">
        <v>46209.572758055598</v>
      </c>
      <c r="J1065" s="66">
        <v>46210.282957685202</v>
      </c>
      <c r="K1065" s="65">
        <v>0.7</v>
      </c>
      <c r="L1065" s="65" t="s">
        <v>183</v>
      </c>
      <c r="M1065" s="65" t="s">
        <v>183</v>
      </c>
      <c r="N1065" s="65" t="b">
        <f>FALSE()</f>
        <v>0</v>
      </c>
      <c r="O1065" s="65"/>
      <c r="P1065" s="65"/>
      <c r="Q1065" s="65" t="s">
        <v>236</v>
      </c>
      <c r="R1065" s="65" t="s">
        <v>236</v>
      </c>
      <c r="S1065" s="65"/>
      <c r="T1065" s="65" t="b">
        <f>FALSE()</f>
        <v>0</v>
      </c>
      <c r="U1065" s="65" t="b">
        <f>FALSE()</f>
        <v>0</v>
      </c>
      <c r="V1065" s="65">
        <v>500</v>
      </c>
      <c r="W1065" s="67" t="s">
        <v>3897</v>
      </c>
      <c r="X1065" s="65">
        <v>2</v>
      </c>
      <c r="Y1065" s="68">
        <v>3.5</v>
      </c>
      <c r="Z1065" s="65" t="b">
        <f>FALSE()</f>
        <v>0</v>
      </c>
      <c r="AA1065" s="65" t="b">
        <f>TRUE()</f>
        <v>1</v>
      </c>
      <c r="AB1065" s="65" t="b">
        <f>FALSE()</f>
        <v>0</v>
      </c>
      <c r="AC1065" s="65" t="b">
        <f>FALSE()</f>
        <v>0</v>
      </c>
      <c r="AD1065" s="65" t="b">
        <f>FALSE()</f>
        <v>0</v>
      </c>
      <c r="AE1065" s="65">
        <v>1</v>
      </c>
      <c r="AF1065" s="69">
        <v>14.3</v>
      </c>
      <c r="AG1065" s="65" t="s">
        <v>74</v>
      </c>
      <c r="AH1065" s="65" t="s">
        <v>3898</v>
      </c>
      <c r="AI1065">
        <f>IF(AND(OR(Company_Explorer!$B$5="All Companies",$E1065=Company_Explorer!$B$5),OR(Company_Explorer!$B$6="All Platforms",$B1065=Company_Explorer!$B$6),OR(Company_Explorer!$B$7="All Roles",$D1065=Company_Explorer!$B$7),OR(Company_Explorer!$B$8="All Ghost Labels",$AG1065=Company_Explorer!$B$8)),1,0)</f>
        <v>0</v>
      </c>
    </row>
    <row r="1066" spans="1:35" ht="15" customHeight="1" x14ac:dyDescent="0.3">
      <c r="A1066" s="60" t="s">
        <v>3899</v>
      </c>
      <c r="B1066" s="60" t="s">
        <v>81</v>
      </c>
      <c r="C1066" s="60" t="s">
        <v>3900</v>
      </c>
      <c r="D1066" s="60" t="s">
        <v>126</v>
      </c>
      <c r="E1066" s="60" t="s">
        <v>3901</v>
      </c>
      <c r="F1066" s="60" t="b">
        <f>TRUE()</f>
        <v>1</v>
      </c>
      <c r="G1066" s="60" t="s">
        <v>165</v>
      </c>
      <c r="H1066" s="60" t="s">
        <v>3821</v>
      </c>
      <c r="I1066" s="61">
        <v>46209.567948379598</v>
      </c>
      <c r="J1066" s="61">
        <v>46210.282957719901</v>
      </c>
      <c r="K1066" s="60">
        <v>0.7</v>
      </c>
      <c r="L1066" s="60" t="s">
        <v>183</v>
      </c>
      <c r="M1066" s="60" t="s">
        <v>183</v>
      </c>
      <c r="N1066" s="60" t="b">
        <f>TRUE()</f>
        <v>1</v>
      </c>
      <c r="O1066" s="70">
        <v>25000</v>
      </c>
      <c r="P1066" s="70">
        <v>40000</v>
      </c>
      <c r="Q1066" s="60" t="s">
        <v>3663</v>
      </c>
      <c r="R1066" s="60" t="s">
        <v>3664</v>
      </c>
      <c r="S1066" s="70">
        <v>390000</v>
      </c>
      <c r="T1066" s="60" t="b">
        <f>TRUE()</f>
        <v>1</v>
      </c>
      <c r="U1066" s="60" t="b">
        <f>FALSE()</f>
        <v>0</v>
      </c>
      <c r="V1066" s="60">
        <v>201</v>
      </c>
      <c r="W1066" s="62" t="s">
        <v>3902</v>
      </c>
      <c r="X1066" s="60">
        <v>1</v>
      </c>
      <c r="Y1066" s="63">
        <v>1.75</v>
      </c>
      <c r="Z1066" s="60" t="b">
        <f>FALSE()</f>
        <v>0</v>
      </c>
      <c r="AA1066" s="60" t="b">
        <f>FALSE()</f>
        <v>0</v>
      </c>
      <c r="AB1066" s="60" t="b">
        <f>TRUE()</f>
        <v>1</v>
      </c>
      <c r="AC1066" s="60" t="b">
        <f>FALSE()</f>
        <v>0</v>
      </c>
      <c r="AD1066" s="60" t="b">
        <f>FALSE()</f>
        <v>0</v>
      </c>
      <c r="AE1066" s="60">
        <v>1</v>
      </c>
      <c r="AF1066" s="64">
        <v>14.3</v>
      </c>
      <c r="AG1066" s="60" t="s">
        <v>74</v>
      </c>
      <c r="AH1066" s="60" t="s">
        <v>3903</v>
      </c>
      <c r="AI1066">
        <f>IF(AND(OR(Company_Explorer!$B$5="All Companies",$E1066=Company_Explorer!$B$5),OR(Company_Explorer!$B$6="All Platforms",$B1066=Company_Explorer!$B$6),OR(Company_Explorer!$B$7="All Roles",$D1066=Company_Explorer!$B$7),OR(Company_Explorer!$B$8="All Ghost Labels",$AG1066=Company_Explorer!$B$8)),1,0)</f>
        <v>0</v>
      </c>
    </row>
    <row r="1067" spans="1:35" ht="15" customHeight="1" x14ac:dyDescent="0.3">
      <c r="A1067" s="65" t="s">
        <v>3904</v>
      </c>
      <c r="B1067" s="65" t="s">
        <v>81</v>
      </c>
      <c r="C1067" s="65" t="s">
        <v>3877</v>
      </c>
      <c r="D1067" s="65" t="s">
        <v>127</v>
      </c>
      <c r="E1067" s="65" t="s">
        <v>3878</v>
      </c>
      <c r="F1067" s="65" t="b">
        <f>TRUE()</f>
        <v>1</v>
      </c>
      <c r="G1067" s="65" t="s">
        <v>165</v>
      </c>
      <c r="H1067" s="65" t="s">
        <v>3702</v>
      </c>
      <c r="I1067" s="66">
        <v>46209.724752129601</v>
      </c>
      <c r="J1067" s="66">
        <v>46210.282958263902</v>
      </c>
      <c r="K1067" s="65">
        <v>0.6</v>
      </c>
      <c r="L1067" s="65" t="s">
        <v>183</v>
      </c>
      <c r="M1067" s="65" t="s">
        <v>183</v>
      </c>
      <c r="N1067" s="65" t="b">
        <f>FALSE()</f>
        <v>0</v>
      </c>
      <c r="O1067" s="65"/>
      <c r="P1067" s="65"/>
      <c r="Q1067" s="65" t="s">
        <v>236</v>
      </c>
      <c r="R1067" s="65" t="s">
        <v>236</v>
      </c>
      <c r="S1067" s="65"/>
      <c r="T1067" s="65" t="b">
        <f>FALSE()</f>
        <v>0</v>
      </c>
      <c r="U1067" s="65" t="b">
        <f>FALSE()</f>
        <v>0</v>
      </c>
      <c r="V1067" s="65">
        <v>754</v>
      </c>
      <c r="W1067" s="67" t="s">
        <v>3905</v>
      </c>
      <c r="X1067" s="65">
        <v>2</v>
      </c>
      <c r="Y1067" s="68">
        <v>3.5</v>
      </c>
      <c r="Z1067" s="65" t="b">
        <f>FALSE()</f>
        <v>0</v>
      </c>
      <c r="AA1067" s="65" t="b">
        <f>TRUE()</f>
        <v>1</v>
      </c>
      <c r="AB1067" s="65" t="b">
        <f>FALSE()</f>
        <v>0</v>
      </c>
      <c r="AC1067" s="65" t="b">
        <f>FALSE()</f>
        <v>0</v>
      </c>
      <c r="AD1067" s="65" t="b">
        <f>FALSE()</f>
        <v>0</v>
      </c>
      <c r="AE1067" s="65">
        <v>1</v>
      </c>
      <c r="AF1067" s="69">
        <v>14.3</v>
      </c>
      <c r="AG1067" s="65" t="s">
        <v>74</v>
      </c>
      <c r="AH1067" s="65" t="s">
        <v>3906</v>
      </c>
      <c r="AI1067">
        <f>IF(AND(OR(Company_Explorer!$B$5="All Companies",$E1067=Company_Explorer!$B$5),OR(Company_Explorer!$B$6="All Platforms",$B1067=Company_Explorer!$B$6),OR(Company_Explorer!$B$7="All Roles",$D1067=Company_Explorer!$B$7),OR(Company_Explorer!$B$8="All Ghost Labels",$AG1067=Company_Explorer!$B$8)),1,0)</f>
        <v>0</v>
      </c>
    </row>
    <row r="1068" spans="1:35" ht="15" customHeight="1" x14ac:dyDescent="0.3">
      <c r="A1068" s="60" t="s">
        <v>3907</v>
      </c>
      <c r="B1068" s="60" t="s">
        <v>81</v>
      </c>
      <c r="C1068" s="60" t="s">
        <v>3908</v>
      </c>
      <c r="D1068" s="60" t="s">
        <v>126</v>
      </c>
      <c r="E1068" s="60" t="s">
        <v>3909</v>
      </c>
      <c r="F1068" s="60" t="b">
        <f>TRUE()</f>
        <v>1</v>
      </c>
      <c r="G1068" s="60" t="s">
        <v>165</v>
      </c>
      <c r="H1068" s="60" t="s">
        <v>3655</v>
      </c>
      <c r="I1068" s="61">
        <v>46209.8050981829</v>
      </c>
      <c r="J1068" s="61">
        <v>46210.282957939802</v>
      </c>
      <c r="K1068" s="60">
        <v>0.5</v>
      </c>
      <c r="L1068" s="60" t="s">
        <v>183</v>
      </c>
      <c r="M1068" s="60" t="s">
        <v>183</v>
      </c>
      <c r="N1068" s="60" t="b">
        <f>FALSE()</f>
        <v>0</v>
      </c>
      <c r="O1068" s="60"/>
      <c r="P1068" s="60"/>
      <c r="Q1068" s="60" t="s">
        <v>236</v>
      </c>
      <c r="R1068" s="60" t="s">
        <v>236</v>
      </c>
      <c r="S1068" s="60"/>
      <c r="T1068" s="60" t="b">
        <f>FALSE()</f>
        <v>0</v>
      </c>
      <c r="U1068" s="60" t="b">
        <f>FALSE()</f>
        <v>0</v>
      </c>
      <c r="V1068" s="60">
        <v>395</v>
      </c>
      <c r="W1068" s="60" t="s">
        <v>3910</v>
      </c>
      <c r="X1068" s="60">
        <v>1</v>
      </c>
      <c r="Y1068" s="63">
        <v>1.75</v>
      </c>
      <c r="Z1068" s="60" t="b">
        <f>FALSE()</f>
        <v>0</v>
      </c>
      <c r="AA1068" s="60" t="b">
        <f>TRUE()</f>
        <v>1</v>
      </c>
      <c r="AB1068" s="60" t="b">
        <f>FALSE()</f>
        <v>0</v>
      </c>
      <c r="AC1068" s="60" t="b">
        <f>FALSE()</f>
        <v>0</v>
      </c>
      <c r="AD1068" s="60" t="b">
        <f>FALSE()</f>
        <v>0</v>
      </c>
      <c r="AE1068" s="60">
        <v>1</v>
      </c>
      <c r="AF1068" s="64">
        <v>14.3</v>
      </c>
      <c r="AG1068" s="60" t="s">
        <v>74</v>
      </c>
      <c r="AH1068" s="60" t="s">
        <v>3911</v>
      </c>
      <c r="AI1068">
        <f>IF(AND(OR(Company_Explorer!$B$5="All Companies",$E1068=Company_Explorer!$B$5),OR(Company_Explorer!$B$6="All Platforms",$B1068=Company_Explorer!$B$6),OR(Company_Explorer!$B$7="All Roles",$D1068=Company_Explorer!$B$7),OR(Company_Explorer!$B$8="All Ghost Labels",$AG1068=Company_Explorer!$B$8)),1,0)</f>
        <v>0</v>
      </c>
    </row>
    <row r="1069" spans="1:35" ht="15" customHeight="1" x14ac:dyDescent="0.3">
      <c r="A1069" s="65" t="s">
        <v>3912</v>
      </c>
      <c r="B1069" s="65" t="s">
        <v>81</v>
      </c>
      <c r="C1069" s="65" t="s">
        <v>3913</v>
      </c>
      <c r="D1069" s="65" t="s">
        <v>127</v>
      </c>
      <c r="E1069" s="65" t="s">
        <v>3914</v>
      </c>
      <c r="F1069" s="65" t="b">
        <f>TRUE()</f>
        <v>1</v>
      </c>
      <c r="G1069" s="65" t="s">
        <v>165</v>
      </c>
      <c r="H1069" s="65" t="s">
        <v>3672</v>
      </c>
      <c r="I1069" s="66">
        <v>46210.104608217604</v>
      </c>
      <c r="J1069" s="66">
        <v>46210.282958553202</v>
      </c>
      <c r="K1069" s="65">
        <v>0.2</v>
      </c>
      <c r="L1069" s="65" t="s">
        <v>183</v>
      </c>
      <c r="M1069" s="65" t="s">
        <v>183</v>
      </c>
      <c r="N1069" s="65" t="b">
        <f>FALSE()</f>
        <v>0</v>
      </c>
      <c r="O1069" s="65"/>
      <c r="P1069" s="65"/>
      <c r="Q1069" s="65" t="s">
        <v>236</v>
      </c>
      <c r="R1069" s="65" t="s">
        <v>236</v>
      </c>
      <c r="S1069" s="65"/>
      <c r="T1069" s="65" t="b">
        <f>FALSE()</f>
        <v>0</v>
      </c>
      <c r="U1069" s="65" t="b">
        <f>FALSE()</f>
        <v>0</v>
      </c>
      <c r="V1069" s="65">
        <v>401</v>
      </c>
      <c r="W1069" s="67" t="s">
        <v>3915</v>
      </c>
      <c r="X1069" s="65">
        <v>3</v>
      </c>
      <c r="Y1069" s="68">
        <v>5.25</v>
      </c>
      <c r="Z1069" s="65" t="b">
        <f>FALSE()</f>
        <v>0</v>
      </c>
      <c r="AA1069" s="65" t="b">
        <f>TRUE()</f>
        <v>1</v>
      </c>
      <c r="AB1069" s="65" t="b">
        <f>FALSE()</f>
        <v>0</v>
      </c>
      <c r="AC1069" s="65" t="b">
        <f>FALSE()</f>
        <v>0</v>
      </c>
      <c r="AD1069" s="65" t="b">
        <f>FALSE()</f>
        <v>0</v>
      </c>
      <c r="AE1069" s="65">
        <v>1</v>
      </c>
      <c r="AF1069" s="69">
        <v>14.3</v>
      </c>
      <c r="AG1069" s="65" t="s">
        <v>74</v>
      </c>
      <c r="AH1069" s="65" t="s">
        <v>3916</v>
      </c>
      <c r="AI1069">
        <f>IF(AND(OR(Company_Explorer!$B$5="All Companies",$E1069=Company_Explorer!$B$5),OR(Company_Explorer!$B$6="All Platforms",$B1069=Company_Explorer!$B$6),OR(Company_Explorer!$B$7="All Roles",$D1069=Company_Explorer!$B$7),OR(Company_Explorer!$B$8="All Ghost Labels",$AG1069=Company_Explorer!$B$8)),1,0)</f>
        <v>0</v>
      </c>
    </row>
    <row r="1070" spans="1:35" ht="15" customHeight="1" x14ac:dyDescent="0.3">
      <c r="A1070" s="60" t="s">
        <v>3917</v>
      </c>
      <c r="B1070" s="60" t="s">
        <v>81</v>
      </c>
      <c r="C1070" s="60" t="s">
        <v>3918</v>
      </c>
      <c r="D1070" s="60" t="s">
        <v>126</v>
      </c>
      <c r="E1070" s="60" t="s">
        <v>3919</v>
      </c>
      <c r="F1070" s="60" t="b">
        <f>TRUE()</f>
        <v>1</v>
      </c>
      <c r="G1070" s="60" t="s">
        <v>165</v>
      </c>
      <c r="H1070" s="60" t="s">
        <v>165</v>
      </c>
      <c r="I1070" s="61">
        <v>46209.566020844897</v>
      </c>
      <c r="J1070" s="61">
        <v>46210.282958645803</v>
      </c>
      <c r="K1070" s="60">
        <v>0.7</v>
      </c>
      <c r="L1070" s="60" t="s">
        <v>183</v>
      </c>
      <c r="M1070" s="60" t="s">
        <v>183</v>
      </c>
      <c r="N1070" s="60" t="b">
        <f>FALSE()</f>
        <v>0</v>
      </c>
      <c r="O1070" s="60"/>
      <c r="P1070" s="60"/>
      <c r="Q1070" s="60" t="s">
        <v>236</v>
      </c>
      <c r="R1070" s="60" t="s">
        <v>236</v>
      </c>
      <c r="S1070" s="60"/>
      <c r="T1070" s="60" t="b">
        <f>FALSE()</f>
        <v>0</v>
      </c>
      <c r="U1070" s="60" t="b">
        <f>FALSE()</f>
        <v>0</v>
      </c>
      <c r="V1070" s="60">
        <v>757</v>
      </c>
      <c r="W1070" s="62" t="s">
        <v>3920</v>
      </c>
      <c r="X1070" s="60">
        <v>2</v>
      </c>
      <c r="Y1070" s="63">
        <v>3.5</v>
      </c>
      <c r="Z1070" s="60" t="b">
        <f>FALSE()</f>
        <v>0</v>
      </c>
      <c r="AA1070" s="60" t="b">
        <f>TRUE()</f>
        <v>1</v>
      </c>
      <c r="AB1070" s="60" t="b">
        <f>FALSE()</f>
        <v>0</v>
      </c>
      <c r="AC1070" s="60" t="b">
        <f>FALSE()</f>
        <v>0</v>
      </c>
      <c r="AD1070" s="60" t="b">
        <f>FALSE()</f>
        <v>0</v>
      </c>
      <c r="AE1070" s="60">
        <v>1</v>
      </c>
      <c r="AF1070" s="64">
        <v>14.3</v>
      </c>
      <c r="AG1070" s="60" t="s">
        <v>74</v>
      </c>
      <c r="AH1070" s="60" t="s">
        <v>3921</v>
      </c>
      <c r="AI1070">
        <f>IF(AND(OR(Company_Explorer!$B$5="All Companies",$E1070=Company_Explorer!$B$5),OR(Company_Explorer!$B$6="All Platforms",$B1070=Company_Explorer!$B$6),OR(Company_Explorer!$B$7="All Roles",$D1070=Company_Explorer!$B$7),OR(Company_Explorer!$B$8="All Ghost Labels",$AG1070=Company_Explorer!$B$8)),1,0)</f>
        <v>0</v>
      </c>
    </row>
    <row r="1071" spans="1:35" ht="15" customHeight="1" x14ac:dyDescent="0.3">
      <c r="A1071" s="65" t="s">
        <v>3922</v>
      </c>
      <c r="B1071" s="65" t="s">
        <v>81</v>
      </c>
      <c r="C1071" s="65" t="s">
        <v>3717</v>
      </c>
      <c r="D1071" s="65" t="s">
        <v>136</v>
      </c>
      <c r="E1071" s="65" t="s">
        <v>3718</v>
      </c>
      <c r="F1071" s="65" t="b">
        <f>TRUE()</f>
        <v>1</v>
      </c>
      <c r="G1071" s="65" t="s">
        <v>165</v>
      </c>
      <c r="H1071" s="65" t="s">
        <v>3620</v>
      </c>
      <c r="I1071" s="66">
        <v>46209.800330127298</v>
      </c>
      <c r="J1071" s="66">
        <v>46210.282958726901</v>
      </c>
      <c r="K1071" s="65">
        <v>0.5</v>
      </c>
      <c r="L1071" s="65" t="s">
        <v>183</v>
      </c>
      <c r="M1071" s="65" t="s">
        <v>183</v>
      </c>
      <c r="N1071" s="65" t="b">
        <f>FALSE()</f>
        <v>0</v>
      </c>
      <c r="O1071" s="65"/>
      <c r="P1071" s="65"/>
      <c r="Q1071" s="65" t="s">
        <v>236</v>
      </c>
      <c r="R1071" s="65" t="s">
        <v>236</v>
      </c>
      <c r="S1071" s="65"/>
      <c r="T1071" s="65" t="b">
        <f>FALSE()</f>
        <v>0</v>
      </c>
      <c r="U1071" s="65" t="b">
        <f>FALSE()</f>
        <v>0</v>
      </c>
      <c r="V1071" s="65">
        <v>1015</v>
      </c>
      <c r="W1071" s="67" t="s">
        <v>3719</v>
      </c>
      <c r="X1071" s="65">
        <v>7</v>
      </c>
      <c r="Y1071" s="68">
        <v>12.25</v>
      </c>
      <c r="Z1071" s="65" t="b">
        <f>FALSE()</f>
        <v>0</v>
      </c>
      <c r="AA1071" s="65" t="b">
        <f>TRUE()</f>
        <v>1</v>
      </c>
      <c r="AB1071" s="65" t="b">
        <f>FALSE()</f>
        <v>0</v>
      </c>
      <c r="AC1071" s="65" t="b">
        <f>FALSE()</f>
        <v>0</v>
      </c>
      <c r="AD1071" s="65" t="b">
        <f>FALSE()</f>
        <v>0</v>
      </c>
      <c r="AE1071" s="65">
        <v>1</v>
      </c>
      <c r="AF1071" s="69">
        <v>14.3</v>
      </c>
      <c r="AG1071" s="65" t="s">
        <v>74</v>
      </c>
      <c r="AH1071" s="65" t="s">
        <v>3923</v>
      </c>
      <c r="AI1071">
        <f>IF(AND(OR(Company_Explorer!$B$5="All Companies",$E1071=Company_Explorer!$B$5),OR(Company_Explorer!$B$6="All Platforms",$B1071=Company_Explorer!$B$6),OR(Company_Explorer!$B$7="All Roles",$D1071=Company_Explorer!$B$7),OR(Company_Explorer!$B$8="All Ghost Labels",$AG1071=Company_Explorer!$B$8)),1,0)</f>
        <v>0</v>
      </c>
    </row>
    <row r="1072" spans="1:35" ht="15" customHeight="1" x14ac:dyDescent="0.3">
      <c r="A1072" s="60" t="s">
        <v>3924</v>
      </c>
      <c r="B1072" s="60" t="s">
        <v>81</v>
      </c>
      <c r="C1072" s="60" t="s">
        <v>3925</v>
      </c>
      <c r="D1072" s="60" t="s">
        <v>126</v>
      </c>
      <c r="E1072" s="60" t="s">
        <v>3926</v>
      </c>
      <c r="F1072" s="60" t="b">
        <f>TRUE()</f>
        <v>1</v>
      </c>
      <c r="G1072" s="60" t="s">
        <v>165</v>
      </c>
      <c r="H1072" s="60" t="s">
        <v>3620</v>
      </c>
      <c r="I1072" s="61">
        <v>46209.724070324097</v>
      </c>
      <c r="J1072" s="61">
        <v>46210.282958784701</v>
      </c>
      <c r="K1072" s="60">
        <v>0.6</v>
      </c>
      <c r="L1072" s="60" t="s">
        <v>183</v>
      </c>
      <c r="M1072" s="60" t="s">
        <v>183</v>
      </c>
      <c r="N1072" s="60" t="b">
        <f>FALSE()</f>
        <v>0</v>
      </c>
      <c r="O1072" s="60"/>
      <c r="P1072" s="60"/>
      <c r="Q1072" s="60" t="s">
        <v>236</v>
      </c>
      <c r="R1072" s="60" t="s">
        <v>236</v>
      </c>
      <c r="S1072" s="60"/>
      <c r="T1072" s="60" t="b">
        <f>FALSE()</f>
        <v>0</v>
      </c>
      <c r="U1072" s="60" t="b">
        <f>FALSE()</f>
        <v>0</v>
      </c>
      <c r="V1072" s="60">
        <v>800</v>
      </c>
      <c r="W1072" s="62" t="s">
        <v>3927</v>
      </c>
      <c r="X1072" s="60">
        <v>2</v>
      </c>
      <c r="Y1072" s="63">
        <v>3.5</v>
      </c>
      <c r="Z1072" s="60" t="b">
        <f>FALSE()</f>
        <v>0</v>
      </c>
      <c r="AA1072" s="60" t="b">
        <f>TRUE()</f>
        <v>1</v>
      </c>
      <c r="AB1072" s="60" t="b">
        <f>FALSE()</f>
        <v>0</v>
      </c>
      <c r="AC1072" s="60" t="b">
        <f>FALSE()</f>
        <v>0</v>
      </c>
      <c r="AD1072" s="60" t="b">
        <f>FALSE()</f>
        <v>0</v>
      </c>
      <c r="AE1072" s="60">
        <v>1</v>
      </c>
      <c r="AF1072" s="64">
        <v>14.3</v>
      </c>
      <c r="AG1072" s="60" t="s">
        <v>74</v>
      </c>
      <c r="AH1072" s="60" t="s">
        <v>3928</v>
      </c>
      <c r="AI1072">
        <f>IF(AND(OR(Company_Explorer!$B$5="All Companies",$E1072=Company_Explorer!$B$5),OR(Company_Explorer!$B$6="All Platforms",$B1072=Company_Explorer!$B$6),OR(Company_Explorer!$B$7="All Roles",$D1072=Company_Explorer!$B$7),OR(Company_Explorer!$B$8="All Ghost Labels",$AG1072=Company_Explorer!$B$8)),1,0)</f>
        <v>0</v>
      </c>
    </row>
    <row r="1073" spans="1:35" ht="15" customHeight="1" x14ac:dyDescent="0.3">
      <c r="A1073" s="65" t="s">
        <v>3929</v>
      </c>
      <c r="B1073" s="65" t="s">
        <v>81</v>
      </c>
      <c r="C1073" s="65" t="s">
        <v>3930</v>
      </c>
      <c r="D1073" s="65" t="s">
        <v>135</v>
      </c>
      <c r="E1073" s="65" t="s">
        <v>3931</v>
      </c>
      <c r="F1073" s="65" t="b">
        <f>TRUE()</f>
        <v>1</v>
      </c>
      <c r="G1073" s="65" t="s">
        <v>165</v>
      </c>
      <c r="H1073" s="65" t="s">
        <v>3620</v>
      </c>
      <c r="I1073" s="66">
        <v>46210.086974120401</v>
      </c>
      <c r="J1073" s="66">
        <v>46210.282959282398</v>
      </c>
      <c r="K1073" s="65">
        <v>0.2</v>
      </c>
      <c r="L1073" s="65" t="s">
        <v>183</v>
      </c>
      <c r="M1073" s="65" t="s">
        <v>183</v>
      </c>
      <c r="N1073" s="65" t="b">
        <f>FALSE()</f>
        <v>0</v>
      </c>
      <c r="O1073" s="65"/>
      <c r="P1073" s="65"/>
      <c r="Q1073" s="65" t="s">
        <v>236</v>
      </c>
      <c r="R1073" s="65" t="s">
        <v>236</v>
      </c>
      <c r="S1073" s="65"/>
      <c r="T1073" s="65" t="b">
        <f>FALSE()</f>
        <v>0</v>
      </c>
      <c r="U1073" s="65" t="b">
        <f>FALSE()</f>
        <v>0</v>
      </c>
      <c r="V1073" s="65">
        <v>677</v>
      </c>
      <c r="W1073" s="65" t="s">
        <v>3932</v>
      </c>
      <c r="X1073" s="65">
        <v>3</v>
      </c>
      <c r="Y1073" s="68">
        <v>5.25</v>
      </c>
      <c r="Z1073" s="65" t="b">
        <f>FALSE()</f>
        <v>0</v>
      </c>
      <c r="AA1073" s="65" t="b">
        <f>TRUE()</f>
        <v>1</v>
      </c>
      <c r="AB1073" s="65" t="b">
        <f>FALSE()</f>
        <v>0</v>
      </c>
      <c r="AC1073" s="65" t="b">
        <f>FALSE()</f>
        <v>0</v>
      </c>
      <c r="AD1073" s="65" t="b">
        <f>FALSE()</f>
        <v>0</v>
      </c>
      <c r="AE1073" s="65">
        <v>1</v>
      </c>
      <c r="AF1073" s="69">
        <v>14.3</v>
      </c>
      <c r="AG1073" s="65" t="s">
        <v>74</v>
      </c>
      <c r="AH1073" s="65" t="s">
        <v>3933</v>
      </c>
      <c r="AI1073">
        <f>IF(AND(OR(Company_Explorer!$B$5="All Companies",$E1073=Company_Explorer!$B$5),OR(Company_Explorer!$B$6="All Platforms",$B1073=Company_Explorer!$B$6),OR(Company_Explorer!$B$7="All Roles",$D1073=Company_Explorer!$B$7),OR(Company_Explorer!$B$8="All Ghost Labels",$AG1073=Company_Explorer!$B$8)),1,0)</f>
        <v>0</v>
      </c>
    </row>
    <row r="1074" spans="1:35" ht="15" customHeight="1" x14ac:dyDescent="0.3">
      <c r="A1074" s="60" t="s">
        <v>3934</v>
      </c>
      <c r="B1074" s="60" t="s">
        <v>81</v>
      </c>
      <c r="C1074" s="60" t="s">
        <v>3935</v>
      </c>
      <c r="D1074" s="60" t="s">
        <v>126</v>
      </c>
      <c r="E1074" s="60" t="s">
        <v>3936</v>
      </c>
      <c r="F1074" s="60" t="b">
        <f>TRUE()</f>
        <v>1</v>
      </c>
      <c r="G1074" s="60" t="s">
        <v>165</v>
      </c>
      <c r="H1074" s="60" t="s">
        <v>3620</v>
      </c>
      <c r="I1074" s="61">
        <v>46209.5642050116</v>
      </c>
      <c r="J1074" s="61">
        <v>46210.282959363401</v>
      </c>
      <c r="K1074" s="60">
        <v>0.7</v>
      </c>
      <c r="L1074" s="60" t="s">
        <v>183</v>
      </c>
      <c r="M1074" s="60" t="s">
        <v>183</v>
      </c>
      <c r="N1074" s="60" t="b">
        <f>FALSE()</f>
        <v>0</v>
      </c>
      <c r="O1074" s="60"/>
      <c r="P1074" s="60"/>
      <c r="Q1074" s="60" t="s">
        <v>236</v>
      </c>
      <c r="R1074" s="60" t="s">
        <v>236</v>
      </c>
      <c r="S1074" s="60"/>
      <c r="T1074" s="60" t="b">
        <f>FALSE()</f>
        <v>0</v>
      </c>
      <c r="U1074" s="60" t="b">
        <f>FALSE()</f>
        <v>0</v>
      </c>
      <c r="V1074" s="60">
        <v>919</v>
      </c>
      <c r="W1074" s="62" t="s">
        <v>3937</v>
      </c>
      <c r="X1074" s="60">
        <v>1</v>
      </c>
      <c r="Y1074" s="63">
        <v>1.75</v>
      </c>
      <c r="Z1074" s="60" t="b">
        <f>FALSE()</f>
        <v>0</v>
      </c>
      <c r="AA1074" s="60" t="b">
        <f>TRUE()</f>
        <v>1</v>
      </c>
      <c r="AB1074" s="60" t="b">
        <f>FALSE()</f>
        <v>0</v>
      </c>
      <c r="AC1074" s="60" t="b">
        <f>FALSE()</f>
        <v>0</v>
      </c>
      <c r="AD1074" s="60" t="b">
        <f>FALSE()</f>
        <v>0</v>
      </c>
      <c r="AE1074" s="60">
        <v>1</v>
      </c>
      <c r="AF1074" s="64">
        <v>14.3</v>
      </c>
      <c r="AG1074" s="60" t="s">
        <v>74</v>
      </c>
      <c r="AH1074" s="60" t="s">
        <v>3938</v>
      </c>
      <c r="AI1074">
        <f>IF(AND(OR(Company_Explorer!$B$5="All Companies",$E1074=Company_Explorer!$B$5),OR(Company_Explorer!$B$6="All Platforms",$B1074=Company_Explorer!$B$6),OR(Company_Explorer!$B$7="All Roles",$D1074=Company_Explorer!$B$7),OR(Company_Explorer!$B$8="All Ghost Labels",$AG1074=Company_Explorer!$B$8)),1,0)</f>
        <v>0</v>
      </c>
    </row>
    <row r="1075" spans="1:35" ht="15" customHeight="1" x14ac:dyDescent="0.3">
      <c r="A1075" s="65" t="s">
        <v>3939</v>
      </c>
      <c r="B1075" s="65" t="s">
        <v>81</v>
      </c>
      <c r="C1075" s="65" t="s">
        <v>3930</v>
      </c>
      <c r="D1075" s="65" t="s">
        <v>135</v>
      </c>
      <c r="E1075" s="65" t="s">
        <v>3931</v>
      </c>
      <c r="F1075" s="65" t="b">
        <f>TRUE()</f>
        <v>1</v>
      </c>
      <c r="G1075" s="65" t="s">
        <v>165</v>
      </c>
      <c r="H1075" s="65" t="s">
        <v>3620</v>
      </c>
      <c r="I1075" s="66">
        <v>46210.086970416698</v>
      </c>
      <c r="J1075" s="66">
        <v>46210.282959722201</v>
      </c>
      <c r="K1075" s="65">
        <v>0.2</v>
      </c>
      <c r="L1075" s="65" t="s">
        <v>183</v>
      </c>
      <c r="M1075" s="65" t="s">
        <v>183</v>
      </c>
      <c r="N1075" s="65" t="b">
        <f>FALSE()</f>
        <v>0</v>
      </c>
      <c r="O1075" s="65"/>
      <c r="P1075" s="65"/>
      <c r="Q1075" s="65" t="s">
        <v>236</v>
      </c>
      <c r="R1075" s="65" t="s">
        <v>236</v>
      </c>
      <c r="S1075" s="65"/>
      <c r="T1075" s="65" t="b">
        <f>FALSE()</f>
        <v>0</v>
      </c>
      <c r="U1075" s="65" t="b">
        <f>FALSE()</f>
        <v>0</v>
      </c>
      <c r="V1075" s="65">
        <v>635</v>
      </c>
      <c r="W1075" s="65" t="s">
        <v>3932</v>
      </c>
      <c r="X1075" s="65">
        <v>3</v>
      </c>
      <c r="Y1075" s="68">
        <v>5.25</v>
      </c>
      <c r="Z1075" s="65" t="b">
        <f>FALSE()</f>
        <v>0</v>
      </c>
      <c r="AA1075" s="65" t="b">
        <f>TRUE()</f>
        <v>1</v>
      </c>
      <c r="AB1075" s="65" t="b">
        <f>FALSE()</f>
        <v>0</v>
      </c>
      <c r="AC1075" s="65" t="b">
        <f>FALSE()</f>
        <v>0</v>
      </c>
      <c r="AD1075" s="65" t="b">
        <f>FALSE()</f>
        <v>0</v>
      </c>
      <c r="AE1075" s="65">
        <v>1</v>
      </c>
      <c r="AF1075" s="69">
        <v>14.3</v>
      </c>
      <c r="AG1075" s="65" t="s">
        <v>74</v>
      </c>
      <c r="AH1075" s="65" t="s">
        <v>3940</v>
      </c>
      <c r="AI1075">
        <f>IF(AND(OR(Company_Explorer!$B$5="All Companies",$E1075=Company_Explorer!$B$5),OR(Company_Explorer!$B$6="All Platforms",$B1075=Company_Explorer!$B$6),OR(Company_Explorer!$B$7="All Roles",$D1075=Company_Explorer!$B$7),OR(Company_Explorer!$B$8="All Ghost Labels",$AG1075=Company_Explorer!$B$8)),1,0)</f>
        <v>0</v>
      </c>
    </row>
    <row r="1076" spans="1:35" ht="15" customHeight="1" x14ac:dyDescent="0.3">
      <c r="A1076" s="60" t="s">
        <v>3941</v>
      </c>
      <c r="B1076" s="60" t="s">
        <v>81</v>
      </c>
      <c r="C1076" s="60" t="s">
        <v>127</v>
      </c>
      <c r="D1076" s="60" t="s">
        <v>127</v>
      </c>
      <c r="E1076" s="60" t="s">
        <v>3942</v>
      </c>
      <c r="F1076" s="60" t="b">
        <f>TRUE()</f>
        <v>1</v>
      </c>
      <c r="G1076" s="60" t="s">
        <v>165</v>
      </c>
      <c r="H1076" s="60" t="s">
        <v>3655</v>
      </c>
      <c r="I1076" s="61">
        <v>46210.074411481502</v>
      </c>
      <c r="J1076" s="61">
        <v>46210.282960057899</v>
      </c>
      <c r="K1076" s="60">
        <v>0.2</v>
      </c>
      <c r="L1076" s="60" t="s">
        <v>183</v>
      </c>
      <c r="M1076" s="60" t="s">
        <v>183</v>
      </c>
      <c r="N1076" s="60" t="b">
        <f>FALSE()</f>
        <v>0</v>
      </c>
      <c r="O1076" s="60"/>
      <c r="P1076" s="60"/>
      <c r="Q1076" s="60" t="s">
        <v>236</v>
      </c>
      <c r="R1076" s="60" t="s">
        <v>236</v>
      </c>
      <c r="S1076" s="60"/>
      <c r="T1076" s="60" t="b">
        <f>FALSE()</f>
        <v>0</v>
      </c>
      <c r="U1076" s="60" t="b">
        <f>FALSE()</f>
        <v>0</v>
      </c>
      <c r="V1076" s="60">
        <v>208</v>
      </c>
      <c r="W1076" s="62" t="s">
        <v>3943</v>
      </c>
      <c r="X1076" s="60">
        <v>1</v>
      </c>
      <c r="Y1076" s="63">
        <v>1.75</v>
      </c>
      <c r="Z1076" s="60" t="b">
        <f>FALSE()</f>
        <v>0</v>
      </c>
      <c r="AA1076" s="60" t="b">
        <f>TRUE()</f>
        <v>1</v>
      </c>
      <c r="AB1076" s="60" t="b">
        <f>TRUE()</f>
        <v>1</v>
      </c>
      <c r="AC1076" s="60" t="b">
        <f>FALSE()</f>
        <v>0</v>
      </c>
      <c r="AD1076" s="60" t="b">
        <f>FALSE()</f>
        <v>0</v>
      </c>
      <c r="AE1076" s="60">
        <v>2</v>
      </c>
      <c r="AF1076" s="64">
        <v>28.6</v>
      </c>
      <c r="AG1076" s="60" t="s">
        <v>73</v>
      </c>
      <c r="AH1076" s="60" t="s">
        <v>3944</v>
      </c>
      <c r="AI1076">
        <f>IF(AND(OR(Company_Explorer!$B$5="All Companies",$E1076=Company_Explorer!$B$5),OR(Company_Explorer!$B$6="All Platforms",$B1076=Company_Explorer!$B$6),OR(Company_Explorer!$B$7="All Roles",$D1076=Company_Explorer!$B$7),OR(Company_Explorer!$B$8="All Ghost Labels",$AG1076=Company_Explorer!$B$8)),1,0)</f>
        <v>0</v>
      </c>
    </row>
    <row r="1077" spans="1:35" ht="15" customHeight="1" x14ac:dyDescent="0.3">
      <c r="A1077" s="65" t="s">
        <v>3945</v>
      </c>
      <c r="B1077" s="65" t="s">
        <v>81</v>
      </c>
      <c r="C1077" s="65" t="s">
        <v>3946</v>
      </c>
      <c r="D1077" s="65" t="s">
        <v>126</v>
      </c>
      <c r="E1077" s="65" t="s">
        <v>3947</v>
      </c>
      <c r="F1077" s="65" t="b">
        <f>TRUE()</f>
        <v>1</v>
      </c>
      <c r="G1077" s="65" t="s">
        <v>165</v>
      </c>
      <c r="H1077" s="65" t="s">
        <v>3702</v>
      </c>
      <c r="I1077" s="66">
        <v>46209.717126400501</v>
      </c>
      <c r="J1077" s="66">
        <v>46210.282959988399</v>
      </c>
      <c r="K1077" s="65">
        <v>0.6</v>
      </c>
      <c r="L1077" s="65" t="s">
        <v>183</v>
      </c>
      <c r="M1077" s="65" t="s">
        <v>183</v>
      </c>
      <c r="N1077" s="65" t="b">
        <f>FALSE()</f>
        <v>0</v>
      </c>
      <c r="O1077" s="65"/>
      <c r="P1077" s="65"/>
      <c r="Q1077" s="65" t="s">
        <v>236</v>
      </c>
      <c r="R1077" s="65" t="s">
        <v>236</v>
      </c>
      <c r="S1077" s="65"/>
      <c r="T1077" s="65" t="b">
        <f>FALSE()</f>
        <v>0</v>
      </c>
      <c r="U1077" s="65" t="b">
        <f>FALSE()</f>
        <v>0</v>
      </c>
      <c r="V1077" s="65">
        <v>331</v>
      </c>
      <c r="W1077" s="67" t="s">
        <v>3948</v>
      </c>
      <c r="X1077" s="65">
        <v>13</v>
      </c>
      <c r="Y1077" s="68">
        <v>22.75</v>
      </c>
      <c r="Z1077" s="65" t="b">
        <f>FALSE()</f>
        <v>0</v>
      </c>
      <c r="AA1077" s="65" t="b">
        <f>TRUE()</f>
        <v>1</v>
      </c>
      <c r="AB1077" s="65" t="b">
        <f>FALSE()</f>
        <v>0</v>
      </c>
      <c r="AC1077" s="65" t="b">
        <f>FALSE()</f>
        <v>0</v>
      </c>
      <c r="AD1077" s="65" t="b">
        <f>FALSE()</f>
        <v>0</v>
      </c>
      <c r="AE1077" s="65">
        <v>1</v>
      </c>
      <c r="AF1077" s="69">
        <v>14.3</v>
      </c>
      <c r="AG1077" s="65" t="s">
        <v>74</v>
      </c>
      <c r="AH1077" s="65" t="s">
        <v>3949</v>
      </c>
      <c r="AI1077">
        <f>IF(AND(OR(Company_Explorer!$B$5="All Companies",$E1077=Company_Explorer!$B$5),OR(Company_Explorer!$B$6="All Platforms",$B1077=Company_Explorer!$B$6),OR(Company_Explorer!$B$7="All Roles",$D1077=Company_Explorer!$B$7),OR(Company_Explorer!$B$8="All Ghost Labels",$AG1077=Company_Explorer!$B$8)),1,0)</f>
        <v>0</v>
      </c>
    </row>
    <row r="1078" spans="1:35" ht="15" customHeight="1" x14ac:dyDescent="0.3">
      <c r="A1078" s="60" t="s">
        <v>3950</v>
      </c>
      <c r="B1078" s="60" t="s">
        <v>81</v>
      </c>
      <c r="C1078" s="60" t="s">
        <v>3951</v>
      </c>
      <c r="D1078" s="60" t="s">
        <v>126</v>
      </c>
      <c r="E1078" s="60" t="s">
        <v>156</v>
      </c>
      <c r="F1078" s="60" t="b">
        <f>TRUE()</f>
        <v>1</v>
      </c>
      <c r="G1078" s="60" t="s">
        <v>165</v>
      </c>
      <c r="H1078" s="60" t="s">
        <v>3655</v>
      </c>
      <c r="I1078" s="61">
        <v>46209.720436643503</v>
      </c>
      <c r="J1078" s="61">
        <v>46210.2829602778</v>
      </c>
      <c r="K1078" s="60">
        <v>0.6</v>
      </c>
      <c r="L1078" s="60" t="s">
        <v>183</v>
      </c>
      <c r="M1078" s="60" t="s">
        <v>183</v>
      </c>
      <c r="N1078" s="60" t="b">
        <f>FALSE()</f>
        <v>0</v>
      </c>
      <c r="O1078" s="60"/>
      <c r="P1078" s="60"/>
      <c r="Q1078" s="60" t="s">
        <v>236</v>
      </c>
      <c r="R1078" s="60" t="s">
        <v>236</v>
      </c>
      <c r="S1078" s="60"/>
      <c r="T1078" s="60" t="b">
        <f>FALSE()</f>
        <v>0</v>
      </c>
      <c r="U1078" s="60" t="b">
        <f>FALSE()</f>
        <v>0</v>
      </c>
      <c r="V1078" s="60">
        <v>489</v>
      </c>
      <c r="W1078" s="62" t="s">
        <v>3952</v>
      </c>
      <c r="X1078" s="60">
        <v>14</v>
      </c>
      <c r="Y1078" s="63">
        <v>24.5</v>
      </c>
      <c r="Z1078" s="60" t="b">
        <f>FALSE()</f>
        <v>0</v>
      </c>
      <c r="AA1078" s="60" t="b">
        <f>TRUE()</f>
        <v>1</v>
      </c>
      <c r="AB1078" s="60" t="b">
        <f>FALSE()</f>
        <v>0</v>
      </c>
      <c r="AC1078" s="60" t="b">
        <f>FALSE()</f>
        <v>0</v>
      </c>
      <c r="AD1078" s="60" t="b">
        <f>FALSE()</f>
        <v>0</v>
      </c>
      <c r="AE1078" s="60">
        <v>1</v>
      </c>
      <c r="AF1078" s="64">
        <v>14.3</v>
      </c>
      <c r="AG1078" s="60" t="s">
        <v>74</v>
      </c>
      <c r="AH1078" s="60" t="s">
        <v>3953</v>
      </c>
      <c r="AI1078">
        <f>IF(AND(OR(Company_Explorer!$B$5="All Companies",$E1078=Company_Explorer!$B$5),OR(Company_Explorer!$B$6="All Platforms",$B1078=Company_Explorer!$B$6),OR(Company_Explorer!$B$7="All Roles",$D1078=Company_Explorer!$B$7),OR(Company_Explorer!$B$8="All Ghost Labels",$AG1078=Company_Explorer!$B$8)),1,0)</f>
        <v>0</v>
      </c>
    </row>
    <row r="1079" spans="1:35" ht="15" customHeight="1" x14ac:dyDescent="0.3">
      <c r="A1079" s="65" t="s">
        <v>3954</v>
      </c>
      <c r="B1079" s="65" t="s">
        <v>81</v>
      </c>
      <c r="C1079" s="65" t="s">
        <v>3955</v>
      </c>
      <c r="D1079" s="65" t="s">
        <v>125</v>
      </c>
      <c r="E1079" s="65" t="s">
        <v>3718</v>
      </c>
      <c r="F1079" s="65" t="b">
        <f>TRUE()</f>
        <v>1</v>
      </c>
      <c r="G1079" s="65" t="s">
        <v>165</v>
      </c>
      <c r="H1079" s="65" t="s">
        <v>3620</v>
      </c>
      <c r="I1079" s="66">
        <v>46209.800334965301</v>
      </c>
      <c r="J1079" s="66">
        <v>46210.282960428201</v>
      </c>
      <c r="K1079" s="65">
        <v>0.5</v>
      </c>
      <c r="L1079" s="65" t="s">
        <v>183</v>
      </c>
      <c r="M1079" s="65" t="s">
        <v>183</v>
      </c>
      <c r="N1079" s="65" t="b">
        <f>FALSE()</f>
        <v>0</v>
      </c>
      <c r="O1079" s="65"/>
      <c r="P1079" s="65"/>
      <c r="Q1079" s="65" t="s">
        <v>236</v>
      </c>
      <c r="R1079" s="65" t="s">
        <v>236</v>
      </c>
      <c r="S1079" s="65"/>
      <c r="T1079" s="65" t="b">
        <f>FALSE()</f>
        <v>0</v>
      </c>
      <c r="U1079" s="65" t="b">
        <f>FALSE()</f>
        <v>0</v>
      </c>
      <c r="V1079" s="65">
        <v>898</v>
      </c>
      <c r="W1079" s="67" t="s">
        <v>3956</v>
      </c>
      <c r="X1079" s="65">
        <v>7</v>
      </c>
      <c r="Y1079" s="68">
        <v>12.25</v>
      </c>
      <c r="Z1079" s="65" t="b">
        <f>FALSE()</f>
        <v>0</v>
      </c>
      <c r="AA1079" s="65" t="b">
        <f>TRUE()</f>
        <v>1</v>
      </c>
      <c r="AB1079" s="65" t="b">
        <f>FALSE()</f>
        <v>0</v>
      </c>
      <c r="AC1079" s="65" t="b">
        <f>FALSE()</f>
        <v>0</v>
      </c>
      <c r="AD1079" s="65" t="b">
        <f>FALSE()</f>
        <v>0</v>
      </c>
      <c r="AE1079" s="65">
        <v>1</v>
      </c>
      <c r="AF1079" s="69">
        <v>14.3</v>
      </c>
      <c r="AG1079" s="65" t="s">
        <v>74</v>
      </c>
      <c r="AH1079" s="65" t="s">
        <v>3957</v>
      </c>
      <c r="AI1079">
        <f>IF(AND(OR(Company_Explorer!$B$5="All Companies",$E1079=Company_Explorer!$B$5),OR(Company_Explorer!$B$6="All Platforms",$B1079=Company_Explorer!$B$6),OR(Company_Explorer!$B$7="All Roles",$D1079=Company_Explorer!$B$7),OR(Company_Explorer!$B$8="All Ghost Labels",$AG1079=Company_Explorer!$B$8)),1,0)</f>
        <v>0</v>
      </c>
    </row>
    <row r="1080" spans="1:35" ht="15" customHeight="1" x14ac:dyDescent="0.3">
      <c r="A1080" s="60" t="s">
        <v>3958</v>
      </c>
      <c r="B1080" s="60" t="s">
        <v>81</v>
      </c>
      <c r="C1080" s="60" t="s">
        <v>3959</v>
      </c>
      <c r="D1080" s="60" t="s">
        <v>127</v>
      </c>
      <c r="E1080" s="60" t="s">
        <v>3960</v>
      </c>
      <c r="F1080" s="60" t="b">
        <f>TRUE()</f>
        <v>1</v>
      </c>
      <c r="G1080" s="60" t="s">
        <v>165</v>
      </c>
      <c r="H1080" s="60" t="s">
        <v>3630</v>
      </c>
      <c r="I1080" s="61">
        <v>46209.561760625002</v>
      </c>
      <c r="J1080" s="61">
        <v>46210.282960856501</v>
      </c>
      <c r="K1080" s="60">
        <v>0.7</v>
      </c>
      <c r="L1080" s="60" t="s">
        <v>183</v>
      </c>
      <c r="M1080" s="60" t="s">
        <v>183</v>
      </c>
      <c r="N1080" s="60" t="b">
        <f>TRUE()</f>
        <v>1</v>
      </c>
      <c r="O1080" s="70">
        <v>400000</v>
      </c>
      <c r="P1080" s="70">
        <v>600000</v>
      </c>
      <c r="Q1080" s="60" t="s">
        <v>3663</v>
      </c>
      <c r="R1080" s="60" t="s">
        <v>3961</v>
      </c>
      <c r="S1080" s="70">
        <v>500000</v>
      </c>
      <c r="T1080" s="60" t="b">
        <f>TRUE()</f>
        <v>1</v>
      </c>
      <c r="U1080" s="60" t="b">
        <f>FALSE()</f>
        <v>0</v>
      </c>
      <c r="V1080" s="60">
        <v>359</v>
      </c>
      <c r="W1080" s="62" t="s">
        <v>3962</v>
      </c>
      <c r="X1080" s="60">
        <v>2</v>
      </c>
      <c r="Y1080" s="63">
        <v>3.5</v>
      </c>
      <c r="Z1080" s="60" t="b">
        <f>FALSE()</f>
        <v>0</v>
      </c>
      <c r="AA1080" s="60" t="b">
        <f>FALSE()</f>
        <v>0</v>
      </c>
      <c r="AB1080" s="60" t="b">
        <f>FALSE()</f>
        <v>0</v>
      </c>
      <c r="AC1080" s="60" t="b">
        <f>FALSE()</f>
        <v>0</v>
      </c>
      <c r="AD1080" s="60" t="b">
        <f>FALSE()</f>
        <v>0</v>
      </c>
      <c r="AE1080" s="60">
        <v>0</v>
      </c>
      <c r="AF1080" s="64">
        <v>0</v>
      </c>
      <c r="AG1080" s="60" t="s">
        <v>74</v>
      </c>
      <c r="AH1080" s="60" t="s">
        <v>3963</v>
      </c>
      <c r="AI1080">
        <f>IF(AND(OR(Company_Explorer!$B$5="All Companies",$E1080=Company_Explorer!$B$5),OR(Company_Explorer!$B$6="All Platforms",$B1080=Company_Explorer!$B$6),OR(Company_Explorer!$B$7="All Roles",$D1080=Company_Explorer!$B$7),OR(Company_Explorer!$B$8="All Ghost Labels",$AG1080=Company_Explorer!$B$8)),1,0)</f>
        <v>0</v>
      </c>
    </row>
    <row r="1081" spans="1:35" ht="15" customHeight="1" x14ac:dyDescent="0.3">
      <c r="A1081" s="65" t="s">
        <v>3964</v>
      </c>
      <c r="B1081" s="65" t="s">
        <v>81</v>
      </c>
      <c r="C1081" s="65" t="s">
        <v>3965</v>
      </c>
      <c r="D1081" s="65" t="s">
        <v>126</v>
      </c>
      <c r="E1081" s="65" t="s">
        <v>3966</v>
      </c>
      <c r="F1081" s="65" t="b">
        <f>TRUE()</f>
        <v>1</v>
      </c>
      <c r="G1081" s="65" t="s">
        <v>165</v>
      </c>
      <c r="H1081" s="65" t="s">
        <v>3672</v>
      </c>
      <c r="I1081" s="66">
        <v>46210.061910057899</v>
      </c>
      <c r="J1081" s="66">
        <v>46210.282960821802</v>
      </c>
      <c r="K1081" s="65">
        <v>0.2</v>
      </c>
      <c r="L1081" s="65" t="s">
        <v>183</v>
      </c>
      <c r="M1081" s="65" t="s">
        <v>183</v>
      </c>
      <c r="N1081" s="65" t="b">
        <f>FALSE()</f>
        <v>0</v>
      </c>
      <c r="O1081" s="65"/>
      <c r="P1081" s="65"/>
      <c r="Q1081" s="65" t="s">
        <v>3663</v>
      </c>
      <c r="R1081" s="65" t="s">
        <v>3961</v>
      </c>
      <c r="S1081" s="65"/>
      <c r="T1081" s="65" t="b">
        <f>FALSE()</f>
        <v>0</v>
      </c>
      <c r="U1081" s="65" t="b">
        <f>FALSE()</f>
        <v>0</v>
      </c>
      <c r="V1081" s="65">
        <v>640</v>
      </c>
      <c r="W1081" s="67" t="s">
        <v>3967</v>
      </c>
      <c r="X1081" s="65">
        <v>2</v>
      </c>
      <c r="Y1081" s="68">
        <v>3.5</v>
      </c>
      <c r="Z1081" s="65" t="b">
        <f>FALSE()</f>
        <v>0</v>
      </c>
      <c r="AA1081" s="65" t="b">
        <f>TRUE()</f>
        <v>1</v>
      </c>
      <c r="AB1081" s="65" t="b">
        <f>FALSE()</f>
        <v>0</v>
      </c>
      <c r="AC1081" s="65" t="b">
        <f>FALSE()</f>
        <v>0</v>
      </c>
      <c r="AD1081" s="65" t="b">
        <f>FALSE()</f>
        <v>0</v>
      </c>
      <c r="AE1081" s="65">
        <v>1</v>
      </c>
      <c r="AF1081" s="69">
        <v>14.3</v>
      </c>
      <c r="AG1081" s="65" t="s">
        <v>74</v>
      </c>
      <c r="AH1081" s="65" t="s">
        <v>3968</v>
      </c>
      <c r="AI1081">
        <f>IF(AND(OR(Company_Explorer!$B$5="All Companies",$E1081=Company_Explorer!$B$5),OR(Company_Explorer!$B$6="All Platforms",$B1081=Company_Explorer!$B$6),OR(Company_Explorer!$B$7="All Roles",$D1081=Company_Explorer!$B$7),OR(Company_Explorer!$B$8="All Ghost Labels",$AG1081=Company_Explorer!$B$8)),1,0)</f>
        <v>0</v>
      </c>
    </row>
    <row r="1082" spans="1:35" ht="15" customHeight="1" x14ac:dyDescent="0.3">
      <c r="A1082" s="60" t="s">
        <v>3969</v>
      </c>
      <c r="B1082" s="60" t="s">
        <v>81</v>
      </c>
      <c r="C1082" s="60" t="s">
        <v>3970</v>
      </c>
      <c r="D1082" s="60" t="s">
        <v>126</v>
      </c>
      <c r="E1082" s="60" t="s">
        <v>3947</v>
      </c>
      <c r="F1082" s="60" t="b">
        <f>TRUE()</f>
        <v>1</v>
      </c>
      <c r="G1082" s="60" t="s">
        <v>165</v>
      </c>
      <c r="H1082" s="60" t="s">
        <v>3672</v>
      </c>
      <c r="I1082" s="61">
        <v>46209.717004317099</v>
      </c>
      <c r="J1082" s="61">
        <v>46210.282961088</v>
      </c>
      <c r="K1082" s="60">
        <v>0.6</v>
      </c>
      <c r="L1082" s="60" t="s">
        <v>183</v>
      </c>
      <c r="M1082" s="60" t="s">
        <v>183</v>
      </c>
      <c r="N1082" s="60" t="b">
        <f>FALSE()</f>
        <v>0</v>
      </c>
      <c r="O1082" s="60"/>
      <c r="P1082" s="60"/>
      <c r="Q1082" s="60" t="s">
        <v>236</v>
      </c>
      <c r="R1082" s="60" t="s">
        <v>236</v>
      </c>
      <c r="S1082" s="60"/>
      <c r="T1082" s="60" t="b">
        <f>FALSE()</f>
        <v>0</v>
      </c>
      <c r="U1082" s="60" t="b">
        <f>FALSE()</f>
        <v>0</v>
      </c>
      <c r="V1082" s="60">
        <v>723</v>
      </c>
      <c r="W1082" s="62" t="s">
        <v>3971</v>
      </c>
      <c r="X1082" s="60">
        <v>13</v>
      </c>
      <c r="Y1082" s="63">
        <v>22.75</v>
      </c>
      <c r="Z1082" s="60" t="b">
        <f>FALSE()</f>
        <v>0</v>
      </c>
      <c r="AA1082" s="60" t="b">
        <f>TRUE()</f>
        <v>1</v>
      </c>
      <c r="AB1082" s="60" t="b">
        <f>FALSE()</f>
        <v>0</v>
      </c>
      <c r="AC1082" s="60" t="b">
        <f>FALSE()</f>
        <v>0</v>
      </c>
      <c r="AD1082" s="60" t="b">
        <f>FALSE()</f>
        <v>0</v>
      </c>
      <c r="AE1082" s="60">
        <v>1</v>
      </c>
      <c r="AF1082" s="64">
        <v>14.3</v>
      </c>
      <c r="AG1082" s="60" t="s">
        <v>74</v>
      </c>
      <c r="AH1082" s="60" t="s">
        <v>3972</v>
      </c>
      <c r="AI1082">
        <f>IF(AND(OR(Company_Explorer!$B$5="All Companies",$E1082=Company_Explorer!$B$5),OR(Company_Explorer!$B$6="All Platforms",$B1082=Company_Explorer!$B$6),OR(Company_Explorer!$B$7="All Roles",$D1082=Company_Explorer!$B$7),OR(Company_Explorer!$B$8="All Ghost Labels",$AG1082=Company_Explorer!$B$8)),1,0)</f>
        <v>0</v>
      </c>
    </row>
    <row r="1083" spans="1:35" ht="15" customHeight="1" x14ac:dyDescent="0.3">
      <c r="A1083" s="65" t="s">
        <v>3973</v>
      </c>
      <c r="B1083" s="65" t="s">
        <v>81</v>
      </c>
      <c r="C1083" s="65" t="s">
        <v>3955</v>
      </c>
      <c r="D1083" s="65" t="s">
        <v>125</v>
      </c>
      <c r="E1083" s="65" t="s">
        <v>3718</v>
      </c>
      <c r="F1083" s="65" t="b">
        <f>TRUE()</f>
        <v>1</v>
      </c>
      <c r="G1083" s="65" t="s">
        <v>165</v>
      </c>
      <c r="H1083" s="65" t="s">
        <v>3620</v>
      </c>
      <c r="I1083" s="66">
        <v>46209.800311990701</v>
      </c>
      <c r="J1083" s="66">
        <v>46210.282960914403</v>
      </c>
      <c r="K1083" s="65">
        <v>0.5</v>
      </c>
      <c r="L1083" s="65" t="s">
        <v>183</v>
      </c>
      <c r="M1083" s="65" t="s">
        <v>183</v>
      </c>
      <c r="N1083" s="65" t="b">
        <f>FALSE()</f>
        <v>0</v>
      </c>
      <c r="O1083" s="65"/>
      <c r="P1083" s="65"/>
      <c r="Q1083" s="65" t="s">
        <v>236</v>
      </c>
      <c r="R1083" s="65" t="s">
        <v>236</v>
      </c>
      <c r="S1083" s="65"/>
      <c r="T1083" s="65" t="b">
        <f>FALSE()</f>
        <v>0</v>
      </c>
      <c r="U1083" s="65" t="b">
        <f>FALSE()</f>
        <v>0</v>
      </c>
      <c r="V1083" s="65">
        <v>894</v>
      </c>
      <c r="W1083" s="67" t="s">
        <v>3956</v>
      </c>
      <c r="X1083" s="65">
        <v>7</v>
      </c>
      <c r="Y1083" s="68">
        <v>12.25</v>
      </c>
      <c r="Z1083" s="65" t="b">
        <f>FALSE()</f>
        <v>0</v>
      </c>
      <c r="AA1083" s="65" t="b">
        <f>TRUE()</f>
        <v>1</v>
      </c>
      <c r="AB1083" s="65" t="b">
        <f>FALSE()</f>
        <v>0</v>
      </c>
      <c r="AC1083" s="65" t="b">
        <f>FALSE()</f>
        <v>0</v>
      </c>
      <c r="AD1083" s="65" t="b">
        <f>FALSE()</f>
        <v>0</v>
      </c>
      <c r="AE1083" s="65">
        <v>1</v>
      </c>
      <c r="AF1083" s="69">
        <v>14.3</v>
      </c>
      <c r="AG1083" s="65" t="s">
        <v>74</v>
      </c>
      <c r="AH1083" s="65" t="s">
        <v>3974</v>
      </c>
      <c r="AI1083">
        <f>IF(AND(OR(Company_Explorer!$B$5="All Companies",$E1083=Company_Explorer!$B$5),OR(Company_Explorer!$B$6="All Platforms",$B1083=Company_Explorer!$B$6),OR(Company_Explorer!$B$7="All Roles",$D1083=Company_Explorer!$B$7),OR(Company_Explorer!$B$8="All Ghost Labels",$AG1083=Company_Explorer!$B$8)),1,0)</f>
        <v>0</v>
      </c>
    </row>
    <row r="1084" spans="1:35" ht="15" customHeight="1" x14ac:dyDescent="0.3">
      <c r="A1084" s="60" t="s">
        <v>3975</v>
      </c>
      <c r="B1084" s="60" t="s">
        <v>81</v>
      </c>
      <c r="C1084" s="60" t="s">
        <v>3976</v>
      </c>
      <c r="D1084" s="60" t="s">
        <v>126</v>
      </c>
      <c r="E1084" s="60" t="s">
        <v>3977</v>
      </c>
      <c r="F1084" s="60" t="b">
        <f>TRUE()</f>
        <v>1</v>
      </c>
      <c r="G1084" s="60" t="s">
        <v>165</v>
      </c>
      <c r="H1084" s="60" t="s">
        <v>3620</v>
      </c>
      <c r="I1084" s="61">
        <v>46209.7122454282</v>
      </c>
      <c r="J1084" s="61">
        <v>46210.2829613426</v>
      </c>
      <c r="K1084" s="60">
        <v>0.6</v>
      </c>
      <c r="L1084" s="60" t="s">
        <v>183</v>
      </c>
      <c r="M1084" s="60" t="s">
        <v>183</v>
      </c>
      <c r="N1084" s="60" t="b">
        <f>FALSE()</f>
        <v>0</v>
      </c>
      <c r="O1084" s="60"/>
      <c r="P1084" s="60"/>
      <c r="Q1084" s="60" t="s">
        <v>236</v>
      </c>
      <c r="R1084" s="60" t="s">
        <v>236</v>
      </c>
      <c r="S1084" s="60"/>
      <c r="T1084" s="60" t="b">
        <f>FALSE()</f>
        <v>0</v>
      </c>
      <c r="U1084" s="60" t="b">
        <f>FALSE()</f>
        <v>0</v>
      </c>
      <c r="V1084" s="60">
        <v>1204</v>
      </c>
      <c r="W1084" s="60" t="s">
        <v>3489</v>
      </c>
      <c r="X1084" s="60">
        <v>1</v>
      </c>
      <c r="Y1084" s="63">
        <v>1.75</v>
      </c>
      <c r="Z1084" s="60" t="b">
        <f>FALSE()</f>
        <v>0</v>
      </c>
      <c r="AA1084" s="60" t="b">
        <f>TRUE()</f>
        <v>1</v>
      </c>
      <c r="AB1084" s="60" t="b">
        <f>FALSE()</f>
        <v>0</v>
      </c>
      <c r="AC1084" s="60" t="b">
        <f>FALSE()</f>
        <v>0</v>
      </c>
      <c r="AD1084" s="60" t="b">
        <f>FALSE()</f>
        <v>0</v>
      </c>
      <c r="AE1084" s="60">
        <v>1</v>
      </c>
      <c r="AF1084" s="64">
        <v>14.3</v>
      </c>
      <c r="AG1084" s="60" t="s">
        <v>74</v>
      </c>
      <c r="AH1084" s="60" t="s">
        <v>3978</v>
      </c>
      <c r="AI1084">
        <f>IF(AND(OR(Company_Explorer!$B$5="All Companies",$E1084=Company_Explorer!$B$5),OR(Company_Explorer!$B$6="All Platforms",$B1084=Company_Explorer!$B$6),OR(Company_Explorer!$B$7="All Roles",$D1084=Company_Explorer!$B$7),OR(Company_Explorer!$B$8="All Ghost Labels",$AG1084=Company_Explorer!$B$8)),1,0)</f>
        <v>0</v>
      </c>
    </row>
    <row r="1085" spans="1:35" ht="15" customHeight="1" x14ac:dyDescent="0.3">
      <c r="A1085" s="65" t="s">
        <v>3979</v>
      </c>
      <c r="B1085" s="65" t="s">
        <v>81</v>
      </c>
      <c r="C1085" s="65" t="s">
        <v>3980</v>
      </c>
      <c r="D1085" s="65" t="s">
        <v>126</v>
      </c>
      <c r="E1085" s="65" t="s">
        <v>143</v>
      </c>
      <c r="F1085" s="65" t="b">
        <f>TRUE()</f>
        <v>1</v>
      </c>
      <c r="G1085" s="65" t="s">
        <v>165</v>
      </c>
      <c r="H1085" s="65" t="s">
        <v>3655</v>
      </c>
      <c r="I1085" s="66">
        <v>46210.053235706</v>
      </c>
      <c r="J1085" s="66">
        <v>46210.282961400502</v>
      </c>
      <c r="K1085" s="65">
        <v>0.2</v>
      </c>
      <c r="L1085" s="65" t="s">
        <v>183</v>
      </c>
      <c r="M1085" s="65" t="s">
        <v>183</v>
      </c>
      <c r="N1085" s="65" t="b">
        <f>FALSE()</f>
        <v>0</v>
      </c>
      <c r="O1085" s="65"/>
      <c r="P1085" s="65"/>
      <c r="Q1085" s="65" t="s">
        <v>236</v>
      </c>
      <c r="R1085" s="65" t="s">
        <v>236</v>
      </c>
      <c r="S1085" s="65"/>
      <c r="T1085" s="65" t="b">
        <f>FALSE()</f>
        <v>0</v>
      </c>
      <c r="U1085" s="65" t="b">
        <f>FALSE()</f>
        <v>0</v>
      </c>
      <c r="V1085" s="65">
        <v>622</v>
      </c>
      <c r="W1085" s="67" t="s">
        <v>3981</v>
      </c>
      <c r="X1085" s="65">
        <v>64</v>
      </c>
      <c r="Y1085" s="68">
        <v>112</v>
      </c>
      <c r="Z1085" s="65" t="b">
        <f>FALSE()</f>
        <v>0</v>
      </c>
      <c r="AA1085" s="65" t="b">
        <f>TRUE()</f>
        <v>1</v>
      </c>
      <c r="AB1085" s="65" t="b">
        <f>FALSE()</f>
        <v>0</v>
      </c>
      <c r="AC1085" s="65" t="b">
        <f>FALSE()</f>
        <v>0</v>
      </c>
      <c r="AD1085" s="65" t="b">
        <f>TRUE()</f>
        <v>1</v>
      </c>
      <c r="AE1085" s="65">
        <v>3</v>
      </c>
      <c r="AF1085" s="69">
        <v>42.9</v>
      </c>
      <c r="AG1085" s="65" t="s">
        <v>73</v>
      </c>
      <c r="AH1085" s="65" t="s">
        <v>3982</v>
      </c>
      <c r="AI1085">
        <f>IF(AND(OR(Company_Explorer!$B$5="All Companies",$E1085=Company_Explorer!$B$5),OR(Company_Explorer!$B$6="All Platforms",$B1085=Company_Explorer!$B$6),OR(Company_Explorer!$B$7="All Roles",$D1085=Company_Explorer!$B$7),OR(Company_Explorer!$B$8="All Ghost Labels",$AG1085=Company_Explorer!$B$8)),1,0)</f>
        <v>0</v>
      </c>
    </row>
    <row r="1086" spans="1:35" ht="15" customHeight="1" x14ac:dyDescent="0.3">
      <c r="A1086" s="60" t="s">
        <v>3983</v>
      </c>
      <c r="B1086" s="60" t="s">
        <v>81</v>
      </c>
      <c r="C1086" s="60" t="s">
        <v>3984</v>
      </c>
      <c r="D1086" s="60" t="s">
        <v>126</v>
      </c>
      <c r="E1086" s="60" t="s">
        <v>3985</v>
      </c>
      <c r="F1086" s="60" t="b">
        <f>TRUE()</f>
        <v>1</v>
      </c>
      <c r="G1086" s="60" t="s">
        <v>165</v>
      </c>
      <c r="H1086" s="60" t="s">
        <v>3620</v>
      </c>
      <c r="I1086" s="61">
        <v>46209.695159594899</v>
      </c>
      <c r="J1086" s="61">
        <v>46210.282961736099</v>
      </c>
      <c r="K1086" s="60">
        <v>0.6</v>
      </c>
      <c r="L1086" s="60" t="s">
        <v>183</v>
      </c>
      <c r="M1086" s="60" t="s">
        <v>183</v>
      </c>
      <c r="N1086" s="60" t="b">
        <f>FALSE()</f>
        <v>0</v>
      </c>
      <c r="O1086" s="60"/>
      <c r="P1086" s="60"/>
      <c r="Q1086" s="60" t="s">
        <v>236</v>
      </c>
      <c r="R1086" s="60" t="s">
        <v>236</v>
      </c>
      <c r="S1086" s="60"/>
      <c r="T1086" s="60" t="b">
        <f>FALSE()</f>
        <v>0</v>
      </c>
      <c r="U1086" s="60" t="b">
        <f>FALSE()</f>
        <v>0</v>
      </c>
      <c r="V1086" s="60">
        <v>423</v>
      </c>
      <c r="W1086" s="62" t="s">
        <v>3986</v>
      </c>
      <c r="X1086" s="60">
        <v>6</v>
      </c>
      <c r="Y1086" s="63">
        <v>10.5</v>
      </c>
      <c r="Z1086" s="60" t="b">
        <f>FALSE()</f>
        <v>0</v>
      </c>
      <c r="AA1086" s="60" t="b">
        <f>TRUE()</f>
        <v>1</v>
      </c>
      <c r="AB1086" s="60" t="b">
        <f>FALSE()</f>
        <v>0</v>
      </c>
      <c r="AC1086" s="60" t="b">
        <f>FALSE()</f>
        <v>0</v>
      </c>
      <c r="AD1086" s="60" t="b">
        <f>FALSE()</f>
        <v>0</v>
      </c>
      <c r="AE1086" s="60">
        <v>1</v>
      </c>
      <c r="AF1086" s="64">
        <v>14.3</v>
      </c>
      <c r="AG1086" s="60" t="s">
        <v>74</v>
      </c>
      <c r="AH1086" s="60" t="s">
        <v>3987</v>
      </c>
      <c r="AI1086">
        <f>IF(AND(OR(Company_Explorer!$B$5="All Companies",$E1086=Company_Explorer!$B$5),OR(Company_Explorer!$B$6="All Platforms",$B1086=Company_Explorer!$B$6),OR(Company_Explorer!$B$7="All Roles",$D1086=Company_Explorer!$B$7),OR(Company_Explorer!$B$8="All Ghost Labels",$AG1086=Company_Explorer!$B$8)),1,0)</f>
        <v>0</v>
      </c>
    </row>
    <row r="1087" spans="1:35" ht="15" customHeight="1" x14ac:dyDescent="0.3">
      <c r="A1087" s="65" t="s">
        <v>3988</v>
      </c>
      <c r="B1087" s="65" t="s">
        <v>81</v>
      </c>
      <c r="C1087" s="65" t="s">
        <v>3989</v>
      </c>
      <c r="D1087" s="65" t="s">
        <v>127</v>
      </c>
      <c r="E1087" s="65" t="s">
        <v>2690</v>
      </c>
      <c r="F1087" s="65" t="b">
        <f>TRUE()</f>
        <v>1</v>
      </c>
      <c r="G1087" s="65" t="s">
        <v>165</v>
      </c>
      <c r="H1087" s="65" t="s">
        <v>3620</v>
      </c>
      <c r="I1087" s="66">
        <v>46210.053217013898</v>
      </c>
      <c r="J1087" s="66">
        <v>46210.282961921301</v>
      </c>
      <c r="K1087" s="65">
        <v>0.2</v>
      </c>
      <c r="L1087" s="65" t="s">
        <v>183</v>
      </c>
      <c r="M1087" s="65" t="s">
        <v>183</v>
      </c>
      <c r="N1087" s="65" t="b">
        <f>FALSE()</f>
        <v>0</v>
      </c>
      <c r="O1087" s="65"/>
      <c r="P1087" s="65"/>
      <c r="Q1087" s="65" t="s">
        <v>236</v>
      </c>
      <c r="R1087" s="65" t="s">
        <v>236</v>
      </c>
      <c r="S1087" s="65"/>
      <c r="T1087" s="65" t="b">
        <f>FALSE()</f>
        <v>0</v>
      </c>
      <c r="U1087" s="65" t="b">
        <f>FALSE()</f>
        <v>0</v>
      </c>
      <c r="V1087" s="65">
        <v>399</v>
      </c>
      <c r="W1087" s="67" t="s">
        <v>3990</v>
      </c>
      <c r="X1087" s="65">
        <v>5</v>
      </c>
      <c r="Y1087" s="68">
        <v>8.75</v>
      </c>
      <c r="Z1087" s="65" t="b">
        <f>FALSE()</f>
        <v>0</v>
      </c>
      <c r="AA1087" s="65" t="b">
        <f>TRUE()</f>
        <v>1</v>
      </c>
      <c r="AB1087" s="65" t="b">
        <f>FALSE()</f>
        <v>0</v>
      </c>
      <c r="AC1087" s="65" t="b">
        <f>FALSE()</f>
        <v>0</v>
      </c>
      <c r="AD1087" s="65" t="b">
        <f>FALSE()</f>
        <v>0</v>
      </c>
      <c r="AE1087" s="65">
        <v>1</v>
      </c>
      <c r="AF1087" s="69">
        <v>14.3</v>
      </c>
      <c r="AG1087" s="65" t="s">
        <v>74</v>
      </c>
      <c r="AH1087" s="65" t="s">
        <v>3991</v>
      </c>
      <c r="AI1087">
        <f>IF(AND(OR(Company_Explorer!$B$5="All Companies",$E1087=Company_Explorer!$B$5),OR(Company_Explorer!$B$6="All Platforms",$B1087=Company_Explorer!$B$6),OR(Company_Explorer!$B$7="All Roles",$D1087=Company_Explorer!$B$7),OR(Company_Explorer!$B$8="All Ghost Labels",$AG1087=Company_Explorer!$B$8)),1,0)</f>
        <v>0</v>
      </c>
    </row>
    <row r="1088" spans="1:35" ht="15" customHeight="1" x14ac:dyDescent="0.3">
      <c r="A1088" s="60" t="s">
        <v>3992</v>
      </c>
      <c r="B1088" s="60" t="s">
        <v>81</v>
      </c>
      <c r="C1088" s="60" t="s">
        <v>3717</v>
      </c>
      <c r="D1088" s="60" t="s">
        <v>136</v>
      </c>
      <c r="E1088" s="60" t="s">
        <v>3718</v>
      </c>
      <c r="F1088" s="60" t="b">
        <f>TRUE()</f>
        <v>1</v>
      </c>
      <c r="G1088" s="60" t="s">
        <v>165</v>
      </c>
      <c r="H1088" s="60" t="s">
        <v>3620</v>
      </c>
      <c r="I1088" s="61">
        <v>46210.050036446803</v>
      </c>
      <c r="J1088" s="61">
        <v>46210.282962338002</v>
      </c>
      <c r="K1088" s="60">
        <v>0.2</v>
      </c>
      <c r="L1088" s="60" t="s">
        <v>183</v>
      </c>
      <c r="M1088" s="60" t="s">
        <v>183</v>
      </c>
      <c r="N1088" s="60" t="b">
        <f>FALSE()</f>
        <v>0</v>
      </c>
      <c r="O1088" s="60"/>
      <c r="P1088" s="60"/>
      <c r="Q1088" s="60" t="s">
        <v>236</v>
      </c>
      <c r="R1088" s="60" t="s">
        <v>236</v>
      </c>
      <c r="S1088" s="60"/>
      <c r="T1088" s="60" t="b">
        <f>FALSE()</f>
        <v>0</v>
      </c>
      <c r="U1088" s="60" t="b">
        <f>FALSE()</f>
        <v>0</v>
      </c>
      <c r="V1088" s="60">
        <v>1012</v>
      </c>
      <c r="W1088" s="62" t="s">
        <v>3719</v>
      </c>
      <c r="X1088" s="60">
        <v>7</v>
      </c>
      <c r="Y1088" s="63">
        <v>12.25</v>
      </c>
      <c r="Z1088" s="60" t="b">
        <f>FALSE()</f>
        <v>0</v>
      </c>
      <c r="AA1088" s="60" t="b">
        <f>TRUE()</f>
        <v>1</v>
      </c>
      <c r="AB1088" s="60" t="b">
        <f>FALSE()</f>
        <v>0</v>
      </c>
      <c r="AC1088" s="60" t="b">
        <f>FALSE()</f>
        <v>0</v>
      </c>
      <c r="AD1088" s="60" t="b">
        <f>FALSE()</f>
        <v>0</v>
      </c>
      <c r="AE1088" s="60">
        <v>1</v>
      </c>
      <c r="AF1088" s="64">
        <v>14.3</v>
      </c>
      <c r="AG1088" s="60" t="s">
        <v>74</v>
      </c>
      <c r="AH1088" s="60" t="s">
        <v>3993</v>
      </c>
      <c r="AI1088">
        <f>IF(AND(OR(Company_Explorer!$B$5="All Companies",$E1088=Company_Explorer!$B$5),OR(Company_Explorer!$B$6="All Platforms",$B1088=Company_Explorer!$B$6),OR(Company_Explorer!$B$7="All Roles",$D1088=Company_Explorer!$B$7),OR(Company_Explorer!$B$8="All Ghost Labels",$AG1088=Company_Explorer!$B$8)),1,0)</f>
        <v>0</v>
      </c>
    </row>
    <row r="1089" spans="1:35" ht="15" customHeight="1" x14ac:dyDescent="0.3">
      <c r="A1089" s="65" t="s">
        <v>3994</v>
      </c>
      <c r="B1089" s="65" t="s">
        <v>81</v>
      </c>
      <c r="C1089" s="65" t="s">
        <v>3995</v>
      </c>
      <c r="D1089" s="65" t="s">
        <v>126</v>
      </c>
      <c r="E1089" s="65" t="s">
        <v>3996</v>
      </c>
      <c r="F1089" s="65" t="b">
        <f>TRUE()</f>
        <v>1</v>
      </c>
      <c r="G1089" s="65" t="s">
        <v>165</v>
      </c>
      <c r="H1089" s="65" t="s">
        <v>3620</v>
      </c>
      <c r="I1089" s="66">
        <v>46209.6831045949</v>
      </c>
      <c r="J1089" s="66">
        <v>46210.282962430603</v>
      </c>
      <c r="K1089" s="65">
        <v>0.6</v>
      </c>
      <c r="L1089" s="65" t="s">
        <v>183</v>
      </c>
      <c r="M1089" s="65" t="s">
        <v>183</v>
      </c>
      <c r="N1089" s="65" t="b">
        <f>FALSE()</f>
        <v>0</v>
      </c>
      <c r="O1089" s="65"/>
      <c r="P1089" s="65"/>
      <c r="Q1089" s="65" t="s">
        <v>236</v>
      </c>
      <c r="R1089" s="65" t="s">
        <v>236</v>
      </c>
      <c r="S1089" s="65"/>
      <c r="T1089" s="65" t="b">
        <f>FALSE()</f>
        <v>0</v>
      </c>
      <c r="U1089" s="65" t="b">
        <f>FALSE()</f>
        <v>0</v>
      </c>
      <c r="V1089" s="65">
        <v>534</v>
      </c>
      <c r="W1089" s="67" t="s">
        <v>3997</v>
      </c>
      <c r="X1089" s="65">
        <v>1</v>
      </c>
      <c r="Y1089" s="68">
        <v>1.75</v>
      </c>
      <c r="Z1089" s="65" t="b">
        <f>FALSE()</f>
        <v>0</v>
      </c>
      <c r="AA1089" s="65" t="b">
        <f>TRUE()</f>
        <v>1</v>
      </c>
      <c r="AB1089" s="65" t="b">
        <f>FALSE()</f>
        <v>0</v>
      </c>
      <c r="AC1089" s="65" t="b">
        <f>FALSE()</f>
        <v>0</v>
      </c>
      <c r="AD1089" s="65" t="b">
        <f>FALSE()</f>
        <v>0</v>
      </c>
      <c r="AE1089" s="65">
        <v>1</v>
      </c>
      <c r="AF1089" s="69">
        <v>14.3</v>
      </c>
      <c r="AG1089" s="65" t="s">
        <v>74</v>
      </c>
      <c r="AH1089" s="65" t="s">
        <v>3998</v>
      </c>
      <c r="AI1089">
        <f>IF(AND(OR(Company_Explorer!$B$5="All Companies",$E1089=Company_Explorer!$B$5),OR(Company_Explorer!$B$6="All Platforms",$B1089=Company_Explorer!$B$6),OR(Company_Explorer!$B$7="All Roles",$D1089=Company_Explorer!$B$7),OR(Company_Explorer!$B$8="All Ghost Labels",$AG1089=Company_Explorer!$B$8)),1,0)</f>
        <v>0</v>
      </c>
    </row>
    <row r="1090" spans="1:35" ht="15" customHeight="1" x14ac:dyDescent="0.3">
      <c r="A1090" s="60" t="s">
        <v>3999</v>
      </c>
      <c r="B1090" s="60" t="s">
        <v>81</v>
      </c>
      <c r="C1090" s="60" t="s">
        <v>4000</v>
      </c>
      <c r="D1090" s="60" t="s">
        <v>126</v>
      </c>
      <c r="E1090" s="60" t="s">
        <v>4001</v>
      </c>
      <c r="F1090" s="60" t="b">
        <f>TRUE()</f>
        <v>1</v>
      </c>
      <c r="G1090" s="60" t="s">
        <v>165</v>
      </c>
      <c r="H1090" s="60" t="s">
        <v>3655</v>
      </c>
      <c r="I1090" s="61">
        <v>46209.667056828701</v>
      </c>
      <c r="J1090" s="61">
        <v>46210.282962488403</v>
      </c>
      <c r="K1090" s="60">
        <v>0.6</v>
      </c>
      <c r="L1090" s="60" t="s">
        <v>183</v>
      </c>
      <c r="M1090" s="60" t="s">
        <v>183</v>
      </c>
      <c r="N1090" s="60" t="b">
        <f>FALSE()</f>
        <v>0</v>
      </c>
      <c r="O1090" s="60"/>
      <c r="P1090" s="60"/>
      <c r="Q1090" s="60" t="s">
        <v>236</v>
      </c>
      <c r="R1090" s="60" t="s">
        <v>236</v>
      </c>
      <c r="S1090" s="60"/>
      <c r="T1090" s="60" t="b">
        <f>FALSE()</f>
        <v>0</v>
      </c>
      <c r="U1090" s="60" t="b">
        <f>FALSE()</f>
        <v>0</v>
      </c>
      <c r="V1090" s="60">
        <v>486</v>
      </c>
      <c r="W1090" s="60" t="s">
        <v>4002</v>
      </c>
      <c r="X1090" s="60">
        <v>1</v>
      </c>
      <c r="Y1090" s="63">
        <v>1.75</v>
      </c>
      <c r="Z1090" s="60" t="b">
        <f>FALSE()</f>
        <v>0</v>
      </c>
      <c r="AA1090" s="60" t="b">
        <f>TRUE()</f>
        <v>1</v>
      </c>
      <c r="AB1090" s="60" t="b">
        <f>FALSE()</f>
        <v>0</v>
      </c>
      <c r="AC1090" s="60" t="b">
        <f>FALSE()</f>
        <v>0</v>
      </c>
      <c r="AD1090" s="60" t="b">
        <f>FALSE()</f>
        <v>0</v>
      </c>
      <c r="AE1090" s="60">
        <v>1</v>
      </c>
      <c r="AF1090" s="64">
        <v>14.3</v>
      </c>
      <c r="AG1090" s="60" t="s">
        <v>74</v>
      </c>
      <c r="AH1090" s="60" t="s">
        <v>4003</v>
      </c>
      <c r="AI1090">
        <f>IF(AND(OR(Company_Explorer!$B$5="All Companies",$E1090=Company_Explorer!$B$5),OR(Company_Explorer!$B$6="All Platforms",$B1090=Company_Explorer!$B$6),OR(Company_Explorer!$B$7="All Roles",$D1090=Company_Explorer!$B$7),OR(Company_Explorer!$B$8="All Ghost Labels",$AG1090=Company_Explorer!$B$8)),1,0)</f>
        <v>0</v>
      </c>
    </row>
    <row r="1091" spans="1:35" ht="15" customHeight="1" x14ac:dyDescent="0.3">
      <c r="A1091" s="65" t="s">
        <v>4004</v>
      </c>
      <c r="B1091" s="65" t="s">
        <v>81</v>
      </c>
      <c r="C1091" s="65" t="s">
        <v>4005</v>
      </c>
      <c r="D1091" s="65" t="s">
        <v>126</v>
      </c>
      <c r="E1091" s="65" t="s">
        <v>3726</v>
      </c>
      <c r="F1091" s="65" t="b">
        <f>FALSE()</f>
        <v>0</v>
      </c>
      <c r="G1091" s="65" t="s">
        <v>165</v>
      </c>
      <c r="H1091" s="65" t="s">
        <v>3636</v>
      </c>
      <c r="I1091" s="66">
        <v>46210.025740717603</v>
      </c>
      <c r="J1091" s="66">
        <v>46210.282962465302</v>
      </c>
      <c r="K1091" s="65">
        <v>0.3</v>
      </c>
      <c r="L1091" s="65" t="s">
        <v>183</v>
      </c>
      <c r="M1091" s="65" t="s">
        <v>183</v>
      </c>
      <c r="N1091" s="65" t="b">
        <f>FALSE()</f>
        <v>0</v>
      </c>
      <c r="O1091" s="65"/>
      <c r="P1091" s="65"/>
      <c r="Q1091" s="65" t="s">
        <v>236</v>
      </c>
      <c r="R1091" s="65" t="s">
        <v>236</v>
      </c>
      <c r="S1091" s="65"/>
      <c r="T1091" s="65" t="b">
        <f>FALSE()</f>
        <v>0</v>
      </c>
      <c r="U1091" s="65" t="b">
        <f>FALSE()</f>
        <v>0</v>
      </c>
      <c r="V1091" s="65">
        <v>1015</v>
      </c>
      <c r="W1091" s="67" t="s">
        <v>4006</v>
      </c>
      <c r="X1091" s="65"/>
      <c r="Y1091" s="68"/>
      <c r="Z1091" s="65" t="b">
        <f>TRUE()</f>
        <v>1</v>
      </c>
      <c r="AA1091" s="65" t="b">
        <f>TRUE()</f>
        <v>1</v>
      </c>
      <c r="AB1091" s="65" t="b">
        <f>FALSE()</f>
        <v>0</v>
      </c>
      <c r="AC1091" s="65" t="b">
        <f>FALSE()</f>
        <v>0</v>
      </c>
      <c r="AD1091" s="65" t="b">
        <f>FALSE()</f>
        <v>0</v>
      </c>
      <c r="AE1091" s="65">
        <v>3</v>
      </c>
      <c r="AF1091" s="69">
        <v>42.9</v>
      </c>
      <c r="AG1091" s="65" t="s">
        <v>73</v>
      </c>
      <c r="AH1091" s="65" t="s">
        <v>4007</v>
      </c>
      <c r="AI1091">
        <f>IF(AND(OR(Company_Explorer!$B$5="All Companies",$E1091=Company_Explorer!$B$5),OR(Company_Explorer!$B$6="All Platforms",$B1091=Company_Explorer!$B$6),OR(Company_Explorer!$B$7="All Roles",$D1091=Company_Explorer!$B$7),OR(Company_Explorer!$B$8="All Ghost Labels",$AG1091=Company_Explorer!$B$8)),1,0)</f>
        <v>0</v>
      </c>
    </row>
    <row r="1092" spans="1:35" ht="15" customHeight="1" x14ac:dyDescent="0.3">
      <c r="A1092" s="60" t="s">
        <v>4008</v>
      </c>
      <c r="B1092" s="60" t="s">
        <v>81</v>
      </c>
      <c r="C1092" s="60" t="s">
        <v>4009</v>
      </c>
      <c r="D1092" s="60" t="s">
        <v>127</v>
      </c>
      <c r="E1092" s="60" t="s">
        <v>3701</v>
      </c>
      <c r="F1092" s="60" t="b">
        <f>TRUE()</f>
        <v>1</v>
      </c>
      <c r="G1092" s="60" t="s">
        <v>165</v>
      </c>
      <c r="H1092" s="60" t="s">
        <v>3655</v>
      </c>
      <c r="I1092" s="61">
        <v>46209.658366817101</v>
      </c>
      <c r="J1092" s="61">
        <v>46210.2829627315</v>
      </c>
      <c r="K1092" s="60">
        <v>0.6</v>
      </c>
      <c r="L1092" s="60" t="s">
        <v>183</v>
      </c>
      <c r="M1092" s="60" t="s">
        <v>183</v>
      </c>
      <c r="N1092" s="60" t="b">
        <f>FALSE()</f>
        <v>0</v>
      </c>
      <c r="O1092" s="60"/>
      <c r="P1092" s="60"/>
      <c r="Q1092" s="60" t="s">
        <v>236</v>
      </c>
      <c r="R1092" s="60" t="s">
        <v>236</v>
      </c>
      <c r="S1092" s="60"/>
      <c r="T1092" s="60" t="b">
        <f>FALSE()</f>
        <v>0</v>
      </c>
      <c r="U1092" s="60" t="b">
        <f>FALSE()</f>
        <v>0</v>
      </c>
      <c r="V1092" s="60">
        <v>939</v>
      </c>
      <c r="W1092" s="62" t="s">
        <v>4010</v>
      </c>
      <c r="X1092" s="60">
        <v>6</v>
      </c>
      <c r="Y1092" s="63">
        <v>10.5</v>
      </c>
      <c r="Z1092" s="60" t="b">
        <f>FALSE()</f>
        <v>0</v>
      </c>
      <c r="AA1092" s="60" t="b">
        <f>TRUE()</f>
        <v>1</v>
      </c>
      <c r="AB1092" s="60" t="b">
        <f>FALSE()</f>
        <v>0</v>
      </c>
      <c r="AC1092" s="60" t="b">
        <f>FALSE()</f>
        <v>0</v>
      </c>
      <c r="AD1092" s="60" t="b">
        <f>FALSE()</f>
        <v>0</v>
      </c>
      <c r="AE1092" s="60">
        <v>1</v>
      </c>
      <c r="AF1092" s="64">
        <v>14.3</v>
      </c>
      <c r="AG1092" s="60" t="s">
        <v>74</v>
      </c>
      <c r="AH1092" s="60" t="s">
        <v>4011</v>
      </c>
      <c r="AI1092">
        <f>IF(AND(OR(Company_Explorer!$B$5="All Companies",$E1092=Company_Explorer!$B$5),OR(Company_Explorer!$B$6="All Platforms",$B1092=Company_Explorer!$B$6),OR(Company_Explorer!$B$7="All Roles",$D1092=Company_Explorer!$B$7),OR(Company_Explorer!$B$8="All Ghost Labels",$AG1092=Company_Explorer!$B$8)),1,0)</f>
        <v>0</v>
      </c>
    </row>
    <row r="1093" spans="1:35" ht="15" customHeight="1" x14ac:dyDescent="0.3">
      <c r="A1093" s="65" t="s">
        <v>4012</v>
      </c>
      <c r="B1093" s="65" t="s">
        <v>81</v>
      </c>
      <c r="C1093" s="65" t="s">
        <v>4013</v>
      </c>
      <c r="D1093" s="65" t="s">
        <v>126</v>
      </c>
      <c r="E1093" s="65" t="s">
        <v>3230</v>
      </c>
      <c r="F1093" s="65" t="b">
        <f>TRUE()</f>
        <v>1</v>
      </c>
      <c r="G1093" s="65" t="s">
        <v>165</v>
      </c>
      <c r="H1093" s="65" t="s">
        <v>3636</v>
      </c>
      <c r="I1093" s="66">
        <v>46210.0221957986</v>
      </c>
      <c r="J1093" s="66">
        <v>46210.282963067097</v>
      </c>
      <c r="K1093" s="65">
        <v>0.3</v>
      </c>
      <c r="L1093" s="65" t="s">
        <v>183</v>
      </c>
      <c r="M1093" s="65" t="s">
        <v>183</v>
      </c>
      <c r="N1093" s="65" t="b">
        <f>FALSE()</f>
        <v>0</v>
      </c>
      <c r="O1093" s="65"/>
      <c r="P1093" s="65"/>
      <c r="Q1093" s="65" t="s">
        <v>236</v>
      </c>
      <c r="R1093" s="65" t="s">
        <v>236</v>
      </c>
      <c r="S1093" s="65"/>
      <c r="T1093" s="65" t="b">
        <f>FALSE()</f>
        <v>0</v>
      </c>
      <c r="U1093" s="65" t="b">
        <f>FALSE()</f>
        <v>0</v>
      </c>
      <c r="V1093" s="65">
        <v>676</v>
      </c>
      <c r="W1093" s="67" t="s">
        <v>4014</v>
      </c>
      <c r="X1093" s="65">
        <v>3</v>
      </c>
      <c r="Y1093" s="68">
        <v>5.25</v>
      </c>
      <c r="Z1093" s="65" t="b">
        <f>FALSE()</f>
        <v>0</v>
      </c>
      <c r="AA1093" s="65" t="b">
        <f>TRUE()</f>
        <v>1</v>
      </c>
      <c r="AB1093" s="65" t="b">
        <f>FALSE()</f>
        <v>0</v>
      </c>
      <c r="AC1093" s="65" t="b">
        <f>FALSE()</f>
        <v>0</v>
      </c>
      <c r="AD1093" s="65" t="b">
        <f>FALSE()</f>
        <v>0</v>
      </c>
      <c r="AE1093" s="65">
        <v>1</v>
      </c>
      <c r="AF1093" s="69">
        <v>14.3</v>
      </c>
      <c r="AG1093" s="65" t="s">
        <v>74</v>
      </c>
      <c r="AH1093" s="65" t="s">
        <v>4015</v>
      </c>
      <c r="AI1093">
        <f>IF(AND(OR(Company_Explorer!$B$5="All Companies",$E1093=Company_Explorer!$B$5),OR(Company_Explorer!$B$6="All Platforms",$B1093=Company_Explorer!$B$6),OR(Company_Explorer!$B$7="All Roles",$D1093=Company_Explorer!$B$7),OR(Company_Explorer!$B$8="All Ghost Labels",$AG1093=Company_Explorer!$B$8)),1,0)</f>
        <v>0</v>
      </c>
    </row>
    <row r="1094" spans="1:35" ht="15" customHeight="1" x14ac:dyDescent="0.3">
      <c r="A1094" s="60" t="s">
        <v>4016</v>
      </c>
      <c r="B1094" s="60" t="s">
        <v>81</v>
      </c>
      <c r="C1094" s="60" t="s">
        <v>4017</v>
      </c>
      <c r="D1094" s="60" t="s">
        <v>126</v>
      </c>
      <c r="E1094" s="60" t="s">
        <v>3701</v>
      </c>
      <c r="F1094" s="60" t="b">
        <f>TRUE()</f>
        <v>1</v>
      </c>
      <c r="G1094" s="60" t="s">
        <v>165</v>
      </c>
      <c r="H1094" s="60" t="s">
        <v>3672</v>
      </c>
      <c r="I1094" s="61">
        <v>46209.658314953696</v>
      </c>
      <c r="J1094" s="61">
        <v>46210.282963333302</v>
      </c>
      <c r="K1094" s="60">
        <v>0.6</v>
      </c>
      <c r="L1094" s="60" t="s">
        <v>183</v>
      </c>
      <c r="M1094" s="60" t="s">
        <v>183</v>
      </c>
      <c r="N1094" s="60" t="b">
        <f>FALSE()</f>
        <v>0</v>
      </c>
      <c r="O1094" s="60"/>
      <c r="P1094" s="60"/>
      <c r="Q1094" s="60" t="s">
        <v>236</v>
      </c>
      <c r="R1094" s="60" t="s">
        <v>236</v>
      </c>
      <c r="S1094" s="60"/>
      <c r="T1094" s="60" t="b">
        <f>FALSE()</f>
        <v>0</v>
      </c>
      <c r="U1094" s="60" t="b">
        <f>FALSE()</f>
        <v>0</v>
      </c>
      <c r="V1094" s="60">
        <v>854</v>
      </c>
      <c r="W1094" s="62" t="s">
        <v>4018</v>
      </c>
      <c r="X1094" s="60">
        <v>6</v>
      </c>
      <c r="Y1094" s="63">
        <v>10.5</v>
      </c>
      <c r="Z1094" s="60" t="b">
        <f>FALSE()</f>
        <v>0</v>
      </c>
      <c r="AA1094" s="60" t="b">
        <f>TRUE()</f>
        <v>1</v>
      </c>
      <c r="AB1094" s="60" t="b">
        <f>FALSE()</f>
        <v>0</v>
      </c>
      <c r="AC1094" s="60" t="b">
        <f>FALSE()</f>
        <v>0</v>
      </c>
      <c r="AD1094" s="60" t="b">
        <f>FALSE()</f>
        <v>0</v>
      </c>
      <c r="AE1094" s="60">
        <v>1</v>
      </c>
      <c r="AF1094" s="64">
        <v>14.3</v>
      </c>
      <c r="AG1094" s="60" t="s">
        <v>74</v>
      </c>
      <c r="AH1094" s="60" t="s">
        <v>4019</v>
      </c>
      <c r="AI1094">
        <f>IF(AND(OR(Company_Explorer!$B$5="All Companies",$E1094=Company_Explorer!$B$5),OR(Company_Explorer!$B$6="All Platforms",$B1094=Company_Explorer!$B$6),OR(Company_Explorer!$B$7="All Roles",$D1094=Company_Explorer!$B$7),OR(Company_Explorer!$B$8="All Ghost Labels",$AG1094=Company_Explorer!$B$8)),1,0)</f>
        <v>0</v>
      </c>
    </row>
    <row r="1095" spans="1:35" ht="15" customHeight="1" x14ac:dyDescent="0.3">
      <c r="A1095" s="65" t="s">
        <v>4020</v>
      </c>
      <c r="B1095" s="65" t="s">
        <v>81</v>
      </c>
      <c r="C1095" s="65" t="s">
        <v>4021</v>
      </c>
      <c r="D1095" s="65" t="s">
        <v>126</v>
      </c>
      <c r="E1095" s="65" t="s">
        <v>3701</v>
      </c>
      <c r="F1095" s="65" t="b">
        <f>TRUE()</f>
        <v>1</v>
      </c>
      <c r="G1095" s="65" t="s">
        <v>165</v>
      </c>
      <c r="H1095" s="65" t="s">
        <v>3655</v>
      </c>
      <c r="I1095" s="66">
        <v>46209.658250821798</v>
      </c>
      <c r="J1095" s="66">
        <v>46210.282963425903</v>
      </c>
      <c r="K1095" s="65">
        <v>0.6</v>
      </c>
      <c r="L1095" s="65" t="s">
        <v>183</v>
      </c>
      <c r="M1095" s="65" t="s">
        <v>183</v>
      </c>
      <c r="N1095" s="65" t="b">
        <f>FALSE()</f>
        <v>0</v>
      </c>
      <c r="O1095" s="65"/>
      <c r="P1095" s="65"/>
      <c r="Q1095" s="65" t="s">
        <v>236</v>
      </c>
      <c r="R1095" s="65" t="s">
        <v>236</v>
      </c>
      <c r="S1095" s="65"/>
      <c r="T1095" s="65" t="b">
        <f>FALSE()</f>
        <v>0</v>
      </c>
      <c r="U1095" s="65" t="b">
        <f>FALSE()</f>
        <v>0</v>
      </c>
      <c r="V1095" s="65">
        <v>662</v>
      </c>
      <c r="W1095" s="67" t="s">
        <v>4022</v>
      </c>
      <c r="X1095" s="65">
        <v>6</v>
      </c>
      <c r="Y1095" s="68">
        <v>10.5</v>
      </c>
      <c r="Z1095" s="65" t="b">
        <f>FALSE()</f>
        <v>0</v>
      </c>
      <c r="AA1095" s="65" t="b">
        <f>TRUE()</f>
        <v>1</v>
      </c>
      <c r="AB1095" s="65" t="b">
        <f>FALSE()</f>
        <v>0</v>
      </c>
      <c r="AC1095" s="65" t="b">
        <f>FALSE()</f>
        <v>0</v>
      </c>
      <c r="AD1095" s="65" t="b">
        <f>FALSE()</f>
        <v>0</v>
      </c>
      <c r="AE1095" s="65">
        <v>1</v>
      </c>
      <c r="AF1095" s="69">
        <v>14.3</v>
      </c>
      <c r="AG1095" s="65" t="s">
        <v>74</v>
      </c>
      <c r="AH1095" s="65" t="s">
        <v>4023</v>
      </c>
      <c r="AI1095">
        <f>IF(AND(OR(Company_Explorer!$B$5="All Companies",$E1095=Company_Explorer!$B$5),OR(Company_Explorer!$B$6="All Platforms",$B1095=Company_Explorer!$B$6),OR(Company_Explorer!$B$7="All Roles",$D1095=Company_Explorer!$B$7),OR(Company_Explorer!$B$8="All Ghost Labels",$AG1095=Company_Explorer!$B$8)),1,0)</f>
        <v>0</v>
      </c>
    </row>
    <row r="1096" spans="1:35" ht="15" customHeight="1" x14ac:dyDescent="0.3">
      <c r="A1096" s="60" t="s">
        <v>4024</v>
      </c>
      <c r="B1096" s="60" t="s">
        <v>81</v>
      </c>
      <c r="C1096" s="60" t="s">
        <v>3842</v>
      </c>
      <c r="D1096" s="60" t="s">
        <v>127</v>
      </c>
      <c r="E1096" s="60" t="s">
        <v>142</v>
      </c>
      <c r="F1096" s="60" t="b">
        <f>TRUE()</f>
        <v>1</v>
      </c>
      <c r="G1096" s="60" t="s">
        <v>165</v>
      </c>
      <c r="H1096" s="60" t="s">
        <v>3636</v>
      </c>
      <c r="I1096" s="61">
        <v>46210.013666759303</v>
      </c>
      <c r="J1096" s="61">
        <v>46210.282963495403</v>
      </c>
      <c r="K1096" s="60">
        <v>0.3</v>
      </c>
      <c r="L1096" s="60" t="s">
        <v>183</v>
      </c>
      <c r="M1096" s="60" t="s">
        <v>183</v>
      </c>
      <c r="N1096" s="60" t="b">
        <f>FALSE()</f>
        <v>0</v>
      </c>
      <c r="O1096" s="60"/>
      <c r="P1096" s="60"/>
      <c r="Q1096" s="60" t="s">
        <v>236</v>
      </c>
      <c r="R1096" s="60" t="s">
        <v>236</v>
      </c>
      <c r="S1096" s="60"/>
      <c r="T1096" s="60" t="b">
        <f>FALSE()</f>
        <v>0</v>
      </c>
      <c r="U1096" s="60" t="b">
        <f>FALSE()</f>
        <v>0</v>
      </c>
      <c r="V1096" s="60">
        <v>513</v>
      </c>
      <c r="W1096" s="62" t="s">
        <v>3843</v>
      </c>
      <c r="X1096" s="60">
        <v>81</v>
      </c>
      <c r="Y1096" s="63">
        <v>141.75</v>
      </c>
      <c r="Z1096" s="60" t="b">
        <f>FALSE()</f>
        <v>0</v>
      </c>
      <c r="AA1096" s="60" t="b">
        <f>TRUE()</f>
        <v>1</v>
      </c>
      <c r="AB1096" s="60" t="b">
        <f>FALSE()</f>
        <v>0</v>
      </c>
      <c r="AC1096" s="60" t="b">
        <f>FALSE()</f>
        <v>0</v>
      </c>
      <c r="AD1096" s="60" t="b">
        <f>TRUE()</f>
        <v>1</v>
      </c>
      <c r="AE1096" s="60">
        <v>3</v>
      </c>
      <c r="AF1096" s="64">
        <v>42.9</v>
      </c>
      <c r="AG1096" s="60" t="s">
        <v>73</v>
      </c>
      <c r="AH1096" s="60" t="s">
        <v>4025</v>
      </c>
      <c r="AI1096">
        <f>IF(AND(OR(Company_Explorer!$B$5="All Companies",$E1096=Company_Explorer!$B$5),OR(Company_Explorer!$B$6="All Platforms",$B1096=Company_Explorer!$B$6),OR(Company_Explorer!$B$7="All Roles",$D1096=Company_Explorer!$B$7),OR(Company_Explorer!$B$8="All Ghost Labels",$AG1096=Company_Explorer!$B$8)),1,0)</f>
        <v>0</v>
      </c>
    </row>
    <row r="1097" spans="1:35" ht="15" customHeight="1" x14ac:dyDescent="0.3">
      <c r="A1097" s="65" t="s">
        <v>4026</v>
      </c>
      <c r="B1097" s="65" t="s">
        <v>81</v>
      </c>
      <c r="C1097" s="65" t="s">
        <v>4027</v>
      </c>
      <c r="D1097" s="65" t="s">
        <v>126</v>
      </c>
      <c r="E1097" s="65" t="s">
        <v>4028</v>
      </c>
      <c r="F1097" s="65" t="b">
        <f>TRUE()</f>
        <v>1</v>
      </c>
      <c r="G1097" s="65" t="s">
        <v>165</v>
      </c>
      <c r="H1097" s="65" t="s">
        <v>3655</v>
      </c>
      <c r="I1097" s="66">
        <v>46210.012249756997</v>
      </c>
      <c r="J1097" s="66">
        <v>46210.282963553203</v>
      </c>
      <c r="K1097" s="65">
        <v>0.3</v>
      </c>
      <c r="L1097" s="65" t="s">
        <v>183</v>
      </c>
      <c r="M1097" s="65" t="s">
        <v>183</v>
      </c>
      <c r="N1097" s="65" t="b">
        <f>FALSE()</f>
        <v>0</v>
      </c>
      <c r="O1097" s="65"/>
      <c r="P1097" s="65"/>
      <c r="Q1097" s="65" t="s">
        <v>236</v>
      </c>
      <c r="R1097" s="65" t="s">
        <v>236</v>
      </c>
      <c r="S1097" s="65"/>
      <c r="T1097" s="65" t="b">
        <f>FALSE()</f>
        <v>0</v>
      </c>
      <c r="U1097" s="65" t="b">
        <f>FALSE()</f>
        <v>0</v>
      </c>
      <c r="V1097" s="65">
        <v>1131</v>
      </c>
      <c r="W1097" s="67" t="s">
        <v>4029</v>
      </c>
      <c r="X1097" s="65">
        <v>6</v>
      </c>
      <c r="Y1097" s="68">
        <v>10.5</v>
      </c>
      <c r="Z1097" s="65" t="b">
        <f>FALSE()</f>
        <v>0</v>
      </c>
      <c r="AA1097" s="65" t="b">
        <f>TRUE()</f>
        <v>1</v>
      </c>
      <c r="AB1097" s="65" t="b">
        <f>FALSE()</f>
        <v>0</v>
      </c>
      <c r="AC1097" s="65" t="b">
        <f>FALSE()</f>
        <v>0</v>
      </c>
      <c r="AD1097" s="65" t="b">
        <f>FALSE()</f>
        <v>0</v>
      </c>
      <c r="AE1097" s="65">
        <v>1</v>
      </c>
      <c r="AF1097" s="69">
        <v>14.3</v>
      </c>
      <c r="AG1097" s="65" t="s">
        <v>74</v>
      </c>
      <c r="AH1097" s="65" t="s">
        <v>4030</v>
      </c>
      <c r="AI1097">
        <f>IF(AND(OR(Company_Explorer!$B$5="All Companies",$E1097=Company_Explorer!$B$5),OR(Company_Explorer!$B$6="All Platforms",$B1097=Company_Explorer!$B$6),OR(Company_Explorer!$B$7="All Roles",$D1097=Company_Explorer!$B$7),OR(Company_Explorer!$B$8="All Ghost Labels",$AG1097=Company_Explorer!$B$8)),1,0)</f>
        <v>0</v>
      </c>
    </row>
    <row r="1098" spans="1:35" ht="15" customHeight="1" x14ac:dyDescent="0.3">
      <c r="A1098" s="60" t="s">
        <v>4031</v>
      </c>
      <c r="B1098" s="60" t="s">
        <v>81</v>
      </c>
      <c r="C1098" s="60" t="s">
        <v>4032</v>
      </c>
      <c r="D1098" s="60" t="s">
        <v>126</v>
      </c>
      <c r="E1098" s="60" t="s">
        <v>4028</v>
      </c>
      <c r="F1098" s="60" t="b">
        <f>TRUE()</f>
        <v>1</v>
      </c>
      <c r="G1098" s="60" t="s">
        <v>165</v>
      </c>
      <c r="H1098" s="60" t="s">
        <v>3655</v>
      </c>
      <c r="I1098" s="61">
        <v>46210.012244259298</v>
      </c>
      <c r="J1098" s="61">
        <v>46210.282963854203</v>
      </c>
      <c r="K1098" s="60">
        <v>0.3</v>
      </c>
      <c r="L1098" s="60" t="s">
        <v>183</v>
      </c>
      <c r="M1098" s="60" t="s">
        <v>183</v>
      </c>
      <c r="N1098" s="60" t="b">
        <f>FALSE()</f>
        <v>0</v>
      </c>
      <c r="O1098" s="60"/>
      <c r="P1098" s="60"/>
      <c r="Q1098" s="60" t="s">
        <v>236</v>
      </c>
      <c r="R1098" s="60" t="s">
        <v>236</v>
      </c>
      <c r="S1098" s="60"/>
      <c r="T1098" s="60" t="b">
        <f>FALSE()</f>
        <v>0</v>
      </c>
      <c r="U1098" s="60" t="b">
        <f>FALSE()</f>
        <v>0</v>
      </c>
      <c r="V1098" s="60">
        <v>1036</v>
      </c>
      <c r="W1098" s="62" t="s">
        <v>4029</v>
      </c>
      <c r="X1098" s="60">
        <v>6</v>
      </c>
      <c r="Y1098" s="63">
        <v>10.5</v>
      </c>
      <c r="Z1098" s="60" t="b">
        <f>FALSE()</f>
        <v>0</v>
      </c>
      <c r="AA1098" s="60" t="b">
        <f>TRUE()</f>
        <v>1</v>
      </c>
      <c r="AB1098" s="60" t="b">
        <f>FALSE()</f>
        <v>0</v>
      </c>
      <c r="AC1098" s="60" t="b">
        <f>FALSE()</f>
        <v>0</v>
      </c>
      <c r="AD1098" s="60" t="b">
        <f>FALSE()</f>
        <v>0</v>
      </c>
      <c r="AE1098" s="60">
        <v>1</v>
      </c>
      <c r="AF1098" s="64">
        <v>14.3</v>
      </c>
      <c r="AG1098" s="60" t="s">
        <v>74</v>
      </c>
      <c r="AH1098" s="60" t="s">
        <v>4033</v>
      </c>
      <c r="AI1098">
        <f>IF(AND(OR(Company_Explorer!$B$5="All Companies",$E1098=Company_Explorer!$B$5),OR(Company_Explorer!$B$6="All Platforms",$B1098=Company_Explorer!$B$6),OR(Company_Explorer!$B$7="All Roles",$D1098=Company_Explorer!$B$7),OR(Company_Explorer!$B$8="All Ghost Labels",$AG1098=Company_Explorer!$B$8)),1,0)</f>
        <v>0</v>
      </c>
    </row>
    <row r="1099" spans="1:35" ht="15" customHeight="1" x14ac:dyDescent="0.3">
      <c r="A1099" s="65" t="s">
        <v>4034</v>
      </c>
      <c r="B1099" s="65" t="s">
        <v>81</v>
      </c>
      <c r="C1099" s="65" t="s">
        <v>4035</v>
      </c>
      <c r="D1099" s="65" t="s">
        <v>126</v>
      </c>
      <c r="E1099" s="65" t="s">
        <v>4036</v>
      </c>
      <c r="F1099" s="65" t="b">
        <f>TRUE()</f>
        <v>1</v>
      </c>
      <c r="G1099" s="65" t="s">
        <v>165</v>
      </c>
      <c r="H1099" s="65" t="s">
        <v>3655</v>
      </c>
      <c r="I1099" s="66">
        <v>46209.656721724503</v>
      </c>
      <c r="J1099" s="66">
        <v>46210.282964050901</v>
      </c>
      <c r="K1099" s="65">
        <v>0.6</v>
      </c>
      <c r="L1099" s="65" t="s">
        <v>183</v>
      </c>
      <c r="M1099" s="65" t="s">
        <v>183</v>
      </c>
      <c r="N1099" s="65" t="b">
        <f>FALSE()</f>
        <v>0</v>
      </c>
      <c r="O1099" s="65"/>
      <c r="P1099" s="65"/>
      <c r="Q1099" s="65" t="s">
        <v>236</v>
      </c>
      <c r="R1099" s="65" t="s">
        <v>236</v>
      </c>
      <c r="S1099" s="65"/>
      <c r="T1099" s="65" t="b">
        <f>FALSE()</f>
        <v>0</v>
      </c>
      <c r="U1099" s="65" t="b">
        <f>FALSE()</f>
        <v>0</v>
      </c>
      <c r="V1099" s="65">
        <v>668</v>
      </c>
      <c r="W1099" s="67" t="s">
        <v>4037</v>
      </c>
      <c r="X1099" s="65">
        <v>2</v>
      </c>
      <c r="Y1099" s="68">
        <v>3.5</v>
      </c>
      <c r="Z1099" s="65" t="b">
        <f>FALSE()</f>
        <v>0</v>
      </c>
      <c r="AA1099" s="65" t="b">
        <f>TRUE()</f>
        <v>1</v>
      </c>
      <c r="AB1099" s="65" t="b">
        <f>FALSE()</f>
        <v>0</v>
      </c>
      <c r="AC1099" s="65" t="b">
        <f>FALSE()</f>
        <v>0</v>
      </c>
      <c r="AD1099" s="65" t="b">
        <f>FALSE()</f>
        <v>0</v>
      </c>
      <c r="AE1099" s="65">
        <v>1</v>
      </c>
      <c r="AF1099" s="69">
        <v>14.3</v>
      </c>
      <c r="AG1099" s="65" t="s">
        <v>74</v>
      </c>
      <c r="AH1099" s="65" t="s">
        <v>4038</v>
      </c>
      <c r="AI1099">
        <f>IF(AND(OR(Company_Explorer!$B$5="All Companies",$E1099=Company_Explorer!$B$5),OR(Company_Explorer!$B$6="All Platforms",$B1099=Company_Explorer!$B$6),OR(Company_Explorer!$B$7="All Roles",$D1099=Company_Explorer!$B$7),OR(Company_Explorer!$B$8="All Ghost Labels",$AG1099=Company_Explorer!$B$8)),1,0)</f>
        <v>0</v>
      </c>
    </row>
    <row r="1100" spans="1:35" ht="15" customHeight="1" x14ac:dyDescent="0.3">
      <c r="A1100" s="60" t="s">
        <v>4039</v>
      </c>
      <c r="B1100" s="60" t="s">
        <v>81</v>
      </c>
      <c r="C1100" s="60" t="s">
        <v>127</v>
      </c>
      <c r="D1100" s="60" t="s">
        <v>127</v>
      </c>
      <c r="E1100" s="60" t="s">
        <v>4040</v>
      </c>
      <c r="F1100" s="60" t="b">
        <f>TRUE()</f>
        <v>1</v>
      </c>
      <c r="G1100" s="60" t="s">
        <v>165</v>
      </c>
      <c r="H1100" s="60" t="s">
        <v>3655</v>
      </c>
      <c r="I1100" s="61">
        <v>46210.011058750002</v>
      </c>
      <c r="J1100" s="61">
        <v>46210.282964398197</v>
      </c>
      <c r="K1100" s="60">
        <v>0.3</v>
      </c>
      <c r="L1100" s="60" t="s">
        <v>183</v>
      </c>
      <c r="M1100" s="60" t="s">
        <v>183</v>
      </c>
      <c r="N1100" s="60" t="b">
        <f>FALSE()</f>
        <v>0</v>
      </c>
      <c r="O1100" s="60"/>
      <c r="P1100" s="60"/>
      <c r="Q1100" s="60" t="s">
        <v>236</v>
      </c>
      <c r="R1100" s="60" t="s">
        <v>236</v>
      </c>
      <c r="S1100" s="60"/>
      <c r="T1100" s="60" t="b">
        <f>FALSE()</f>
        <v>0</v>
      </c>
      <c r="U1100" s="60" t="b">
        <f>FALSE()</f>
        <v>0</v>
      </c>
      <c r="V1100" s="60">
        <v>292</v>
      </c>
      <c r="W1100" s="62" t="s">
        <v>4041</v>
      </c>
      <c r="X1100" s="60">
        <v>1</v>
      </c>
      <c r="Y1100" s="63">
        <v>1.75</v>
      </c>
      <c r="Z1100" s="60" t="b">
        <f>FALSE()</f>
        <v>0</v>
      </c>
      <c r="AA1100" s="60" t="b">
        <f>TRUE()</f>
        <v>1</v>
      </c>
      <c r="AB1100" s="60" t="b">
        <f>TRUE()</f>
        <v>1</v>
      </c>
      <c r="AC1100" s="60" t="b">
        <f>FALSE()</f>
        <v>0</v>
      </c>
      <c r="AD1100" s="60" t="b">
        <f>FALSE()</f>
        <v>0</v>
      </c>
      <c r="AE1100" s="60">
        <v>2</v>
      </c>
      <c r="AF1100" s="64">
        <v>28.6</v>
      </c>
      <c r="AG1100" s="60" t="s">
        <v>73</v>
      </c>
      <c r="AH1100" s="60" t="s">
        <v>4042</v>
      </c>
      <c r="AI1100">
        <f>IF(AND(OR(Company_Explorer!$B$5="All Companies",$E1100=Company_Explorer!$B$5),OR(Company_Explorer!$B$6="All Platforms",$B1100=Company_Explorer!$B$6),OR(Company_Explorer!$B$7="All Roles",$D1100=Company_Explorer!$B$7),OR(Company_Explorer!$B$8="All Ghost Labels",$AG1100=Company_Explorer!$B$8)),1,0)</f>
        <v>0</v>
      </c>
    </row>
    <row r="1101" spans="1:35" ht="15" customHeight="1" x14ac:dyDescent="0.3">
      <c r="A1101" s="65" t="s">
        <v>4043</v>
      </c>
      <c r="B1101" s="65" t="s">
        <v>81</v>
      </c>
      <c r="C1101" s="65" t="s">
        <v>4044</v>
      </c>
      <c r="D1101" s="65" t="s">
        <v>125</v>
      </c>
      <c r="E1101" s="65" t="s">
        <v>4045</v>
      </c>
      <c r="F1101" s="65" t="b">
        <f>TRUE()</f>
        <v>1</v>
      </c>
      <c r="G1101" s="65" t="s">
        <v>165</v>
      </c>
      <c r="H1101" s="65" t="s">
        <v>3630</v>
      </c>
      <c r="I1101" s="66">
        <v>46210.188457199103</v>
      </c>
      <c r="J1101" s="66">
        <v>46210.282965208302</v>
      </c>
      <c r="K1101" s="65">
        <v>0.1</v>
      </c>
      <c r="L1101" s="65" t="s">
        <v>183</v>
      </c>
      <c r="M1101" s="65" t="s">
        <v>183</v>
      </c>
      <c r="N1101" s="65" t="b">
        <f>TRUE()</f>
        <v>1</v>
      </c>
      <c r="O1101" s="71">
        <v>50000</v>
      </c>
      <c r="P1101" s="71">
        <v>80000</v>
      </c>
      <c r="Q1101" s="65" t="s">
        <v>3663</v>
      </c>
      <c r="R1101" s="65" t="s">
        <v>3664</v>
      </c>
      <c r="S1101" s="71">
        <v>780000</v>
      </c>
      <c r="T1101" s="65" t="b">
        <f>TRUE()</f>
        <v>1</v>
      </c>
      <c r="U1101" s="65" t="b">
        <f>FALSE()</f>
        <v>0</v>
      </c>
      <c r="V1101" s="65">
        <v>235</v>
      </c>
      <c r="W1101" s="65" t="s">
        <v>4046</v>
      </c>
      <c r="X1101" s="65">
        <v>1</v>
      </c>
      <c r="Y1101" s="68">
        <v>1.75</v>
      </c>
      <c r="Z1101" s="65" t="b">
        <f>FALSE()</f>
        <v>0</v>
      </c>
      <c r="AA1101" s="65" t="b">
        <f>FALSE()</f>
        <v>0</v>
      </c>
      <c r="AB1101" s="65" t="b">
        <f>TRUE()</f>
        <v>1</v>
      </c>
      <c r="AC1101" s="65" t="b">
        <f>FALSE()</f>
        <v>0</v>
      </c>
      <c r="AD1101" s="65" t="b">
        <f>FALSE()</f>
        <v>0</v>
      </c>
      <c r="AE1101" s="65">
        <v>1</v>
      </c>
      <c r="AF1101" s="69">
        <v>14.3</v>
      </c>
      <c r="AG1101" s="65" t="s">
        <v>74</v>
      </c>
      <c r="AH1101" s="65" t="s">
        <v>4047</v>
      </c>
      <c r="AI1101">
        <f>IF(AND(OR(Company_Explorer!$B$5="All Companies",$E1101=Company_Explorer!$B$5),OR(Company_Explorer!$B$6="All Platforms",$B1101=Company_Explorer!$B$6),OR(Company_Explorer!$B$7="All Roles",$D1101=Company_Explorer!$B$7),OR(Company_Explorer!$B$8="All Ghost Labels",$AG1101=Company_Explorer!$B$8)),1,0)</f>
        <v>0</v>
      </c>
    </row>
    <row r="1102" spans="1:35" ht="15" customHeight="1" x14ac:dyDescent="0.3">
      <c r="A1102" s="60" t="s">
        <v>4048</v>
      </c>
      <c r="B1102" s="60" t="s">
        <v>81</v>
      </c>
      <c r="C1102" s="60" t="s">
        <v>4049</v>
      </c>
      <c r="D1102" s="60" t="s">
        <v>130</v>
      </c>
      <c r="E1102" s="60" t="s">
        <v>4050</v>
      </c>
      <c r="F1102" s="60" t="b">
        <f>TRUE()</f>
        <v>1</v>
      </c>
      <c r="G1102" s="60" t="s">
        <v>165</v>
      </c>
      <c r="H1102" s="60" t="s">
        <v>3672</v>
      </c>
      <c r="I1102" s="61">
        <v>46210.208628217602</v>
      </c>
      <c r="J1102" s="61">
        <v>46210.282965185201</v>
      </c>
      <c r="K1102" s="60">
        <v>0.1</v>
      </c>
      <c r="L1102" s="60" t="s">
        <v>183</v>
      </c>
      <c r="M1102" s="60" t="s">
        <v>183</v>
      </c>
      <c r="N1102" s="60" t="b">
        <f>FALSE()</f>
        <v>0</v>
      </c>
      <c r="O1102" s="60"/>
      <c r="P1102" s="60"/>
      <c r="Q1102" s="60" t="s">
        <v>236</v>
      </c>
      <c r="R1102" s="60" t="s">
        <v>236</v>
      </c>
      <c r="S1102" s="60"/>
      <c r="T1102" s="60" t="b">
        <f>FALSE()</f>
        <v>0</v>
      </c>
      <c r="U1102" s="60" t="b">
        <f>FALSE()</f>
        <v>0</v>
      </c>
      <c r="V1102" s="60">
        <v>122</v>
      </c>
      <c r="W1102" s="62" t="s">
        <v>4051</v>
      </c>
      <c r="X1102" s="60">
        <v>1</v>
      </c>
      <c r="Y1102" s="63">
        <v>1.75</v>
      </c>
      <c r="Z1102" s="60" t="b">
        <f>FALSE()</f>
        <v>0</v>
      </c>
      <c r="AA1102" s="60" t="b">
        <f>TRUE()</f>
        <v>1</v>
      </c>
      <c r="AB1102" s="60" t="b">
        <f>TRUE()</f>
        <v>1</v>
      </c>
      <c r="AC1102" s="60" t="b">
        <f>FALSE()</f>
        <v>0</v>
      </c>
      <c r="AD1102" s="60" t="b">
        <f>FALSE()</f>
        <v>0</v>
      </c>
      <c r="AE1102" s="60">
        <v>2</v>
      </c>
      <c r="AF1102" s="64">
        <v>28.6</v>
      </c>
      <c r="AG1102" s="60" t="s">
        <v>73</v>
      </c>
      <c r="AH1102" s="60" t="s">
        <v>4052</v>
      </c>
      <c r="AI1102">
        <f>IF(AND(OR(Company_Explorer!$B$5="All Companies",$E1102=Company_Explorer!$B$5),OR(Company_Explorer!$B$6="All Platforms",$B1102=Company_Explorer!$B$6),OR(Company_Explorer!$B$7="All Roles",$D1102=Company_Explorer!$B$7),OR(Company_Explorer!$B$8="All Ghost Labels",$AG1102=Company_Explorer!$B$8)),1,0)</f>
        <v>0</v>
      </c>
    </row>
    <row r="1103" spans="1:35" ht="15" customHeight="1" x14ac:dyDescent="0.3">
      <c r="A1103" s="65" t="s">
        <v>4053</v>
      </c>
      <c r="B1103" s="65" t="s">
        <v>81</v>
      </c>
      <c r="C1103" s="65" t="s">
        <v>4054</v>
      </c>
      <c r="D1103" s="65" t="s">
        <v>126</v>
      </c>
      <c r="E1103" s="65" t="s">
        <v>4055</v>
      </c>
      <c r="F1103" s="65" t="b">
        <f>TRUE()</f>
        <v>1</v>
      </c>
      <c r="G1103" s="65" t="s">
        <v>165</v>
      </c>
      <c r="H1103" s="65" t="s">
        <v>3655</v>
      </c>
      <c r="I1103" s="66">
        <v>46210.193542905101</v>
      </c>
      <c r="J1103" s="66">
        <v>46210.282965254599</v>
      </c>
      <c r="K1103" s="65">
        <v>0.1</v>
      </c>
      <c r="L1103" s="65" t="s">
        <v>183</v>
      </c>
      <c r="M1103" s="65" t="s">
        <v>183</v>
      </c>
      <c r="N1103" s="65" t="b">
        <f>TRUE()</f>
        <v>1</v>
      </c>
      <c r="O1103" s="71">
        <v>395088.71875</v>
      </c>
      <c r="P1103" s="71">
        <v>3500000</v>
      </c>
      <c r="Q1103" s="65" t="s">
        <v>3663</v>
      </c>
      <c r="R1103" s="65" t="s">
        <v>3961</v>
      </c>
      <c r="S1103" s="71">
        <v>1947544</v>
      </c>
      <c r="T1103" s="65" t="b">
        <f>TRUE()</f>
        <v>1</v>
      </c>
      <c r="U1103" s="65" t="b">
        <f>FALSE()</f>
        <v>0</v>
      </c>
      <c r="V1103" s="65">
        <v>507</v>
      </c>
      <c r="W1103" s="67" t="s">
        <v>4056</v>
      </c>
      <c r="X1103" s="65">
        <v>5</v>
      </c>
      <c r="Y1103" s="68">
        <v>8.75</v>
      </c>
      <c r="Z1103" s="65" t="b">
        <f>FALSE()</f>
        <v>0</v>
      </c>
      <c r="AA1103" s="65" t="b">
        <f>FALSE()</f>
        <v>0</v>
      </c>
      <c r="AB1103" s="65" t="b">
        <f>FALSE()</f>
        <v>0</v>
      </c>
      <c r="AC1103" s="65" t="b">
        <f>FALSE()</f>
        <v>0</v>
      </c>
      <c r="AD1103" s="65" t="b">
        <f>FALSE()</f>
        <v>0</v>
      </c>
      <c r="AE1103" s="65">
        <v>0</v>
      </c>
      <c r="AF1103" s="69">
        <v>0</v>
      </c>
      <c r="AG1103" s="65" t="s">
        <v>74</v>
      </c>
      <c r="AH1103" s="65" t="s">
        <v>4057</v>
      </c>
      <c r="AI1103">
        <f>IF(AND(OR(Company_Explorer!$B$5="All Companies",$E1103=Company_Explorer!$B$5),OR(Company_Explorer!$B$6="All Platforms",$B1103=Company_Explorer!$B$6),OR(Company_Explorer!$B$7="All Roles",$D1103=Company_Explorer!$B$7),OR(Company_Explorer!$B$8="All Ghost Labels",$AG1103=Company_Explorer!$B$8)),1,0)</f>
        <v>0</v>
      </c>
    </row>
    <row r="1104" spans="1:35" ht="15" customHeight="1" x14ac:dyDescent="0.3">
      <c r="A1104" s="60" t="s">
        <v>4058</v>
      </c>
      <c r="B1104" s="60" t="s">
        <v>81</v>
      </c>
      <c r="C1104" s="60" t="s">
        <v>3207</v>
      </c>
      <c r="D1104" s="60" t="s">
        <v>125</v>
      </c>
      <c r="E1104" s="60" t="s">
        <v>4059</v>
      </c>
      <c r="F1104" s="60" t="b">
        <f>TRUE()</f>
        <v>1</v>
      </c>
      <c r="G1104" s="60" t="s">
        <v>165</v>
      </c>
      <c r="H1104" s="60" t="s">
        <v>3630</v>
      </c>
      <c r="I1104" s="61">
        <v>46210.244027974499</v>
      </c>
      <c r="J1104" s="61">
        <v>46210.282965358798</v>
      </c>
      <c r="K1104" s="60">
        <v>0</v>
      </c>
      <c r="L1104" s="60" t="s">
        <v>183</v>
      </c>
      <c r="M1104" s="60" t="s">
        <v>183</v>
      </c>
      <c r="N1104" s="60" t="b">
        <f>TRUE()</f>
        <v>1</v>
      </c>
      <c r="O1104" s="70">
        <v>900000</v>
      </c>
      <c r="P1104" s="70">
        <v>1800000</v>
      </c>
      <c r="Q1104" s="60" t="s">
        <v>3663</v>
      </c>
      <c r="R1104" s="60" t="s">
        <v>3961</v>
      </c>
      <c r="S1104" s="70">
        <v>1350000</v>
      </c>
      <c r="T1104" s="60" t="b">
        <f>TRUE()</f>
        <v>1</v>
      </c>
      <c r="U1104" s="60" t="b">
        <f>FALSE()</f>
        <v>0</v>
      </c>
      <c r="V1104" s="60">
        <v>373</v>
      </c>
      <c r="W1104" s="60" t="s">
        <v>4060</v>
      </c>
      <c r="X1104" s="60">
        <v>1</v>
      </c>
      <c r="Y1104" s="63">
        <v>1.75</v>
      </c>
      <c r="Z1104" s="60" t="b">
        <f>FALSE()</f>
        <v>0</v>
      </c>
      <c r="AA1104" s="60" t="b">
        <f>FALSE()</f>
        <v>0</v>
      </c>
      <c r="AB1104" s="60" t="b">
        <f>FALSE()</f>
        <v>0</v>
      </c>
      <c r="AC1104" s="60" t="b">
        <f>FALSE()</f>
        <v>0</v>
      </c>
      <c r="AD1104" s="60" t="b">
        <f>FALSE()</f>
        <v>0</v>
      </c>
      <c r="AE1104" s="60">
        <v>0</v>
      </c>
      <c r="AF1104" s="64">
        <v>0</v>
      </c>
      <c r="AG1104" s="60" t="s">
        <v>74</v>
      </c>
      <c r="AH1104" s="60" t="s">
        <v>4061</v>
      </c>
      <c r="AI1104">
        <f>IF(AND(OR(Company_Explorer!$B$5="All Companies",$E1104=Company_Explorer!$B$5),OR(Company_Explorer!$B$6="All Platforms",$B1104=Company_Explorer!$B$6),OR(Company_Explorer!$B$7="All Roles",$D1104=Company_Explorer!$B$7),OR(Company_Explorer!$B$8="All Ghost Labels",$AG1104=Company_Explorer!$B$8)),1,0)</f>
        <v>0</v>
      </c>
    </row>
    <row r="1105" spans="1:35" ht="15" customHeight="1" x14ac:dyDescent="0.3">
      <c r="A1105" s="65" t="s">
        <v>4062</v>
      </c>
      <c r="B1105" s="65" t="s">
        <v>81</v>
      </c>
      <c r="C1105" s="65" t="s">
        <v>4063</v>
      </c>
      <c r="D1105" s="65" t="s">
        <v>125</v>
      </c>
      <c r="E1105" s="65" t="s">
        <v>4064</v>
      </c>
      <c r="F1105" s="65" t="b">
        <f>TRUE()</f>
        <v>1</v>
      </c>
      <c r="G1105" s="65" t="s">
        <v>165</v>
      </c>
      <c r="H1105" s="65" t="s">
        <v>3678</v>
      </c>
      <c r="I1105" s="66">
        <v>46210.243897858803</v>
      </c>
      <c r="J1105" s="66">
        <v>46210.2829654167</v>
      </c>
      <c r="K1105" s="65">
        <v>0</v>
      </c>
      <c r="L1105" s="65" t="s">
        <v>183</v>
      </c>
      <c r="M1105" s="65" t="s">
        <v>183</v>
      </c>
      <c r="N1105" s="65" t="b">
        <f>TRUE()</f>
        <v>1</v>
      </c>
      <c r="O1105" s="71">
        <v>300000</v>
      </c>
      <c r="P1105" s="71">
        <v>600000</v>
      </c>
      <c r="Q1105" s="65" t="s">
        <v>3663</v>
      </c>
      <c r="R1105" s="65" t="s">
        <v>3961</v>
      </c>
      <c r="S1105" s="71">
        <v>450000</v>
      </c>
      <c r="T1105" s="65" t="b">
        <f>TRUE()</f>
        <v>1</v>
      </c>
      <c r="U1105" s="65" t="b">
        <f>FALSE()</f>
        <v>0</v>
      </c>
      <c r="V1105" s="65">
        <v>197</v>
      </c>
      <c r="W1105" s="67" t="s">
        <v>4065</v>
      </c>
      <c r="X1105" s="65">
        <v>1</v>
      </c>
      <c r="Y1105" s="68">
        <v>1.75</v>
      </c>
      <c r="Z1105" s="65" t="b">
        <f>FALSE()</f>
        <v>0</v>
      </c>
      <c r="AA1105" s="65" t="b">
        <f>FALSE()</f>
        <v>0</v>
      </c>
      <c r="AB1105" s="65" t="b">
        <f>TRUE()</f>
        <v>1</v>
      </c>
      <c r="AC1105" s="65" t="b">
        <f>FALSE()</f>
        <v>0</v>
      </c>
      <c r="AD1105" s="65" t="b">
        <f>FALSE()</f>
        <v>0</v>
      </c>
      <c r="AE1105" s="65">
        <v>1</v>
      </c>
      <c r="AF1105" s="69">
        <v>14.3</v>
      </c>
      <c r="AG1105" s="65" t="s">
        <v>74</v>
      </c>
      <c r="AH1105" s="65" t="s">
        <v>4066</v>
      </c>
      <c r="AI1105">
        <f>IF(AND(OR(Company_Explorer!$B$5="All Companies",$E1105=Company_Explorer!$B$5),OR(Company_Explorer!$B$6="All Platforms",$B1105=Company_Explorer!$B$6),OR(Company_Explorer!$B$7="All Roles",$D1105=Company_Explorer!$B$7),OR(Company_Explorer!$B$8="All Ghost Labels",$AG1105=Company_Explorer!$B$8)),1,0)</f>
        <v>0</v>
      </c>
    </row>
    <row r="1106" spans="1:35" ht="15" customHeight="1" x14ac:dyDescent="0.3">
      <c r="A1106" s="60" t="s">
        <v>4067</v>
      </c>
      <c r="B1106" s="60" t="s">
        <v>81</v>
      </c>
      <c r="C1106" s="60" t="s">
        <v>4068</v>
      </c>
      <c r="D1106" s="60" t="s">
        <v>134</v>
      </c>
      <c r="E1106" s="60" t="s">
        <v>160</v>
      </c>
      <c r="F1106" s="60" t="b">
        <f>TRUE()</f>
        <v>1</v>
      </c>
      <c r="G1106" s="60" t="s">
        <v>165</v>
      </c>
      <c r="H1106" s="60" t="s">
        <v>3672</v>
      </c>
      <c r="I1106" s="61">
        <v>46210.125674675903</v>
      </c>
      <c r="J1106" s="61">
        <v>46210.282965486098</v>
      </c>
      <c r="K1106" s="60">
        <v>0.2</v>
      </c>
      <c r="L1106" s="60" t="s">
        <v>183</v>
      </c>
      <c r="M1106" s="60" t="s">
        <v>183</v>
      </c>
      <c r="N1106" s="60" t="b">
        <f>FALSE()</f>
        <v>0</v>
      </c>
      <c r="O1106" s="60"/>
      <c r="P1106" s="60"/>
      <c r="Q1106" s="60" t="s">
        <v>236</v>
      </c>
      <c r="R1106" s="60" t="s">
        <v>236</v>
      </c>
      <c r="S1106" s="60"/>
      <c r="T1106" s="60" t="b">
        <f>FALSE()</f>
        <v>0</v>
      </c>
      <c r="U1106" s="60" t="b">
        <f>FALSE()</f>
        <v>0</v>
      </c>
      <c r="V1106" s="60">
        <v>1258</v>
      </c>
      <c r="W1106" s="62" t="s">
        <v>4069</v>
      </c>
      <c r="X1106" s="60">
        <v>14</v>
      </c>
      <c r="Y1106" s="63">
        <v>24.5</v>
      </c>
      <c r="Z1106" s="60" t="b">
        <f>FALSE()</f>
        <v>0</v>
      </c>
      <c r="AA1106" s="60" t="b">
        <f>TRUE()</f>
        <v>1</v>
      </c>
      <c r="AB1106" s="60" t="b">
        <f>FALSE()</f>
        <v>0</v>
      </c>
      <c r="AC1106" s="60" t="b">
        <f>FALSE()</f>
        <v>0</v>
      </c>
      <c r="AD1106" s="60" t="b">
        <f>FALSE()</f>
        <v>0</v>
      </c>
      <c r="AE1106" s="60">
        <v>1</v>
      </c>
      <c r="AF1106" s="64">
        <v>14.3</v>
      </c>
      <c r="AG1106" s="60" t="s">
        <v>74</v>
      </c>
      <c r="AH1106" s="60" t="s">
        <v>4070</v>
      </c>
      <c r="AI1106">
        <f>IF(AND(OR(Company_Explorer!$B$5="All Companies",$E1106=Company_Explorer!$B$5),OR(Company_Explorer!$B$6="All Platforms",$B1106=Company_Explorer!$B$6),OR(Company_Explorer!$B$7="All Roles",$D1106=Company_Explorer!$B$7),OR(Company_Explorer!$B$8="All Ghost Labels",$AG1106=Company_Explorer!$B$8)),1,0)</f>
        <v>0</v>
      </c>
    </row>
    <row r="1107" spans="1:35" ht="15" customHeight="1" x14ac:dyDescent="0.3">
      <c r="A1107" s="65" t="s">
        <v>4071</v>
      </c>
      <c r="B1107" s="65" t="s">
        <v>81</v>
      </c>
      <c r="C1107" s="65" t="s">
        <v>4072</v>
      </c>
      <c r="D1107" s="65" t="s">
        <v>126</v>
      </c>
      <c r="E1107" s="65" t="s">
        <v>4073</v>
      </c>
      <c r="F1107" s="65" t="b">
        <f>TRUE()</f>
        <v>1</v>
      </c>
      <c r="G1107" s="65" t="s">
        <v>165</v>
      </c>
      <c r="H1107" s="65" t="s">
        <v>3630</v>
      </c>
      <c r="I1107" s="66">
        <v>46210.186881944399</v>
      </c>
      <c r="J1107" s="66">
        <v>46210.282966076396</v>
      </c>
      <c r="K1107" s="65">
        <v>0.1</v>
      </c>
      <c r="L1107" s="65" t="s">
        <v>183</v>
      </c>
      <c r="M1107" s="65" t="s">
        <v>183</v>
      </c>
      <c r="N1107" s="65" t="b">
        <f>FALSE()</f>
        <v>0</v>
      </c>
      <c r="O1107" s="65"/>
      <c r="P1107" s="65"/>
      <c r="Q1107" s="65" t="s">
        <v>3663</v>
      </c>
      <c r="R1107" s="65" t="s">
        <v>3664</v>
      </c>
      <c r="S1107" s="65"/>
      <c r="T1107" s="65" t="b">
        <f>FALSE()</f>
        <v>0</v>
      </c>
      <c r="U1107" s="65" t="b">
        <f>FALSE()</f>
        <v>0</v>
      </c>
      <c r="V1107" s="65">
        <v>246</v>
      </c>
      <c r="W1107" s="67" t="s">
        <v>4074</v>
      </c>
      <c r="X1107" s="65">
        <v>2</v>
      </c>
      <c r="Y1107" s="68">
        <v>3.5</v>
      </c>
      <c r="Z1107" s="65" t="b">
        <f>FALSE()</f>
        <v>0</v>
      </c>
      <c r="AA1107" s="65" t="b">
        <f>TRUE()</f>
        <v>1</v>
      </c>
      <c r="AB1107" s="65" t="b">
        <f>TRUE()</f>
        <v>1</v>
      </c>
      <c r="AC1107" s="65" t="b">
        <f>FALSE()</f>
        <v>0</v>
      </c>
      <c r="AD1107" s="65" t="b">
        <f>FALSE()</f>
        <v>0</v>
      </c>
      <c r="AE1107" s="65">
        <v>2</v>
      </c>
      <c r="AF1107" s="69">
        <v>28.6</v>
      </c>
      <c r="AG1107" s="65" t="s">
        <v>73</v>
      </c>
      <c r="AH1107" s="65" t="s">
        <v>4075</v>
      </c>
      <c r="AI1107">
        <f>IF(AND(OR(Company_Explorer!$B$5="All Companies",$E1107=Company_Explorer!$B$5),OR(Company_Explorer!$B$6="All Platforms",$B1107=Company_Explorer!$B$6),OR(Company_Explorer!$B$7="All Roles",$D1107=Company_Explorer!$B$7),OR(Company_Explorer!$B$8="All Ghost Labels",$AG1107=Company_Explorer!$B$8)),1,0)</f>
        <v>0</v>
      </c>
    </row>
    <row r="1108" spans="1:35" ht="15" customHeight="1" x14ac:dyDescent="0.3">
      <c r="A1108" s="60" t="s">
        <v>4076</v>
      </c>
      <c r="B1108" s="60" t="s">
        <v>81</v>
      </c>
      <c r="C1108" s="60" t="s">
        <v>2261</v>
      </c>
      <c r="D1108" s="60" t="s">
        <v>125</v>
      </c>
      <c r="E1108" s="60" t="s">
        <v>4077</v>
      </c>
      <c r="F1108" s="60" t="b">
        <f>TRUE()</f>
        <v>1</v>
      </c>
      <c r="G1108" s="60" t="s">
        <v>165</v>
      </c>
      <c r="H1108" s="60" t="s">
        <v>3805</v>
      </c>
      <c r="I1108" s="61">
        <v>46210.206118807902</v>
      </c>
      <c r="J1108" s="61">
        <v>46210.282966377301</v>
      </c>
      <c r="K1108" s="60">
        <v>0.1</v>
      </c>
      <c r="L1108" s="60" t="s">
        <v>183</v>
      </c>
      <c r="M1108" s="60" t="s">
        <v>183</v>
      </c>
      <c r="N1108" s="60" t="b">
        <f>FALSE()</f>
        <v>0</v>
      </c>
      <c r="O1108" s="60"/>
      <c r="P1108" s="60"/>
      <c r="Q1108" s="60" t="s">
        <v>236</v>
      </c>
      <c r="R1108" s="60" t="s">
        <v>236</v>
      </c>
      <c r="S1108" s="60"/>
      <c r="T1108" s="60" t="b">
        <f>FALSE()</f>
        <v>0</v>
      </c>
      <c r="U1108" s="60" t="b">
        <f>FALSE()</f>
        <v>0</v>
      </c>
      <c r="V1108" s="60">
        <v>174</v>
      </c>
      <c r="W1108" s="62" t="s">
        <v>4078</v>
      </c>
      <c r="X1108" s="60">
        <v>1</v>
      </c>
      <c r="Y1108" s="63">
        <v>1.75</v>
      </c>
      <c r="Z1108" s="60" t="b">
        <f>FALSE()</f>
        <v>0</v>
      </c>
      <c r="AA1108" s="60" t="b">
        <f>TRUE()</f>
        <v>1</v>
      </c>
      <c r="AB1108" s="60" t="b">
        <f>TRUE()</f>
        <v>1</v>
      </c>
      <c r="AC1108" s="60" t="b">
        <f>FALSE()</f>
        <v>0</v>
      </c>
      <c r="AD1108" s="60" t="b">
        <f>FALSE()</f>
        <v>0</v>
      </c>
      <c r="AE1108" s="60">
        <v>2</v>
      </c>
      <c r="AF1108" s="64">
        <v>28.6</v>
      </c>
      <c r="AG1108" s="60" t="s">
        <v>73</v>
      </c>
      <c r="AH1108" s="60" t="s">
        <v>4079</v>
      </c>
      <c r="AI1108">
        <f>IF(AND(OR(Company_Explorer!$B$5="All Companies",$E1108=Company_Explorer!$B$5),OR(Company_Explorer!$B$6="All Platforms",$B1108=Company_Explorer!$B$6),OR(Company_Explorer!$B$7="All Roles",$D1108=Company_Explorer!$B$7),OR(Company_Explorer!$B$8="All Ghost Labels",$AG1108=Company_Explorer!$B$8)),1,0)</f>
        <v>0</v>
      </c>
    </row>
    <row r="1109" spans="1:35" ht="15" customHeight="1" x14ac:dyDescent="0.3">
      <c r="A1109" s="65" t="s">
        <v>4080</v>
      </c>
      <c r="B1109" s="65" t="s">
        <v>81</v>
      </c>
      <c r="C1109" s="65" t="s">
        <v>4081</v>
      </c>
      <c r="D1109" s="65" t="s">
        <v>130</v>
      </c>
      <c r="E1109" s="65" t="s">
        <v>160</v>
      </c>
      <c r="F1109" s="65" t="b">
        <f>TRUE()</f>
        <v>1</v>
      </c>
      <c r="G1109" s="65" t="s">
        <v>165</v>
      </c>
      <c r="H1109" s="65" t="s">
        <v>3672</v>
      </c>
      <c r="I1109" s="66">
        <v>46210.125442754601</v>
      </c>
      <c r="J1109" s="66">
        <v>46210.282966250001</v>
      </c>
      <c r="K1109" s="65">
        <v>0.2</v>
      </c>
      <c r="L1109" s="65" t="s">
        <v>183</v>
      </c>
      <c r="M1109" s="65" t="s">
        <v>183</v>
      </c>
      <c r="N1109" s="65" t="b">
        <f>FALSE()</f>
        <v>0</v>
      </c>
      <c r="O1109" s="65"/>
      <c r="P1109" s="65"/>
      <c r="Q1109" s="65" t="s">
        <v>236</v>
      </c>
      <c r="R1109" s="65" t="s">
        <v>236</v>
      </c>
      <c r="S1109" s="65"/>
      <c r="T1109" s="65" t="b">
        <f>FALSE()</f>
        <v>0</v>
      </c>
      <c r="U1109" s="65" t="b">
        <f>FALSE()</f>
        <v>0</v>
      </c>
      <c r="V1109" s="65">
        <v>1200</v>
      </c>
      <c r="W1109" s="67" t="s">
        <v>4069</v>
      </c>
      <c r="X1109" s="65">
        <v>14</v>
      </c>
      <c r="Y1109" s="68">
        <v>24.5</v>
      </c>
      <c r="Z1109" s="65" t="b">
        <f>FALSE()</f>
        <v>0</v>
      </c>
      <c r="AA1109" s="65" t="b">
        <f>TRUE()</f>
        <v>1</v>
      </c>
      <c r="AB1109" s="65" t="b">
        <f>FALSE()</f>
        <v>0</v>
      </c>
      <c r="AC1109" s="65" t="b">
        <f>FALSE()</f>
        <v>0</v>
      </c>
      <c r="AD1109" s="65" t="b">
        <f>FALSE()</f>
        <v>0</v>
      </c>
      <c r="AE1109" s="65">
        <v>1</v>
      </c>
      <c r="AF1109" s="69">
        <v>14.3</v>
      </c>
      <c r="AG1109" s="65" t="s">
        <v>74</v>
      </c>
      <c r="AH1109" s="65" t="s">
        <v>4082</v>
      </c>
      <c r="AI1109">
        <f>IF(AND(OR(Company_Explorer!$B$5="All Companies",$E1109=Company_Explorer!$B$5),OR(Company_Explorer!$B$6="All Platforms",$B1109=Company_Explorer!$B$6),OR(Company_Explorer!$B$7="All Roles",$D1109=Company_Explorer!$B$7),OR(Company_Explorer!$B$8="All Ghost Labels",$AG1109=Company_Explorer!$B$8)),1,0)</f>
        <v>0</v>
      </c>
    </row>
    <row r="1110" spans="1:35" ht="15" customHeight="1" x14ac:dyDescent="0.3">
      <c r="A1110" s="60" t="s">
        <v>4083</v>
      </c>
      <c r="B1110" s="60" t="s">
        <v>81</v>
      </c>
      <c r="C1110" s="60" t="s">
        <v>3207</v>
      </c>
      <c r="D1110" s="60" t="s">
        <v>125</v>
      </c>
      <c r="E1110" s="60" t="s">
        <v>4084</v>
      </c>
      <c r="F1110" s="60" t="b">
        <f>TRUE()</f>
        <v>1</v>
      </c>
      <c r="G1110" s="60" t="s">
        <v>165</v>
      </c>
      <c r="H1110" s="60" t="s">
        <v>3620</v>
      </c>
      <c r="I1110" s="61">
        <v>46210.180181493102</v>
      </c>
      <c r="J1110" s="61">
        <v>46210.282966435203</v>
      </c>
      <c r="K1110" s="60">
        <v>0.1</v>
      </c>
      <c r="L1110" s="60" t="s">
        <v>183</v>
      </c>
      <c r="M1110" s="60" t="s">
        <v>183</v>
      </c>
      <c r="N1110" s="60" t="b">
        <f>FALSE()</f>
        <v>0</v>
      </c>
      <c r="O1110" s="60"/>
      <c r="P1110" s="60"/>
      <c r="Q1110" s="60" t="s">
        <v>236</v>
      </c>
      <c r="R1110" s="60" t="s">
        <v>236</v>
      </c>
      <c r="S1110" s="60"/>
      <c r="T1110" s="60" t="b">
        <f>FALSE()</f>
        <v>0</v>
      </c>
      <c r="U1110" s="60" t="b">
        <f>FALSE()</f>
        <v>0</v>
      </c>
      <c r="V1110" s="60">
        <v>373</v>
      </c>
      <c r="W1110" s="60" t="s">
        <v>4085</v>
      </c>
      <c r="X1110" s="60">
        <v>2</v>
      </c>
      <c r="Y1110" s="63">
        <v>3.5</v>
      </c>
      <c r="Z1110" s="60" t="b">
        <f>FALSE()</f>
        <v>0</v>
      </c>
      <c r="AA1110" s="60" t="b">
        <f>TRUE()</f>
        <v>1</v>
      </c>
      <c r="AB1110" s="60" t="b">
        <f>FALSE()</f>
        <v>0</v>
      </c>
      <c r="AC1110" s="60" t="b">
        <f>FALSE()</f>
        <v>0</v>
      </c>
      <c r="AD1110" s="60" t="b">
        <f>FALSE()</f>
        <v>0</v>
      </c>
      <c r="AE1110" s="60">
        <v>1</v>
      </c>
      <c r="AF1110" s="64">
        <v>14.3</v>
      </c>
      <c r="AG1110" s="60" t="s">
        <v>74</v>
      </c>
      <c r="AH1110" s="60" t="s">
        <v>4086</v>
      </c>
      <c r="AI1110">
        <f>IF(AND(OR(Company_Explorer!$B$5="All Companies",$E1110=Company_Explorer!$B$5),OR(Company_Explorer!$B$6="All Platforms",$B1110=Company_Explorer!$B$6),OR(Company_Explorer!$B$7="All Roles",$D1110=Company_Explorer!$B$7),OR(Company_Explorer!$B$8="All Ghost Labels",$AG1110=Company_Explorer!$B$8)),1,0)</f>
        <v>0</v>
      </c>
    </row>
    <row r="1111" spans="1:35" ht="15" customHeight="1" x14ac:dyDescent="0.3">
      <c r="A1111" s="65" t="s">
        <v>4087</v>
      </c>
      <c r="B1111" s="65" t="s">
        <v>81</v>
      </c>
      <c r="C1111" s="65" t="s">
        <v>4088</v>
      </c>
      <c r="D1111" s="65" t="s">
        <v>126</v>
      </c>
      <c r="E1111" s="65" t="s">
        <v>160</v>
      </c>
      <c r="F1111" s="65" t="b">
        <f>TRUE()</f>
        <v>1</v>
      </c>
      <c r="G1111" s="65" t="s">
        <v>165</v>
      </c>
      <c r="H1111" s="65" t="s">
        <v>3672</v>
      </c>
      <c r="I1111" s="66">
        <v>46210.125436238399</v>
      </c>
      <c r="J1111" s="66">
        <v>46210.282966504601</v>
      </c>
      <c r="K1111" s="65">
        <v>0.2</v>
      </c>
      <c r="L1111" s="65" t="s">
        <v>183</v>
      </c>
      <c r="M1111" s="65" t="s">
        <v>183</v>
      </c>
      <c r="N1111" s="65" t="b">
        <f>FALSE()</f>
        <v>0</v>
      </c>
      <c r="O1111" s="65"/>
      <c r="P1111" s="65"/>
      <c r="Q1111" s="65" t="s">
        <v>236</v>
      </c>
      <c r="R1111" s="65" t="s">
        <v>236</v>
      </c>
      <c r="S1111" s="65"/>
      <c r="T1111" s="65" t="b">
        <f>FALSE()</f>
        <v>0</v>
      </c>
      <c r="U1111" s="65" t="b">
        <f>FALSE()</f>
        <v>0</v>
      </c>
      <c r="V1111" s="65">
        <v>1317</v>
      </c>
      <c r="W1111" s="67" t="s">
        <v>4069</v>
      </c>
      <c r="X1111" s="65">
        <v>14</v>
      </c>
      <c r="Y1111" s="68">
        <v>24.5</v>
      </c>
      <c r="Z1111" s="65" t="b">
        <f>FALSE()</f>
        <v>0</v>
      </c>
      <c r="AA1111" s="65" t="b">
        <f>TRUE()</f>
        <v>1</v>
      </c>
      <c r="AB1111" s="65" t="b">
        <f>FALSE()</f>
        <v>0</v>
      </c>
      <c r="AC1111" s="65" t="b">
        <f>FALSE()</f>
        <v>0</v>
      </c>
      <c r="AD1111" s="65" t="b">
        <f>FALSE()</f>
        <v>0</v>
      </c>
      <c r="AE1111" s="65">
        <v>1</v>
      </c>
      <c r="AF1111" s="69">
        <v>14.3</v>
      </c>
      <c r="AG1111" s="65" t="s">
        <v>74</v>
      </c>
      <c r="AH1111" s="65" t="s">
        <v>4089</v>
      </c>
      <c r="AI1111">
        <f>IF(AND(OR(Company_Explorer!$B$5="All Companies",$E1111=Company_Explorer!$B$5),OR(Company_Explorer!$B$6="All Platforms",$B1111=Company_Explorer!$B$6),OR(Company_Explorer!$B$7="All Roles",$D1111=Company_Explorer!$B$7),OR(Company_Explorer!$B$8="All Ghost Labels",$AG1111=Company_Explorer!$B$8)),1,0)</f>
        <v>0</v>
      </c>
    </row>
    <row r="1112" spans="1:35" ht="15" customHeight="1" x14ac:dyDescent="0.3">
      <c r="A1112" s="60" t="s">
        <v>4090</v>
      </c>
      <c r="B1112" s="60" t="s">
        <v>81</v>
      </c>
      <c r="C1112" s="60" t="s">
        <v>4091</v>
      </c>
      <c r="D1112" s="60" t="s">
        <v>125</v>
      </c>
      <c r="E1112" s="60" t="s">
        <v>4092</v>
      </c>
      <c r="F1112" s="60" t="b">
        <f>TRUE()</f>
        <v>1</v>
      </c>
      <c r="G1112" s="60" t="s">
        <v>165</v>
      </c>
      <c r="H1112" s="60" t="s">
        <v>4093</v>
      </c>
      <c r="I1112" s="61">
        <v>46210.207023819399</v>
      </c>
      <c r="J1112" s="61">
        <v>46210.2829663542</v>
      </c>
      <c r="K1112" s="60">
        <v>0.1</v>
      </c>
      <c r="L1112" s="60" t="s">
        <v>183</v>
      </c>
      <c r="M1112" s="60" t="s">
        <v>183</v>
      </c>
      <c r="N1112" s="60" t="b">
        <f>TRUE()</f>
        <v>1</v>
      </c>
      <c r="O1112" s="70">
        <v>600000</v>
      </c>
      <c r="P1112" s="70">
        <v>1200000</v>
      </c>
      <c r="Q1112" s="60" t="s">
        <v>3663</v>
      </c>
      <c r="R1112" s="60" t="s">
        <v>3961</v>
      </c>
      <c r="S1112" s="70">
        <v>900000</v>
      </c>
      <c r="T1112" s="60" t="b">
        <f>TRUE()</f>
        <v>1</v>
      </c>
      <c r="U1112" s="60" t="b">
        <f>FALSE()</f>
        <v>0</v>
      </c>
      <c r="V1112" s="60">
        <v>314</v>
      </c>
      <c r="W1112" s="62" t="s">
        <v>4094</v>
      </c>
      <c r="X1112" s="60">
        <v>1</v>
      </c>
      <c r="Y1112" s="63">
        <v>1.75</v>
      </c>
      <c r="Z1112" s="60" t="b">
        <f>FALSE()</f>
        <v>0</v>
      </c>
      <c r="AA1112" s="60" t="b">
        <f>FALSE()</f>
        <v>0</v>
      </c>
      <c r="AB1112" s="60" t="b">
        <f>FALSE()</f>
        <v>0</v>
      </c>
      <c r="AC1112" s="60" t="b">
        <f>FALSE()</f>
        <v>0</v>
      </c>
      <c r="AD1112" s="60" t="b">
        <f>FALSE()</f>
        <v>0</v>
      </c>
      <c r="AE1112" s="60">
        <v>0</v>
      </c>
      <c r="AF1112" s="64">
        <v>0</v>
      </c>
      <c r="AG1112" s="60" t="s">
        <v>74</v>
      </c>
      <c r="AH1112" s="60" t="s">
        <v>4095</v>
      </c>
      <c r="AI1112">
        <f>IF(AND(OR(Company_Explorer!$B$5="All Companies",$E1112=Company_Explorer!$B$5),OR(Company_Explorer!$B$6="All Platforms",$B1112=Company_Explorer!$B$6),OR(Company_Explorer!$B$7="All Roles",$D1112=Company_Explorer!$B$7),OR(Company_Explorer!$B$8="All Ghost Labels",$AG1112=Company_Explorer!$B$8)),1,0)</f>
        <v>0</v>
      </c>
    </row>
    <row r="1113" spans="1:35" ht="15" customHeight="1" x14ac:dyDescent="0.3">
      <c r="A1113" s="65" t="s">
        <v>4096</v>
      </c>
      <c r="B1113" s="65" t="s">
        <v>81</v>
      </c>
      <c r="C1113" s="65" t="s">
        <v>2034</v>
      </c>
      <c r="D1113" s="65" t="s">
        <v>130</v>
      </c>
      <c r="E1113" s="65" t="s">
        <v>4097</v>
      </c>
      <c r="F1113" s="65" t="b">
        <f>TRUE()</f>
        <v>1</v>
      </c>
      <c r="G1113" s="65" t="s">
        <v>165</v>
      </c>
      <c r="H1113" s="65" t="s">
        <v>3702</v>
      </c>
      <c r="I1113" s="66">
        <v>46210.243323321803</v>
      </c>
      <c r="J1113" s="66">
        <v>46210.2829668634</v>
      </c>
      <c r="K1113" s="65">
        <v>0</v>
      </c>
      <c r="L1113" s="65" t="s">
        <v>183</v>
      </c>
      <c r="M1113" s="65" t="s">
        <v>183</v>
      </c>
      <c r="N1113" s="65" t="b">
        <f>TRUE()</f>
        <v>1</v>
      </c>
      <c r="O1113" s="71">
        <v>900000</v>
      </c>
      <c r="P1113" s="71">
        <v>1200000</v>
      </c>
      <c r="Q1113" s="65" t="s">
        <v>3663</v>
      </c>
      <c r="R1113" s="65" t="s">
        <v>3961</v>
      </c>
      <c r="S1113" s="71">
        <v>1050000</v>
      </c>
      <c r="T1113" s="65" t="b">
        <f>TRUE()</f>
        <v>1</v>
      </c>
      <c r="U1113" s="65" t="b">
        <f>FALSE()</f>
        <v>0</v>
      </c>
      <c r="V1113" s="65">
        <v>481</v>
      </c>
      <c r="W1113" s="67" t="s">
        <v>4098</v>
      </c>
      <c r="X1113" s="65">
        <v>1</v>
      </c>
      <c r="Y1113" s="68">
        <v>1.75</v>
      </c>
      <c r="Z1113" s="65" t="b">
        <f>FALSE()</f>
        <v>0</v>
      </c>
      <c r="AA1113" s="65" t="b">
        <f>FALSE()</f>
        <v>0</v>
      </c>
      <c r="AB1113" s="65" t="b">
        <f>FALSE()</f>
        <v>0</v>
      </c>
      <c r="AC1113" s="65" t="b">
        <f>FALSE()</f>
        <v>0</v>
      </c>
      <c r="AD1113" s="65" t="b">
        <f>FALSE()</f>
        <v>0</v>
      </c>
      <c r="AE1113" s="65">
        <v>0</v>
      </c>
      <c r="AF1113" s="69">
        <v>0</v>
      </c>
      <c r="AG1113" s="65" t="s">
        <v>74</v>
      </c>
      <c r="AH1113" s="65" t="s">
        <v>4099</v>
      </c>
      <c r="AI1113">
        <f>IF(AND(OR(Company_Explorer!$B$5="All Companies",$E1113=Company_Explorer!$B$5),OR(Company_Explorer!$B$6="All Platforms",$B1113=Company_Explorer!$B$6),OR(Company_Explorer!$B$7="All Roles",$D1113=Company_Explorer!$B$7),OR(Company_Explorer!$B$8="All Ghost Labels",$AG1113=Company_Explorer!$B$8)),1,0)</f>
        <v>0</v>
      </c>
    </row>
    <row r="1114" spans="1:35" ht="15" customHeight="1" x14ac:dyDescent="0.3">
      <c r="A1114" s="60" t="s">
        <v>4100</v>
      </c>
      <c r="B1114" s="60" t="s">
        <v>81</v>
      </c>
      <c r="C1114" s="60" t="s">
        <v>4101</v>
      </c>
      <c r="D1114" s="60" t="s">
        <v>125</v>
      </c>
      <c r="E1114" s="60" t="s">
        <v>3726</v>
      </c>
      <c r="F1114" s="60" t="b">
        <f>FALSE()</f>
        <v>0</v>
      </c>
      <c r="G1114" s="60" t="s">
        <v>165</v>
      </c>
      <c r="H1114" s="60" t="s">
        <v>3636</v>
      </c>
      <c r="I1114" s="61">
        <v>46210.176078807897</v>
      </c>
      <c r="J1114" s="61">
        <v>46210.2829670602</v>
      </c>
      <c r="K1114" s="60">
        <v>0.1</v>
      </c>
      <c r="L1114" s="60" t="s">
        <v>183</v>
      </c>
      <c r="M1114" s="60" t="s">
        <v>183</v>
      </c>
      <c r="N1114" s="60" t="b">
        <f>TRUE()</f>
        <v>1</v>
      </c>
      <c r="O1114" s="70">
        <v>30000</v>
      </c>
      <c r="P1114" s="70">
        <v>70000</v>
      </c>
      <c r="Q1114" s="60" t="s">
        <v>3663</v>
      </c>
      <c r="R1114" s="60" t="s">
        <v>3664</v>
      </c>
      <c r="S1114" s="70">
        <v>600000</v>
      </c>
      <c r="T1114" s="60" t="b">
        <f>TRUE()</f>
        <v>1</v>
      </c>
      <c r="U1114" s="60" t="b">
        <f>FALSE()</f>
        <v>0</v>
      </c>
      <c r="V1114" s="60">
        <v>162</v>
      </c>
      <c r="W1114" s="62" t="s">
        <v>4102</v>
      </c>
      <c r="X1114" s="60"/>
      <c r="Y1114" s="63"/>
      <c r="Z1114" s="60" t="b">
        <f>TRUE()</f>
        <v>1</v>
      </c>
      <c r="AA1114" s="60" t="b">
        <f>FALSE()</f>
        <v>0</v>
      </c>
      <c r="AB1114" s="60" t="b">
        <f>TRUE()</f>
        <v>1</v>
      </c>
      <c r="AC1114" s="60" t="b">
        <f>FALSE()</f>
        <v>0</v>
      </c>
      <c r="AD1114" s="60" t="b">
        <f>FALSE()</f>
        <v>0</v>
      </c>
      <c r="AE1114" s="60">
        <v>3</v>
      </c>
      <c r="AF1114" s="64">
        <v>42.9</v>
      </c>
      <c r="AG1114" s="60" t="s">
        <v>73</v>
      </c>
      <c r="AH1114" s="60" t="s">
        <v>4103</v>
      </c>
      <c r="AI1114">
        <f>IF(AND(OR(Company_Explorer!$B$5="All Companies",$E1114=Company_Explorer!$B$5),OR(Company_Explorer!$B$6="All Platforms",$B1114=Company_Explorer!$B$6),OR(Company_Explorer!$B$7="All Roles",$D1114=Company_Explorer!$B$7),OR(Company_Explorer!$B$8="All Ghost Labels",$AG1114=Company_Explorer!$B$8)),1,0)</f>
        <v>0</v>
      </c>
    </row>
    <row r="1115" spans="1:35" ht="15" customHeight="1" x14ac:dyDescent="0.3">
      <c r="A1115" s="65" t="s">
        <v>4104</v>
      </c>
      <c r="B1115" s="65" t="s">
        <v>81</v>
      </c>
      <c r="C1115" s="65" t="s">
        <v>134</v>
      </c>
      <c r="D1115" s="65" t="s">
        <v>134</v>
      </c>
      <c r="E1115" s="65" t="s">
        <v>4105</v>
      </c>
      <c r="F1115" s="65" t="b">
        <f>TRUE()</f>
        <v>1</v>
      </c>
      <c r="G1115" s="65" t="s">
        <v>165</v>
      </c>
      <c r="H1115" s="65" t="s">
        <v>4093</v>
      </c>
      <c r="I1115" s="66">
        <v>46210.242666898201</v>
      </c>
      <c r="J1115" s="66">
        <v>46210.282967245403</v>
      </c>
      <c r="K1115" s="65">
        <v>0</v>
      </c>
      <c r="L1115" s="65" t="s">
        <v>183</v>
      </c>
      <c r="M1115" s="65" t="s">
        <v>183</v>
      </c>
      <c r="N1115" s="65" t="b">
        <f>TRUE()</f>
        <v>1</v>
      </c>
      <c r="O1115" s="71">
        <v>400000</v>
      </c>
      <c r="P1115" s="71">
        <v>1500000</v>
      </c>
      <c r="Q1115" s="65" t="s">
        <v>3663</v>
      </c>
      <c r="R1115" s="65" t="s">
        <v>3961</v>
      </c>
      <c r="S1115" s="71">
        <v>950000</v>
      </c>
      <c r="T1115" s="65" t="b">
        <f>TRUE()</f>
        <v>1</v>
      </c>
      <c r="U1115" s="65" t="b">
        <f>FALSE()</f>
        <v>0</v>
      </c>
      <c r="V1115" s="65">
        <v>344</v>
      </c>
      <c r="W1115" s="67" t="s">
        <v>4106</v>
      </c>
      <c r="X1115" s="65">
        <v>1</v>
      </c>
      <c r="Y1115" s="68">
        <v>1.75</v>
      </c>
      <c r="Z1115" s="65" t="b">
        <f>FALSE()</f>
        <v>0</v>
      </c>
      <c r="AA1115" s="65" t="b">
        <f>FALSE()</f>
        <v>0</v>
      </c>
      <c r="AB1115" s="65" t="b">
        <f>FALSE()</f>
        <v>0</v>
      </c>
      <c r="AC1115" s="65" t="b">
        <f>FALSE()</f>
        <v>0</v>
      </c>
      <c r="AD1115" s="65" t="b">
        <f>FALSE()</f>
        <v>0</v>
      </c>
      <c r="AE1115" s="65">
        <v>0</v>
      </c>
      <c r="AF1115" s="69">
        <v>0</v>
      </c>
      <c r="AG1115" s="65" t="s">
        <v>74</v>
      </c>
      <c r="AH1115" s="65" t="s">
        <v>4107</v>
      </c>
      <c r="AI1115">
        <f>IF(AND(OR(Company_Explorer!$B$5="All Companies",$E1115=Company_Explorer!$B$5),OR(Company_Explorer!$B$6="All Platforms",$B1115=Company_Explorer!$B$6),OR(Company_Explorer!$B$7="All Roles",$D1115=Company_Explorer!$B$7),OR(Company_Explorer!$B$8="All Ghost Labels",$AG1115=Company_Explorer!$B$8)),1,0)</f>
        <v>0</v>
      </c>
    </row>
    <row r="1116" spans="1:35" ht="15" customHeight="1" x14ac:dyDescent="0.3">
      <c r="A1116" s="60" t="s">
        <v>4108</v>
      </c>
      <c r="B1116" s="60" t="s">
        <v>81</v>
      </c>
      <c r="C1116" s="60" t="s">
        <v>4109</v>
      </c>
      <c r="D1116" s="60" t="s">
        <v>126</v>
      </c>
      <c r="E1116" s="60" t="s">
        <v>4055</v>
      </c>
      <c r="F1116" s="60" t="b">
        <f>TRUE()</f>
        <v>1</v>
      </c>
      <c r="G1116" s="60" t="s">
        <v>165</v>
      </c>
      <c r="H1116" s="60" t="s">
        <v>3655</v>
      </c>
      <c r="I1116" s="61">
        <v>46210.205465486099</v>
      </c>
      <c r="J1116" s="61">
        <v>46210.282967361098</v>
      </c>
      <c r="K1116" s="60">
        <v>0.1</v>
      </c>
      <c r="L1116" s="60" t="s">
        <v>183</v>
      </c>
      <c r="M1116" s="60" t="s">
        <v>183</v>
      </c>
      <c r="N1116" s="60" t="b">
        <f>TRUE()</f>
        <v>1</v>
      </c>
      <c r="O1116" s="70">
        <v>302403.09375</v>
      </c>
      <c r="P1116" s="70">
        <v>1400000</v>
      </c>
      <c r="Q1116" s="60" t="s">
        <v>3663</v>
      </c>
      <c r="R1116" s="60" t="s">
        <v>3961</v>
      </c>
      <c r="S1116" s="70">
        <v>851202</v>
      </c>
      <c r="T1116" s="60" t="b">
        <f>TRUE()</f>
        <v>1</v>
      </c>
      <c r="U1116" s="60" t="b">
        <f>FALSE()</f>
        <v>0</v>
      </c>
      <c r="V1116" s="60">
        <v>244</v>
      </c>
      <c r="W1116" s="62" t="s">
        <v>4110</v>
      </c>
      <c r="X1116" s="60">
        <v>5</v>
      </c>
      <c r="Y1116" s="63">
        <v>8.75</v>
      </c>
      <c r="Z1116" s="60" t="b">
        <f>FALSE()</f>
        <v>0</v>
      </c>
      <c r="AA1116" s="60" t="b">
        <f>FALSE()</f>
        <v>0</v>
      </c>
      <c r="AB1116" s="60" t="b">
        <f>TRUE()</f>
        <v>1</v>
      </c>
      <c r="AC1116" s="60" t="b">
        <f>FALSE()</f>
        <v>0</v>
      </c>
      <c r="AD1116" s="60" t="b">
        <f>FALSE()</f>
        <v>0</v>
      </c>
      <c r="AE1116" s="60">
        <v>1</v>
      </c>
      <c r="AF1116" s="64">
        <v>14.3</v>
      </c>
      <c r="AG1116" s="60" t="s">
        <v>74</v>
      </c>
      <c r="AH1116" s="60" t="s">
        <v>4111</v>
      </c>
      <c r="AI1116">
        <f>IF(AND(OR(Company_Explorer!$B$5="All Companies",$E1116=Company_Explorer!$B$5),OR(Company_Explorer!$B$6="All Platforms",$B1116=Company_Explorer!$B$6),OR(Company_Explorer!$B$7="All Roles",$D1116=Company_Explorer!$B$7),OR(Company_Explorer!$B$8="All Ghost Labels",$AG1116=Company_Explorer!$B$8)),1,0)</f>
        <v>0</v>
      </c>
    </row>
    <row r="1117" spans="1:35" ht="15" customHeight="1" x14ac:dyDescent="0.3">
      <c r="A1117" s="65" t="s">
        <v>4112</v>
      </c>
      <c r="B1117" s="65" t="s">
        <v>81</v>
      </c>
      <c r="C1117" s="65" t="s">
        <v>4113</v>
      </c>
      <c r="D1117" s="65" t="s">
        <v>126</v>
      </c>
      <c r="E1117" s="65" t="s">
        <v>4055</v>
      </c>
      <c r="F1117" s="65" t="b">
        <f>TRUE()</f>
        <v>1</v>
      </c>
      <c r="G1117" s="65" t="s">
        <v>165</v>
      </c>
      <c r="H1117" s="65" t="s">
        <v>3655</v>
      </c>
      <c r="I1117" s="66">
        <v>46210.202719699097</v>
      </c>
      <c r="J1117" s="66">
        <v>46210.282967534702</v>
      </c>
      <c r="K1117" s="65">
        <v>0.1</v>
      </c>
      <c r="L1117" s="65" t="s">
        <v>183</v>
      </c>
      <c r="M1117" s="65" t="s">
        <v>183</v>
      </c>
      <c r="N1117" s="65" t="b">
        <f>TRUE()</f>
        <v>1</v>
      </c>
      <c r="O1117" s="71">
        <v>302403.09375</v>
      </c>
      <c r="P1117" s="71">
        <v>1400000</v>
      </c>
      <c r="Q1117" s="65" t="s">
        <v>3663</v>
      </c>
      <c r="R1117" s="65" t="s">
        <v>3961</v>
      </c>
      <c r="S1117" s="71">
        <v>851202</v>
      </c>
      <c r="T1117" s="65" t="b">
        <f>TRUE()</f>
        <v>1</v>
      </c>
      <c r="U1117" s="65" t="b">
        <f>FALSE()</f>
        <v>0</v>
      </c>
      <c r="V1117" s="65">
        <v>494</v>
      </c>
      <c r="W1117" s="67" t="s">
        <v>4114</v>
      </c>
      <c r="X1117" s="65">
        <v>5</v>
      </c>
      <c r="Y1117" s="68">
        <v>8.75</v>
      </c>
      <c r="Z1117" s="65" t="b">
        <f>FALSE()</f>
        <v>0</v>
      </c>
      <c r="AA1117" s="65" t="b">
        <f>FALSE()</f>
        <v>0</v>
      </c>
      <c r="AB1117" s="65" t="b">
        <f>FALSE()</f>
        <v>0</v>
      </c>
      <c r="AC1117" s="65" t="b">
        <f>FALSE()</f>
        <v>0</v>
      </c>
      <c r="AD1117" s="65" t="b">
        <f>FALSE()</f>
        <v>0</v>
      </c>
      <c r="AE1117" s="65">
        <v>0</v>
      </c>
      <c r="AF1117" s="69">
        <v>0</v>
      </c>
      <c r="AG1117" s="65" t="s">
        <v>74</v>
      </c>
      <c r="AH1117" s="65" t="s">
        <v>4115</v>
      </c>
      <c r="AI1117">
        <f>IF(AND(OR(Company_Explorer!$B$5="All Companies",$E1117=Company_Explorer!$B$5),OR(Company_Explorer!$B$6="All Platforms",$B1117=Company_Explorer!$B$6),OR(Company_Explorer!$B$7="All Roles",$D1117=Company_Explorer!$B$7),OR(Company_Explorer!$B$8="All Ghost Labels",$AG1117=Company_Explorer!$B$8)),1,0)</f>
        <v>0</v>
      </c>
    </row>
    <row r="1118" spans="1:35" ht="15" customHeight="1" x14ac:dyDescent="0.3">
      <c r="A1118" s="60" t="s">
        <v>4116</v>
      </c>
      <c r="B1118" s="60" t="s">
        <v>81</v>
      </c>
      <c r="C1118" s="60" t="s">
        <v>4117</v>
      </c>
      <c r="D1118" s="60" t="s">
        <v>126</v>
      </c>
      <c r="E1118" s="60" t="s">
        <v>160</v>
      </c>
      <c r="F1118" s="60" t="b">
        <f>TRUE()</f>
        <v>1</v>
      </c>
      <c r="G1118" s="60" t="s">
        <v>165</v>
      </c>
      <c r="H1118" s="60" t="s">
        <v>3672</v>
      </c>
      <c r="I1118" s="61">
        <v>46210.125297557897</v>
      </c>
      <c r="J1118" s="61">
        <v>46210.282967569401</v>
      </c>
      <c r="K1118" s="60">
        <v>0.2</v>
      </c>
      <c r="L1118" s="60" t="s">
        <v>183</v>
      </c>
      <c r="M1118" s="60" t="s">
        <v>183</v>
      </c>
      <c r="N1118" s="60" t="b">
        <f>FALSE()</f>
        <v>0</v>
      </c>
      <c r="O1118" s="60"/>
      <c r="P1118" s="60"/>
      <c r="Q1118" s="60" t="s">
        <v>236</v>
      </c>
      <c r="R1118" s="60" t="s">
        <v>236</v>
      </c>
      <c r="S1118" s="60"/>
      <c r="T1118" s="60" t="b">
        <f>FALSE()</f>
        <v>0</v>
      </c>
      <c r="U1118" s="60" t="b">
        <f>FALSE()</f>
        <v>0</v>
      </c>
      <c r="V1118" s="60">
        <v>736</v>
      </c>
      <c r="W1118" s="62" t="s">
        <v>4069</v>
      </c>
      <c r="X1118" s="60">
        <v>14</v>
      </c>
      <c r="Y1118" s="63">
        <v>24.5</v>
      </c>
      <c r="Z1118" s="60" t="b">
        <f>FALSE()</f>
        <v>0</v>
      </c>
      <c r="AA1118" s="60" t="b">
        <f>TRUE()</f>
        <v>1</v>
      </c>
      <c r="AB1118" s="60" t="b">
        <f>FALSE()</f>
        <v>0</v>
      </c>
      <c r="AC1118" s="60" t="b">
        <f>FALSE()</f>
        <v>0</v>
      </c>
      <c r="AD1118" s="60" t="b">
        <f>FALSE()</f>
        <v>0</v>
      </c>
      <c r="AE1118" s="60">
        <v>1</v>
      </c>
      <c r="AF1118" s="64">
        <v>14.3</v>
      </c>
      <c r="AG1118" s="60" t="s">
        <v>74</v>
      </c>
      <c r="AH1118" s="60" t="s">
        <v>4118</v>
      </c>
      <c r="AI1118">
        <f>IF(AND(OR(Company_Explorer!$B$5="All Companies",$E1118=Company_Explorer!$B$5),OR(Company_Explorer!$B$6="All Platforms",$B1118=Company_Explorer!$B$6),OR(Company_Explorer!$B$7="All Roles",$D1118=Company_Explorer!$B$7),OR(Company_Explorer!$B$8="All Ghost Labels",$AG1118=Company_Explorer!$B$8)),1,0)</f>
        <v>0</v>
      </c>
    </row>
    <row r="1119" spans="1:35" ht="15" customHeight="1" x14ac:dyDescent="0.3">
      <c r="A1119" s="65" t="s">
        <v>4119</v>
      </c>
      <c r="B1119" s="65" t="s">
        <v>81</v>
      </c>
      <c r="C1119" s="65" t="s">
        <v>241</v>
      </c>
      <c r="D1119" s="65" t="s">
        <v>125</v>
      </c>
      <c r="E1119" s="65" t="s">
        <v>719</v>
      </c>
      <c r="F1119" s="65" t="b">
        <f>TRUE()</f>
        <v>1</v>
      </c>
      <c r="G1119" s="65" t="s">
        <v>165</v>
      </c>
      <c r="H1119" s="65" t="s">
        <v>3672</v>
      </c>
      <c r="I1119" s="66">
        <v>46210.242681411997</v>
      </c>
      <c r="J1119" s="66">
        <v>46210.282968043997</v>
      </c>
      <c r="K1119" s="65">
        <v>0</v>
      </c>
      <c r="L1119" s="65" t="s">
        <v>183</v>
      </c>
      <c r="M1119" s="65" t="s">
        <v>183</v>
      </c>
      <c r="N1119" s="65" t="b">
        <f>FALSE()</f>
        <v>0</v>
      </c>
      <c r="O1119" s="65"/>
      <c r="P1119" s="65"/>
      <c r="Q1119" s="65" t="s">
        <v>236</v>
      </c>
      <c r="R1119" s="65" t="s">
        <v>236</v>
      </c>
      <c r="S1119" s="65"/>
      <c r="T1119" s="65" t="b">
        <f>FALSE()</f>
        <v>0</v>
      </c>
      <c r="U1119" s="65" t="b">
        <f>FALSE()</f>
        <v>0</v>
      </c>
      <c r="V1119" s="65">
        <v>647</v>
      </c>
      <c r="W1119" s="65" t="s">
        <v>4120</v>
      </c>
      <c r="X1119" s="65">
        <v>5</v>
      </c>
      <c r="Y1119" s="68">
        <v>8.75</v>
      </c>
      <c r="Z1119" s="65" t="b">
        <f>FALSE()</f>
        <v>0</v>
      </c>
      <c r="AA1119" s="65" t="b">
        <f>TRUE()</f>
        <v>1</v>
      </c>
      <c r="AB1119" s="65" t="b">
        <f>FALSE()</f>
        <v>0</v>
      </c>
      <c r="AC1119" s="65" t="b">
        <f>FALSE()</f>
        <v>0</v>
      </c>
      <c r="AD1119" s="65" t="b">
        <f>FALSE()</f>
        <v>0</v>
      </c>
      <c r="AE1119" s="65">
        <v>1</v>
      </c>
      <c r="AF1119" s="69">
        <v>14.3</v>
      </c>
      <c r="AG1119" s="65" t="s">
        <v>74</v>
      </c>
      <c r="AH1119" s="65" t="s">
        <v>4121</v>
      </c>
      <c r="AI1119">
        <f>IF(AND(OR(Company_Explorer!$B$5="All Companies",$E1119=Company_Explorer!$B$5),OR(Company_Explorer!$B$6="All Platforms",$B1119=Company_Explorer!$B$6),OR(Company_Explorer!$B$7="All Roles",$D1119=Company_Explorer!$B$7),OR(Company_Explorer!$B$8="All Ghost Labels",$AG1119=Company_Explorer!$B$8)),1,0)</f>
        <v>0</v>
      </c>
    </row>
    <row r="1120" spans="1:35" ht="15" customHeight="1" x14ac:dyDescent="0.3">
      <c r="A1120" s="60" t="s">
        <v>4122</v>
      </c>
      <c r="B1120" s="60" t="s">
        <v>81</v>
      </c>
      <c r="C1120" s="60" t="s">
        <v>4123</v>
      </c>
      <c r="D1120" s="60" t="s">
        <v>125</v>
      </c>
      <c r="E1120" s="60" t="s">
        <v>4124</v>
      </c>
      <c r="F1120" s="60" t="b">
        <f>TRUE()</f>
        <v>1</v>
      </c>
      <c r="G1120" s="60" t="s">
        <v>165</v>
      </c>
      <c r="H1120" s="60" t="s">
        <v>3620</v>
      </c>
      <c r="I1120" s="61">
        <v>46210.174458599497</v>
      </c>
      <c r="J1120" s="61">
        <v>46210.282968229199</v>
      </c>
      <c r="K1120" s="60">
        <v>0.1</v>
      </c>
      <c r="L1120" s="60" t="s">
        <v>183</v>
      </c>
      <c r="M1120" s="60" t="s">
        <v>183</v>
      </c>
      <c r="N1120" s="60" t="b">
        <f>FALSE()</f>
        <v>0</v>
      </c>
      <c r="O1120" s="60"/>
      <c r="P1120" s="60"/>
      <c r="Q1120" s="60" t="s">
        <v>236</v>
      </c>
      <c r="R1120" s="60" t="s">
        <v>236</v>
      </c>
      <c r="S1120" s="60"/>
      <c r="T1120" s="60" t="b">
        <f>FALSE()</f>
        <v>0</v>
      </c>
      <c r="U1120" s="60" t="b">
        <f>FALSE()</f>
        <v>0</v>
      </c>
      <c r="V1120" s="60">
        <v>414</v>
      </c>
      <c r="W1120" s="62" t="s">
        <v>4125</v>
      </c>
      <c r="X1120" s="60">
        <v>2</v>
      </c>
      <c r="Y1120" s="63">
        <v>3.5</v>
      </c>
      <c r="Z1120" s="60" t="b">
        <f>FALSE()</f>
        <v>0</v>
      </c>
      <c r="AA1120" s="60" t="b">
        <f>TRUE()</f>
        <v>1</v>
      </c>
      <c r="AB1120" s="60" t="b">
        <f>FALSE()</f>
        <v>0</v>
      </c>
      <c r="AC1120" s="60" t="b">
        <f>FALSE()</f>
        <v>0</v>
      </c>
      <c r="AD1120" s="60" t="b">
        <f>FALSE()</f>
        <v>0</v>
      </c>
      <c r="AE1120" s="60">
        <v>1</v>
      </c>
      <c r="AF1120" s="64">
        <v>14.3</v>
      </c>
      <c r="AG1120" s="60" t="s">
        <v>74</v>
      </c>
      <c r="AH1120" s="60" t="s">
        <v>4126</v>
      </c>
      <c r="AI1120">
        <f>IF(AND(OR(Company_Explorer!$B$5="All Companies",$E1120=Company_Explorer!$B$5),OR(Company_Explorer!$B$6="All Platforms",$B1120=Company_Explorer!$B$6),OR(Company_Explorer!$B$7="All Roles",$D1120=Company_Explorer!$B$7),OR(Company_Explorer!$B$8="All Ghost Labels",$AG1120=Company_Explorer!$B$8)),1,0)</f>
        <v>0</v>
      </c>
    </row>
    <row r="1121" spans="1:35" ht="15" customHeight="1" x14ac:dyDescent="0.3">
      <c r="A1121" s="65" t="s">
        <v>4127</v>
      </c>
      <c r="B1121" s="65" t="s">
        <v>81</v>
      </c>
      <c r="C1121" s="65" t="s">
        <v>4128</v>
      </c>
      <c r="D1121" s="65" t="s">
        <v>125</v>
      </c>
      <c r="E1121" s="65" t="s">
        <v>4129</v>
      </c>
      <c r="F1121" s="65" t="b">
        <f>TRUE()</f>
        <v>1</v>
      </c>
      <c r="G1121" s="65" t="s">
        <v>165</v>
      </c>
      <c r="H1121" s="65" t="s">
        <v>3672</v>
      </c>
      <c r="I1121" s="66">
        <v>46210.102832696801</v>
      </c>
      <c r="J1121" s="66">
        <v>46210.282967916697</v>
      </c>
      <c r="K1121" s="65">
        <v>0.2</v>
      </c>
      <c r="L1121" s="65" t="s">
        <v>183</v>
      </c>
      <c r="M1121" s="65" t="s">
        <v>183</v>
      </c>
      <c r="N1121" s="65" t="b">
        <f>TRUE()</f>
        <v>1</v>
      </c>
      <c r="O1121" s="71">
        <v>40000</v>
      </c>
      <c r="P1121" s="71">
        <v>60000</v>
      </c>
      <c r="Q1121" s="65" t="s">
        <v>3663</v>
      </c>
      <c r="R1121" s="65" t="s">
        <v>3664</v>
      </c>
      <c r="S1121" s="71">
        <v>600000</v>
      </c>
      <c r="T1121" s="65" t="b">
        <f>TRUE()</f>
        <v>1</v>
      </c>
      <c r="U1121" s="65" t="b">
        <f>FALSE()</f>
        <v>0</v>
      </c>
      <c r="V1121" s="65">
        <v>252</v>
      </c>
      <c r="W1121" s="67" t="s">
        <v>4130</v>
      </c>
      <c r="X1121" s="65">
        <v>1</v>
      </c>
      <c r="Y1121" s="68">
        <v>1.75</v>
      </c>
      <c r="Z1121" s="65" t="b">
        <f>FALSE()</f>
        <v>0</v>
      </c>
      <c r="AA1121" s="65" t="b">
        <f>FALSE()</f>
        <v>0</v>
      </c>
      <c r="AB1121" s="65" t="b">
        <f>TRUE()</f>
        <v>1</v>
      </c>
      <c r="AC1121" s="65" t="b">
        <f>FALSE()</f>
        <v>0</v>
      </c>
      <c r="AD1121" s="65" t="b">
        <f>FALSE()</f>
        <v>0</v>
      </c>
      <c r="AE1121" s="65">
        <v>1</v>
      </c>
      <c r="AF1121" s="69">
        <v>14.3</v>
      </c>
      <c r="AG1121" s="65" t="s">
        <v>74</v>
      </c>
      <c r="AH1121" s="65" t="s">
        <v>4131</v>
      </c>
      <c r="AI1121">
        <f>IF(AND(OR(Company_Explorer!$B$5="All Companies",$E1121=Company_Explorer!$B$5),OR(Company_Explorer!$B$6="All Platforms",$B1121=Company_Explorer!$B$6),OR(Company_Explorer!$B$7="All Roles",$D1121=Company_Explorer!$B$7),OR(Company_Explorer!$B$8="All Ghost Labels",$AG1121=Company_Explorer!$B$8)),1,0)</f>
        <v>0</v>
      </c>
    </row>
    <row r="1122" spans="1:35" ht="15" customHeight="1" x14ac:dyDescent="0.3">
      <c r="A1122" s="60" t="s">
        <v>4132</v>
      </c>
      <c r="B1122" s="60" t="s">
        <v>81</v>
      </c>
      <c r="C1122" s="60" t="s">
        <v>4133</v>
      </c>
      <c r="D1122" s="60" t="s">
        <v>125</v>
      </c>
      <c r="E1122" s="60" t="s">
        <v>4134</v>
      </c>
      <c r="F1122" s="60" t="b">
        <f>TRUE()</f>
        <v>1</v>
      </c>
      <c r="G1122" s="60" t="s">
        <v>165</v>
      </c>
      <c r="H1122" s="60" t="s">
        <v>3636</v>
      </c>
      <c r="I1122" s="61">
        <v>46210.1734905556</v>
      </c>
      <c r="J1122" s="61">
        <v>46210.2829686806</v>
      </c>
      <c r="K1122" s="60">
        <v>0.1</v>
      </c>
      <c r="L1122" s="60" t="s">
        <v>183</v>
      </c>
      <c r="M1122" s="60" t="s">
        <v>183</v>
      </c>
      <c r="N1122" s="60" t="b">
        <f>FALSE()</f>
        <v>0</v>
      </c>
      <c r="O1122" s="60"/>
      <c r="P1122" s="60"/>
      <c r="Q1122" s="60" t="s">
        <v>236</v>
      </c>
      <c r="R1122" s="60" t="s">
        <v>236</v>
      </c>
      <c r="S1122" s="60"/>
      <c r="T1122" s="60" t="b">
        <f>FALSE()</f>
        <v>0</v>
      </c>
      <c r="U1122" s="60" t="b">
        <f>FALSE()</f>
        <v>0</v>
      </c>
      <c r="V1122" s="60">
        <v>103</v>
      </c>
      <c r="W1122" s="62" t="s">
        <v>4135</v>
      </c>
      <c r="X1122" s="60">
        <v>1</v>
      </c>
      <c r="Y1122" s="63">
        <v>1.75</v>
      </c>
      <c r="Z1122" s="60" t="b">
        <f>FALSE()</f>
        <v>0</v>
      </c>
      <c r="AA1122" s="60" t="b">
        <f>TRUE()</f>
        <v>1</v>
      </c>
      <c r="AB1122" s="60" t="b">
        <f>TRUE()</f>
        <v>1</v>
      </c>
      <c r="AC1122" s="60" t="b">
        <f>FALSE()</f>
        <v>0</v>
      </c>
      <c r="AD1122" s="60" t="b">
        <f>FALSE()</f>
        <v>0</v>
      </c>
      <c r="AE1122" s="60">
        <v>2</v>
      </c>
      <c r="AF1122" s="64">
        <v>28.6</v>
      </c>
      <c r="AG1122" s="60" t="s">
        <v>73</v>
      </c>
      <c r="AH1122" s="60" t="s">
        <v>4136</v>
      </c>
      <c r="AI1122">
        <f>IF(AND(OR(Company_Explorer!$B$5="All Companies",$E1122=Company_Explorer!$B$5),OR(Company_Explorer!$B$6="All Platforms",$B1122=Company_Explorer!$B$6),OR(Company_Explorer!$B$7="All Roles",$D1122=Company_Explorer!$B$7),OR(Company_Explorer!$B$8="All Ghost Labels",$AG1122=Company_Explorer!$B$8)),1,0)</f>
        <v>0</v>
      </c>
    </row>
    <row r="1123" spans="1:35" ht="15" customHeight="1" x14ac:dyDescent="0.3">
      <c r="A1123" s="65" t="s">
        <v>4137</v>
      </c>
      <c r="B1123" s="65" t="s">
        <v>81</v>
      </c>
      <c r="C1123" s="65" t="s">
        <v>3567</v>
      </c>
      <c r="D1123" s="65" t="s">
        <v>125</v>
      </c>
      <c r="E1123" s="65" t="s">
        <v>4138</v>
      </c>
      <c r="F1123" s="65" t="b">
        <f>TRUE()</f>
        <v>1</v>
      </c>
      <c r="G1123" s="65" t="s">
        <v>177</v>
      </c>
      <c r="H1123" s="65" t="s">
        <v>165</v>
      </c>
      <c r="I1123" s="66">
        <v>46210.2003740625</v>
      </c>
      <c r="J1123" s="66">
        <v>46210.282968726897</v>
      </c>
      <c r="K1123" s="65">
        <v>0.1</v>
      </c>
      <c r="L1123" s="65" t="s">
        <v>183</v>
      </c>
      <c r="M1123" s="65" t="s">
        <v>183</v>
      </c>
      <c r="N1123" s="65" t="b">
        <f>TRUE()</f>
        <v>1</v>
      </c>
      <c r="O1123" s="71">
        <v>1000000</v>
      </c>
      <c r="P1123" s="71">
        <v>1500000</v>
      </c>
      <c r="Q1123" s="65" t="s">
        <v>3663</v>
      </c>
      <c r="R1123" s="65" t="s">
        <v>3961</v>
      </c>
      <c r="S1123" s="71">
        <v>1250000</v>
      </c>
      <c r="T1123" s="65" t="b">
        <f>TRUE()</f>
        <v>1</v>
      </c>
      <c r="U1123" s="65" t="b">
        <f>FALSE()</f>
        <v>0</v>
      </c>
      <c r="V1123" s="65">
        <v>176</v>
      </c>
      <c r="W1123" s="67" t="s">
        <v>4139</v>
      </c>
      <c r="X1123" s="65">
        <v>2</v>
      </c>
      <c r="Y1123" s="68">
        <v>3.5</v>
      </c>
      <c r="Z1123" s="65" t="b">
        <f>FALSE()</f>
        <v>0</v>
      </c>
      <c r="AA1123" s="65" t="b">
        <f>FALSE()</f>
        <v>0</v>
      </c>
      <c r="AB1123" s="65" t="b">
        <f>TRUE()</f>
        <v>1</v>
      </c>
      <c r="AC1123" s="65" t="b">
        <f>FALSE()</f>
        <v>0</v>
      </c>
      <c r="AD1123" s="65" t="b">
        <f>FALSE()</f>
        <v>0</v>
      </c>
      <c r="AE1123" s="65">
        <v>1</v>
      </c>
      <c r="AF1123" s="69">
        <v>14.3</v>
      </c>
      <c r="AG1123" s="65" t="s">
        <v>74</v>
      </c>
      <c r="AH1123" s="65" t="s">
        <v>4140</v>
      </c>
      <c r="AI1123">
        <f>IF(AND(OR(Company_Explorer!$B$5="All Companies",$E1123=Company_Explorer!$B$5),OR(Company_Explorer!$B$6="All Platforms",$B1123=Company_Explorer!$B$6),OR(Company_Explorer!$B$7="All Roles",$D1123=Company_Explorer!$B$7),OR(Company_Explorer!$B$8="All Ghost Labels",$AG1123=Company_Explorer!$B$8)),1,0)</f>
        <v>0</v>
      </c>
    </row>
    <row r="1124" spans="1:35" ht="15" customHeight="1" x14ac:dyDescent="0.3">
      <c r="A1124" s="60" t="s">
        <v>4141</v>
      </c>
      <c r="B1124" s="60" t="s">
        <v>81</v>
      </c>
      <c r="C1124" s="60" t="s">
        <v>4142</v>
      </c>
      <c r="D1124" s="60" t="s">
        <v>126</v>
      </c>
      <c r="E1124" s="60" t="s">
        <v>4143</v>
      </c>
      <c r="F1124" s="60" t="b">
        <f>TRUE()</f>
        <v>1</v>
      </c>
      <c r="G1124" s="60" t="s">
        <v>177</v>
      </c>
      <c r="H1124" s="60" t="s">
        <v>165</v>
      </c>
      <c r="I1124" s="61">
        <v>46210.239895509301</v>
      </c>
      <c r="J1124" s="61">
        <v>46210.282968911997</v>
      </c>
      <c r="K1124" s="60">
        <v>0</v>
      </c>
      <c r="L1124" s="60" t="s">
        <v>183</v>
      </c>
      <c r="M1124" s="60" t="s">
        <v>183</v>
      </c>
      <c r="N1124" s="60" t="b">
        <f>TRUE()</f>
        <v>1</v>
      </c>
      <c r="O1124" s="70">
        <v>302403.09375</v>
      </c>
      <c r="P1124" s="70">
        <v>1988528.375</v>
      </c>
      <c r="Q1124" s="60" t="s">
        <v>3663</v>
      </c>
      <c r="R1124" s="60" t="s">
        <v>3961</v>
      </c>
      <c r="S1124" s="70">
        <v>1145466</v>
      </c>
      <c r="T1124" s="60" t="b">
        <f>TRUE()</f>
        <v>1</v>
      </c>
      <c r="U1124" s="60" t="b">
        <f>FALSE()</f>
        <v>0</v>
      </c>
      <c r="V1124" s="60">
        <v>559</v>
      </c>
      <c r="W1124" s="62" t="s">
        <v>4144</v>
      </c>
      <c r="X1124" s="60">
        <v>1</v>
      </c>
      <c r="Y1124" s="63">
        <v>1.75</v>
      </c>
      <c r="Z1124" s="60" t="b">
        <f>FALSE()</f>
        <v>0</v>
      </c>
      <c r="AA1124" s="60" t="b">
        <f>FALSE()</f>
        <v>0</v>
      </c>
      <c r="AB1124" s="60" t="b">
        <f>FALSE()</f>
        <v>0</v>
      </c>
      <c r="AC1124" s="60" t="b">
        <f>FALSE()</f>
        <v>0</v>
      </c>
      <c r="AD1124" s="60" t="b">
        <f>FALSE()</f>
        <v>0</v>
      </c>
      <c r="AE1124" s="60">
        <v>0</v>
      </c>
      <c r="AF1124" s="64">
        <v>0</v>
      </c>
      <c r="AG1124" s="60" t="s">
        <v>74</v>
      </c>
      <c r="AH1124" s="60" t="s">
        <v>4145</v>
      </c>
      <c r="AI1124">
        <f>IF(AND(OR(Company_Explorer!$B$5="All Companies",$E1124=Company_Explorer!$B$5),OR(Company_Explorer!$B$6="All Platforms",$B1124=Company_Explorer!$B$6),OR(Company_Explorer!$B$7="All Roles",$D1124=Company_Explorer!$B$7),OR(Company_Explorer!$B$8="All Ghost Labels",$AG1124=Company_Explorer!$B$8)),1,0)</f>
        <v>0</v>
      </c>
    </row>
    <row r="1125" spans="1:35" ht="15" customHeight="1" x14ac:dyDescent="0.3">
      <c r="A1125" s="65" t="s">
        <v>4146</v>
      </c>
      <c r="B1125" s="65" t="s">
        <v>81</v>
      </c>
      <c r="C1125" s="65" t="s">
        <v>4147</v>
      </c>
      <c r="D1125" s="65" t="s">
        <v>125</v>
      </c>
      <c r="E1125" s="65" t="s">
        <v>4148</v>
      </c>
      <c r="F1125" s="65" t="b">
        <f>TRUE()</f>
        <v>1</v>
      </c>
      <c r="G1125" s="65" t="s">
        <v>165</v>
      </c>
      <c r="H1125" s="65" t="s">
        <v>3655</v>
      </c>
      <c r="I1125" s="66">
        <v>46210.101500648198</v>
      </c>
      <c r="J1125" s="66">
        <v>46210.282969571803</v>
      </c>
      <c r="K1125" s="65">
        <v>0.2</v>
      </c>
      <c r="L1125" s="65" t="s">
        <v>183</v>
      </c>
      <c r="M1125" s="65" t="s">
        <v>183</v>
      </c>
      <c r="N1125" s="65" t="b">
        <f>FALSE()</f>
        <v>0</v>
      </c>
      <c r="O1125" s="65"/>
      <c r="P1125" s="65"/>
      <c r="Q1125" s="65" t="s">
        <v>236</v>
      </c>
      <c r="R1125" s="65" t="s">
        <v>236</v>
      </c>
      <c r="S1125" s="65"/>
      <c r="T1125" s="65" t="b">
        <f>FALSE()</f>
        <v>0</v>
      </c>
      <c r="U1125" s="65" t="b">
        <f>FALSE()</f>
        <v>0</v>
      </c>
      <c r="V1125" s="65">
        <v>401</v>
      </c>
      <c r="W1125" s="67" t="s">
        <v>4149</v>
      </c>
      <c r="X1125" s="65">
        <v>2</v>
      </c>
      <c r="Y1125" s="68">
        <v>3.5</v>
      </c>
      <c r="Z1125" s="65" t="b">
        <f>FALSE()</f>
        <v>0</v>
      </c>
      <c r="AA1125" s="65" t="b">
        <f>TRUE()</f>
        <v>1</v>
      </c>
      <c r="AB1125" s="65" t="b">
        <f>FALSE()</f>
        <v>0</v>
      </c>
      <c r="AC1125" s="65" t="b">
        <f>FALSE()</f>
        <v>0</v>
      </c>
      <c r="AD1125" s="65" t="b">
        <f>FALSE()</f>
        <v>0</v>
      </c>
      <c r="AE1125" s="65">
        <v>1</v>
      </c>
      <c r="AF1125" s="69">
        <v>14.3</v>
      </c>
      <c r="AG1125" s="65" t="s">
        <v>74</v>
      </c>
      <c r="AH1125" s="65" t="s">
        <v>4150</v>
      </c>
      <c r="AI1125">
        <f>IF(AND(OR(Company_Explorer!$B$5="All Companies",$E1125=Company_Explorer!$B$5),OR(Company_Explorer!$B$6="All Platforms",$B1125=Company_Explorer!$B$6),OR(Company_Explorer!$B$7="All Roles",$D1125=Company_Explorer!$B$7),OR(Company_Explorer!$B$8="All Ghost Labels",$AG1125=Company_Explorer!$B$8)),1,0)</f>
        <v>0</v>
      </c>
    </row>
    <row r="1126" spans="1:35" ht="15" customHeight="1" x14ac:dyDescent="0.3">
      <c r="A1126" s="60" t="s">
        <v>4151</v>
      </c>
      <c r="B1126" s="60" t="s">
        <v>81</v>
      </c>
      <c r="C1126" s="60" t="s">
        <v>4152</v>
      </c>
      <c r="D1126" s="60" t="s">
        <v>126</v>
      </c>
      <c r="E1126" s="60" t="s">
        <v>3754</v>
      </c>
      <c r="F1126" s="60" t="b">
        <f>TRUE()</f>
        <v>1</v>
      </c>
      <c r="G1126" s="60" t="s">
        <v>165</v>
      </c>
      <c r="H1126" s="60" t="s">
        <v>3678</v>
      </c>
      <c r="I1126" s="61">
        <v>46210.2284871991</v>
      </c>
      <c r="J1126" s="61">
        <v>46210.282971076398</v>
      </c>
      <c r="K1126" s="60">
        <v>0.1</v>
      </c>
      <c r="L1126" s="60" t="s">
        <v>183</v>
      </c>
      <c r="M1126" s="60" t="s">
        <v>183</v>
      </c>
      <c r="N1126" s="60" t="b">
        <f>FALSE()</f>
        <v>0</v>
      </c>
      <c r="O1126" s="60"/>
      <c r="P1126" s="60"/>
      <c r="Q1126" s="60" t="s">
        <v>3663</v>
      </c>
      <c r="R1126" s="60" t="s">
        <v>3664</v>
      </c>
      <c r="S1126" s="60"/>
      <c r="T1126" s="60" t="b">
        <f>FALSE()</f>
        <v>0</v>
      </c>
      <c r="U1126" s="60" t="b">
        <f>FALSE()</f>
        <v>0</v>
      </c>
      <c r="V1126" s="60">
        <v>894</v>
      </c>
      <c r="W1126" s="62" t="s">
        <v>4153</v>
      </c>
      <c r="X1126" s="60">
        <v>2</v>
      </c>
      <c r="Y1126" s="63">
        <v>3.5</v>
      </c>
      <c r="Z1126" s="60" t="b">
        <f>FALSE()</f>
        <v>0</v>
      </c>
      <c r="AA1126" s="60" t="b">
        <f>TRUE()</f>
        <v>1</v>
      </c>
      <c r="AB1126" s="60" t="b">
        <f>FALSE()</f>
        <v>0</v>
      </c>
      <c r="AC1126" s="60" t="b">
        <f>FALSE()</f>
        <v>0</v>
      </c>
      <c r="AD1126" s="60" t="b">
        <f>FALSE()</f>
        <v>0</v>
      </c>
      <c r="AE1126" s="60">
        <v>1</v>
      </c>
      <c r="AF1126" s="64">
        <v>14.3</v>
      </c>
      <c r="AG1126" s="60" t="s">
        <v>74</v>
      </c>
      <c r="AH1126" s="60" t="s">
        <v>4154</v>
      </c>
      <c r="AI1126">
        <f>IF(AND(OR(Company_Explorer!$B$5="All Companies",$E1126=Company_Explorer!$B$5),OR(Company_Explorer!$B$6="All Platforms",$B1126=Company_Explorer!$B$6),OR(Company_Explorer!$B$7="All Roles",$D1126=Company_Explorer!$B$7),OR(Company_Explorer!$B$8="All Ghost Labels",$AG1126=Company_Explorer!$B$8)),1,0)</f>
        <v>0</v>
      </c>
    </row>
    <row r="1127" spans="1:35" ht="15" customHeight="1" x14ac:dyDescent="0.3">
      <c r="A1127" s="65" t="s">
        <v>4155</v>
      </c>
      <c r="B1127" s="65" t="s">
        <v>81</v>
      </c>
      <c r="C1127" s="65" t="s">
        <v>4156</v>
      </c>
      <c r="D1127" s="65" t="s">
        <v>126</v>
      </c>
      <c r="E1127" s="65" t="s">
        <v>4157</v>
      </c>
      <c r="F1127" s="65" t="b">
        <f>TRUE()</f>
        <v>1</v>
      </c>
      <c r="G1127" s="65" t="s">
        <v>165</v>
      </c>
      <c r="H1127" s="65" t="s">
        <v>3620</v>
      </c>
      <c r="I1127" s="66">
        <v>46210.205785011603</v>
      </c>
      <c r="J1127" s="66">
        <v>46210.282971122702</v>
      </c>
      <c r="K1127" s="65">
        <v>0.1</v>
      </c>
      <c r="L1127" s="65" t="s">
        <v>183</v>
      </c>
      <c r="M1127" s="65" t="s">
        <v>183</v>
      </c>
      <c r="N1127" s="65" t="b">
        <f>FALSE()</f>
        <v>0</v>
      </c>
      <c r="O1127" s="65"/>
      <c r="P1127" s="65"/>
      <c r="Q1127" s="65" t="s">
        <v>236</v>
      </c>
      <c r="R1127" s="65" t="s">
        <v>236</v>
      </c>
      <c r="S1127" s="65"/>
      <c r="T1127" s="65" t="b">
        <f>FALSE()</f>
        <v>0</v>
      </c>
      <c r="U1127" s="65" t="b">
        <f>FALSE()</f>
        <v>0</v>
      </c>
      <c r="V1127" s="65">
        <v>836</v>
      </c>
      <c r="W1127" s="65" t="s">
        <v>4158</v>
      </c>
      <c r="X1127" s="65">
        <v>5</v>
      </c>
      <c r="Y1127" s="68">
        <v>8.75</v>
      </c>
      <c r="Z1127" s="65" t="b">
        <f>FALSE()</f>
        <v>0</v>
      </c>
      <c r="AA1127" s="65" t="b">
        <f>TRUE()</f>
        <v>1</v>
      </c>
      <c r="AB1127" s="65" t="b">
        <f>FALSE()</f>
        <v>0</v>
      </c>
      <c r="AC1127" s="65" t="b">
        <f>FALSE()</f>
        <v>0</v>
      </c>
      <c r="AD1127" s="65" t="b">
        <f>FALSE()</f>
        <v>0</v>
      </c>
      <c r="AE1127" s="65">
        <v>1</v>
      </c>
      <c r="AF1127" s="69">
        <v>14.3</v>
      </c>
      <c r="AG1127" s="65" t="s">
        <v>74</v>
      </c>
      <c r="AH1127" s="65" t="s">
        <v>4159</v>
      </c>
      <c r="AI1127">
        <f>IF(AND(OR(Company_Explorer!$B$5="All Companies",$E1127=Company_Explorer!$B$5),OR(Company_Explorer!$B$6="All Platforms",$B1127=Company_Explorer!$B$6),OR(Company_Explorer!$B$7="All Roles",$D1127=Company_Explorer!$B$7),OR(Company_Explorer!$B$8="All Ghost Labels",$AG1127=Company_Explorer!$B$8)),1,0)</f>
        <v>0</v>
      </c>
    </row>
    <row r="1128" spans="1:35" ht="15" customHeight="1" x14ac:dyDescent="0.3">
      <c r="A1128" s="60" t="s">
        <v>4160</v>
      </c>
      <c r="B1128" s="60" t="s">
        <v>81</v>
      </c>
      <c r="C1128" s="60" t="s">
        <v>4161</v>
      </c>
      <c r="D1128" s="60" t="s">
        <v>132</v>
      </c>
      <c r="E1128" s="60" t="s">
        <v>4162</v>
      </c>
      <c r="F1128" s="60" t="b">
        <f>TRUE()</f>
        <v>1</v>
      </c>
      <c r="G1128" s="60" t="s">
        <v>165</v>
      </c>
      <c r="H1128" s="60" t="s">
        <v>3702</v>
      </c>
      <c r="I1128" s="61">
        <v>46210.2273841551</v>
      </c>
      <c r="J1128" s="61">
        <v>46210.282971226901</v>
      </c>
      <c r="K1128" s="60">
        <v>0.1</v>
      </c>
      <c r="L1128" s="60" t="s">
        <v>183</v>
      </c>
      <c r="M1128" s="60" t="s">
        <v>183</v>
      </c>
      <c r="N1128" s="60" t="b">
        <f>FALSE()</f>
        <v>0</v>
      </c>
      <c r="O1128" s="60"/>
      <c r="P1128" s="60"/>
      <c r="Q1128" s="60" t="s">
        <v>236</v>
      </c>
      <c r="R1128" s="60" t="s">
        <v>236</v>
      </c>
      <c r="S1128" s="60"/>
      <c r="T1128" s="60" t="b">
        <f>FALSE()</f>
        <v>0</v>
      </c>
      <c r="U1128" s="60" t="b">
        <f>FALSE()</f>
        <v>0</v>
      </c>
      <c r="V1128" s="60">
        <v>427</v>
      </c>
      <c r="W1128" s="62" t="s">
        <v>4163</v>
      </c>
      <c r="X1128" s="60">
        <v>1</v>
      </c>
      <c r="Y1128" s="63">
        <v>1.75</v>
      </c>
      <c r="Z1128" s="60" t="b">
        <f>FALSE()</f>
        <v>0</v>
      </c>
      <c r="AA1128" s="60" t="b">
        <f>TRUE()</f>
        <v>1</v>
      </c>
      <c r="AB1128" s="60" t="b">
        <f>FALSE()</f>
        <v>0</v>
      </c>
      <c r="AC1128" s="60" t="b">
        <f>FALSE()</f>
        <v>0</v>
      </c>
      <c r="AD1128" s="60" t="b">
        <f>FALSE()</f>
        <v>0</v>
      </c>
      <c r="AE1128" s="60">
        <v>1</v>
      </c>
      <c r="AF1128" s="64">
        <v>14.3</v>
      </c>
      <c r="AG1128" s="60" t="s">
        <v>74</v>
      </c>
      <c r="AH1128" s="60" t="s">
        <v>4164</v>
      </c>
      <c r="AI1128">
        <f>IF(AND(OR(Company_Explorer!$B$5="All Companies",$E1128=Company_Explorer!$B$5),OR(Company_Explorer!$B$6="All Platforms",$B1128=Company_Explorer!$B$6),OR(Company_Explorer!$B$7="All Roles",$D1128=Company_Explorer!$B$7),OR(Company_Explorer!$B$8="All Ghost Labels",$AG1128=Company_Explorer!$B$8)),1,0)</f>
        <v>0</v>
      </c>
    </row>
    <row r="1129" spans="1:35" ht="15" customHeight="1" x14ac:dyDescent="0.3">
      <c r="A1129" s="65" t="s">
        <v>4165</v>
      </c>
      <c r="B1129" s="65" t="s">
        <v>81</v>
      </c>
      <c r="C1129" s="65" t="s">
        <v>4166</v>
      </c>
      <c r="D1129" s="65" t="s">
        <v>126</v>
      </c>
      <c r="E1129" s="65" t="s">
        <v>4167</v>
      </c>
      <c r="F1129" s="65" t="b">
        <f>TRUE()</f>
        <v>1</v>
      </c>
      <c r="G1129" s="65" t="s">
        <v>177</v>
      </c>
      <c r="H1129" s="65" t="s">
        <v>165</v>
      </c>
      <c r="I1129" s="66">
        <v>46210.227898240701</v>
      </c>
      <c r="J1129" s="66">
        <v>46210.282971168999</v>
      </c>
      <c r="K1129" s="65">
        <v>0.1</v>
      </c>
      <c r="L1129" s="65" t="s">
        <v>183</v>
      </c>
      <c r="M1129" s="65" t="s">
        <v>183</v>
      </c>
      <c r="N1129" s="65" t="b">
        <f>TRUE()</f>
        <v>1</v>
      </c>
      <c r="O1129" s="71">
        <v>70000</v>
      </c>
      <c r="P1129" s="71">
        <v>90000</v>
      </c>
      <c r="Q1129" s="65" t="s">
        <v>3663</v>
      </c>
      <c r="R1129" s="65" t="s">
        <v>3664</v>
      </c>
      <c r="S1129" s="71">
        <v>960000</v>
      </c>
      <c r="T1129" s="65" t="b">
        <f>TRUE()</f>
        <v>1</v>
      </c>
      <c r="U1129" s="65" t="b">
        <f>FALSE()</f>
        <v>0</v>
      </c>
      <c r="V1129" s="65">
        <v>431</v>
      </c>
      <c r="W1129" s="67" t="s">
        <v>4168</v>
      </c>
      <c r="X1129" s="65">
        <v>1</v>
      </c>
      <c r="Y1129" s="68">
        <v>1.75</v>
      </c>
      <c r="Z1129" s="65" t="b">
        <f>FALSE()</f>
        <v>0</v>
      </c>
      <c r="AA1129" s="65" t="b">
        <f>FALSE()</f>
        <v>0</v>
      </c>
      <c r="AB1129" s="65" t="b">
        <f>FALSE()</f>
        <v>0</v>
      </c>
      <c r="AC1129" s="65" t="b">
        <f>FALSE()</f>
        <v>0</v>
      </c>
      <c r="AD1129" s="65" t="b">
        <f>FALSE()</f>
        <v>0</v>
      </c>
      <c r="AE1129" s="65">
        <v>0</v>
      </c>
      <c r="AF1129" s="69">
        <v>0</v>
      </c>
      <c r="AG1129" s="65" t="s">
        <v>74</v>
      </c>
      <c r="AH1129" s="65" t="s">
        <v>4169</v>
      </c>
      <c r="AI1129">
        <f>IF(AND(OR(Company_Explorer!$B$5="All Companies",$E1129=Company_Explorer!$B$5),OR(Company_Explorer!$B$6="All Platforms",$B1129=Company_Explorer!$B$6),OR(Company_Explorer!$B$7="All Roles",$D1129=Company_Explorer!$B$7),OR(Company_Explorer!$B$8="All Ghost Labels",$AG1129=Company_Explorer!$B$8)),1,0)</f>
        <v>0</v>
      </c>
    </row>
    <row r="1130" spans="1:35" ht="15" customHeight="1" x14ac:dyDescent="0.3">
      <c r="A1130" s="60" t="s">
        <v>4170</v>
      </c>
      <c r="B1130" s="60" t="s">
        <v>81</v>
      </c>
      <c r="C1130" s="60" t="s">
        <v>4171</v>
      </c>
      <c r="D1130" s="60" t="s">
        <v>126</v>
      </c>
      <c r="E1130" s="60" t="s">
        <v>4172</v>
      </c>
      <c r="F1130" s="60" t="b">
        <f>TRUE()</f>
        <v>1</v>
      </c>
      <c r="G1130" s="60" t="s">
        <v>165</v>
      </c>
      <c r="H1130" s="60" t="s">
        <v>3672</v>
      </c>
      <c r="I1130" s="61">
        <v>46210.176524398201</v>
      </c>
      <c r="J1130" s="61">
        <v>46210.2829712616</v>
      </c>
      <c r="K1130" s="60">
        <v>0.1</v>
      </c>
      <c r="L1130" s="60" t="s">
        <v>183</v>
      </c>
      <c r="M1130" s="60" t="s">
        <v>183</v>
      </c>
      <c r="N1130" s="60" t="b">
        <f>TRUE()</f>
        <v>1</v>
      </c>
      <c r="O1130" s="70">
        <v>15000</v>
      </c>
      <c r="P1130" s="70">
        <v>16723</v>
      </c>
      <c r="Q1130" s="60" t="s">
        <v>3663</v>
      </c>
      <c r="R1130" s="60" t="s">
        <v>3664</v>
      </c>
      <c r="S1130" s="70">
        <v>190338</v>
      </c>
      <c r="T1130" s="60" t="b">
        <f>TRUE()</f>
        <v>1</v>
      </c>
      <c r="U1130" s="60" t="b">
        <f>FALSE()</f>
        <v>0</v>
      </c>
      <c r="V1130" s="60">
        <v>296</v>
      </c>
      <c r="W1130" s="62" t="s">
        <v>4173</v>
      </c>
      <c r="X1130" s="60">
        <v>1</v>
      </c>
      <c r="Y1130" s="63">
        <v>1.75</v>
      </c>
      <c r="Z1130" s="60" t="b">
        <f>FALSE()</f>
        <v>0</v>
      </c>
      <c r="AA1130" s="60" t="b">
        <f>FALSE()</f>
        <v>0</v>
      </c>
      <c r="AB1130" s="60" t="b">
        <f>TRUE()</f>
        <v>1</v>
      </c>
      <c r="AC1130" s="60" t="b">
        <f>FALSE()</f>
        <v>0</v>
      </c>
      <c r="AD1130" s="60" t="b">
        <f>FALSE()</f>
        <v>0</v>
      </c>
      <c r="AE1130" s="60">
        <v>1</v>
      </c>
      <c r="AF1130" s="64">
        <v>14.3</v>
      </c>
      <c r="AG1130" s="60" t="s">
        <v>74</v>
      </c>
      <c r="AH1130" s="60" t="s">
        <v>4174</v>
      </c>
      <c r="AI1130">
        <f>IF(AND(OR(Company_Explorer!$B$5="All Companies",$E1130=Company_Explorer!$B$5),OR(Company_Explorer!$B$6="All Platforms",$B1130=Company_Explorer!$B$6),OR(Company_Explorer!$B$7="All Roles",$D1130=Company_Explorer!$B$7),OR(Company_Explorer!$B$8="All Ghost Labels",$AG1130=Company_Explorer!$B$8)),1,0)</f>
        <v>0</v>
      </c>
    </row>
    <row r="1131" spans="1:35" ht="15" customHeight="1" x14ac:dyDescent="0.3">
      <c r="A1131" s="65" t="s">
        <v>4175</v>
      </c>
      <c r="B1131" s="65" t="s">
        <v>81</v>
      </c>
      <c r="C1131" s="65" t="s">
        <v>4176</v>
      </c>
      <c r="D1131" s="65" t="s">
        <v>126</v>
      </c>
      <c r="E1131" s="65" t="s">
        <v>4177</v>
      </c>
      <c r="F1131" s="65" t="b">
        <f>TRUE()</f>
        <v>1</v>
      </c>
      <c r="G1131" s="65" t="s">
        <v>165</v>
      </c>
      <c r="H1131" s="65" t="s">
        <v>3678</v>
      </c>
      <c r="I1131" s="66">
        <v>46210.180560532397</v>
      </c>
      <c r="J1131" s="66">
        <v>46210.282971284701</v>
      </c>
      <c r="K1131" s="65">
        <v>0.1</v>
      </c>
      <c r="L1131" s="65" t="s">
        <v>183</v>
      </c>
      <c r="M1131" s="65" t="s">
        <v>183</v>
      </c>
      <c r="N1131" s="65" t="b">
        <f>FALSE()</f>
        <v>0</v>
      </c>
      <c r="O1131" s="65"/>
      <c r="P1131" s="65"/>
      <c r="Q1131" s="65" t="s">
        <v>236</v>
      </c>
      <c r="R1131" s="65" t="s">
        <v>236</v>
      </c>
      <c r="S1131" s="65"/>
      <c r="T1131" s="65" t="b">
        <f>FALSE()</f>
        <v>0</v>
      </c>
      <c r="U1131" s="65" t="b">
        <f>FALSE()</f>
        <v>0</v>
      </c>
      <c r="V1131" s="65">
        <v>329</v>
      </c>
      <c r="W1131" s="67" t="s">
        <v>4178</v>
      </c>
      <c r="X1131" s="65">
        <v>1</v>
      </c>
      <c r="Y1131" s="68">
        <v>1.75</v>
      </c>
      <c r="Z1131" s="65" t="b">
        <f>FALSE()</f>
        <v>0</v>
      </c>
      <c r="AA1131" s="65" t="b">
        <f>TRUE()</f>
        <v>1</v>
      </c>
      <c r="AB1131" s="65" t="b">
        <f>FALSE()</f>
        <v>0</v>
      </c>
      <c r="AC1131" s="65" t="b">
        <f>FALSE()</f>
        <v>0</v>
      </c>
      <c r="AD1131" s="65" t="b">
        <f>FALSE()</f>
        <v>0</v>
      </c>
      <c r="AE1131" s="65">
        <v>1</v>
      </c>
      <c r="AF1131" s="69">
        <v>14.3</v>
      </c>
      <c r="AG1131" s="65" t="s">
        <v>74</v>
      </c>
      <c r="AH1131" s="65" t="s">
        <v>4179</v>
      </c>
      <c r="AI1131">
        <f>IF(AND(OR(Company_Explorer!$B$5="All Companies",$E1131=Company_Explorer!$B$5),OR(Company_Explorer!$B$6="All Platforms",$B1131=Company_Explorer!$B$6),OR(Company_Explorer!$B$7="All Roles",$D1131=Company_Explorer!$B$7),OR(Company_Explorer!$B$8="All Ghost Labels",$AG1131=Company_Explorer!$B$8)),1,0)</f>
        <v>0</v>
      </c>
    </row>
    <row r="1132" spans="1:35" ht="15" customHeight="1" x14ac:dyDescent="0.3">
      <c r="A1132" s="60" t="s">
        <v>4180</v>
      </c>
      <c r="B1132" s="60" t="s">
        <v>81</v>
      </c>
      <c r="C1132" s="60" t="s">
        <v>4181</v>
      </c>
      <c r="D1132" s="60" t="s">
        <v>126</v>
      </c>
      <c r="E1132" s="60" t="s">
        <v>4182</v>
      </c>
      <c r="F1132" s="60" t="b">
        <f>TRUE()</f>
        <v>1</v>
      </c>
      <c r="G1132" s="60" t="s">
        <v>165</v>
      </c>
      <c r="H1132" s="60" t="s">
        <v>3672</v>
      </c>
      <c r="I1132" s="61">
        <v>46210.180838923603</v>
      </c>
      <c r="J1132" s="61">
        <v>46210.282971250002</v>
      </c>
      <c r="K1132" s="60">
        <v>0.1</v>
      </c>
      <c r="L1132" s="60" t="s">
        <v>183</v>
      </c>
      <c r="M1132" s="60" t="s">
        <v>183</v>
      </c>
      <c r="N1132" s="60" t="b">
        <f>TRUE()</f>
        <v>1</v>
      </c>
      <c r="O1132" s="70">
        <v>10000</v>
      </c>
      <c r="P1132" s="70">
        <v>15000</v>
      </c>
      <c r="Q1132" s="60" t="s">
        <v>3663</v>
      </c>
      <c r="R1132" s="60" t="s">
        <v>3664</v>
      </c>
      <c r="S1132" s="70">
        <v>150000</v>
      </c>
      <c r="T1132" s="60" t="b">
        <f>TRUE()</f>
        <v>1</v>
      </c>
      <c r="U1132" s="60" t="b">
        <f>FALSE()</f>
        <v>0</v>
      </c>
      <c r="V1132" s="60">
        <v>44</v>
      </c>
      <c r="W1132" s="62" t="s">
        <v>4183</v>
      </c>
      <c r="X1132" s="60">
        <v>1</v>
      </c>
      <c r="Y1132" s="63">
        <v>1.75</v>
      </c>
      <c r="Z1132" s="60" t="b">
        <f>FALSE()</f>
        <v>0</v>
      </c>
      <c r="AA1132" s="60" t="b">
        <f>FALSE()</f>
        <v>0</v>
      </c>
      <c r="AB1132" s="60" t="b">
        <f>TRUE()</f>
        <v>1</v>
      </c>
      <c r="AC1132" s="60" t="b">
        <f>FALSE()</f>
        <v>0</v>
      </c>
      <c r="AD1132" s="60" t="b">
        <f>FALSE()</f>
        <v>0</v>
      </c>
      <c r="AE1132" s="60">
        <v>1</v>
      </c>
      <c r="AF1132" s="64">
        <v>14.3</v>
      </c>
      <c r="AG1132" s="60" t="s">
        <v>74</v>
      </c>
      <c r="AH1132" s="60" t="s">
        <v>4184</v>
      </c>
      <c r="AI1132">
        <f>IF(AND(OR(Company_Explorer!$B$5="All Companies",$E1132=Company_Explorer!$B$5),OR(Company_Explorer!$B$6="All Platforms",$B1132=Company_Explorer!$B$6),OR(Company_Explorer!$B$7="All Roles",$D1132=Company_Explorer!$B$7),OR(Company_Explorer!$B$8="All Ghost Labels",$AG1132=Company_Explorer!$B$8)),1,0)</f>
        <v>0</v>
      </c>
    </row>
    <row r="1133" spans="1:35" ht="15" customHeight="1" x14ac:dyDescent="0.3">
      <c r="A1133" s="65" t="s">
        <v>4185</v>
      </c>
      <c r="B1133" s="65" t="s">
        <v>81</v>
      </c>
      <c r="C1133" s="65" t="s">
        <v>4186</v>
      </c>
      <c r="D1133" s="65" t="s">
        <v>126</v>
      </c>
      <c r="E1133" s="65" t="s">
        <v>3726</v>
      </c>
      <c r="F1133" s="65" t="b">
        <f>FALSE()</f>
        <v>0</v>
      </c>
      <c r="G1133" s="65" t="s">
        <v>165</v>
      </c>
      <c r="H1133" s="65" t="s">
        <v>3672</v>
      </c>
      <c r="I1133" s="66">
        <v>46210.207589710699</v>
      </c>
      <c r="J1133" s="66">
        <v>46210.282971585701</v>
      </c>
      <c r="K1133" s="65">
        <v>0.1</v>
      </c>
      <c r="L1133" s="65" t="s">
        <v>183</v>
      </c>
      <c r="M1133" s="65" t="s">
        <v>183</v>
      </c>
      <c r="N1133" s="65" t="b">
        <f>FALSE()</f>
        <v>0</v>
      </c>
      <c r="O1133" s="65"/>
      <c r="P1133" s="65"/>
      <c r="Q1133" s="65" t="s">
        <v>3663</v>
      </c>
      <c r="R1133" s="65" t="s">
        <v>3664</v>
      </c>
      <c r="S1133" s="65"/>
      <c r="T1133" s="65" t="b">
        <f>FALSE()</f>
        <v>0</v>
      </c>
      <c r="U1133" s="65" t="b">
        <f>FALSE()</f>
        <v>0</v>
      </c>
      <c r="V1133" s="65">
        <v>223</v>
      </c>
      <c r="W1133" s="67" t="s">
        <v>4187</v>
      </c>
      <c r="X1133" s="65"/>
      <c r="Y1133" s="68"/>
      <c r="Z1133" s="65" t="b">
        <f>TRUE()</f>
        <v>1</v>
      </c>
      <c r="AA1133" s="65" t="b">
        <f>TRUE()</f>
        <v>1</v>
      </c>
      <c r="AB1133" s="65" t="b">
        <f>TRUE()</f>
        <v>1</v>
      </c>
      <c r="AC1133" s="65" t="b">
        <f>FALSE()</f>
        <v>0</v>
      </c>
      <c r="AD1133" s="65" t="b">
        <f>FALSE()</f>
        <v>0</v>
      </c>
      <c r="AE1133" s="65">
        <v>4</v>
      </c>
      <c r="AF1133" s="69">
        <v>57.1</v>
      </c>
      <c r="AG1133" s="65" t="s">
        <v>72</v>
      </c>
      <c r="AH1133" s="65" t="s">
        <v>4188</v>
      </c>
      <c r="AI1133">
        <f>IF(AND(OR(Company_Explorer!$B$5="All Companies",$E1133=Company_Explorer!$B$5),OR(Company_Explorer!$B$6="All Platforms",$B1133=Company_Explorer!$B$6),OR(Company_Explorer!$B$7="All Roles",$D1133=Company_Explorer!$B$7),OR(Company_Explorer!$B$8="All Ghost Labels",$AG1133=Company_Explorer!$B$8)),1,0)</f>
        <v>0</v>
      </c>
    </row>
    <row r="1134" spans="1:35" ht="15" customHeight="1" x14ac:dyDescent="0.3">
      <c r="A1134" s="60" t="s">
        <v>4189</v>
      </c>
      <c r="B1134" s="60" t="s">
        <v>81</v>
      </c>
      <c r="C1134" s="60" t="s">
        <v>4190</v>
      </c>
      <c r="D1134" s="60" t="s">
        <v>126</v>
      </c>
      <c r="E1134" s="60" t="s">
        <v>4191</v>
      </c>
      <c r="F1134" s="60" t="b">
        <f>TRUE()</f>
        <v>1</v>
      </c>
      <c r="G1134" s="60" t="s">
        <v>165</v>
      </c>
      <c r="H1134" s="60" t="s">
        <v>3630</v>
      </c>
      <c r="I1134" s="61">
        <v>46210.226194919</v>
      </c>
      <c r="J1134" s="61">
        <v>46210.282972395798</v>
      </c>
      <c r="K1134" s="60">
        <v>0.1</v>
      </c>
      <c r="L1134" s="60" t="s">
        <v>183</v>
      </c>
      <c r="M1134" s="60" t="s">
        <v>183</v>
      </c>
      <c r="N1134" s="60" t="b">
        <f>TRUE()</f>
        <v>1</v>
      </c>
      <c r="O1134" s="70">
        <v>30000</v>
      </c>
      <c r="P1134" s="70">
        <v>34725.328125</v>
      </c>
      <c r="Q1134" s="60" t="s">
        <v>3663</v>
      </c>
      <c r="R1134" s="60" t="s">
        <v>3664</v>
      </c>
      <c r="S1134" s="70">
        <v>388352</v>
      </c>
      <c r="T1134" s="60" t="b">
        <f>TRUE()</f>
        <v>1</v>
      </c>
      <c r="U1134" s="60" t="b">
        <f>FALSE()</f>
        <v>0</v>
      </c>
      <c r="V1134" s="60">
        <v>292</v>
      </c>
      <c r="W1134" s="62" t="s">
        <v>4192</v>
      </c>
      <c r="X1134" s="60">
        <v>1</v>
      </c>
      <c r="Y1134" s="63">
        <v>1.75</v>
      </c>
      <c r="Z1134" s="60" t="b">
        <f>FALSE()</f>
        <v>0</v>
      </c>
      <c r="AA1134" s="60" t="b">
        <f>FALSE()</f>
        <v>0</v>
      </c>
      <c r="AB1134" s="60" t="b">
        <f>TRUE()</f>
        <v>1</v>
      </c>
      <c r="AC1134" s="60" t="b">
        <f>FALSE()</f>
        <v>0</v>
      </c>
      <c r="AD1134" s="60" t="b">
        <f>FALSE()</f>
        <v>0</v>
      </c>
      <c r="AE1134" s="60">
        <v>1</v>
      </c>
      <c r="AF1134" s="64">
        <v>14.3</v>
      </c>
      <c r="AG1134" s="60" t="s">
        <v>74</v>
      </c>
      <c r="AH1134" s="60" t="s">
        <v>4193</v>
      </c>
      <c r="AI1134">
        <f>IF(AND(OR(Company_Explorer!$B$5="All Companies",$E1134=Company_Explorer!$B$5),OR(Company_Explorer!$B$6="All Platforms",$B1134=Company_Explorer!$B$6),OR(Company_Explorer!$B$7="All Roles",$D1134=Company_Explorer!$B$7),OR(Company_Explorer!$B$8="All Ghost Labels",$AG1134=Company_Explorer!$B$8)),1,0)</f>
        <v>0</v>
      </c>
    </row>
    <row r="1135" spans="1:35" ht="15" customHeight="1" x14ac:dyDescent="0.3">
      <c r="A1135" s="65" t="s">
        <v>4194</v>
      </c>
      <c r="B1135" s="65" t="s">
        <v>81</v>
      </c>
      <c r="C1135" s="65" t="s">
        <v>4195</v>
      </c>
      <c r="D1135" s="65" t="s">
        <v>126</v>
      </c>
      <c r="E1135" s="65" t="s">
        <v>4157</v>
      </c>
      <c r="F1135" s="65" t="b">
        <f>TRUE()</f>
        <v>1</v>
      </c>
      <c r="G1135" s="65" t="s">
        <v>165</v>
      </c>
      <c r="H1135" s="65" t="s">
        <v>3620</v>
      </c>
      <c r="I1135" s="66">
        <v>46210.205786631901</v>
      </c>
      <c r="J1135" s="66">
        <v>46210.2829724537</v>
      </c>
      <c r="K1135" s="65">
        <v>0.1</v>
      </c>
      <c r="L1135" s="65" t="s">
        <v>183</v>
      </c>
      <c r="M1135" s="65" t="s">
        <v>183</v>
      </c>
      <c r="N1135" s="65" t="b">
        <f>FALSE()</f>
        <v>0</v>
      </c>
      <c r="O1135" s="65"/>
      <c r="P1135" s="65"/>
      <c r="Q1135" s="65" t="s">
        <v>236</v>
      </c>
      <c r="R1135" s="65" t="s">
        <v>236</v>
      </c>
      <c r="S1135" s="65"/>
      <c r="T1135" s="65" t="b">
        <f>FALSE()</f>
        <v>0</v>
      </c>
      <c r="U1135" s="65" t="b">
        <f>FALSE()</f>
        <v>0</v>
      </c>
      <c r="V1135" s="65">
        <v>622</v>
      </c>
      <c r="W1135" s="67" t="s">
        <v>4196</v>
      </c>
      <c r="X1135" s="65">
        <v>5</v>
      </c>
      <c r="Y1135" s="68">
        <v>8.75</v>
      </c>
      <c r="Z1135" s="65" t="b">
        <f>FALSE()</f>
        <v>0</v>
      </c>
      <c r="AA1135" s="65" t="b">
        <f>TRUE()</f>
        <v>1</v>
      </c>
      <c r="AB1135" s="65" t="b">
        <f>FALSE()</f>
        <v>0</v>
      </c>
      <c r="AC1135" s="65" t="b">
        <f>FALSE()</f>
        <v>0</v>
      </c>
      <c r="AD1135" s="65" t="b">
        <f>FALSE()</f>
        <v>0</v>
      </c>
      <c r="AE1135" s="65">
        <v>1</v>
      </c>
      <c r="AF1135" s="69">
        <v>14.3</v>
      </c>
      <c r="AG1135" s="65" t="s">
        <v>74</v>
      </c>
      <c r="AH1135" s="65" t="s">
        <v>4197</v>
      </c>
      <c r="AI1135">
        <f>IF(AND(OR(Company_Explorer!$B$5="All Companies",$E1135=Company_Explorer!$B$5),OR(Company_Explorer!$B$6="All Platforms",$B1135=Company_Explorer!$B$6),OR(Company_Explorer!$B$7="All Roles",$D1135=Company_Explorer!$B$7),OR(Company_Explorer!$B$8="All Ghost Labels",$AG1135=Company_Explorer!$B$8)),1,0)</f>
        <v>0</v>
      </c>
    </row>
    <row r="1136" spans="1:35" ht="15" customHeight="1" x14ac:dyDescent="0.3">
      <c r="A1136" s="60" t="s">
        <v>4198</v>
      </c>
      <c r="B1136" s="60" t="s">
        <v>81</v>
      </c>
      <c r="C1136" s="60" t="s">
        <v>4199</v>
      </c>
      <c r="D1136" s="60" t="s">
        <v>126</v>
      </c>
      <c r="E1136" s="60" t="s">
        <v>4200</v>
      </c>
      <c r="F1136" s="60" t="b">
        <f>TRUE()</f>
        <v>1</v>
      </c>
      <c r="G1136" s="60" t="s">
        <v>165</v>
      </c>
      <c r="H1136" s="60" t="s">
        <v>3781</v>
      </c>
      <c r="I1136" s="61">
        <v>46210.224791793997</v>
      </c>
      <c r="J1136" s="61">
        <v>46210.282972592599</v>
      </c>
      <c r="K1136" s="60">
        <v>0.1</v>
      </c>
      <c r="L1136" s="60" t="s">
        <v>183</v>
      </c>
      <c r="M1136" s="60" t="s">
        <v>183</v>
      </c>
      <c r="N1136" s="60" t="b">
        <f>TRUE()</f>
        <v>1</v>
      </c>
      <c r="O1136" s="70">
        <v>2000</v>
      </c>
      <c r="P1136" s="70">
        <v>2500</v>
      </c>
      <c r="Q1136" s="60" t="s">
        <v>3663</v>
      </c>
      <c r="R1136" s="60" t="s">
        <v>4201</v>
      </c>
      <c r="S1136" s="70">
        <v>821250</v>
      </c>
      <c r="T1136" s="60" t="b">
        <f>TRUE()</f>
        <v>1</v>
      </c>
      <c r="U1136" s="60" t="b">
        <f>FALSE()</f>
        <v>0</v>
      </c>
      <c r="V1136" s="60">
        <v>77</v>
      </c>
      <c r="W1136" s="62" t="s">
        <v>4202</v>
      </c>
      <c r="X1136" s="60">
        <v>1</v>
      </c>
      <c r="Y1136" s="63">
        <v>1.75</v>
      </c>
      <c r="Z1136" s="60" t="b">
        <f>FALSE()</f>
        <v>0</v>
      </c>
      <c r="AA1136" s="60" t="b">
        <f>FALSE()</f>
        <v>0</v>
      </c>
      <c r="AB1136" s="60" t="b">
        <f>TRUE()</f>
        <v>1</v>
      </c>
      <c r="AC1136" s="60" t="b">
        <f>FALSE()</f>
        <v>0</v>
      </c>
      <c r="AD1136" s="60" t="b">
        <f>FALSE()</f>
        <v>0</v>
      </c>
      <c r="AE1136" s="60">
        <v>1</v>
      </c>
      <c r="AF1136" s="64">
        <v>14.3</v>
      </c>
      <c r="AG1136" s="60" t="s">
        <v>74</v>
      </c>
      <c r="AH1136" s="60" t="s">
        <v>4203</v>
      </c>
      <c r="AI1136">
        <f>IF(AND(OR(Company_Explorer!$B$5="All Companies",$E1136=Company_Explorer!$B$5),OR(Company_Explorer!$B$6="All Platforms",$B1136=Company_Explorer!$B$6),OR(Company_Explorer!$B$7="All Roles",$D1136=Company_Explorer!$B$7),OR(Company_Explorer!$B$8="All Ghost Labels",$AG1136=Company_Explorer!$B$8)),1,0)</f>
        <v>0</v>
      </c>
    </row>
    <row r="1137" spans="1:35" ht="15" customHeight="1" x14ac:dyDescent="0.3">
      <c r="A1137" s="65" t="s">
        <v>4204</v>
      </c>
      <c r="B1137" s="65" t="s">
        <v>81</v>
      </c>
      <c r="C1137" s="65" t="s">
        <v>4205</v>
      </c>
      <c r="D1137" s="65" t="s">
        <v>126</v>
      </c>
      <c r="E1137" s="65" t="s">
        <v>3820</v>
      </c>
      <c r="F1137" s="65" t="b">
        <f>TRUE()</f>
        <v>1</v>
      </c>
      <c r="G1137" s="65" t="s">
        <v>165</v>
      </c>
      <c r="H1137" s="65" t="s">
        <v>3821</v>
      </c>
      <c r="I1137" s="66">
        <v>46210.176171782397</v>
      </c>
      <c r="J1137" s="66">
        <v>46210.2829726157</v>
      </c>
      <c r="K1137" s="65">
        <v>0.1</v>
      </c>
      <c r="L1137" s="65" t="s">
        <v>183</v>
      </c>
      <c r="M1137" s="65" t="s">
        <v>183</v>
      </c>
      <c r="N1137" s="65" t="b">
        <f>TRUE()</f>
        <v>1</v>
      </c>
      <c r="O1137" s="71">
        <v>10000.240234375</v>
      </c>
      <c r="P1137" s="71">
        <v>25000.91015625</v>
      </c>
      <c r="Q1137" s="65" t="s">
        <v>3663</v>
      </c>
      <c r="R1137" s="65" t="s">
        <v>3664</v>
      </c>
      <c r="S1137" s="71">
        <v>210007</v>
      </c>
      <c r="T1137" s="65" t="b">
        <f>TRUE()</f>
        <v>1</v>
      </c>
      <c r="U1137" s="65" t="b">
        <f>FALSE()</f>
        <v>0</v>
      </c>
      <c r="V1137" s="65">
        <v>249</v>
      </c>
      <c r="W1137" s="67" t="s">
        <v>4206</v>
      </c>
      <c r="X1137" s="65">
        <v>4</v>
      </c>
      <c r="Y1137" s="68">
        <v>7</v>
      </c>
      <c r="Z1137" s="65" t="b">
        <f>FALSE()</f>
        <v>0</v>
      </c>
      <c r="AA1137" s="65" t="b">
        <f>FALSE()</f>
        <v>0</v>
      </c>
      <c r="AB1137" s="65" t="b">
        <f>TRUE()</f>
        <v>1</v>
      </c>
      <c r="AC1137" s="65" t="b">
        <f>FALSE()</f>
        <v>0</v>
      </c>
      <c r="AD1137" s="65" t="b">
        <f>FALSE()</f>
        <v>0</v>
      </c>
      <c r="AE1137" s="65">
        <v>1</v>
      </c>
      <c r="AF1137" s="69">
        <v>14.3</v>
      </c>
      <c r="AG1137" s="65" t="s">
        <v>74</v>
      </c>
      <c r="AH1137" s="65" t="s">
        <v>4207</v>
      </c>
      <c r="AI1137">
        <f>IF(AND(OR(Company_Explorer!$B$5="All Companies",$E1137=Company_Explorer!$B$5),OR(Company_Explorer!$B$6="All Platforms",$B1137=Company_Explorer!$B$6),OR(Company_Explorer!$B$7="All Roles",$D1137=Company_Explorer!$B$7),OR(Company_Explorer!$B$8="All Ghost Labels",$AG1137=Company_Explorer!$B$8)),1,0)</f>
        <v>0</v>
      </c>
    </row>
    <row r="1138" spans="1:35" ht="15" customHeight="1" x14ac:dyDescent="0.3">
      <c r="A1138" s="60" t="s">
        <v>4208</v>
      </c>
      <c r="B1138" s="60" t="s">
        <v>81</v>
      </c>
      <c r="C1138" s="60" t="s">
        <v>4209</v>
      </c>
      <c r="D1138" s="60" t="s">
        <v>126</v>
      </c>
      <c r="E1138" s="60" t="s">
        <v>4210</v>
      </c>
      <c r="F1138" s="60" t="b">
        <f>TRUE()</f>
        <v>1</v>
      </c>
      <c r="G1138" s="60" t="s">
        <v>165</v>
      </c>
      <c r="H1138" s="60" t="s">
        <v>4211</v>
      </c>
      <c r="I1138" s="61">
        <v>46210.204483333298</v>
      </c>
      <c r="J1138" s="61">
        <v>46210.282972499997</v>
      </c>
      <c r="K1138" s="60">
        <v>0.1</v>
      </c>
      <c r="L1138" s="60" t="s">
        <v>183</v>
      </c>
      <c r="M1138" s="60" t="s">
        <v>183</v>
      </c>
      <c r="N1138" s="60" t="b">
        <f>TRUE()</f>
        <v>1</v>
      </c>
      <c r="O1138" s="70">
        <v>25000</v>
      </c>
      <c r="P1138" s="70">
        <v>38000</v>
      </c>
      <c r="Q1138" s="60" t="s">
        <v>3663</v>
      </c>
      <c r="R1138" s="60" t="s">
        <v>3664</v>
      </c>
      <c r="S1138" s="70">
        <v>378000</v>
      </c>
      <c r="T1138" s="60" t="b">
        <f>TRUE()</f>
        <v>1</v>
      </c>
      <c r="U1138" s="60" t="b">
        <f>FALSE()</f>
        <v>0</v>
      </c>
      <c r="V1138" s="60">
        <v>385</v>
      </c>
      <c r="W1138" s="62" t="s">
        <v>4212</v>
      </c>
      <c r="X1138" s="60">
        <v>1</v>
      </c>
      <c r="Y1138" s="63">
        <v>1.75</v>
      </c>
      <c r="Z1138" s="60" t="b">
        <f>FALSE()</f>
        <v>0</v>
      </c>
      <c r="AA1138" s="60" t="b">
        <f>FALSE()</f>
        <v>0</v>
      </c>
      <c r="AB1138" s="60" t="b">
        <f>FALSE()</f>
        <v>0</v>
      </c>
      <c r="AC1138" s="60" t="b">
        <f>FALSE()</f>
        <v>0</v>
      </c>
      <c r="AD1138" s="60" t="b">
        <f>FALSE()</f>
        <v>0</v>
      </c>
      <c r="AE1138" s="60">
        <v>0</v>
      </c>
      <c r="AF1138" s="64">
        <v>0</v>
      </c>
      <c r="AG1138" s="60" t="s">
        <v>74</v>
      </c>
      <c r="AH1138" s="60" t="s">
        <v>4213</v>
      </c>
      <c r="AI1138">
        <f>IF(AND(OR(Company_Explorer!$B$5="All Companies",$E1138=Company_Explorer!$B$5),OR(Company_Explorer!$B$6="All Platforms",$B1138=Company_Explorer!$B$6),OR(Company_Explorer!$B$7="All Roles",$D1138=Company_Explorer!$B$7),OR(Company_Explorer!$B$8="All Ghost Labels",$AG1138=Company_Explorer!$B$8)),1,0)</f>
        <v>0</v>
      </c>
    </row>
    <row r="1139" spans="1:35" ht="15" customHeight="1" x14ac:dyDescent="0.3">
      <c r="A1139" s="65" t="s">
        <v>4214</v>
      </c>
      <c r="B1139" s="65" t="s">
        <v>81</v>
      </c>
      <c r="C1139" s="65" t="s">
        <v>4215</v>
      </c>
      <c r="D1139" s="65" t="s">
        <v>126</v>
      </c>
      <c r="E1139" s="65" t="s">
        <v>4216</v>
      </c>
      <c r="F1139" s="65" t="b">
        <f>TRUE()</f>
        <v>1</v>
      </c>
      <c r="G1139" s="65" t="s">
        <v>165</v>
      </c>
      <c r="H1139" s="65" t="s">
        <v>3636</v>
      </c>
      <c r="I1139" s="66">
        <v>46210.175843935198</v>
      </c>
      <c r="J1139" s="66">
        <v>46210.2829726852</v>
      </c>
      <c r="K1139" s="65">
        <v>0.1</v>
      </c>
      <c r="L1139" s="65" t="s">
        <v>183</v>
      </c>
      <c r="M1139" s="65" t="s">
        <v>183</v>
      </c>
      <c r="N1139" s="65" t="b">
        <f>FALSE()</f>
        <v>0</v>
      </c>
      <c r="O1139" s="65"/>
      <c r="P1139" s="65"/>
      <c r="Q1139" s="65" t="s">
        <v>236</v>
      </c>
      <c r="R1139" s="65" t="s">
        <v>236</v>
      </c>
      <c r="S1139" s="65"/>
      <c r="T1139" s="65" t="b">
        <f>FALSE()</f>
        <v>0</v>
      </c>
      <c r="U1139" s="65" t="b">
        <f>FALSE()</f>
        <v>0</v>
      </c>
      <c r="V1139" s="65">
        <v>1397</v>
      </c>
      <c r="W1139" s="67" t="s">
        <v>4217</v>
      </c>
      <c r="X1139" s="65">
        <v>5</v>
      </c>
      <c r="Y1139" s="68">
        <v>8.75</v>
      </c>
      <c r="Z1139" s="65" t="b">
        <f>FALSE()</f>
        <v>0</v>
      </c>
      <c r="AA1139" s="65" t="b">
        <f>TRUE()</f>
        <v>1</v>
      </c>
      <c r="AB1139" s="65" t="b">
        <f>FALSE()</f>
        <v>0</v>
      </c>
      <c r="AC1139" s="65" t="b">
        <f>FALSE()</f>
        <v>0</v>
      </c>
      <c r="AD1139" s="65" t="b">
        <f>FALSE()</f>
        <v>0</v>
      </c>
      <c r="AE1139" s="65">
        <v>1</v>
      </c>
      <c r="AF1139" s="69">
        <v>14.3</v>
      </c>
      <c r="AG1139" s="65" t="s">
        <v>74</v>
      </c>
      <c r="AH1139" s="65" t="s">
        <v>4218</v>
      </c>
      <c r="AI1139">
        <f>IF(AND(OR(Company_Explorer!$B$5="All Companies",$E1139=Company_Explorer!$B$5),OR(Company_Explorer!$B$6="All Platforms",$B1139=Company_Explorer!$B$6),OR(Company_Explorer!$B$7="All Roles",$D1139=Company_Explorer!$B$7),OR(Company_Explorer!$B$8="All Ghost Labels",$AG1139=Company_Explorer!$B$8)),1,0)</f>
        <v>0</v>
      </c>
    </row>
    <row r="1140" spans="1:35" ht="15" customHeight="1" x14ac:dyDescent="0.3">
      <c r="A1140" s="60" t="s">
        <v>4219</v>
      </c>
      <c r="B1140" s="60" t="s">
        <v>81</v>
      </c>
      <c r="C1140" s="60" t="s">
        <v>4220</v>
      </c>
      <c r="D1140" s="60" t="s">
        <v>126</v>
      </c>
      <c r="E1140" s="60" t="s">
        <v>4216</v>
      </c>
      <c r="F1140" s="60" t="b">
        <f>TRUE()</f>
        <v>1</v>
      </c>
      <c r="G1140" s="60" t="s">
        <v>165</v>
      </c>
      <c r="H1140" s="60" t="s">
        <v>3636</v>
      </c>
      <c r="I1140" s="61">
        <v>46210.1759227199</v>
      </c>
      <c r="J1140" s="61">
        <v>46210.282972546302</v>
      </c>
      <c r="K1140" s="60">
        <v>0.1</v>
      </c>
      <c r="L1140" s="60" t="s">
        <v>183</v>
      </c>
      <c r="M1140" s="60" t="s">
        <v>183</v>
      </c>
      <c r="N1140" s="60" t="b">
        <f>FALSE()</f>
        <v>0</v>
      </c>
      <c r="O1140" s="60"/>
      <c r="P1140" s="60"/>
      <c r="Q1140" s="60" t="s">
        <v>236</v>
      </c>
      <c r="R1140" s="60" t="s">
        <v>236</v>
      </c>
      <c r="S1140" s="60"/>
      <c r="T1140" s="60" t="b">
        <f>FALSE()</f>
        <v>0</v>
      </c>
      <c r="U1140" s="60" t="b">
        <f>FALSE()</f>
        <v>0</v>
      </c>
      <c r="V1140" s="60">
        <v>910</v>
      </c>
      <c r="W1140" s="62" t="s">
        <v>4221</v>
      </c>
      <c r="X1140" s="60">
        <v>5</v>
      </c>
      <c r="Y1140" s="63">
        <v>8.75</v>
      </c>
      <c r="Z1140" s="60" t="b">
        <f>FALSE()</f>
        <v>0</v>
      </c>
      <c r="AA1140" s="60" t="b">
        <f>TRUE()</f>
        <v>1</v>
      </c>
      <c r="AB1140" s="60" t="b">
        <f>FALSE()</f>
        <v>0</v>
      </c>
      <c r="AC1140" s="60" t="b">
        <f>FALSE()</f>
        <v>0</v>
      </c>
      <c r="AD1140" s="60" t="b">
        <f>FALSE()</f>
        <v>0</v>
      </c>
      <c r="AE1140" s="60">
        <v>1</v>
      </c>
      <c r="AF1140" s="64">
        <v>14.3</v>
      </c>
      <c r="AG1140" s="60" t="s">
        <v>74</v>
      </c>
      <c r="AH1140" s="60" t="s">
        <v>4222</v>
      </c>
      <c r="AI1140">
        <f>IF(AND(OR(Company_Explorer!$B$5="All Companies",$E1140=Company_Explorer!$B$5),OR(Company_Explorer!$B$6="All Platforms",$B1140=Company_Explorer!$B$6),OR(Company_Explorer!$B$7="All Roles",$D1140=Company_Explorer!$B$7),OR(Company_Explorer!$B$8="All Ghost Labels",$AG1140=Company_Explorer!$B$8)),1,0)</f>
        <v>0</v>
      </c>
    </row>
    <row r="1141" spans="1:35" ht="15" customHeight="1" x14ac:dyDescent="0.3">
      <c r="A1141" s="65" t="s">
        <v>4223</v>
      </c>
      <c r="B1141" s="65" t="s">
        <v>81</v>
      </c>
      <c r="C1141" s="65" t="s">
        <v>4224</v>
      </c>
      <c r="D1141" s="65" t="s">
        <v>126</v>
      </c>
      <c r="E1141" s="65" t="s">
        <v>3947</v>
      </c>
      <c r="F1141" s="65" t="b">
        <f>TRUE()</f>
        <v>1</v>
      </c>
      <c r="G1141" s="65" t="s">
        <v>165</v>
      </c>
      <c r="H1141" s="65" t="s">
        <v>3620</v>
      </c>
      <c r="I1141" s="66">
        <v>46210.223068148203</v>
      </c>
      <c r="J1141" s="66">
        <v>46210.282972766203</v>
      </c>
      <c r="K1141" s="65">
        <v>0.1</v>
      </c>
      <c r="L1141" s="65" t="s">
        <v>183</v>
      </c>
      <c r="M1141" s="65" t="s">
        <v>183</v>
      </c>
      <c r="N1141" s="65" t="b">
        <f>FALSE()</f>
        <v>0</v>
      </c>
      <c r="O1141" s="65"/>
      <c r="P1141" s="65"/>
      <c r="Q1141" s="65" t="s">
        <v>236</v>
      </c>
      <c r="R1141" s="65" t="s">
        <v>236</v>
      </c>
      <c r="S1141" s="65"/>
      <c r="T1141" s="65" t="b">
        <f>FALSE()</f>
        <v>0</v>
      </c>
      <c r="U1141" s="65" t="b">
        <f>FALSE()</f>
        <v>0</v>
      </c>
      <c r="V1141" s="65">
        <v>639</v>
      </c>
      <c r="W1141" s="67" t="s">
        <v>4225</v>
      </c>
      <c r="X1141" s="65">
        <v>13</v>
      </c>
      <c r="Y1141" s="68">
        <v>22.75</v>
      </c>
      <c r="Z1141" s="65" t="b">
        <f>FALSE()</f>
        <v>0</v>
      </c>
      <c r="AA1141" s="65" t="b">
        <f>TRUE()</f>
        <v>1</v>
      </c>
      <c r="AB1141" s="65" t="b">
        <f>FALSE()</f>
        <v>0</v>
      </c>
      <c r="AC1141" s="65" t="b">
        <f>FALSE()</f>
        <v>0</v>
      </c>
      <c r="AD1141" s="65" t="b">
        <f>FALSE()</f>
        <v>0</v>
      </c>
      <c r="AE1141" s="65">
        <v>1</v>
      </c>
      <c r="AF1141" s="69">
        <v>14.3</v>
      </c>
      <c r="AG1141" s="65" t="s">
        <v>74</v>
      </c>
      <c r="AH1141" s="65" t="s">
        <v>4226</v>
      </c>
      <c r="AI1141">
        <f>IF(AND(OR(Company_Explorer!$B$5="All Companies",$E1141=Company_Explorer!$B$5),OR(Company_Explorer!$B$6="All Platforms",$B1141=Company_Explorer!$B$6),OR(Company_Explorer!$B$7="All Roles",$D1141=Company_Explorer!$B$7),OR(Company_Explorer!$B$8="All Ghost Labels",$AG1141=Company_Explorer!$B$8)),1,0)</f>
        <v>0</v>
      </c>
    </row>
    <row r="1142" spans="1:35" ht="15" customHeight="1" x14ac:dyDescent="0.3">
      <c r="A1142" s="60" t="s">
        <v>4227</v>
      </c>
      <c r="B1142" s="60" t="s">
        <v>81</v>
      </c>
      <c r="C1142" s="60" t="s">
        <v>4228</v>
      </c>
      <c r="D1142" s="60" t="s">
        <v>126</v>
      </c>
      <c r="E1142" s="60" t="s">
        <v>4229</v>
      </c>
      <c r="F1142" s="60" t="b">
        <f>TRUE()</f>
        <v>1</v>
      </c>
      <c r="G1142" s="60" t="s">
        <v>177</v>
      </c>
      <c r="H1142" s="60" t="s">
        <v>165</v>
      </c>
      <c r="I1142" s="61">
        <v>46210.222722974497</v>
      </c>
      <c r="J1142" s="61">
        <v>46210.282973483801</v>
      </c>
      <c r="K1142" s="60">
        <v>0.1</v>
      </c>
      <c r="L1142" s="60" t="s">
        <v>183</v>
      </c>
      <c r="M1142" s="60" t="s">
        <v>183</v>
      </c>
      <c r="N1142" s="60" t="b">
        <f>TRUE()</f>
        <v>1</v>
      </c>
      <c r="O1142" s="70">
        <v>200000</v>
      </c>
      <c r="P1142" s="70">
        <v>300000</v>
      </c>
      <c r="Q1142" s="60" t="s">
        <v>3663</v>
      </c>
      <c r="R1142" s="60" t="s">
        <v>3664</v>
      </c>
      <c r="S1142" s="70">
        <v>3000000</v>
      </c>
      <c r="T1142" s="60" t="b">
        <f>TRUE()</f>
        <v>1</v>
      </c>
      <c r="U1142" s="60" t="b">
        <f>FALSE()</f>
        <v>0</v>
      </c>
      <c r="V1142" s="60">
        <v>559</v>
      </c>
      <c r="W1142" s="62" t="s">
        <v>4230</v>
      </c>
      <c r="X1142" s="60">
        <v>1</v>
      </c>
      <c r="Y1142" s="63">
        <v>1.75</v>
      </c>
      <c r="Z1142" s="60" t="b">
        <f>FALSE()</f>
        <v>0</v>
      </c>
      <c r="AA1142" s="60" t="b">
        <f>FALSE()</f>
        <v>0</v>
      </c>
      <c r="AB1142" s="60" t="b">
        <f>FALSE()</f>
        <v>0</v>
      </c>
      <c r="AC1142" s="60" t="b">
        <f>FALSE()</f>
        <v>0</v>
      </c>
      <c r="AD1142" s="60" t="b">
        <f>FALSE()</f>
        <v>0</v>
      </c>
      <c r="AE1142" s="60">
        <v>0</v>
      </c>
      <c r="AF1142" s="64">
        <v>0</v>
      </c>
      <c r="AG1142" s="60" t="s">
        <v>74</v>
      </c>
      <c r="AH1142" s="60" t="s">
        <v>4231</v>
      </c>
      <c r="AI1142">
        <f>IF(AND(OR(Company_Explorer!$B$5="All Companies",$E1142=Company_Explorer!$B$5),OR(Company_Explorer!$B$6="All Platforms",$B1142=Company_Explorer!$B$6),OR(Company_Explorer!$B$7="All Roles",$D1142=Company_Explorer!$B$7),OR(Company_Explorer!$B$8="All Ghost Labels",$AG1142=Company_Explorer!$B$8)),1,0)</f>
        <v>0</v>
      </c>
    </row>
    <row r="1143" spans="1:35" ht="15" customHeight="1" x14ac:dyDescent="0.3">
      <c r="A1143" s="65" t="s">
        <v>4232</v>
      </c>
      <c r="B1143" s="65" t="s">
        <v>81</v>
      </c>
      <c r="C1143" s="65" t="s">
        <v>4233</v>
      </c>
      <c r="D1143" s="65" t="s">
        <v>126</v>
      </c>
      <c r="E1143" s="65" t="s">
        <v>4216</v>
      </c>
      <c r="F1143" s="65" t="b">
        <f>TRUE()</f>
        <v>1</v>
      </c>
      <c r="G1143" s="65" t="s">
        <v>165</v>
      </c>
      <c r="H1143" s="65" t="s">
        <v>3636</v>
      </c>
      <c r="I1143" s="66">
        <v>46210.175806655097</v>
      </c>
      <c r="J1143" s="66">
        <v>46210.282973588</v>
      </c>
      <c r="K1143" s="65">
        <v>0.1</v>
      </c>
      <c r="L1143" s="65" t="s">
        <v>183</v>
      </c>
      <c r="M1143" s="65" t="s">
        <v>183</v>
      </c>
      <c r="N1143" s="65" t="b">
        <f>FALSE()</f>
        <v>0</v>
      </c>
      <c r="O1143" s="65"/>
      <c r="P1143" s="65"/>
      <c r="Q1143" s="65" t="s">
        <v>236</v>
      </c>
      <c r="R1143" s="65" t="s">
        <v>236</v>
      </c>
      <c r="S1143" s="65"/>
      <c r="T1143" s="65" t="b">
        <f>FALSE()</f>
        <v>0</v>
      </c>
      <c r="U1143" s="65" t="b">
        <f>FALSE()</f>
        <v>0</v>
      </c>
      <c r="V1143" s="65">
        <v>1094</v>
      </c>
      <c r="W1143" s="67" t="s">
        <v>4234</v>
      </c>
      <c r="X1143" s="65">
        <v>5</v>
      </c>
      <c r="Y1143" s="68">
        <v>8.75</v>
      </c>
      <c r="Z1143" s="65" t="b">
        <f>FALSE()</f>
        <v>0</v>
      </c>
      <c r="AA1143" s="65" t="b">
        <f>TRUE()</f>
        <v>1</v>
      </c>
      <c r="AB1143" s="65" t="b">
        <f>FALSE()</f>
        <v>0</v>
      </c>
      <c r="AC1143" s="65" t="b">
        <f>FALSE()</f>
        <v>0</v>
      </c>
      <c r="AD1143" s="65" t="b">
        <f>FALSE()</f>
        <v>0</v>
      </c>
      <c r="AE1143" s="65">
        <v>1</v>
      </c>
      <c r="AF1143" s="69">
        <v>14.3</v>
      </c>
      <c r="AG1143" s="65" t="s">
        <v>74</v>
      </c>
      <c r="AH1143" s="65" t="s">
        <v>4235</v>
      </c>
      <c r="AI1143">
        <f>IF(AND(OR(Company_Explorer!$B$5="All Companies",$E1143=Company_Explorer!$B$5),OR(Company_Explorer!$B$6="All Platforms",$B1143=Company_Explorer!$B$6),OR(Company_Explorer!$B$7="All Roles",$D1143=Company_Explorer!$B$7),OR(Company_Explorer!$B$8="All Ghost Labels",$AG1143=Company_Explorer!$B$8)),1,0)</f>
        <v>0</v>
      </c>
    </row>
    <row r="1144" spans="1:35" ht="15" customHeight="1" x14ac:dyDescent="0.3">
      <c r="A1144" s="60" t="s">
        <v>4236</v>
      </c>
      <c r="B1144" s="60" t="s">
        <v>81</v>
      </c>
      <c r="C1144" s="60" t="s">
        <v>4237</v>
      </c>
      <c r="D1144" s="60" t="s">
        <v>126</v>
      </c>
      <c r="E1144" s="60" t="s">
        <v>4238</v>
      </c>
      <c r="F1144" s="60" t="b">
        <f>TRUE()</f>
        <v>1</v>
      </c>
      <c r="G1144" s="60" t="s">
        <v>165</v>
      </c>
      <c r="H1144" s="60" t="s">
        <v>4211</v>
      </c>
      <c r="I1144" s="61">
        <v>46210.203859340298</v>
      </c>
      <c r="J1144" s="61">
        <v>46210.282973657399</v>
      </c>
      <c r="K1144" s="60">
        <v>0.1</v>
      </c>
      <c r="L1144" s="60" t="s">
        <v>183</v>
      </c>
      <c r="M1144" s="60" t="s">
        <v>183</v>
      </c>
      <c r="N1144" s="60" t="b">
        <f>FALSE()</f>
        <v>0</v>
      </c>
      <c r="O1144" s="60"/>
      <c r="P1144" s="60"/>
      <c r="Q1144" s="60" t="s">
        <v>236</v>
      </c>
      <c r="R1144" s="60" t="s">
        <v>236</v>
      </c>
      <c r="S1144" s="60"/>
      <c r="T1144" s="60" t="b">
        <f>FALSE()</f>
        <v>0</v>
      </c>
      <c r="U1144" s="60" t="b">
        <f>FALSE()</f>
        <v>0</v>
      </c>
      <c r="V1144" s="60">
        <v>392</v>
      </c>
      <c r="W1144" s="62" t="s">
        <v>4239</v>
      </c>
      <c r="X1144" s="60">
        <v>1</v>
      </c>
      <c r="Y1144" s="63">
        <v>1.75</v>
      </c>
      <c r="Z1144" s="60" t="b">
        <f>FALSE()</f>
        <v>0</v>
      </c>
      <c r="AA1144" s="60" t="b">
        <f>TRUE()</f>
        <v>1</v>
      </c>
      <c r="AB1144" s="60" t="b">
        <f>FALSE()</f>
        <v>0</v>
      </c>
      <c r="AC1144" s="60" t="b">
        <f>FALSE()</f>
        <v>0</v>
      </c>
      <c r="AD1144" s="60" t="b">
        <f>FALSE()</f>
        <v>0</v>
      </c>
      <c r="AE1144" s="60">
        <v>1</v>
      </c>
      <c r="AF1144" s="64">
        <v>14.3</v>
      </c>
      <c r="AG1144" s="60" t="s">
        <v>74</v>
      </c>
      <c r="AH1144" s="60" t="s">
        <v>4240</v>
      </c>
      <c r="AI1144">
        <f>IF(AND(OR(Company_Explorer!$B$5="All Companies",$E1144=Company_Explorer!$B$5),OR(Company_Explorer!$B$6="All Platforms",$B1144=Company_Explorer!$B$6),OR(Company_Explorer!$B$7="All Roles",$D1144=Company_Explorer!$B$7),OR(Company_Explorer!$B$8="All Ghost Labels",$AG1144=Company_Explorer!$B$8)),1,0)</f>
        <v>0</v>
      </c>
    </row>
    <row r="1145" spans="1:35" ht="15" customHeight="1" x14ac:dyDescent="0.3">
      <c r="A1145" s="65" t="s">
        <v>4241</v>
      </c>
      <c r="B1145" s="65" t="s">
        <v>81</v>
      </c>
      <c r="C1145" s="65" t="s">
        <v>4242</v>
      </c>
      <c r="D1145" s="65" t="s">
        <v>126</v>
      </c>
      <c r="E1145" s="65" t="s">
        <v>4243</v>
      </c>
      <c r="F1145" s="65" t="b">
        <f>TRUE()</f>
        <v>1</v>
      </c>
      <c r="G1145" s="65" t="s">
        <v>165</v>
      </c>
      <c r="H1145" s="65" t="s">
        <v>3636</v>
      </c>
      <c r="I1145" s="66">
        <v>46210.203558217603</v>
      </c>
      <c r="J1145" s="66">
        <v>46210.282973807902</v>
      </c>
      <c r="K1145" s="65">
        <v>0.1</v>
      </c>
      <c r="L1145" s="65" t="s">
        <v>183</v>
      </c>
      <c r="M1145" s="65" t="s">
        <v>183</v>
      </c>
      <c r="N1145" s="65" t="b">
        <f>TRUE()</f>
        <v>1</v>
      </c>
      <c r="O1145" s="71">
        <v>11000</v>
      </c>
      <c r="P1145" s="71">
        <v>15000</v>
      </c>
      <c r="Q1145" s="65" t="s">
        <v>3663</v>
      </c>
      <c r="R1145" s="65" t="s">
        <v>3664</v>
      </c>
      <c r="S1145" s="71">
        <v>156000</v>
      </c>
      <c r="T1145" s="65" t="b">
        <f>TRUE()</f>
        <v>1</v>
      </c>
      <c r="U1145" s="65" t="b">
        <f>FALSE()</f>
        <v>0</v>
      </c>
      <c r="V1145" s="65">
        <v>245</v>
      </c>
      <c r="W1145" s="67" t="s">
        <v>4244</v>
      </c>
      <c r="X1145" s="65">
        <v>1</v>
      </c>
      <c r="Y1145" s="68">
        <v>1.75</v>
      </c>
      <c r="Z1145" s="65" t="b">
        <f>FALSE()</f>
        <v>0</v>
      </c>
      <c r="AA1145" s="65" t="b">
        <f>FALSE()</f>
        <v>0</v>
      </c>
      <c r="AB1145" s="65" t="b">
        <f>TRUE()</f>
        <v>1</v>
      </c>
      <c r="AC1145" s="65" t="b">
        <f>FALSE()</f>
        <v>0</v>
      </c>
      <c r="AD1145" s="65" t="b">
        <f>FALSE()</f>
        <v>0</v>
      </c>
      <c r="AE1145" s="65">
        <v>1</v>
      </c>
      <c r="AF1145" s="69">
        <v>14.3</v>
      </c>
      <c r="AG1145" s="65" t="s">
        <v>74</v>
      </c>
      <c r="AH1145" s="65" t="s">
        <v>4245</v>
      </c>
      <c r="AI1145">
        <f>IF(AND(OR(Company_Explorer!$B$5="All Companies",$E1145=Company_Explorer!$B$5),OR(Company_Explorer!$B$6="All Platforms",$B1145=Company_Explorer!$B$6),OR(Company_Explorer!$B$7="All Roles",$D1145=Company_Explorer!$B$7),OR(Company_Explorer!$B$8="All Ghost Labels",$AG1145=Company_Explorer!$B$8)),1,0)</f>
        <v>0</v>
      </c>
    </row>
    <row r="1146" spans="1:35" ht="15" customHeight="1" x14ac:dyDescent="0.3">
      <c r="A1146" s="60" t="s">
        <v>4246</v>
      </c>
      <c r="B1146" s="60" t="s">
        <v>81</v>
      </c>
      <c r="C1146" s="60" t="s">
        <v>4247</v>
      </c>
      <c r="D1146" s="60" t="s">
        <v>128</v>
      </c>
      <c r="E1146" s="60" t="s">
        <v>4138</v>
      </c>
      <c r="F1146" s="60" t="b">
        <f>TRUE()</f>
        <v>1</v>
      </c>
      <c r="G1146" s="60" t="s">
        <v>177</v>
      </c>
      <c r="H1146" s="60" t="s">
        <v>165</v>
      </c>
      <c r="I1146" s="61">
        <v>46210.203628564799</v>
      </c>
      <c r="J1146" s="61">
        <v>46210.282973773203</v>
      </c>
      <c r="K1146" s="60">
        <v>0.1</v>
      </c>
      <c r="L1146" s="60" t="s">
        <v>183</v>
      </c>
      <c r="M1146" s="60" t="s">
        <v>183</v>
      </c>
      <c r="N1146" s="60" t="b">
        <f>TRUE()</f>
        <v>1</v>
      </c>
      <c r="O1146" s="70">
        <v>1000000</v>
      </c>
      <c r="P1146" s="70">
        <v>1600000</v>
      </c>
      <c r="Q1146" s="60" t="s">
        <v>3663</v>
      </c>
      <c r="R1146" s="60" t="s">
        <v>3961</v>
      </c>
      <c r="S1146" s="70">
        <v>1300000</v>
      </c>
      <c r="T1146" s="60" t="b">
        <f>TRUE()</f>
        <v>1</v>
      </c>
      <c r="U1146" s="60" t="b">
        <f>FALSE()</f>
        <v>0</v>
      </c>
      <c r="V1146" s="60">
        <v>216</v>
      </c>
      <c r="W1146" s="62" t="s">
        <v>4248</v>
      </c>
      <c r="X1146" s="60">
        <v>2</v>
      </c>
      <c r="Y1146" s="63">
        <v>3.5</v>
      </c>
      <c r="Z1146" s="60" t="b">
        <f>FALSE()</f>
        <v>0</v>
      </c>
      <c r="AA1146" s="60" t="b">
        <f>FALSE()</f>
        <v>0</v>
      </c>
      <c r="AB1146" s="60" t="b">
        <f>TRUE()</f>
        <v>1</v>
      </c>
      <c r="AC1146" s="60" t="b">
        <f>FALSE()</f>
        <v>0</v>
      </c>
      <c r="AD1146" s="60" t="b">
        <f>FALSE()</f>
        <v>0</v>
      </c>
      <c r="AE1146" s="60">
        <v>1</v>
      </c>
      <c r="AF1146" s="64">
        <v>14.3</v>
      </c>
      <c r="AG1146" s="60" t="s">
        <v>74</v>
      </c>
      <c r="AH1146" s="60" t="s">
        <v>4249</v>
      </c>
      <c r="AI1146">
        <f>IF(AND(OR(Company_Explorer!$B$5="All Companies",$E1146=Company_Explorer!$B$5),OR(Company_Explorer!$B$6="All Platforms",$B1146=Company_Explorer!$B$6),OR(Company_Explorer!$B$7="All Roles",$D1146=Company_Explorer!$B$7),OR(Company_Explorer!$B$8="All Ghost Labels",$AG1146=Company_Explorer!$B$8)),1,0)</f>
        <v>0</v>
      </c>
    </row>
    <row r="1147" spans="1:35" ht="15" customHeight="1" x14ac:dyDescent="0.3">
      <c r="A1147" s="65" t="s">
        <v>4250</v>
      </c>
      <c r="B1147" s="65" t="s">
        <v>81</v>
      </c>
      <c r="C1147" s="65" t="s">
        <v>4251</v>
      </c>
      <c r="D1147" s="65" t="s">
        <v>126</v>
      </c>
      <c r="E1147" s="65" t="s">
        <v>4216</v>
      </c>
      <c r="F1147" s="65" t="b">
        <f>TRUE()</f>
        <v>1</v>
      </c>
      <c r="G1147" s="65" t="s">
        <v>165</v>
      </c>
      <c r="H1147" s="65" t="s">
        <v>3636</v>
      </c>
      <c r="I1147" s="66">
        <v>46210.175792314803</v>
      </c>
      <c r="J1147" s="66">
        <v>46210.282973888898</v>
      </c>
      <c r="K1147" s="65">
        <v>0.1</v>
      </c>
      <c r="L1147" s="65" t="s">
        <v>183</v>
      </c>
      <c r="M1147" s="65" t="s">
        <v>183</v>
      </c>
      <c r="N1147" s="65" t="b">
        <f>FALSE()</f>
        <v>0</v>
      </c>
      <c r="O1147" s="65"/>
      <c r="P1147" s="65"/>
      <c r="Q1147" s="65" t="s">
        <v>236</v>
      </c>
      <c r="R1147" s="65" t="s">
        <v>236</v>
      </c>
      <c r="S1147" s="65"/>
      <c r="T1147" s="65" t="b">
        <f>FALSE()</f>
        <v>0</v>
      </c>
      <c r="U1147" s="65" t="b">
        <f>FALSE()</f>
        <v>0</v>
      </c>
      <c r="V1147" s="65">
        <v>901</v>
      </c>
      <c r="W1147" s="67" t="s">
        <v>4252</v>
      </c>
      <c r="X1147" s="65">
        <v>5</v>
      </c>
      <c r="Y1147" s="68">
        <v>8.75</v>
      </c>
      <c r="Z1147" s="65" t="b">
        <f>FALSE()</f>
        <v>0</v>
      </c>
      <c r="AA1147" s="65" t="b">
        <f>TRUE()</f>
        <v>1</v>
      </c>
      <c r="AB1147" s="65" t="b">
        <f>FALSE()</f>
        <v>0</v>
      </c>
      <c r="AC1147" s="65" t="b">
        <f>FALSE()</f>
        <v>0</v>
      </c>
      <c r="AD1147" s="65" t="b">
        <f>FALSE()</f>
        <v>0</v>
      </c>
      <c r="AE1147" s="65">
        <v>1</v>
      </c>
      <c r="AF1147" s="69">
        <v>14.3</v>
      </c>
      <c r="AG1147" s="65" t="s">
        <v>74</v>
      </c>
      <c r="AH1147" s="65" t="s">
        <v>4253</v>
      </c>
      <c r="AI1147">
        <f>IF(AND(OR(Company_Explorer!$B$5="All Companies",$E1147=Company_Explorer!$B$5),OR(Company_Explorer!$B$6="All Platforms",$B1147=Company_Explorer!$B$6),OR(Company_Explorer!$B$7="All Roles",$D1147=Company_Explorer!$B$7),OR(Company_Explorer!$B$8="All Ghost Labels",$AG1147=Company_Explorer!$B$8)),1,0)</f>
        <v>0</v>
      </c>
    </row>
    <row r="1148" spans="1:35" ht="15" customHeight="1" x14ac:dyDescent="0.3">
      <c r="A1148" s="60" t="s">
        <v>4254</v>
      </c>
      <c r="B1148" s="60" t="s">
        <v>81</v>
      </c>
      <c r="C1148" s="60" t="s">
        <v>4255</v>
      </c>
      <c r="D1148" s="60" t="s">
        <v>126</v>
      </c>
      <c r="E1148" s="60" t="s">
        <v>4256</v>
      </c>
      <c r="F1148" s="60" t="b">
        <f>TRUE()</f>
        <v>1</v>
      </c>
      <c r="G1148" s="60" t="s">
        <v>165</v>
      </c>
      <c r="H1148" s="60" t="s">
        <v>3672</v>
      </c>
      <c r="I1148" s="61">
        <v>46210.222732002301</v>
      </c>
      <c r="J1148" s="61">
        <v>46210.282973738402</v>
      </c>
      <c r="K1148" s="60">
        <v>0.1</v>
      </c>
      <c r="L1148" s="60" t="s">
        <v>183</v>
      </c>
      <c r="M1148" s="60" t="s">
        <v>183</v>
      </c>
      <c r="N1148" s="60" t="b">
        <f>TRUE()</f>
        <v>1</v>
      </c>
      <c r="O1148" s="70">
        <v>15000</v>
      </c>
      <c r="P1148" s="70">
        <v>20000</v>
      </c>
      <c r="Q1148" s="60" t="s">
        <v>3663</v>
      </c>
      <c r="R1148" s="60" t="s">
        <v>3664</v>
      </c>
      <c r="S1148" s="70">
        <v>210000</v>
      </c>
      <c r="T1148" s="60" t="b">
        <f>TRUE()</f>
        <v>1</v>
      </c>
      <c r="U1148" s="60" t="b">
        <f>FALSE()</f>
        <v>0</v>
      </c>
      <c r="V1148" s="60">
        <v>219</v>
      </c>
      <c r="W1148" s="60" t="s">
        <v>4257</v>
      </c>
      <c r="X1148" s="60">
        <v>1</v>
      </c>
      <c r="Y1148" s="63">
        <v>1.75</v>
      </c>
      <c r="Z1148" s="60" t="b">
        <f>FALSE()</f>
        <v>0</v>
      </c>
      <c r="AA1148" s="60" t="b">
        <f>FALSE()</f>
        <v>0</v>
      </c>
      <c r="AB1148" s="60" t="b">
        <f>TRUE()</f>
        <v>1</v>
      </c>
      <c r="AC1148" s="60" t="b">
        <f>FALSE()</f>
        <v>0</v>
      </c>
      <c r="AD1148" s="60" t="b">
        <f>FALSE()</f>
        <v>0</v>
      </c>
      <c r="AE1148" s="60">
        <v>1</v>
      </c>
      <c r="AF1148" s="64">
        <v>14.3</v>
      </c>
      <c r="AG1148" s="60" t="s">
        <v>74</v>
      </c>
      <c r="AH1148" s="60" t="s">
        <v>4258</v>
      </c>
      <c r="AI1148">
        <f>IF(AND(OR(Company_Explorer!$B$5="All Companies",$E1148=Company_Explorer!$B$5),OR(Company_Explorer!$B$6="All Platforms",$B1148=Company_Explorer!$B$6),OR(Company_Explorer!$B$7="All Roles",$D1148=Company_Explorer!$B$7),OR(Company_Explorer!$B$8="All Ghost Labels",$AG1148=Company_Explorer!$B$8)),1,0)</f>
        <v>0</v>
      </c>
    </row>
    <row r="1149" spans="1:35" ht="15" customHeight="1" x14ac:dyDescent="0.3">
      <c r="A1149" s="65" t="s">
        <v>4259</v>
      </c>
      <c r="B1149" s="65" t="s">
        <v>81</v>
      </c>
      <c r="C1149" s="65" t="s">
        <v>4260</v>
      </c>
      <c r="D1149" s="65" t="s">
        <v>126</v>
      </c>
      <c r="E1149" s="65" t="s">
        <v>4261</v>
      </c>
      <c r="F1149" s="65" t="b">
        <f>TRUE()</f>
        <v>1</v>
      </c>
      <c r="G1149" s="65" t="s">
        <v>165</v>
      </c>
      <c r="H1149" s="65" t="s">
        <v>3672</v>
      </c>
      <c r="I1149" s="66">
        <v>46210.204188703698</v>
      </c>
      <c r="J1149" s="66">
        <v>46210.2829739468</v>
      </c>
      <c r="K1149" s="65">
        <v>0.1</v>
      </c>
      <c r="L1149" s="65" t="s">
        <v>183</v>
      </c>
      <c r="M1149" s="65" t="s">
        <v>183</v>
      </c>
      <c r="N1149" s="65" t="b">
        <f>TRUE()</f>
        <v>1</v>
      </c>
      <c r="O1149" s="71">
        <v>4000</v>
      </c>
      <c r="P1149" s="71">
        <v>7000</v>
      </c>
      <c r="Q1149" s="65" t="s">
        <v>3663</v>
      </c>
      <c r="R1149" s="65" t="s">
        <v>3664</v>
      </c>
      <c r="S1149" s="71">
        <v>66000</v>
      </c>
      <c r="T1149" s="65" t="b">
        <f>TRUE()</f>
        <v>1</v>
      </c>
      <c r="U1149" s="65" t="b">
        <f>TRUE()</f>
        <v>1</v>
      </c>
      <c r="V1149" s="65">
        <v>292</v>
      </c>
      <c r="W1149" s="67" t="s">
        <v>4262</v>
      </c>
      <c r="X1149" s="65">
        <v>1</v>
      </c>
      <c r="Y1149" s="68">
        <v>1.75</v>
      </c>
      <c r="Z1149" s="65" t="b">
        <f>FALSE()</f>
        <v>0</v>
      </c>
      <c r="AA1149" s="65" t="b">
        <f>FALSE()</f>
        <v>0</v>
      </c>
      <c r="AB1149" s="65" t="b">
        <f>TRUE()</f>
        <v>1</v>
      </c>
      <c r="AC1149" s="65" t="b">
        <f>FALSE()</f>
        <v>0</v>
      </c>
      <c r="AD1149" s="65" t="b">
        <f>FALSE()</f>
        <v>0</v>
      </c>
      <c r="AE1149" s="65">
        <v>1</v>
      </c>
      <c r="AF1149" s="69">
        <v>14.3</v>
      </c>
      <c r="AG1149" s="65" t="s">
        <v>74</v>
      </c>
      <c r="AH1149" s="65" t="s">
        <v>4263</v>
      </c>
      <c r="AI1149">
        <f>IF(AND(OR(Company_Explorer!$B$5="All Companies",$E1149=Company_Explorer!$B$5),OR(Company_Explorer!$B$6="All Platforms",$B1149=Company_Explorer!$B$6),OR(Company_Explorer!$B$7="All Roles",$D1149=Company_Explorer!$B$7),OR(Company_Explorer!$B$8="All Ghost Labels",$AG1149=Company_Explorer!$B$8)),1,0)</f>
        <v>0</v>
      </c>
    </row>
    <row r="1150" spans="1:35" ht="15" customHeight="1" x14ac:dyDescent="0.3">
      <c r="A1150" s="60" t="s">
        <v>4264</v>
      </c>
      <c r="B1150" s="60" t="s">
        <v>81</v>
      </c>
      <c r="C1150" s="60" t="s">
        <v>4265</v>
      </c>
      <c r="D1150" s="60" t="s">
        <v>126</v>
      </c>
      <c r="E1150" s="60" t="s">
        <v>4266</v>
      </c>
      <c r="F1150" s="60" t="b">
        <f>TRUE()</f>
        <v>1</v>
      </c>
      <c r="G1150" s="60" t="s">
        <v>165</v>
      </c>
      <c r="H1150" s="60" t="s">
        <v>3620</v>
      </c>
      <c r="I1150" s="61">
        <v>46210.169165810199</v>
      </c>
      <c r="J1150" s="61">
        <v>46210.282974907401</v>
      </c>
      <c r="K1150" s="60">
        <v>0.1</v>
      </c>
      <c r="L1150" s="60" t="s">
        <v>183</v>
      </c>
      <c r="M1150" s="60" t="s">
        <v>183</v>
      </c>
      <c r="N1150" s="60" t="b">
        <f>TRUE()</f>
        <v>1</v>
      </c>
      <c r="O1150" s="70">
        <v>7000</v>
      </c>
      <c r="P1150" s="70">
        <v>10000</v>
      </c>
      <c r="Q1150" s="60" t="s">
        <v>3663</v>
      </c>
      <c r="R1150" s="60" t="s">
        <v>3664</v>
      </c>
      <c r="S1150" s="70">
        <v>102000</v>
      </c>
      <c r="T1150" s="60" t="b">
        <f>TRUE()</f>
        <v>1</v>
      </c>
      <c r="U1150" s="60" t="b">
        <f>FALSE()</f>
        <v>0</v>
      </c>
      <c r="V1150" s="60">
        <v>79</v>
      </c>
      <c r="W1150" s="62" t="s">
        <v>4267</v>
      </c>
      <c r="X1150" s="60">
        <v>1</v>
      </c>
      <c r="Y1150" s="63">
        <v>1.75</v>
      </c>
      <c r="Z1150" s="60" t="b">
        <f>FALSE()</f>
        <v>0</v>
      </c>
      <c r="AA1150" s="60" t="b">
        <f>FALSE()</f>
        <v>0</v>
      </c>
      <c r="AB1150" s="60" t="b">
        <f>TRUE()</f>
        <v>1</v>
      </c>
      <c r="AC1150" s="60" t="b">
        <f>FALSE()</f>
        <v>0</v>
      </c>
      <c r="AD1150" s="60" t="b">
        <f>FALSE()</f>
        <v>0</v>
      </c>
      <c r="AE1150" s="60">
        <v>1</v>
      </c>
      <c r="AF1150" s="64">
        <v>14.3</v>
      </c>
      <c r="AG1150" s="60" t="s">
        <v>74</v>
      </c>
      <c r="AH1150" s="60" t="s">
        <v>4268</v>
      </c>
      <c r="AI1150">
        <f>IF(AND(OR(Company_Explorer!$B$5="All Companies",$E1150=Company_Explorer!$B$5),OR(Company_Explorer!$B$6="All Platforms",$B1150=Company_Explorer!$B$6),OR(Company_Explorer!$B$7="All Roles",$D1150=Company_Explorer!$B$7),OR(Company_Explorer!$B$8="All Ghost Labels",$AG1150=Company_Explorer!$B$8)),1,0)</f>
        <v>0</v>
      </c>
    </row>
    <row r="1151" spans="1:35" ht="15" customHeight="1" x14ac:dyDescent="0.3">
      <c r="A1151" s="65" t="s">
        <v>4269</v>
      </c>
      <c r="B1151" s="65" t="s">
        <v>81</v>
      </c>
      <c r="C1151" s="65" t="s">
        <v>4270</v>
      </c>
      <c r="D1151" s="65" t="s">
        <v>133</v>
      </c>
      <c r="E1151" s="65" t="s">
        <v>4271</v>
      </c>
      <c r="F1151" s="65" t="b">
        <f>TRUE()</f>
        <v>1</v>
      </c>
      <c r="G1151" s="65" t="s">
        <v>165</v>
      </c>
      <c r="H1151" s="65" t="s">
        <v>3636</v>
      </c>
      <c r="I1151" s="66">
        <v>46210.202156817097</v>
      </c>
      <c r="J1151" s="66">
        <v>46210.282974976901</v>
      </c>
      <c r="K1151" s="65">
        <v>0.1</v>
      </c>
      <c r="L1151" s="65" t="s">
        <v>183</v>
      </c>
      <c r="M1151" s="65" t="s">
        <v>183</v>
      </c>
      <c r="N1151" s="65" t="b">
        <f>TRUE()</f>
        <v>1</v>
      </c>
      <c r="O1151" s="71">
        <v>3000</v>
      </c>
      <c r="P1151" s="71">
        <v>16000</v>
      </c>
      <c r="Q1151" s="65" t="s">
        <v>3663</v>
      </c>
      <c r="R1151" s="65" t="s">
        <v>3664</v>
      </c>
      <c r="S1151" s="71">
        <v>114000</v>
      </c>
      <c r="T1151" s="65" t="b">
        <f>TRUE()</f>
        <v>1</v>
      </c>
      <c r="U1151" s="65" t="b">
        <f>FALSE()</f>
        <v>0</v>
      </c>
      <c r="V1151" s="65">
        <v>735</v>
      </c>
      <c r="W1151" s="67" t="s">
        <v>4272</v>
      </c>
      <c r="X1151" s="65">
        <v>1</v>
      </c>
      <c r="Y1151" s="68">
        <v>1.75</v>
      </c>
      <c r="Z1151" s="65" t="b">
        <f>FALSE()</f>
        <v>0</v>
      </c>
      <c r="AA1151" s="65" t="b">
        <f>FALSE()</f>
        <v>0</v>
      </c>
      <c r="AB1151" s="65" t="b">
        <f>FALSE()</f>
        <v>0</v>
      </c>
      <c r="AC1151" s="65" t="b">
        <f>FALSE()</f>
        <v>0</v>
      </c>
      <c r="AD1151" s="65" t="b">
        <f>FALSE()</f>
        <v>0</v>
      </c>
      <c r="AE1151" s="65">
        <v>0</v>
      </c>
      <c r="AF1151" s="69">
        <v>0</v>
      </c>
      <c r="AG1151" s="65" t="s">
        <v>74</v>
      </c>
      <c r="AH1151" s="65" t="s">
        <v>4273</v>
      </c>
      <c r="AI1151">
        <f>IF(AND(OR(Company_Explorer!$B$5="All Companies",$E1151=Company_Explorer!$B$5),OR(Company_Explorer!$B$6="All Platforms",$B1151=Company_Explorer!$B$6),OR(Company_Explorer!$B$7="All Roles",$D1151=Company_Explorer!$B$7),OR(Company_Explorer!$B$8="All Ghost Labels",$AG1151=Company_Explorer!$B$8)),1,0)</f>
        <v>0</v>
      </c>
    </row>
    <row r="1152" spans="1:35" ht="15" customHeight="1" x14ac:dyDescent="0.3">
      <c r="A1152" s="60" t="s">
        <v>4274</v>
      </c>
      <c r="B1152" s="60" t="s">
        <v>81</v>
      </c>
      <c r="C1152" s="60" t="s">
        <v>4275</v>
      </c>
      <c r="D1152" s="60" t="s">
        <v>126</v>
      </c>
      <c r="E1152" s="60" t="s">
        <v>4216</v>
      </c>
      <c r="F1152" s="60" t="b">
        <f>TRUE()</f>
        <v>1</v>
      </c>
      <c r="G1152" s="60" t="s">
        <v>165</v>
      </c>
      <c r="H1152" s="60" t="s">
        <v>3636</v>
      </c>
      <c r="I1152" s="61">
        <v>46210.175733842603</v>
      </c>
      <c r="J1152" s="61">
        <v>46210.282975080998</v>
      </c>
      <c r="K1152" s="60">
        <v>0.1</v>
      </c>
      <c r="L1152" s="60" t="s">
        <v>183</v>
      </c>
      <c r="M1152" s="60" t="s">
        <v>183</v>
      </c>
      <c r="N1152" s="60" t="b">
        <f>FALSE()</f>
        <v>0</v>
      </c>
      <c r="O1152" s="60"/>
      <c r="P1152" s="60"/>
      <c r="Q1152" s="60" t="s">
        <v>236</v>
      </c>
      <c r="R1152" s="60" t="s">
        <v>236</v>
      </c>
      <c r="S1152" s="60"/>
      <c r="T1152" s="60" t="b">
        <f>FALSE()</f>
        <v>0</v>
      </c>
      <c r="U1152" s="60" t="b">
        <f>FALSE()</f>
        <v>0</v>
      </c>
      <c r="V1152" s="60">
        <v>1090</v>
      </c>
      <c r="W1152" s="62" t="s">
        <v>4276</v>
      </c>
      <c r="X1152" s="60">
        <v>5</v>
      </c>
      <c r="Y1152" s="63">
        <v>8.75</v>
      </c>
      <c r="Z1152" s="60" t="b">
        <f>FALSE()</f>
        <v>0</v>
      </c>
      <c r="AA1152" s="60" t="b">
        <f>TRUE()</f>
        <v>1</v>
      </c>
      <c r="AB1152" s="60" t="b">
        <f>FALSE()</f>
        <v>0</v>
      </c>
      <c r="AC1152" s="60" t="b">
        <f>FALSE()</f>
        <v>0</v>
      </c>
      <c r="AD1152" s="60" t="b">
        <f>FALSE()</f>
        <v>0</v>
      </c>
      <c r="AE1152" s="60">
        <v>1</v>
      </c>
      <c r="AF1152" s="64">
        <v>14.3</v>
      </c>
      <c r="AG1152" s="60" t="s">
        <v>74</v>
      </c>
      <c r="AH1152" s="60" t="s">
        <v>4277</v>
      </c>
      <c r="AI1152">
        <f>IF(AND(OR(Company_Explorer!$B$5="All Companies",$E1152=Company_Explorer!$B$5),OR(Company_Explorer!$B$6="All Platforms",$B1152=Company_Explorer!$B$6),OR(Company_Explorer!$B$7="All Roles",$D1152=Company_Explorer!$B$7),OR(Company_Explorer!$B$8="All Ghost Labels",$AG1152=Company_Explorer!$B$8)),1,0)</f>
        <v>0</v>
      </c>
    </row>
    <row r="1153" spans="1:35" ht="15" customHeight="1" x14ac:dyDescent="0.3">
      <c r="A1153" s="65" t="s">
        <v>4278</v>
      </c>
      <c r="B1153" s="65" t="s">
        <v>81</v>
      </c>
      <c r="C1153" s="65" t="s">
        <v>4279</v>
      </c>
      <c r="D1153" s="65" t="s">
        <v>125</v>
      </c>
      <c r="E1153" s="65" t="s">
        <v>4055</v>
      </c>
      <c r="F1153" s="65" t="b">
        <f>TRUE()</f>
        <v>1</v>
      </c>
      <c r="G1153" s="65" t="s">
        <v>165</v>
      </c>
      <c r="H1153" s="65" t="s">
        <v>3655</v>
      </c>
      <c r="I1153" s="66">
        <v>46210.196533182898</v>
      </c>
      <c r="J1153" s="66">
        <v>46210.282975104201</v>
      </c>
      <c r="K1153" s="65">
        <v>0.1</v>
      </c>
      <c r="L1153" s="65" t="s">
        <v>183</v>
      </c>
      <c r="M1153" s="65" t="s">
        <v>183</v>
      </c>
      <c r="N1153" s="65" t="b">
        <f>TRUE()</f>
        <v>1</v>
      </c>
      <c r="O1153" s="71">
        <v>332027.25</v>
      </c>
      <c r="P1153" s="71">
        <v>1976587.375</v>
      </c>
      <c r="Q1153" s="65" t="s">
        <v>3663</v>
      </c>
      <c r="R1153" s="65" t="s">
        <v>3961</v>
      </c>
      <c r="S1153" s="71">
        <v>1154307</v>
      </c>
      <c r="T1153" s="65" t="b">
        <f>TRUE()</f>
        <v>1</v>
      </c>
      <c r="U1153" s="65" t="b">
        <f>FALSE()</f>
        <v>0</v>
      </c>
      <c r="V1153" s="65">
        <v>273</v>
      </c>
      <c r="W1153" s="67" t="s">
        <v>4280</v>
      </c>
      <c r="X1153" s="65">
        <v>5</v>
      </c>
      <c r="Y1153" s="68">
        <v>8.75</v>
      </c>
      <c r="Z1153" s="65" t="b">
        <f>FALSE()</f>
        <v>0</v>
      </c>
      <c r="AA1153" s="65" t="b">
        <f>FALSE()</f>
        <v>0</v>
      </c>
      <c r="AB1153" s="65" t="b">
        <f>TRUE()</f>
        <v>1</v>
      </c>
      <c r="AC1153" s="65" t="b">
        <f>FALSE()</f>
        <v>0</v>
      </c>
      <c r="AD1153" s="65" t="b">
        <f>FALSE()</f>
        <v>0</v>
      </c>
      <c r="AE1153" s="65">
        <v>1</v>
      </c>
      <c r="AF1153" s="69">
        <v>14.3</v>
      </c>
      <c r="AG1153" s="65" t="s">
        <v>74</v>
      </c>
      <c r="AH1153" s="65" t="s">
        <v>4281</v>
      </c>
      <c r="AI1153">
        <f>IF(AND(OR(Company_Explorer!$B$5="All Companies",$E1153=Company_Explorer!$B$5),OR(Company_Explorer!$B$6="All Platforms",$B1153=Company_Explorer!$B$6),OR(Company_Explorer!$B$7="All Roles",$D1153=Company_Explorer!$B$7),OR(Company_Explorer!$B$8="All Ghost Labels",$AG1153=Company_Explorer!$B$8)),1,0)</f>
        <v>0</v>
      </c>
    </row>
    <row r="1154" spans="1:35" ht="15" customHeight="1" x14ac:dyDescent="0.3">
      <c r="A1154" s="60" t="s">
        <v>4282</v>
      </c>
      <c r="B1154" s="60" t="s">
        <v>81</v>
      </c>
      <c r="C1154" s="60" t="s">
        <v>4283</v>
      </c>
      <c r="D1154" s="60" t="s">
        <v>126</v>
      </c>
      <c r="E1154" s="60" t="s">
        <v>147</v>
      </c>
      <c r="F1154" s="60" t="b">
        <f>TRUE()</f>
        <v>1</v>
      </c>
      <c r="G1154" s="60" t="s">
        <v>165</v>
      </c>
      <c r="H1154" s="60" t="s">
        <v>3620</v>
      </c>
      <c r="I1154" s="61">
        <v>46210.222507233797</v>
      </c>
      <c r="J1154" s="61">
        <v>46210.282975208298</v>
      </c>
      <c r="K1154" s="60">
        <v>0.1</v>
      </c>
      <c r="L1154" s="60" t="s">
        <v>183</v>
      </c>
      <c r="M1154" s="60" t="s">
        <v>183</v>
      </c>
      <c r="N1154" s="60" t="b">
        <f>FALSE()</f>
        <v>0</v>
      </c>
      <c r="O1154" s="60"/>
      <c r="P1154" s="60"/>
      <c r="Q1154" s="60" t="s">
        <v>236</v>
      </c>
      <c r="R1154" s="60" t="s">
        <v>236</v>
      </c>
      <c r="S1154" s="60"/>
      <c r="T1154" s="60" t="b">
        <f>FALSE()</f>
        <v>0</v>
      </c>
      <c r="U1154" s="60" t="b">
        <f>FALSE()</f>
        <v>0</v>
      </c>
      <c r="V1154" s="60">
        <v>208</v>
      </c>
      <c r="W1154" s="62" t="s">
        <v>4284</v>
      </c>
      <c r="X1154" s="60">
        <v>16</v>
      </c>
      <c r="Y1154" s="63">
        <v>28</v>
      </c>
      <c r="Z1154" s="60" t="b">
        <f>FALSE()</f>
        <v>0</v>
      </c>
      <c r="AA1154" s="60" t="b">
        <f>TRUE()</f>
        <v>1</v>
      </c>
      <c r="AB1154" s="60" t="b">
        <f>TRUE()</f>
        <v>1</v>
      </c>
      <c r="AC1154" s="60" t="b">
        <f>FALSE()</f>
        <v>0</v>
      </c>
      <c r="AD1154" s="60" t="b">
        <f>FALSE()</f>
        <v>0</v>
      </c>
      <c r="AE1154" s="60">
        <v>2</v>
      </c>
      <c r="AF1154" s="64">
        <v>28.6</v>
      </c>
      <c r="AG1154" s="60" t="s">
        <v>73</v>
      </c>
      <c r="AH1154" s="60" t="s">
        <v>4285</v>
      </c>
      <c r="AI1154">
        <f>IF(AND(OR(Company_Explorer!$B$5="All Companies",$E1154=Company_Explorer!$B$5),OR(Company_Explorer!$B$6="All Platforms",$B1154=Company_Explorer!$B$6),OR(Company_Explorer!$B$7="All Roles",$D1154=Company_Explorer!$B$7),OR(Company_Explorer!$B$8="All Ghost Labels",$AG1154=Company_Explorer!$B$8)),1,0)</f>
        <v>1</v>
      </c>
    </row>
    <row r="1155" spans="1:35" ht="15" customHeight="1" x14ac:dyDescent="0.3">
      <c r="A1155" s="65" t="s">
        <v>4286</v>
      </c>
      <c r="B1155" s="65" t="s">
        <v>81</v>
      </c>
      <c r="C1155" s="65" t="s">
        <v>4287</v>
      </c>
      <c r="D1155" s="65" t="s">
        <v>128</v>
      </c>
      <c r="E1155" s="65" t="s">
        <v>147</v>
      </c>
      <c r="F1155" s="65" t="b">
        <f>TRUE()</f>
        <v>1</v>
      </c>
      <c r="G1155" s="65" t="s">
        <v>165</v>
      </c>
      <c r="H1155" s="65" t="s">
        <v>3620</v>
      </c>
      <c r="I1155" s="66">
        <v>46210.222500185198</v>
      </c>
      <c r="J1155" s="66">
        <v>46210.282975046299</v>
      </c>
      <c r="K1155" s="65">
        <v>0.1</v>
      </c>
      <c r="L1155" s="65" t="s">
        <v>183</v>
      </c>
      <c r="M1155" s="65" t="s">
        <v>183</v>
      </c>
      <c r="N1155" s="65" t="b">
        <f>FALSE()</f>
        <v>0</v>
      </c>
      <c r="O1155" s="65"/>
      <c r="P1155" s="65"/>
      <c r="Q1155" s="65" t="s">
        <v>236</v>
      </c>
      <c r="R1155" s="65" t="s">
        <v>236</v>
      </c>
      <c r="S1155" s="65"/>
      <c r="T1155" s="65" t="b">
        <f>FALSE()</f>
        <v>0</v>
      </c>
      <c r="U1155" s="65" t="b">
        <f>FALSE()</f>
        <v>0</v>
      </c>
      <c r="V1155" s="65">
        <v>246</v>
      </c>
      <c r="W1155" s="67" t="s">
        <v>4288</v>
      </c>
      <c r="X1155" s="65">
        <v>16</v>
      </c>
      <c r="Y1155" s="68">
        <v>28</v>
      </c>
      <c r="Z1155" s="65" t="b">
        <f>FALSE()</f>
        <v>0</v>
      </c>
      <c r="AA1155" s="65" t="b">
        <f>TRUE()</f>
        <v>1</v>
      </c>
      <c r="AB1155" s="65" t="b">
        <f>TRUE()</f>
        <v>1</v>
      </c>
      <c r="AC1155" s="65" t="b">
        <f>FALSE()</f>
        <v>0</v>
      </c>
      <c r="AD1155" s="65" t="b">
        <f>FALSE()</f>
        <v>0</v>
      </c>
      <c r="AE1155" s="65">
        <v>2</v>
      </c>
      <c r="AF1155" s="69">
        <v>28.6</v>
      </c>
      <c r="AG1155" s="65" t="s">
        <v>73</v>
      </c>
      <c r="AH1155" s="65" t="s">
        <v>4289</v>
      </c>
      <c r="AI1155">
        <f>IF(AND(OR(Company_Explorer!$B$5="All Companies",$E1155=Company_Explorer!$B$5),OR(Company_Explorer!$B$6="All Platforms",$B1155=Company_Explorer!$B$6),OR(Company_Explorer!$B$7="All Roles",$D1155=Company_Explorer!$B$7),OR(Company_Explorer!$B$8="All Ghost Labels",$AG1155=Company_Explorer!$B$8)),1,0)</f>
        <v>1</v>
      </c>
    </row>
    <row r="1156" spans="1:35" ht="15" customHeight="1" x14ac:dyDescent="0.3">
      <c r="A1156" s="60" t="s">
        <v>4290</v>
      </c>
      <c r="B1156" s="60" t="s">
        <v>81</v>
      </c>
      <c r="C1156" s="60" t="s">
        <v>132</v>
      </c>
      <c r="D1156" s="60" t="s">
        <v>132</v>
      </c>
      <c r="E1156" s="60" t="s">
        <v>4291</v>
      </c>
      <c r="F1156" s="60" t="b">
        <f>TRUE()</f>
        <v>1</v>
      </c>
      <c r="G1156" s="60" t="s">
        <v>165</v>
      </c>
      <c r="H1156" s="60" t="s">
        <v>165</v>
      </c>
      <c r="I1156" s="61">
        <v>46210.164811631897</v>
      </c>
      <c r="J1156" s="61">
        <v>46210.282975173599</v>
      </c>
      <c r="K1156" s="60">
        <v>0.1</v>
      </c>
      <c r="L1156" s="60" t="s">
        <v>183</v>
      </c>
      <c r="M1156" s="60" t="s">
        <v>183</v>
      </c>
      <c r="N1156" s="60" t="b">
        <f>FALSE()</f>
        <v>0</v>
      </c>
      <c r="O1156" s="60"/>
      <c r="P1156" s="60"/>
      <c r="Q1156" s="60" t="s">
        <v>236</v>
      </c>
      <c r="R1156" s="60" t="s">
        <v>236</v>
      </c>
      <c r="S1156" s="60"/>
      <c r="T1156" s="60" t="b">
        <f>FALSE()</f>
        <v>0</v>
      </c>
      <c r="U1156" s="60" t="b">
        <f>FALSE()</f>
        <v>0</v>
      </c>
      <c r="V1156" s="60">
        <v>428</v>
      </c>
      <c r="W1156" s="62" t="s">
        <v>4292</v>
      </c>
      <c r="X1156" s="60">
        <v>1</v>
      </c>
      <c r="Y1156" s="63">
        <v>1.75</v>
      </c>
      <c r="Z1156" s="60" t="b">
        <f>FALSE()</f>
        <v>0</v>
      </c>
      <c r="AA1156" s="60" t="b">
        <f>TRUE()</f>
        <v>1</v>
      </c>
      <c r="AB1156" s="60" t="b">
        <f>FALSE()</f>
        <v>0</v>
      </c>
      <c r="AC1156" s="60" t="b">
        <f>FALSE()</f>
        <v>0</v>
      </c>
      <c r="AD1156" s="60" t="b">
        <f>FALSE()</f>
        <v>0</v>
      </c>
      <c r="AE1156" s="60">
        <v>1</v>
      </c>
      <c r="AF1156" s="64">
        <v>14.3</v>
      </c>
      <c r="AG1156" s="60" t="s">
        <v>74</v>
      </c>
      <c r="AH1156" s="60" t="s">
        <v>4293</v>
      </c>
      <c r="AI1156">
        <f>IF(AND(OR(Company_Explorer!$B$5="All Companies",$E1156=Company_Explorer!$B$5),OR(Company_Explorer!$B$6="All Platforms",$B1156=Company_Explorer!$B$6),OR(Company_Explorer!$B$7="All Roles",$D1156=Company_Explorer!$B$7),OR(Company_Explorer!$B$8="All Ghost Labels",$AG1156=Company_Explorer!$B$8)),1,0)</f>
        <v>0</v>
      </c>
    </row>
    <row r="1157" spans="1:35" ht="15" customHeight="1" x14ac:dyDescent="0.3">
      <c r="A1157" s="65" t="s">
        <v>4294</v>
      </c>
      <c r="B1157" s="65" t="s">
        <v>81</v>
      </c>
      <c r="C1157" s="65" t="s">
        <v>4295</v>
      </c>
      <c r="D1157" s="65" t="s">
        <v>126</v>
      </c>
      <c r="E1157" s="65" t="s">
        <v>4296</v>
      </c>
      <c r="F1157" s="65" t="b">
        <f>TRUE()</f>
        <v>1</v>
      </c>
      <c r="G1157" s="65" t="s">
        <v>165</v>
      </c>
      <c r="H1157" s="65" t="s">
        <v>3672</v>
      </c>
      <c r="I1157" s="66">
        <v>46210.156039918998</v>
      </c>
      <c r="J1157" s="66">
        <v>46210.282975902803</v>
      </c>
      <c r="K1157" s="65">
        <v>0.1</v>
      </c>
      <c r="L1157" s="65" t="s">
        <v>183</v>
      </c>
      <c r="M1157" s="65" t="s">
        <v>183</v>
      </c>
      <c r="N1157" s="65" t="b">
        <f>TRUE()</f>
        <v>1</v>
      </c>
      <c r="O1157" s="71">
        <v>20000</v>
      </c>
      <c r="P1157" s="71">
        <v>25000</v>
      </c>
      <c r="Q1157" s="65" t="s">
        <v>3663</v>
      </c>
      <c r="R1157" s="65" t="s">
        <v>3664</v>
      </c>
      <c r="S1157" s="71">
        <v>270000</v>
      </c>
      <c r="T1157" s="65" t="b">
        <f>TRUE()</f>
        <v>1</v>
      </c>
      <c r="U1157" s="65" t="b">
        <f>FALSE()</f>
        <v>0</v>
      </c>
      <c r="V1157" s="65">
        <v>188</v>
      </c>
      <c r="W1157" s="67" t="s">
        <v>4297</v>
      </c>
      <c r="X1157" s="65">
        <v>1</v>
      </c>
      <c r="Y1157" s="68">
        <v>1.75</v>
      </c>
      <c r="Z1157" s="65" t="b">
        <f>FALSE()</f>
        <v>0</v>
      </c>
      <c r="AA1157" s="65" t="b">
        <f>FALSE()</f>
        <v>0</v>
      </c>
      <c r="AB1157" s="65" t="b">
        <f>TRUE()</f>
        <v>1</v>
      </c>
      <c r="AC1157" s="65" t="b">
        <f>FALSE()</f>
        <v>0</v>
      </c>
      <c r="AD1157" s="65" t="b">
        <f>FALSE()</f>
        <v>0</v>
      </c>
      <c r="AE1157" s="65">
        <v>1</v>
      </c>
      <c r="AF1157" s="69">
        <v>14.3</v>
      </c>
      <c r="AG1157" s="65" t="s">
        <v>74</v>
      </c>
      <c r="AH1157" s="65" t="s">
        <v>4298</v>
      </c>
      <c r="AI1157">
        <f>IF(AND(OR(Company_Explorer!$B$5="All Companies",$E1157=Company_Explorer!$B$5),OR(Company_Explorer!$B$6="All Platforms",$B1157=Company_Explorer!$B$6),OR(Company_Explorer!$B$7="All Roles",$D1157=Company_Explorer!$B$7),OR(Company_Explorer!$B$8="All Ghost Labels",$AG1157=Company_Explorer!$B$8)),1,0)</f>
        <v>0</v>
      </c>
    </row>
    <row r="1158" spans="1:35" ht="15" customHeight="1" x14ac:dyDescent="0.3">
      <c r="A1158" s="60" t="s">
        <v>4299</v>
      </c>
      <c r="B1158" s="60" t="s">
        <v>81</v>
      </c>
      <c r="C1158" s="60" t="s">
        <v>4300</v>
      </c>
      <c r="D1158" s="60" t="s">
        <v>126</v>
      </c>
      <c r="E1158" s="60" t="s">
        <v>4301</v>
      </c>
      <c r="F1158" s="60" t="b">
        <f>TRUE()</f>
        <v>1</v>
      </c>
      <c r="G1158" s="60" t="s">
        <v>165</v>
      </c>
      <c r="H1158" s="60" t="s">
        <v>4302</v>
      </c>
      <c r="I1158" s="61">
        <v>46210.194581631898</v>
      </c>
      <c r="J1158" s="61">
        <v>46210.282976099501</v>
      </c>
      <c r="K1158" s="60">
        <v>0.1</v>
      </c>
      <c r="L1158" s="60" t="s">
        <v>183</v>
      </c>
      <c r="M1158" s="60" t="s">
        <v>183</v>
      </c>
      <c r="N1158" s="60" t="b">
        <f>TRUE()</f>
        <v>1</v>
      </c>
      <c r="O1158" s="70">
        <v>25000</v>
      </c>
      <c r="P1158" s="70">
        <v>35000</v>
      </c>
      <c r="Q1158" s="60" t="s">
        <v>3663</v>
      </c>
      <c r="R1158" s="60" t="s">
        <v>3664</v>
      </c>
      <c r="S1158" s="70">
        <v>360000</v>
      </c>
      <c r="T1158" s="60" t="b">
        <f>TRUE()</f>
        <v>1</v>
      </c>
      <c r="U1158" s="60" t="b">
        <f>FALSE()</f>
        <v>0</v>
      </c>
      <c r="V1158" s="60">
        <v>286</v>
      </c>
      <c r="W1158" s="62" t="s">
        <v>4303</v>
      </c>
      <c r="X1158" s="60">
        <v>1</v>
      </c>
      <c r="Y1158" s="63">
        <v>1.75</v>
      </c>
      <c r="Z1158" s="60" t="b">
        <f>FALSE()</f>
        <v>0</v>
      </c>
      <c r="AA1158" s="60" t="b">
        <f>FALSE()</f>
        <v>0</v>
      </c>
      <c r="AB1158" s="60" t="b">
        <f>TRUE()</f>
        <v>1</v>
      </c>
      <c r="AC1158" s="60" t="b">
        <f>FALSE()</f>
        <v>0</v>
      </c>
      <c r="AD1158" s="60" t="b">
        <f>FALSE()</f>
        <v>0</v>
      </c>
      <c r="AE1158" s="60">
        <v>1</v>
      </c>
      <c r="AF1158" s="64">
        <v>14.3</v>
      </c>
      <c r="AG1158" s="60" t="s">
        <v>74</v>
      </c>
      <c r="AH1158" s="60" t="s">
        <v>4304</v>
      </c>
      <c r="AI1158">
        <f>IF(AND(OR(Company_Explorer!$B$5="All Companies",$E1158=Company_Explorer!$B$5),OR(Company_Explorer!$B$6="All Platforms",$B1158=Company_Explorer!$B$6),OR(Company_Explorer!$B$7="All Roles",$D1158=Company_Explorer!$B$7),OR(Company_Explorer!$B$8="All Ghost Labels",$AG1158=Company_Explorer!$B$8)),1,0)</f>
        <v>0</v>
      </c>
    </row>
    <row r="1159" spans="1:35" ht="15" customHeight="1" x14ac:dyDescent="0.3">
      <c r="A1159" s="65" t="s">
        <v>4305</v>
      </c>
      <c r="B1159" s="65" t="s">
        <v>81</v>
      </c>
      <c r="C1159" s="65" t="s">
        <v>4306</v>
      </c>
      <c r="D1159" s="65" t="s">
        <v>126</v>
      </c>
      <c r="E1159" s="65" t="s">
        <v>3947</v>
      </c>
      <c r="F1159" s="65" t="b">
        <f>TRUE()</f>
        <v>1</v>
      </c>
      <c r="G1159" s="65" t="s">
        <v>165</v>
      </c>
      <c r="H1159" s="65" t="s">
        <v>3620</v>
      </c>
      <c r="I1159" s="66">
        <v>46210.220553564803</v>
      </c>
      <c r="J1159" s="66">
        <v>46210.282976145798</v>
      </c>
      <c r="K1159" s="65">
        <v>0.1</v>
      </c>
      <c r="L1159" s="65" t="s">
        <v>183</v>
      </c>
      <c r="M1159" s="65" t="s">
        <v>183</v>
      </c>
      <c r="N1159" s="65" t="b">
        <f>FALSE()</f>
        <v>0</v>
      </c>
      <c r="O1159" s="65"/>
      <c r="P1159" s="65"/>
      <c r="Q1159" s="65" t="s">
        <v>236</v>
      </c>
      <c r="R1159" s="65" t="s">
        <v>236</v>
      </c>
      <c r="S1159" s="65"/>
      <c r="T1159" s="65" t="b">
        <f>FALSE()</f>
        <v>0</v>
      </c>
      <c r="U1159" s="65" t="b">
        <f>FALSE()</f>
        <v>0</v>
      </c>
      <c r="V1159" s="65">
        <v>426</v>
      </c>
      <c r="W1159" s="67" t="s">
        <v>4307</v>
      </c>
      <c r="X1159" s="65">
        <v>13</v>
      </c>
      <c r="Y1159" s="68">
        <v>22.75</v>
      </c>
      <c r="Z1159" s="65" t="b">
        <f>FALSE()</f>
        <v>0</v>
      </c>
      <c r="AA1159" s="65" t="b">
        <f>TRUE()</f>
        <v>1</v>
      </c>
      <c r="AB1159" s="65" t="b">
        <f>FALSE()</f>
        <v>0</v>
      </c>
      <c r="AC1159" s="65" t="b">
        <f>FALSE()</f>
        <v>0</v>
      </c>
      <c r="AD1159" s="65" t="b">
        <f>FALSE()</f>
        <v>0</v>
      </c>
      <c r="AE1159" s="65">
        <v>1</v>
      </c>
      <c r="AF1159" s="69">
        <v>14.3</v>
      </c>
      <c r="AG1159" s="65" t="s">
        <v>74</v>
      </c>
      <c r="AH1159" s="65" t="s">
        <v>4308</v>
      </c>
      <c r="AI1159">
        <f>IF(AND(OR(Company_Explorer!$B$5="All Companies",$E1159=Company_Explorer!$B$5),OR(Company_Explorer!$B$6="All Platforms",$B1159=Company_Explorer!$B$6),OR(Company_Explorer!$B$7="All Roles",$D1159=Company_Explorer!$B$7),OR(Company_Explorer!$B$8="All Ghost Labels",$AG1159=Company_Explorer!$B$8)),1,0)</f>
        <v>0</v>
      </c>
    </row>
    <row r="1160" spans="1:35" ht="15" customHeight="1" x14ac:dyDescent="0.3">
      <c r="A1160" s="60" t="s">
        <v>4309</v>
      </c>
      <c r="B1160" s="60" t="s">
        <v>81</v>
      </c>
      <c r="C1160" s="60" t="s">
        <v>4310</v>
      </c>
      <c r="D1160" s="60" t="s">
        <v>126</v>
      </c>
      <c r="E1160" s="60" t="s">
        <v>148</v>
      </c>
      <c r="F1160" s="60" t="b">
        <f>TRUE()</f>
        <v>1</v>
      </c>
      <c r="G1160" s="60" t="s">
        <v>165</v>
      </c>
      <c r="H1160" s="60" t="s">
        <v>3672</v>
      </c>
      <c r="I1160" s="61">
        <v>46210.194267476902</v>
      </c>
      <c r="J1160" s="61">
        <v>46210.282976215298</v>
      </c>
      <c r="K1160" s="60">
        <v>0.1</v>
      </c>
      <c r="L1160" s="60" t="s">
        <v>183</v>
      </c>
      <c r="M1160" s="60" t="s">
        <v>183</v>
      </c>
      <c r="N1160" s="60" t="b">
        <f>FALSE()</f>
        <v>0</v>
      </c>
      <c r="O1160" s="60"/>
      <c r="P1160" s="60"/>
      <c r="Q1160" s="60" t="s">
        <v>236</v>
      </c>
      <c r="R1160" s="60" t="s">
        <v>236</v>
      </c>
      <c r="S1160" s="60"/>
      <c r="T1160" s="60" t="b">
        <f>FALSE()</f>
        <v>0</v>
      </c>
      <c r="U1160" s="60" t="b">
        <f>FALSE()</f>
        <v>0</v>
      </c>
      <c r="V1160" s="60">
        <v>526</v>
      </c>
      <c r="W1160" s="60" t="s">
        <v>733</v>
      </c>
      <c r="X1160" s="60">
        <v>17</v>
      </c>
      <c r="Y1160" s="63">
        <v>29.75</v>
      </c>
      <c r="Z1160" s="60" t="b">
        <f>FALSE()</f>
        <v>0</v>
      </c>
      <c r="AA1160" s="60" t="b">
        <f>TRUE()</f>
        <v>1</v>
      </c>
      <c r="AB1160" s="60" t="b">
        <f>FALSE()</f>
        <v>0</v>
      </c>
      <c r="AC1160" s="60" t="b">
        <f>FALSE()</f>
        <v>0</v>
      </c>
      <c r="AD1160" s="60" t="b">
        <f>FALSE()</f>
        <v>0</v>
      </c>
      <c r="AE1160" s="60">
        <v>1</v>
      </c>
      <c r="AF1160" s="64">
        <v>14.3</v>
      </c>
      <c r="AG1160" s="60" t="s">
        <v>74</v>
      </c>
      <c r="AH1160" s="60" t="s">
        <v>4311</v>
      </c>
      <c r="AI1160">
        <f>IF(AND(OR(Company_Explorer!$B$5="All Companies",$E1160=Company_Explorer!$B$5),OR(Company_Explorer!$B$6="All Platforms",$B1160=Company_Explorer!$B$6),OR(Company_Explorer!$B$7="All Roles",$D1160=Company_Explorer!$B$7),OR(Company_Explorer!$B$8="All Ghost Labels",$AG1160=Company_Explorer!$B$8)),1,0)</f>
        <v>0</v>
      </c>
    </row>
    <row r="1161" spans="1:35" ht="15" customHeight="1" x14ac:dyDescent="0.3">
      <c r="A1161" s="65" t="s">
        <v>4312</v>
      </c>
      <c r="B1161" s="65" t="s">
        <v>81</v>
      </c>
      <c r="C1161" s="65" t="s">
        <v>4313</v>
      </c>
      <c r="D1161" s="65" t="s">
        <v>126</v>
      </c>
      <c r="E1161" s="65" t="s">
        <v>4314</v>
      </c>
      <c r="F1161" s="65" t="b">
        <f>TRUE()</f>
        <v>1</v>
      </c>
      <c r="G1161" s="65" t="s">
        <v>165</v>
      </c>
      <c r="H1161" s="65" t="s">
        <v>3636</v>
      </c>
      <c r="I1161" s="66">
        <v>46210.219352337997</v>
      </c>
      <c r="J1161" s="66">
        <v>46210.282976307899</v>
      </c>
      <c r="K1161" s="65">
        <v>0.1</v>
      </c>
      <c r="L1161" s="65" t="s">
        <v>183</v>
      </c>
      <c r="M1161" s="65" t="s">
        <v>183</v>
      </c>
      <c r="N1161" s="65" t="b">
        <f>TRUE()</f>
        <v>1</v>
      </c>
      <c r="O1161" s="71">
        <v>12878.6201171875</v>
      </c>
      <c r="P1161" s="71">
        <v>41808.390625</v>
      </c>
      <c r="Q1161" s="65" t="s">
        <v>3663</v>
      </c>
      <c r="R1161" s="65" t="s">
        <v>3664</v>
      </c>
      <c r="S1161" s="71">
        <v>328122</v>
      </c>
      <c r="T1161" s="65" t="b">
        <f>TRUE()</f>
        <v>1</v>
      </c>
      <c r="U1161" s="65" t="b">
        <f>FALSE()</f>
        <v>0</v>
      </c>
      <c r="V1161" s="65">
        <v>350</v>
      </c>
      <c r="W1161" s="67" t="s">
        <v>4315</v>
      </c>
      <c r="X1161" s="65">
        <v>3</v>
      </c>
      <c r="Y1161" s="68">
        <v>5.25</v>
      </c>
      <c r="Z1161" s="65" t="b">
        <f>FALSE()</f>
        <v>0</v>
      </c>
      <c r="AA1161" s="65" t="b">
        <f>FALSE()</f>
        <v>0</v>
      </c>
      <c r="AB1161" s="65" t="b">
        <f>FALSE()</f>
        <v>0</v>
      </c>
      <c r="AC1161" s="65" t="b">
        <f>FALSE()</f>
        <v>0</v>
      </c>
      <c r="AD1161" s="65" t="b">
        <f>FALSE()</f>
        <v>0</v>
      </c>
      <c r="AE1161" s="65">
        <v>0</v>
      </c>
      <c r="AF1161" s="69">
        <v>0</v>
      </c>
      <c r="AG1161" s="65" t="s">
        <v>74</v>
      </c>
      <c r="AH1161" s="65" t="s">
        <v>4316</v>
      </c>
      <c r="AI1161">
        <f>IF(AND(OR(Company_Explorer!$B$5="All Companies",$E1161=Company_Explorer!$B$5),OR(Company_Explorer!$B$6="All Platforms",$B1161=Company_Explorer!$B$6),OR(Company_Explorer!$B$7="All Roles",$D1161=Company_Explorer!$B$7),OR(Company_Explorer!$B$8="All Ghost Labels",$AG1161=Company_Explorer!$B$8)),1,0)</f>
        <v>0</v>
      </c>
    </row>
    <row r="1162" spans="1:35" ht="15" customHeight="1" x14ac:dyDescent="0.3">
      <c r="A1162" s="60" t="s">
        <v>4317</v>
      </c>
      <c r="B1162" s="60" t="s">
        <v>81</v>
      </c>
      <c r="C1162" s="60" t="s">
        <v>4318</v>
      </c>
      <c r="D1162" s="60" t="s">
        <v>126</v>
      </c>
      <c r="E1162" s="60" t="s">
        <v>4319</v>
      </c>
      <c r="F1162" s="60" t="b">
        <f>TRUE()</f>
        <v>1</v>
      </c>
      <c r="G1162" s="60" t="s">
        <v>165</v>
      </c>
      <c r="H1162" s="60" t="s">
        <v>3620</v>
      </c>
      <c r="I1162" s="61">
        <v>46210.222073530102</v>
      </c>
      <c r="J1162" s="61">
        <v>46210.2829762732</v>
      </c>
      <c r="K1162" s="60">
        <v>0.1</v>
      </c>
      <c r="L1162" s="60" t="s">
        <v>183</v>
      </c>
      <c r="M1162" s="60" t="s">
        <v>183</v>
      </c>
      <c r="N1162" s="60" t="b">
        <f>TRUE()</f>
        <v>1</v>
      </c>
      <c r="O1162" s="70">
        <v>550</v>
      </c>
      <c r="P1162" s="70">
        <v>1000</v>
      </c>
      <c r="Q1162" s="60" t="s">
        <v>3663</v>
      </c>
      <c r="R1162" s="60" t="s">
        <v>4201</v>
      </c>
      <c r="S1162" s="70">
        <v>282875</v>
      </c>
      <c r="T1162" s="60" t="b">
        <f>TRUE()</f>
        <v>1</v>
      </c>
      <c r="U1162" s="60" t="b">
        <f>FALSE()</f>
        <v>0</v>
      </c>
      <c r="V1162" s="60">
        <v>197</v>
      </c>
      <c r="W1162" s="62" t="s">
        <v>4320</v>
      </c>
      <c r="X1162" s="60">
        <v>1</v>
      </c>
      <c r="Y1162" s="63">
        <v>1.75</v>
      </c>
      <c r="Z1162" s="60" t="b">
        <f>FALSE()</f>
        <v>0</v>
      </c>
      <c r="AA1162" s="60" t="b">
        <f>FALSE()</f>
        <v>0</v>
      </c>
      <c r="AB1162" s="60" t="b">
        <f>TRUE()</f>
        <v>1</v>
      </c>
      <c r="AC1162" s="60" t="b">
        <f>FALSE()</f>
        <v>0</v>
      </c>
      <c r="AD1162" s="60" t="b">
        <f>FALSE()</f>
        <v>0</v>
      </c>
      <c r="AE1162" s="60">
        <v>1</v>
      </c>
      <c r="AF1162" s="64">
        <v>14.3</v>
      </c>
      <c r="AG1162" s="60" t="s">
        <v>74</v>
      </c>
      <c r="AH1162" s="60" t="s">
        <v>4321</v>
      </c>
      <c r="AI1162">
        <f>IF(AND(OR(Company_Explorer!$B$5="All Companies",$E1162=Company_Explorer!$B$5),OR(Company_Explorer!$B$6="All Platforms",$B1162=Company_Explorer!$B$6),OR(Company_Explorer!$B$7="All Roles",$D1162=Company_Explorer!$B$7),OR(Company_Explorer!$B$8="All Ghost Labels",$AG1162=Company_Explorer!$B$8)),1,0)</f>
        <v>0</v>
      </c>
    </row>
    <row r="1163" spans="1:35" ht="15" customHeight="1" x14ac:dyDescent="0.3">
      <c r="A1163" s="65" t="s">
        <v>4322</v>
      </c>
      <c r="B1163" s="65" t="s">
        <v>81</v>
      </c>
      <c r="C1163" s="65" t="s">
        <v>4310</v>
      </c>
      <c r="D1163" s="65" t="s">
        <v>126</v>
      </c>
      <c r="E1163" s="65" t="s">
        <v>148</v>
      </c>
      <c r="F1163" s="65" t="b">
        <f>TRUE()</f>
        <v>1</v>
      </c>
      <c r="G1163" s="65" t="s">
        <v>165</v>
      </c>
      <c r="H1163" s="65" t="s">
        <v>3672</v>
      </c>
      <c r="I1163" s="66">
        <v>46210.194258194497</v>
      </c>
      <c r="J1163" s="66">
        <v>46210.282976446797</v>
      </c>
      <c r="K1163" s="65">
        <v>0.1</v>
      </c>
      <c r="L1163" s="65" t="s">
        <v>183</v>
      </c>
      <c r="M1163" s="65" t="s">
        <v>183</v>
      </c>
      <c r="N1163" s="65" t="b">
        <f>FALSE()</f>
        <v>0</v>
      </c>
      <c r="O1163" s="65"/>
      <c r="P1163" s="65"/>
      <c r="Q1163" s="65" t="s">
        <v>236</v>
      </c>
      <c r="R1163" s="65" t="s">
        <v>236</v>
      </c>
      <c r="S1163" s="65"/>
      <c r="T1163" s="65" t="b">
        <f>FALSE()</f>
        <v>0</v>
      </c>
      <c r="U1163" s="65" t="b">
        <f>FALSE()</f>
        <v>0</v>
      </c>
      <c r="V1163" s="65">
        <v>528</v>
      </c>
      <c r="W1163" s="65" t="s">
        <v>733</v>
      </c>
      <c r="X1163" s="65">
        <v>17</v>
      </c>
      <c r="Y1163" s="68">
        <v>29.75</v>
      </c>
      <c r="Z1163" s="65" t="b">
        <f>FALSE()</f>
        <v>0</v>
      </c>
      <c r="AA1163" s="65" t="b">
        <f>TRUE()</f>
        <v>1</v>
      </c>
      <c r="AB1163" s="65" t="b">
        <f>FALSE()</f>
        <v>0</v>
      </c>
      <c r="AC1163" s="65" t="b">
        <f>FALSE()</f>
        <v>0</v>
      </c>
      <c r="AD1163" s="65" t="b">
        <f>FALSE()</f>
        <v>0</v>
      </c>
      <c r="AE1163" s="65">
        <v>1</v>
      </c>
      <c r="AF1163" s="69">
        <v>14.3</v>
      </c>
      <c r="AG1163" s="65" t="s">
        <v>74</v>
      </c>
      <c r="AH1163" s="65" t="s">
        <v>4323</v>
      </c>
      <c r="AI1163">
        <f>IF(AND(OR(Company_Explorer!$B$5="All Companies",$E1163=Company_Explorer!$B$5),OR(Company_Explorer!$B$6="All Platforms",$B1163=Company_Explorer!$B$6),OR(Company_Explorer!$B$7="All Roles",$D1163=Company_Explorer!$B$7),OR(Company_Explorer!$B$8="All Ghost Labels",$AG1163=Company_Explorer!$B$8)),1,0)</f>
        <v>0</v>
      </c>
    </row>
    <row r="1164" spans="1:35" ht="15" customHeight="1" x14ac:dyDescent="0.3">
      <c r="A1164" s="60" t="s">
        <v>4324</v>
      </c>
      <c r="B1164" s="60" t="s">
        <v>81</v>
      </c>
      <c r="C1164" s="60" t="s">
        <v>4325</v>
      </c>
      <c r="D1164" s="60" t="s">
        <v>126</v>
      </c>
      <c r="E1164" s="60" t="s">
        <v>4326</v>
      </c>
      <c r="F1164" s="60" t="b">
        <f>TRUE()</f>
        <v>1</v>
      </c>
      <c r="G1164" s="60" t="s">
        <v>165</v>
      </c>
      <c r="H1164" s="60" t="s">
        <v>165</v>
      </c>
      <c r="I1164" s="61">
        <v>46210.235792372703</v>
      </c>
      <c r="J1164" s="61">
        <v>46210.282977233801</v>
      </c>
      <c r="K1164" s="60">
        <v>0</v>
      </c>
      <c r="L1164" s="60" t="s">
        <v>183</v>
      </c>
      <c r="M1164" s="60" t="s">
        <v>183</v>
      </c>
      <c r="N1164" s="60" t="b">
        <f>FALSE()</f>
        <v>0</v>
      </c>
      <c r="O1164" s="60"/>
      <c r="P1164" s="60"/>
      <c r="Q1164" s="60" t="s">
        <v>236</v>
      </c>
      <c r="R1164" s="60" t="s">
        <v>236</v>
      </c>
      <c r="S1164" s="60"/>
      <c r="T1164" s="60" t="b">
        <f>FALSE()</f>
        <v>0</v>
      </c>
      <c r="U1164" s="60" t="b">
        <f>FALSE()</f>
        <v>0</v>
      </c>
      <c r="V1164" s="60">
        <v>222</v>
      </c>
      <c r="W1164" s="62" t="s">
        <v>4327</v>
      </c>
      <c r="X1164" s="60">
        <v>1</v>
      </c>
      <c r="Y1164" s="63">
        <v>1.75</v>
      </c>
      <c r="Z1164" s="60" t="b">
        <f>FALSE()</f>
        <v>0</v>
      </c>
      <c r="AA1164" s="60" t="b">
        <f>TRUE()</f>
        <v>1</v>
      </c>
      <c r="AB1164" s="60" t="b">
        <f>TRUE()</f>
        <v>1</v>
      </c>
      <c r="AC1164" s="60" t="b">
        <f>FALSE()</f>
        <v>0</v>
      </c>
      <c r="AD1164" s="60" t="b">
        <f>FALSE()</f>
        <v>0</v>
      </c>
      <c r="AE1164" s="60">
        <v>2</v>
      </c>
      <c r="AF1164" s="64">
        <v>28.6</v>
      </c>
      <c r="AG1164" s="60" t="s">
        <v>73</v>
      </c>
      <c r="AH1164" s="60" t="s">
        <v>4328</v>
      </c>
      <c r="AI1164">
        <f>IF(AND(OR(Company_Explorer!$B$5="All Companies",$E1164=Company_Explorer!$B$5),OR(Company_Explorer!$B$6="All Platforms",$B1164=Company_Explorer!$B$6),OR(Company_Explorer!$B$7="All Roles",$D1164=Company_Explorer!$B$7),OR(Company_Explorer!$B$8="All Ghost Labels",$AG1164=Company_Explorer!$B$8)),1,0)</f>
        <v>0</v>
      </c>
    </row>
    <row r="1165" spans="1:35" ht="15" customHeight="1" x14ac:dyDescent="0.3">
      <c r="A1165" s="65" t="s">
        <v>4329</v>
      </c>
      <c r="B1165" s="65" t="s">
        <v>81</v>
      </c>
      <c r="C1165" s="65" t="s">
        <v>4330</v>
      </c>
      <c r="D1165" s="65" t="s">
        <v>125</v>
      </c>
      <c r="E1165" s="65" t="s">
        <v>4331</v>
      </c>
      <c r="F1165" s="65" t="b">
        <f>TRUE()</f>
        <v>1</v>
      </c>
      <c r="G1165" s="65" t="s">
        <v>165</v>
      </c>
      <c r="H1165" s="65" t="s">
        <v>3672</v>
      </c>
      <c r="I1165" s="66">
        <v>46210.168216909697</v>
      </c>
      <c r="J1165" s="66">
        <v>46210.2829772685</v>
      </c>
      <c r="K1165" s="65">
        <v>0.1</v>
      </c>
      <c r="L1165" s="65" t="s">
        <v>183</v>
      </c>
      <c r="M1165" s="65" t="s">
        <v>183</v>
      </c>
      <c r="N1165" s="65" t="b">
        <f>FALSE()</f>
        <v>0</v>
      </c>
      <c r="O1165" s="65"/>
      <c r="P1165" s="65"/>
      <c r="Q1165" s="65" t="s">
        <v>236</v>
      </c>
      <c r="R1165" s="65" t="s">
        <v>236</v>
      </c>
      <c r="S1165" s="65"/>
      <c r="T1165" s="65" t="b">
        <f>FALSE()</f>
        <v>0</v>
      </c>
      <c r="U1165" s="65" t="b">
        <f>FALSE()</f>
        <v>0</v>
      </c>
      <c r="V1165" s="65">
        <v>243</v>
      </c>
      <c r="W1165" s="67" t="s">
        <v>4332</v>
      </c>
      <c r="X1165" s="65">
        <v>1</v>
      </c>
      <c r="Y1165" s="68">
        <v>1.75</v>
      </c>
      <c r="Z1165" s="65" t="b">
        <f>FALSE()</f>
        <v>0</v>
      </c>
      <c r="AA1165" s="65" t="b">
        <f>TRUE()</f>
        <v>1</v>
      </c>
      <c r="AB1165" s="65" t="b">
        <f>TRUE()</f>
        <v>1</v>
      </c>
      <c r="AC1165" s="65" t="b">
        <f>FALSE()</f>
        <v>0</v>
      </c>
      <c r="AD1165" s="65" t="b">
        <f>FALSE()</f>
        <v>0</v>
      </c>
      <c r="AE1165" s="65">
        <v>2</v>
      </c>
      <c r="AF1165" s="69">
        <v>28.6</v>
      </c>
      <c r="AG1165" s="65" t="s">
        <v>73</v>
      </c>
      <c r="AH1165" s="65" t="s">
        <v>4333</v>
      </c>
      <c r="AI1165">
        <f>IF(AND(OR(Company_Explorer!$B$5="All Companies",$E1165=Company_Explorer!$B$5),OR(Company_Explorer!$B$6="All Platforms",$B1165=Company_Explorer!$B$6),OR(Company_Explorer!$B$7="All Roles",$D1165=Company_Explorer!$B$7),OR(Company_Explorer!$B$8="All Ghost Labels",$AG1165=Company_Explorer!$B$8)),1,0)</f>
        <v>0</v>
      </c>
    </row>
    <row r="1166" spans="1:35" ht="15" customHeight="1" x14ac:dyDescent="0.3">
      <c r="A1166" s="60" t="s">
        <v>4334</v>
      </c>
      <c r="B1166" s="60" t="s">
        <v>81</v>
      </c>
      <c r="C1166" s="60" t="s">
        <v>4335</v>
      </c>
      <c r="D1166" s="60" t="s">
        <v>126</v>
      </c>
      <c r="E1166" s="60" t="s">
        <v>4336</v>
      </c>
      <c r="F1166" s="60" t="b">
        <f>TRUE()</f>
        <v>1</v>
      </c>
      <c r="G1166" s="60" t="s">
        <v>165</v>
      </c>
      <c r="H1166" s="60" t="s">
        <v>3620</v>
      </c>
      <c r="I1166" s="61">
        <v>46210.193957719901</v>
      </c>
      <c r="J1166" s="61">
        <v>46210.282977349503</v>
      </c>
      <c r="K1166" s="60">
        <v>0.1</v>
      </c>
      <c r="L1166" s="60" t="s">
        <v>183</v>
      </c>
      <c r="M1166" s="60" t="s">
        <v>183</v>
      </c>
      <c r="N1166" s="60" t="b">
        <f>FALSE()</f>
        <v>0</v>
      </c>
      <c r="O1166" s="60"/>
      <c r="P1166" s="60"/>
      <c r="Q1166" s="60" t="s">
        <v>236</v>
      </c>
      <c r="R1166" s="60" t="s">
        <v>236</v>
      </c>
      <c r="S1166" s="60"/>
      <c r="T1166" s="60" t="b">
        <f>FALSE()</f>
        <v>0</v>
      </c>
      <c r="U1166" s="60" t="b">
        <f>FALSE()</f>
        <v>0</v>
      </c>
      <c r="V1166" s="60">
        <v>640</v>
      </c>
      <c r="W1166" s="62" t="s">
        <v>4337</v>
      </c>
      <c r="X1166" s="60">
        <v>1</v>
      </c>
      <c r="Y1166" s="63">
        <v>1.75</v>
      </c>
      <c r="Z1166" s="60" t="b">
        <f>FALSE()</f>
        <v>0</v>
      </c>
      <c r="AA1166" s="60" t="b">
        <f>TRUE()</f>
        <v>1</v>
      </c>
      <c r="AB1166" s="60" t="b">
        <f>FALSE()</f>
        <v>0</v>
      </c>
      <c r="AC1166" s="60" t="b">
        <f>FALSE()</f>
        <v>0</v>
      </c>
      <c r="AD1166" s="60" t="b">
        <f>FALSE()</f>
        <v>0</v>
      </c>
      <c r="AE1166" s="60">
        <v>1</v>
      </c>
      <c r="AF1166" s="64">
        <v>14.3</v>
      </c>
      <c r="AG1166" s="60" t="s">
        <v>74</v>
      </c>
      <c r="AH1166" s="60" t="s">
        <v>4338</v>
      </c>
      <c r="AI1166">
        <f>IF(AND(OR(Company_Explorer!$B$5="All Companies",$E1166=Company_Explorer!$B$5),OR(Company_Explorer!$B$6="All Platforms",$B1166=Company_Explorer!$B$6),OR(Company_Explorer!$B$7="All Roles",$D1166=Company_Explorer!$B$7),OR(Company_Explorer!$B$8="All Ghost Labels",$AG1166=Company_Explorer!$B$8)),1,0)</f>
        <v>0</v>
      </c>
    </row>
    <row r="1167" spans="1:35" ht="15" customHeight="1" x14ac:dyDescent="0.3">
      <c r="A1167" s="65" t="s">
        <v>4339</v>
      </c>
      <c r="B1167" s="65" t="s">
        <v>81</v>
      </c>
      <c r="C1167" s="65" t="s">
        <v>4340</v>
      </c>
      <c r="D1167" s="65" t="s">
        <v>135</v>
      </c>
      <c r="E1167" s="65" t="s">
        <v>4341</v>
      </c>
      <c r="F1167" s="65" t="b">
        <f>TRUE()</f>
        <v>1</v>
      </c>
      <c r="G1167" s="65" t="s">
        <v>165</v>
      </c>
      <c r="H1167" s="65" t="s">
        <v>3672</v>
      </c>
      <c r="I1167" s="66">
        <v>46210.197386111096</v>
      </c>
      <c r="J1167" s="66">
        <v>46210.282977419003</v>
      </c>
      <c r="K1167" s="65">
        <v>0.1</v>
      </c>
      <c r="L1167" s="65" t="s">
        <v>183</v>
      </c>
      <c r="M1167" s="65" t="s">
        <v>183</v>
      </c>
      <c r="N1167" s="65" t="b">
        <f>FALSE()</f>
        <v>0</v>
      </c>
      <c r="O1167" s="65"/>
      <c r="P1167" s="65"/>
      <c r="Q1167" s="65" t="s">
        <v>236</v>
      </c>
      <c r="R1167" s="65" t="s">
        <v>236</v>
      </c>
      <c r="S1167" s="65"/>
      <c r="T1167" s="65" t="b">
        <f>FALSE()</f>
        <v>0</v>
      </c>
      <c r="U1167" s="65" t="b">
        <f>FALSE()</f>
        <v>0</v>
      </c>
      <c r="V1167" s="65">
        <v>222</v>
      </c>
      <c r="W1167" s="67" t="s">
        <v>4342</v>
      </c>
      <c r="X1167" s="65">
        <v>1</v>
      </c>
      <c r="Y1167" s="68">
        <v>1.75</v>
      </c>
      <c r="Z1167" s="65" t="b">
        <f>FALSE()</f>
        <v>0</v>
      </c>
      <c r="AA1167" s="65" t="b">
        <f>TRUE()</f>
        <v>1</v>
      </c>
      <c r="AB1167" s="65" t="b">
        <f>TRUE()</f>
        <v>1</v>
      </c>
      <c r="AC1167" s="65" t="b">
        <f>FALSE()</f>
        <v>0</v>
      </c>
      <c r="AD1167" s="65" t="b">
        <f>FALSE()</f>
        <v>0</v>
      </c>
      <c r="AE1167" s="65">
        <v>2</v>
      </c>
      <c r="AF1167" s="69">
        <v>28.6</v>
      </c>
      <c r="AG1167" s="65" t="s">
        <v>73</v>
      </c>
      <c r="AH1167" s="65" t="s">
        <v>4343</v>
      </c>
      <c r="AI1167">
        <f>IF(AND(OR(Company_Explorer!$B$5="All Companies",$E1167=Company_Explorer!$B$5),OR(Company_Explorer!$B$6="All Platforms",$B1167=Company_Explorer!$B$6),OR(Company_Explorer!$B$7="All Roles",$D1167=Company_Explorer!$B$7),OR(Company_Explorer!$B$8="All Ghost Labels",$AG1167=Company_Explorer!$B$8)),1,0)</f>
        <v>0</v>
      </c>
    </row>
    <row r="1168" spans="1:35" ht="15" customHeight="1" x14ac:dyDescent="0.3">
      <c r="A1168" s="60" t="s">
        <v>4344</v>
      </c>
      <c r="B1168" s="60" t="s">
        <v>81</v>
      </c>
      <c r="C1168" s="60" t="s">
        <v>4345</v>
      </c>
      <c r="D1168" s="60" t="s">
        <v>126</v>
      </c>
      <c r="E1168" s="60" t="s">
        <v>4148</v>
      </c>
      <c r="F1168" s="60" t="b">
        <f>TRUE()</f>
        <v>1</v>
      </c>
      <c r="G1168" s="60" t="s">
        <v>165</v>
      </c>
      <c r="H1168" s="60" t="s">
        <v>3655</v>
      </c>
      <c r="I1168" s="61">
        <v>46210.101415428202</v>
      </c>
      <c r="J1168" s="61">
        <v>46210.282977488401</v>
      </c>
      <c r="K1168" s="60">
        <v>0.2</v>
      </c>
      <c r="L1168" s="60" t="s">
        <v>183</v>
      </c>
      <c r="M1168" s="60" t="s">
        <v>183</v>
      </c>
      <c r="N1168" s="60" t="b">
        <f>FALSE()</f>
        <v>0</v>
      </c>
      <c r="O1168" s="60"/>
      <c r="P1168" s="60"/>
      <c r="Q1168" s="60" t="s">
        <v>236</v>
      </c>
      <c r="R1168" s="60" t="s">
        <v>236</v>
      </c>
      <c r="S1168" s="60"/>
      <c r="T1168" s="60" t="b">
        <f>FALSE()</f>
        <v>0</v>
      </c>
      <c r="U1168" s="60" t="b">
        <f>FALSE()</f>
        <v>0</v>
      </c>
      <c r="V1168" s="60">
        <v>424</v>
      </c>
      <c r="W1168" s="62" t="s">
        <v>4346</v>
      </c>
      <c r="X1168" s="60">
        <v>2</v>
      </c>
      <c r="Y1168" s="63">
        <v>3.5</v>
      </c>
      <c r="Z1168" s="60" t="b">
        <f>FALSE()</f>
        <v>0</v>
      </c>
      <c r="AA1168" s="60" t="b">
        <f>TRUE()</f>
        <v>1</v>
      </c>
      <c r="AB1168" s="60" t="b">
        <f>FALSE()</f>
        <v>0</v>
      </c>
      <c r="AC1168" s="60" t="b">
        <f>FALSE()</f>
        <v>0</v>
      </c>
      <c r="AD1168" s="60" t="b">
        <f>FALSE()</f>
        <v>0</v>
      </c>
      <c r="AE1168" s="60">
        <v>1</v>
      </c>
      <c r="AF1168" s="64">
        <v>14.3</v>
      </c>
      <c r="AG1168" s="60" t="s">
        <v>74</v>
      </c>
      <c r="AH1168" s="60" t="s">
        <v>4347</v>
      </c>
      <c r="AI1168">
        <f>IF(AND(OR(Company_Explorer!$B$5="All Companies",$E1168=Company_Explorer!$B$5),OR(Company_Explorer!$B$6="All Platforms",$B1168=Company_Explorer!$B$6),OR(Company_Explorer!$B$7="All Roles",$D1168=Company_Explorer!$B$7),OR(Company_Explorer!$B$8="All Ghost Labels",$AG1168=Company_Explorer!$B$8)),1,0)</f>
        <v>0</v>
      </c>
    </row>
    <row r="1169" spans="1:35" ht="15" customHeight="1" x14ac:dyDescent="0.3">
      <c r="A1169" s="65" t="s">
        <v>4348</v>
      </c>
      <c r="B1169" s="65" t="s">
        <v>81</v>
      </c>
      <c r="C1169" s="65" t="s">
        <v>4349</v>
      </c>
      <c r="D1169" s="65" t="s">
        <v>125</v>
      </c>
      <c r="E1169" s="65" t="s">
        <v>4350</v>
      </c>
      <c r="F1169" s="65" t="b">
        <f>TRUE()</f>
        <v>1</v>
      </c>
      <c r="G1169" s="65" t="s">
        <v>165</v>
      </c>
      <c r="H1169" s="65" t="s">
        <v>3672</v>
      </c>
      <c r="I1169" s="66">
        <v>46210.234167025497</v>
      </c>
      <c r="J1169" s="66">
        <v>46210.282977546303</v>
      </c>
      <c r="K1169" s="65">
        <v>0</v>
      </c>
      <c r="L1169" s="65" t="s">
        <v>183</v>
      </c>
      <c r="M1169" s="65" t="s">
        <v>183</v>
      </c>
      <c r="N1169" s="65" t="b">
        <f>TRUE()</f>
        <v>1</v>
      </c>
      <c r="O1169" s="71">
        <v>20000</v>
      </c>
      <c r="P1169" s="71">
        <v>75000</v>
      </c>
      <c r="Q1169" s="65" t="s">
        <v>3663</v>
      </c>
      <c r="R1169" s="65" t="s">
        <v>3664</v>
      </c>
      <c r="S1169" s="71">
        <v>570000</v>
      </c>
      <c r="T1169" s="65" t="b">
        <f>TRUE()</f>
        <v>1</v>
      </c>
      <c r="U1169" s="65" t="b">
        <f>FALSE()</f>
        <v>0</v>
      </c>
      <c r="V1169" s="65">
        <v>426</v>
      </c>
      <c r="W1169" s="67" t="s">
        <v>4351</v>
      </c>
      <c r="X1169" s="65">
        <v>2</v>
      </c>
      <c r="Y1169" s="68">
        <v>3.5</v>
      </c>
      <c r="Z1169" s="65" t="b">
        <f>FALSE()</f>
        <v>0</v>
      </c>
      <c r="AA1169" s="65" t="b">
        <f>FALSE()</f>
        <v>0</v>
      </c>
      <c r="AB1169" s="65" t="b">
        <f>FALSE()</f>
        <v>0</v>
      </c>
      <c r="AC1169" s="65" t="b">
        <f>FALSE()</f>
        <v>0</v>
      </c>
      <c r="AD1169" s="65" t="b">
        <f>FALSE()</f>
        <v>0</v>
      </c>
      <c r="AE1169" s="65">
        <v>0</v>
      </c>
      <c r="AF1169" s="69">
        <v>0</v>
      </c>
      <c r="AG1169" s="65" t="s">
        <v>74</v>
      </c>
      <c r="AH1169" s="65" t="s">
        <v>4352</v>
      </c>
      <c r="AI1169">
        <f>IF(AND(OR(Company_Explorer!$B$5="All Companies",$E1169=Company_Explorer!$B$5),OR(Company_Explorer!$B$6="All Platforms",$B1169=Company_Explorer!$B$6),OR(Company_Explorer!$B$7="All Roles",$D1169=Company_Explorer!$B$7),OR(Company_Explorer!$B$8="All Ghost Labels",$AG1169=Company_Explorer!$B$8)),1,0)</f>
        <v>0</v>
      </c>
    </row>
    <row r="1170" spans="1:35" ht="15" customHeight="1" x14ac:dyDescent="0.3">
      <c r="A1170" s="60" t="s">
        <v>4353</v>
      </c>
      <c r="B1170" s="60" t="s">
        <v>81</v>
      </c>
      <c r="C1170" s="60" t="s">
        <v>4354</v>
      </c>
      <c r="D1170" s="60" t="s">
        <v>125</v>
      </c>
      <c r="E1170" s="60" t="s">
        <v>4355</v>
      </c>
      <c r="F1170" s="60" t="b">
        <f>TRUE()</f>
        <v>1</v>
      </c>
      <c r="G1170" s="60" t="s">
        <v>165</v>
      </c>
      <c r="H1170" s="60" t="s">
        <v>3636</v>
      </c>
      <c r="I1170" s="61">
        <v>46210.098311678201</v>
      </c>
      <c r="J1170" s="61">
        <v>46210.282977604198</v>
      </c>
      <c r="K1170" s="60">
        <v>0.2</v>
      </c>
      <c r="L1170" s="60" t="s">
        <v>183</v>
      </c>
      <c r="M1170" s="60" t="s">
        <v>183</v>
      </c>
      <c r="N1170" s="60" t="b">
        <f>TRUE()</f>
        <v>1</v>
      </c>
      <c r="O1170" s="70">
        <v>25000</v>
      </c>
      <c r="P1170" s="70">
        <v>33000</v>
      </c>
      <c r="Q1170" s="60" t="s">
        <v>3663</v>
      </c>
      <c r="R1170" s="60" t="s">
        <v>3664</v>
      </c>
      <c r="S1170" s="70">
        <v>348000</v>
      </c>
      <c r="T1170" s="60" t="b">
        <f>TRUE()</f>
        <v>1</v>
      </c>
      <c r="U1170" s="60" t="b">
        <f>FALSE()</f>
        <v>0</v>
      </c>
      <c r="V1170" s="60">
        <v>102</v>
      </c>
      <c r="W1170" s="62" t="s">
        <v>4356</v>
      </c>
      <c r="X1170" s="60">
        <v>1</v>
      </c>
      <c r="Y1170" s="63">
        <v>1.75</v>
      </c>
      <c r="Z1170" s="60" t="b">
        <f>FALSE()</f>
        <v>0</v>
      </c>
      <c r="AA1170" s="60" t="b">
        <f>FALSE()</f>
        <v>0</v>
      </c>
      <c r="AB1170" s="60" t="b">
        <f>TRUE()</f>
        <v>1</v>
      </c>
      <c r="AC1170" s="60" t="b">
        <f>FALSE()</f>
        <v>0</v>
      </c>
      <c r="AD1170" s="60" t="b">
        <f>FALSE()</f>
        <v>0</v>
      </c>
      <c r="AE1170" s="60">
        <v>1</v>
      </c>
      <c r="AF1170" s="64">
        <v>14.3</v>
      </c>
      <c r="AG1170" s="60" t="s">
        <v>74</v>
      </c>
      <c r="AH1170" s="60" t="s">
        <v>4357</v>
      </c>
      <c r="AI1170">
        <f>IF(AND(OR(Company_Explorer!$B$5="All Companies",$E1170=Company_Explorer!$B$5),OR(Company_Explorer!$B$6="All Platforms",$B1170=Company_Explorer!$B$6),OR(Company_Explorer!$B$7="All Roles",$D1170=Company_Explorer!$B$7),OR(Company_Explorer!$B$8="All Ghost Labels",$AG1170=Company_Explorer!$B$8)),1,0)</f>
        <v>0</v>
      </c>
    </row>
    <row r="1171" spans="1:35" ht="15" customHeight="1" x14ac:dyDescent="0.3">
      <c r="A1171" s="65" t="s">
        <v>4358</v>
      </c>
      <c r="B1171" s="65" t="s">
        <v>81</v>
      </c>
      <c r="C1171" s="65" t="s">
        <v>4359</v>
      </c>
      <c r="D1171" s="65" t="s">
        <v>125</v>
      </c>
      <c r="E1171" s="65" t="s">
        <v>4360</v>
      </c>
      <c r="F1171" s="65" t="b">
        <f>TRUE()</f>
        <v>1</v>
      </c>
      <c r="G1171" s="65" t="s">
        <v>165</v>
      </c>
      <c r="H1171" s="65" t="s">
        <v>3630</v>
      </c>
      <c r="I1171" s="66">
        <v>46210.197084537002</v>
      </c>
      <c r="J1171" s="66">
        <v>46210.282977743103</v>
      </c>
      <c r="K1171" s="65">
        <v>0.1</v>
      </c>
      <c r="L1171" s="65" t="s">
        <v>183</v>
      </c>
      <c r="M1171" s="65" t="s">
        <v>183</v>
      </c>
      <c r="N1171" s="65" t="b">
        <f>TRUE()</f>
        <v>1</v>
      </c>
      <c r="O1171" s="71">
        <v>20000</v>
      </c>
      <c r="P1171" s="71">
        <v>30000</v>
      </c>
      <c r="Q1171" s="65" t="s">
        <v>3663</v>
      </c>
      <c r="R1171" s="65" t="s">
        <v>3664</v>
      </c>
      <c r="S1171" s="71">
        <v>300000</v>
      </c>
      <c r="T1171" s="65" t="b">
        <f>TRUE()</f>
        <v>1</v>
      </c>
      <c r="U1171" s="65" t="b">
        <f>FALSE()</f>
        <v>0</v>
      </c>
      <c r="V1171" s="65">
        <v>211</v>
      </c>
      <c r="W1171" s="67" t="s">
        <v>4361</v>
      </c>
      <c r="X1171" s="65">
        <v>2</v>
      </c>
      <c r="Y1171" s="68">
        <v>3.5</v>
      </c>
      <c r="Z1171" s="65" t="b">
        <f>FALSE()</f>
        <v>0</v>
      </c>
      <c r="AA1171" s="65" t="b">
        <f>FALSE()</f>
        <v>0</v>
      </c>
      <c r="AB1171" s="65" t="b">
        <f>TRUE()</f>
        <v>1</v>
      </c>
      <c r="AC1171" s="65" t="b">
        <f>FALSE()</f>
        <v>0</v>
      </c>
      <c r="AD1171" s="65" t="b">
        <f>FALSE()</f>
        <v>0</v>
      </c>
      <c r="AE1171" s="65">
        <v>1</v>
      </c>
      <c r="AF1171" s="69">
        <v>14.3</v>
      </c>
      <c r="AG1171" s="65" t="s">
        <v>74</v>
      </c>
      <c r="AH1171" s="65" t="s">
        <v>4362</v>
      </c>
      <c r="AI1171">
        <f>IF(AND(OR(Company_Explorer!$B$5="All Companies",$E1171=Company_Explorer!$B$5),OR(Company_Explorer!$B$6="All Platforms",$B1171=Company_Explorer!$B$6),OR(Company_Explorer!$B$7="All Roles",$D1171=Company_Explorer!$B$7),OR(Company_Explorer!$B$8="All Ghost Labels",$AG1171=Company_Explorer!$B$8)),1,0)</f>
        <v>0</v>
      </c>
    </row>
    <row r="1172" spans="1:35" ht="15" customHeight="1" x14ac:dyDescent="0.3">
      <c r="A1172" s="60" t="s">
        <v>4363</v>
      </c>
      <c r="B1172" s="60" t="s">
        <v>81</v>
      </c>
      <c r="C1172" s="60" t="s">
        <v>4364</v>
      </c>
      <c r="D1172" s="60" t="s">
        <v>130</v>
      </c>
      <c r="E1172" s="60" t="s">
        <v>4365</v>
      </c>
      <c r="F1172" s="60" t="b">
        <f>TRUE()</f>
        <v>1</v>
      </c>
      <c r="G1172" s="60" t="s">
        <v>177</v>
      </c>
      <c r="H1172" s="60" t="s">
        <v>165</v>
      </c>
      <c r="I1172" s="61">
        <v>46210.163897604201</v>
      </c>
      <c r="J1172" s="61">
        <v>46210.282978240699</v>
      </c>
      <c r="K1172" s="60">
        <v>0.1</v>
      </c>
      <c r="L1172" s="60" t="s">
        <v>183</v>
      </c>
      <c r="M1172" s="60" t="s">
        <v>183</v>
      </c>
      <c r="N1172" s="60" t="b">
        <f>TRUE()</f>
        <v>1</v>
      </c>
      <c r="O1172" s="70">
        <v>10000</v>
      </c>
      <c r="P1172" s="70">
        <v>15000</v>
      </c>
      <c r="Q1172" s="60" t="s">
        <v>3663</v>
      </c>
      <c r="R1172" s="60" t="s">
        <v>3664</v>
      </c>
      <c r="S1172" s="70">
        <v>150000</v>
      </c>
      <c r="T1172" s="60" t="b">
        <f>TRUE()</f>
        <v>1</v>
      </c>
      <c r="U1172" s="60" t="b">
        <f>FALSE()</f>
        <v>0</v>
      </c>
      <c r="V1172" s="60">
        <v>230</v>
      </c>
      <c r="W1172" s="62" t="s">
        <v>4366</v>
      </c>
      <c r="X1172" s="60">
        <v>1</v>
      </c>
      <c r="Y1172" s="63">
        <v>1.75</v>
      </c>
      <c r="Z1172" s="60" t="b">
        <f>FALSE()</f>
        <v>0</v>
      </c>
      <c r="AA1172" s="60" t="b">
        <f>FALSE()</f>
        <v>0</v>
      </c>
      <c r="AB1172" s="60" t="b">
        <f>TRUE()</f>
        <v>1</v>
      </c>
      <c r="AC1172" s="60" t="b">
        <f>FALSE()</f>
        <v>0</v>
      </c>
      <c r="AD1172" s="60" t="b">
        <f>FALSE()</f>
        <v>0</v>
      </c>
      <c r="AE1172" s="60">
        <v>1</v>
      </c>
      <c r="AF1172" s="64">
        <v>14.3</v>
      </c>
      <c r="AG1172" s="60" t="s">
        <v>74</v>
      </c>
      <c r="AH1172" s="60" t="s">
        <v>4367</v>
      </c>
      <c r="AI1172">
        <f>IF(AND(OR(Company_Explorer!$B$5="All Companies",$E1172=Company_Explorer!$B$5),OR(Company_Explorer!$B$6="All Platforms",$B1172=Company_Explorer!$B$6),OR(Company_Explorer!$B$7="All Roles",$D1172=Company_Explorer!$B$7),OR(Company_Explorer!$B$8="All Ghost Labels",$AG1172=Company_Explorer!$B$8)),1,0)</f>
        <v>0</v>
      </c>
    </row>
    <row r="1173" spans="1:35" ht="15" customHeight="1" x14ac:dyDescent="0.3">
      <c r="A1173" s="65" t="s">
        <v>4368</v>
      </c>
      <c r="B1173" s="65" t="s">
        <v>81</v>
      </c>
      <c r="C1173" s="65" t="s">
        <v>4369</v>
      </c>
      <c r="D1173" s="65" t="s">
        <v>135</v>
      </c>
      <c r="E1173" s="65" t="s">
        <v>4370</v>
      </c>
      <c r="F1173" s="65" t="b">
        <f>TRUE()</f>
        <v>1</v>
      </c>
      <c r="G1173" s="65" t="s">
        <v>165</v>
      </c>
      <c r="H1173" s="65" t="s">
        <v>165</v>
      </c>
      <c r="I1173" s="66">
        <v>46210.083577708298</v>
      </c>
      <c r="J1173" s="66">
        <v>46210.2829782755</v>
      </c>
      <c r="K1173" s="65">
        <v>0.2</v>
      </c>
      <c r="L1173" s="65" t="s">
        <v>183</v>
      </c>
      <c r="M1173" s="65" t="s">
        <v>183</v>
      </c>
      <c r="N1173" s="65" t="b">
        <f>FALSE()</f>
        <v>0</v>
      </c>
      <c r="O1173" s="65"/>
      <c r="P1173" s="65"/>
      <c r="Q1173" s="65" t="s">
        <v>236</v>
      </c>
      <c r="R1173" s="65" t="s">
        <v>236</v>
      </c>
      <c r="S1173" s="65"/>
      <c r="T1173" s="65" t="b">
        <f>FALSE()</f>
        <v>0</v>
      </c>
      <c r="U1173" s="65" t="b">
        <f>FALSE()</f>
        <v>0</v>
      </c>
      <c r="V1173" s="65">
        <v>253</v>
      </c>
      <c r="W1173" s="67" t="s">
        <v>4371</v>
      </c>
      <c r="X1173" s="65">
        <v>1</v>
      </c>
      <c r="Y1173" s="68">
        <v>1.75</v>
      </c>
      <c r="Z1173" s="65" t="b">
        <f>FALSE()</f>
        <v>0</v>
      </c>
      <c r="AA1173" s="65" t="b">
        <f>TRUE()</f>
        <v>1</v>
      </c>
      <c r="AB1173" s="65" t="b">
        <f>TRUE()</f>
        <v>1</v>
      </c>
      <c r="AC1173" s="65" t="b">
        <f>FALSE()</f>
        <v>0</v>
      </c>
      <c r="AD1173" s="65" t="b">
        <f>FALSE()</f>
        <v>0</v>
      </c>
      <c r="AE1173" s="65">
        <v>2</v>
      </c>
      <c r="AF1173" s="69">
        <v>28.6</v>
      </c>
      <c r="AG1173" s="65" t="s">
        <v>73</v>
      </c>
      <c r="AH1173" s="65" t="s">
        <v>4372</v>
      </c>
      <c r="AI1173">
        <f>IF(AND(OR(Company_Explorer!$B$5="All Companies",$E1173=Company_Explorer!$B$5),OR(Company_Explorer!$B$6="All Platforms",$B1173=Company_Explorer!$B$6),OR(Company_Explorer!$B$7="All Roles",$D1173=Company_Explorer!$B$7),OR(Company_Explorer!$B$8="All Ghost Labels",$AG1173=Company_Explorer!$B$8)),1,0)</f>
        <v>0</v>
      </c>
    </row>
    <row r="1174" spans="1:35" ht="15" customHeight="1" x14ac:dyDescent="0.3">
      <c r="A1174" s="60" t="s">
        <v>4373</v>
      </c>
      <c r="B1174" s="60" t="s">
        <v>81</v>
      </c>
      <c r="C1174" s="60" t="s">
        <v>4374</v>
      </c>
      <c r="D1174" s="60" t="s">
        <v>130</v>
      </c>
      <c r="E1174" s="60" t="s">
        <v>4375</v>
      </c>
      <c r="F1174" s="60" t="b">
        <f>TRUE()</f>
        <v>1</v>
      </c>
      <c r="G1174" s="60" t="s">
        <v>177</v>
      </c>
      <c r="H1174" s="60" t="s">
        <v>165</v>
      </c>
      <c r="I1174" s="61">
        <v>46210.233750300897</v>
      </c>
      <c r="J1174" s="61">
        <v>46210.282978344898</v>
      </c>
      <c r="K1174" s="60">
        <v>0</v>
      </c>
      <c r="L1174" s="60" t="s">
        <v>183</v>
      </c>
      <c r="M1174" s="60" t="s">
        <v>183</v>
      </c>
      <c r="N1174" s="60" t="b">
        <f>TRUE()</f>
        <v>1</v>
      </c>
      <c r="O1174" s="70">
        <v>80000</v>
      </c>
      <c r="P1174" s="70">
        <v>1632030</v>
      </c>
      <c r="Q1174" s="60" t="s">
        <v>3663</v>
      </c>
      <c r="R1174" s="60" t="s">
        <v>3664</v>
      </c>
      <c r="S1174" s="70">
        <v>10272180</v>
      </c>
      <c r="T1174" s="60" t="b">
        <f>TRUE()</f>
        <v>1</v>
      </c>
      <c r="U1174" s="60" t="b">
        <f>TRUE()</f>
        <v>1</v>
      </c>
      <c r="V1174" s="60">
        <v>312</v>
      </c>
      <c r="W1174" s="62" t="s">
        <v>4376</v>
      </c>
      <c r="X1174" s="60">
        <v>1</v>
      </c>
      <c r="Y1174" s="63">
        <v>1.75</v>
      </c>
      <c r="Z1174" s="60" t="b">
        <f>FALSE()</f>
        <v>0</v>
      </c>
      <c r="AA1174" s="60" t="b">
        <f>FALSE()</f>
        <v>0</v>
      </c>
      <c r="AB1174" s="60" t="b">
        <f>FALSE()</f>
        <v>0</v>
      </c>
      <c r="AC1174" s="60" t="b">
        <f>FALSE()</f>
        <v>0</v>
      </c>
      <c r="AD1174" s="60" t="b">
        <f>FALSE()</f>
        <v>0</v>
      </c>
      <c r="AE1174" s="60">
        <v>0</v>
      </c>
      <c r="AF1174" s="64">
        <v>0</v>
      </c>
      <c r="AG1174" s="60" t="s">
        <v>74</v>
      </c>
      <c r="AH1174" s="60" t="s">
        <v>4377</v>
      </c>
      <c r="AI1174">
        <f>IF(AND(OR(Company_Explorer!$B$5="All Companies",$E1174=Company_Explorer!$B$5),OR(Company_Explorer!$B$6="All Platforms",$B1174=Company_Explorer!$B$6),OR(Company_Explorer!$B$7="All Roles",$D1174=Company_Explorer!$B$7),OR(Company_Explorer!$B$8="All Ghost Labels",$AG1174=Company_Explorer!$B$8)),1,0)</f>
        <v>0</v>
      </c>
    </row>
    <row r="1175" spans="1:35" ht="15" customHeight="1" x14ac:dyDescent="0.3">
      <c r="A1175" s="65" t="s">
        <v>4378</v>
      </c>
      <c r="B1175" s="65" t="s">
        <v>81</v>
      </c>
      <c r="C1175" s="65" t="s">
        <v>4379</v>
      </c>
      <c r="D1175" s="65" t="s">
        <v>130</v>
      </c>
      <c r="E1175" s="65" t="s">
        <v>3947</v>
      </c>
      <c r="F1175" s="65" t="b">
        <f>TRUE()</f>
        <v>1</v>
      </c>
      <c r="G1175" s="65" t="s">
        <v>165</v>
      </c>
      <c r="H1175" s="65" t="s">
        <v>3636</v>
      </c>
      <c r="I1175" s="66">
        <v>46210.231386493098</v>
      </c>
      <c r="J1175" s="66">
        <v>46210.282978888899</v>
      </c>
      <c r="K1175" s="65">
        <v>0.1</v>
      </c>
      <c r="L1175" s="65" t="s">
        <v>183</v>
      </c>
      <c r="M1175" s="65" t="s">
        <v>183</v>
      </c>
      <c r="N1175" s="65" t="b">
        <f>FALSE()</f>
        <v>0</v>
      </c>
      <c r="O1175" s="65"/>
      <c r="P1175" s="65"/>
      <c r="Q1175" s="65" t="s">
        <v>236</v>
      </c>
      <c r="R1175" s="65" t="s">
        <v>236</v>
      </c>
      <c r="S1175" s="65"/>
      <c r="T1175" s="65" t="b">
        <f>FALSE()</f>
        <v>0</v>
      </c>
      <c r="U1175" s="65" t="b">
        <f>FALSE()</f>
        <v>0</v>
      </c>
      <c r="V1175" s="65">
        <v>891</v>
      </c>
      <c r="W1175" s="67" t="s">
        <v>4380</v>
      </c>
      <c r="X1175" s="65">
        <v>13</v>
      </c>
      <c r="Y1175" s="68">
        <v>22.75</v>
      </c>
      <c r="Z1175" s="65" t="b">
        <f>FALSE()</f>
        <v>0</v>
      </c>
      <c r="AA1175" s="65" t="b">
        <f>TRUE()</f>
        <v>1</v>
      </c>
      <c r="AB1175" s="65" t="b">
        <f>FALSE()</f>
        <v>0</v>
      </c>
      <c r="AC1175" s="65" t="b">
        <f>FALSE()</f>
        <v>0</v>
      </c>
      <c r="AD1175" s="65" t="b">
        <f>FALSE()</f>
        <v>0</v>
      </c>
      <c r="AE1175" s="65">
        <v>1</v>
      </c>
      <c r="AF1175" s="69">
        <v>14.3</v>
      </c>
      <c r="AG1175" s="65" t="s">
        <v>74</v>
      </c>
      <c r="AH1175" s="65" t="s">
        <v>4381</v>
      </c>
      <c r="AI1175">
        <f>IF(AND(OR(Company_Explorer!$B$5="All Companies",$E1175=Company_Explorer!$B$5),OR(Company_Explorer!$B$6="All Platforms",$B1175=Company_Explorer!$B$6),OR(Company_Explorer!$B$7="All Roles",$D1175=Company_Explorer!$B$7),OR(Company_Explorer!$B$8="All Ghost Labels",$AG1175=Company_Explorer!$B$8)),1,0)</f>
        <v>0</v>
      </c>
    </row>
    <row r="1176" spans="1:35" ht="15" customHeight="1" x14ac:dyDescent="0.3">
      <c r="A1176" s="60" t="s">
        <v>4382</v>
      </c>
      <c r="B1176" s="60" t="s">
        <v>81</v>
      </c>
      <c r="C1176" s="60" t="s">
        <v>4383</v>
      </c>
      <c r="D1176" s="60" t="s">
        <v>125</v>
      </c>
      <c r="E1176" s="60" t="s">
        <v>4384</v>
      </c>
      <c r="F1176" s="60" t="b">
        <f>TRUE()</f>
        <v>1</v>
      </c>
      <c r="G1176" s="60" t="s">
        <v>165</v>
      </c>
      <c r="H1176" s="60" t="s">
        <v>3620</v>
      </c>
      <c r="I1176" s="61">
        <v>46210.081203981499</v>
      </c>
      <c r="J1176" s="61">
        <v>46210.282978946801</v>
      </c>
      <c r="K1176" s="60">
        <v>0.2</v>
      </c>
      <c r="L1176" s="60" t="s">
        <v>183</v>
      </c>
      <c r="M1176" s="60" t="s">
        <v>183</v>
      </c>
      <c r="N1176" s="60" t="b">
        <f>FALSE()</f>
        <v>0</v>
      </c>
      <c r="O1176" s="60"/>
      <c r="P1176" s="60"/>
      <c r="Q1176" s="60" t="s">
        <v>236</v>
      </c>
      <c r="R1176" s="60" t="s">
        <v>236</v>
      </c>
      <c r="S1176" s="60"/>
      <c r="T1176" s="60" t="b">
        <f>FALSE()</f>
        <v>0</v>
      </c>
      <c r="U1176" s="60" t="b">
        <f>FALSE()</f>
        <v>0</v>
      </c>
      <c r="V1176" s="60">
        <v>548</v>
      </c>
      <c r="W1176" s="60" t="s">
        <v>4385</v>
      </c>
      <c r="X1176" s="60">
        <v>2</v>
      </c>
      <c r="Y1176" s="63">
        <v>3.5</v>
      </c>
      <c r="Z1176" s="60" t="b">
        <f>FALSE()</f>
        <v>0</v>
      </c>
      <c r="AA1176" s="60" t="b">
        <f>TRUE()</f>
        <v>1</v>
      </c>
      <c r="AB1176" s="60" t="b">
        <f>FALSE()</f>
        <v>0</v>
      </c>
      <c r="AC1176" s="60" t="b">
        <f>FALSE()</f>
        <v>0</v>
      </c>
      <c r="AD1176" s="60" t="b">
        <f>FALSE()</f>
        <v>0</v>
      </c>
      <c r="AE1176" s="60">
        <v>1</v>
      </c>
      <c r="AF1176" s="64">
        <v>14.3</v>
      </c>
      <c r="AG1176" s="60" t="s">
        <v>74</v>
      </c>
      <c r="AH1176" s="60" t="s">
        <v>4386</v>
      </c>
      <c r="AI1176">
        <f>IF(AND(OR(Company_Explorer!$B$5="All Companies",$E1176=Company_Explorer!$B$5),OR(Company_Explorer!$B$6="All Platforms",$B1176=Company_Explorer!$B$6),OR(Company_Explorer!$B$7="All Roles",$D1176=Company_Explorer!$B$7),OR(Company_Explorer!$B$8="All Ghost Labels",$AG1176=Company_Explorer!$B$8)),1,0)</f>
        <v>0</v>
      </c>
    </row>
    <row r="1177" spans="1:35" ht="15" customHeight="1" x14ac:dyDescent="0.3">
      <c r="A1177" s="65" t="s">
        <v>4387</v>
      </c>
      <c r="B1177" s="65" t="s">
        <v>81</v>
      </c>
      <c r="C1177" s="65" t="s">
        <v>4388</v>
      </c>
      <c r="D1177" s="65" t="s">
        <v>125</v>
      </c>
      <c r="E1177" s="65" t="s">
        <v>4389</v>
      </c>
      <c r="F1177" s="65" t="b">
        <f>TRUE()</f>
        <v>1</v>
      </c>
      <c r="G1177" s="65" t="s">
        <v>165</v>
      </c>
      <c r="H1177" s="65" t="s">
        <v>3805</v>
      </c>
      <c r="I1177" s="66">
        <v>46210.157034999997</v>
      </c>
      <c r="J1177" s="66">
        <v>46210.2829790162</v>
      </c>
      <c r="K1177" s="65">
        <v>0.1</v>
      </c>
      <c r="L1177" s="65" t="s">
        <v>183</v>
      </c>
      <c r="M1177" s="65" t="s">
        <v>183</v>
      </c>
      <c r="N1177" s="65" t="b">
        <f>FALSE()</f>
        <v>0</v>
      </c>
      <c r="O1177" s="65"/>
      <c r="P1177" s="65"/>
      <c r="Q1177" s="65" t="s">
        <v>236</v>
      </c>
      <c r="R1177" s="65" t="s">
        <v>236</v>
      </c>
      <c r="S1177" s="65"/>
      <c r="T1177" s="65" t="b">
        <f>FALSE()</f>
        <v>0</v>
      </c>
      <c r="U1177" s="65" t="b">
        <f>FALSE()</f>
        <v>0</v>
      </c>
      <c r="V1177" s="65">
        <v>73</v>
      </c>
      <c r="W1177" s="67" t="s">
        <v>4390</v>
      </c>
      <c r="X1177" s="65">
        <v>5</v>
      </c>
      <c r="Y1177" s="68">
        <v>8.75</v>
      </c>
      <c r="Z1177" s="65" t="b">
        <f>FALSE()</f>
        <v>0</v>
      </c>
      <c r="AA1177" s="65" t="b">
        <f>TRUE()</f>
        <v>1</v>
      </c>
      <c r="AB1177" s="65" t="b">
        <f>TRUE()</f>
        <v>1</v>
      </c>
      <c r="AC1177" s="65" t="b">
        <f>FALSE()</f>
        <v>0</v>
      </c>
      <c r="AD1177" s="65" t="b">
        <f>FALSE()</f>
        <v>0</v>
      </c>
      <c r="AE1177" s="65">
        <v>2</v>
      </c>
      <c r="AF1177" s="69">
        <v>28.6</v>
      </c>
      <c r="AG1177" s="65" t="s">
        <v>73</v>
      </c>
      <c r="AH1177" s="65" t="s">
        <v>4391</v>
      </c>
      <c r="AI1177">
        <f>IF(AND(OR(Company_Explorer!$B$5="All Companies",$E1177=Company_Explorer!$B$5),OR(Company_Explorer!$B$6="All Platforms",$B1177=Company_Explorer!$B$6),OR(Company_Explorer!$B$7="All Roles",$D1177=Company_Explorer!$B$7),OR(Company_Explorer!$B$8="All Ghost Labels",$AG1177=Company_Explorer!$B$8)),1,0)</f>
        <v>0</v>
      </c>
    </row>
    <row r="1178" spans="1:35" ht="15" customHeight="1" x14ac:dyDescent="0.3">
      <c r="A1178" s="60" t="s">
        <v>4392</v>
      </c>
      <c r="B1178" s="60" t="s">
        <v>81</v>
      </c>
      <c r="C1178" s="60" t="s">
        <v>4393</v>
      </c>
      <c r="D1178" s="60" t="s">
        <v>125</v>
      </c>
      <c r="E1178" s="60" t="s">
        <v>4389</v>
      </c>
      <c r="F1178" s="60" t="b">
        <f>TRUE()</f>
        <v>1</v>
      </c>
      <c r="G1178" s="60" t="s">
        <v>165</v>
      </c>
      <c r="H1178" s="60" t="s">
        <v>3805</v>
      </c>
      <c r="I1178" s="61">
        <v>46210.157041458297</v>
      </c>
      <c r="J1178" s="61">
        <v>46210.282979074102</v>
      </c>
      <c r="K1178" s="60">
        <v>0.1</v>
      </c>
      <c r="L1178" s="60" t="s">
        <v>183</v>
      </c>
      <c r="M1178" s="60" t="s">
        <v>183</v>
      </c>
      <c r="N1178" s="60" t="b">
        <f>FALSE()</f>
        <v>0</v>
      </c>
      <c r="O1178" s="60"/>
      <c r="P1178" s="60"/>
      <c r="Q1178" s="60" t="s">
        <v>236</v>
      </c>
      <c r="R1178" s="60" t="s">
        <v>236</v>
      </c>
      <c r="S1178" s="60"/>
      <c r="T1178" s="60" t="b">
        <f>FALSE()</f>
        <v>0</v>
      </c>
      <c r="U1178" s="60" t="b">
        <f>FALSE()</f>
        <v>0</v>
      </c>
      <c r="V1178" s="60">
        <v>136</v>
      </c>
      <c r="W1178" s="62" t="s">
        <v>4394</v>
      </c>
      <c r="X1178" s="60">
        <v>5</v>
      </c>
      <c r="Y1178" s="63">
        <v>8.75</v>
      </c>
      <c r="Z1178" s="60" t="b">
        <f>FALSE()</f>
        <v>0</v>
      </c>
      <c r="AA1178" s="60" t="b">
        <f>TRUE()</f>
        <v>1</v>
      </c>
      <c r="AB1178" s="60" t="b">
        <f>TRUE()</f>
        <v>1</v>
      </c>
      <c r="AC1178" s="60" t="b">
        <f>FALSE()</f>
        <v>0</v>
      </c>
      <c r="AD1178" s="60" t="b">
        <f>FALSE()</f>
        <v>0</v>
      </c>
      <c r="AE1178" s="60">
        <v>2</v>
      </c>
      <c r="AF1178" s="64">
        <v>28.6</v>
      </c>
      <c r="AG1178" s="60" t="s">
        <v>73</v>
      </c>
      <c r="AH1178" s="60" t="s">
        <v>4395</v>
      </c>
      <c r="AI1178">
        <f>IF(AND(OR(Company_Explorer!$B$5="All Companies",$E1178=Company_Explorer!$B$5),OR(Company_Explorer!$B$6="All Platforms",$B1178=Company_Explorer!$B$6),OR(Company_Explorer!$B$7="All Roles",$D1178=Company_Explorer!$B$7),OR(Company_Explorer!$B$8="All Ghost Labels",$AG1178=Company_Explorer!$B$8)),1,0)</f>
        <v>0</v>
      </c>
    </row>
    <row r="1179" spans="1:35" ht="15" customHeight="1" x14ac:dyDescent="0.3">
      <c r="A1179" s="65" t="s">
        <v>4396</v>
      </c>
      <c r="B1179" s="65" t="s">
        <v>81</v>
      </c>
      <c r="C1179" s="65" t="s">
        <v>4397</v>
      </c>
      <c r="D1179" s="65" t="s">
        <v>126</v>
      </c>
      <c r="E1179" s="65" t="s">
        <v>4398</v>
      </c>
      <c r="F1179" s="65" t="b">
        <f>TRUE()</f>
        <v>1</v>
      </c>
      <c r="G1179" s="65" t="s">
        <v>165</v>
      </c>
      <c r="H1179" s="65" t="s">
        <v>3672</v>
      </c>
      <c r="I1179" s="66">
        <v>46210.194540717603</v>
      </c>
      <c r="J1179" s="66">
        <v>46210.282979189797</v>
      </c>
      <c r="K1179" s="65">
        <v>0.1</v>
      </c>
      <c r="L1179" s="65" t="s">
        <v>183</v>
      </c>
      <c r="M1179" s="65" t="s">
        <v>183</v>
      </c>
      <c r="N1179" s="65" t="b">
        <f>FALSE()</f>
        <v>0</v>
      </c>
      <c r="O1179" s="65"/>
      <c r="P1179" s="65"/>
      <c r="Q1179" s="65" t="s">
        <v>236</v>
      </c>
      <c r="R1179" s="65" t="s">
        <v>236</v>
      </c>
      <c r="S1179" s="65"/>
      <c r="T1179" s="65" t="b">
        <f>FALSE()</f>
        <v>0</v>
      </c>
      <c r="U1179" s="65" t="b">
        <f>FALSE()</f>
        <v>0</v>
      </c>
      <c r="V1179" s="65">
        <v>102</v>
      </c>
      <c r="W1179" s="67" t="s">
        <v>4399</v>
      </c>
      <c r="X1179" s="65">
        <v>1</v>
      </c>
      <c r="Y1179" s="68">
        <v>1.75</v>
      </c>
      <c r="Z1179" s="65" t="b">
        <f>FALSE()</f>
        <v>0</v>
      </c>
      <c r="AA1179" s="65" t="b">
        <f>TRUE()</f>
        <v>1</v>
      </c>
      <c r="AB1179" s="65" t="b">
        <f>TRUE()</f>
        <v>1</v>
      </c>
      <c r="AC1179" s="65" t="b">
        <f>FALSE()</f>
        <v>0</v>
      </c>
      <c r="AD1179" s="65" t="b">
        <f>FALSE()</f>
        <v>0</v>
      </c>
      <c r="AE1179" s="65">
        <v>2</v>
      </c>
      <c r="AF1179" s="69">
        <v>28.6</v>
      </c>
      <c r="AG1179" s="65" t="s">
        <v>73</v>
      </c>
      <c r="AH1179" s="65" t="s">
        <v>4400</v>
      </c>
      <c r="AI1179">
        <f>IF(AND(OR(Company_Explorer!$B$5="All Companies",$E1179=Company_Explorer!$B$5),OR(Company_Explorer!$B$6="All Platforms",$B1179=Company_Explorer!$B$6),OR(Company_Explorer!$B$7="All Roles",$D1179=Company_Explorer!$B$7),OR(Company_Explorer!$B$8="All Ghost Labels",$AG1179=Company_Explorer!$B$8)),1,0)</f>
        <v>0</v>
      </c>
    </row>
    <row r="1180" spans="1:35" ht="15" customHeight="1" x14ac:dyDescent="0.3">
      <c r="A1180" s="60" t="s">
        <v>4401</v>
      </c>
      <c r="B1180" s="60" t="s">
        <v>81</v>
      </c>
      <c r="C1180" s="60" t="s">
        <v>4402</v>
      </c>
      <c r="D1180" s="60" t="s">
        <v>125</v>
      </c>
      <c r="E1180" s="60" t="s">
        <v>4389</v>
      </c>
      <c r="F1180" s="60" t="b">
        <f>TRUE()</f>
        <v>1</v>
      </c>
      <c r="G1180" s="60" t="s">
        <v>165</v>
      </c>
      <c r="H1180" s="60" t="s">
        <v>3805</v>
      </c>
      <c r="I1180" s="61">
        <v>46210.156764340303</v>
      </c>
      <c r="J1180" s="61">
        <v>46210.282979282398</v>
      </c>
      <c r="K1180" s="60">
        <v>0.1</v>
      </c>
      <c r="L1180" s="60" t="s">
        <v>183</v>
      </c>
      <c r="M1180" s="60" t="s">
        <v>183</v>
      </c>
      <c r="N1180" s="60" t="b">
        <f>FALSE()</f>
        <v>0</v>
      </c>
      <c r="O1180" s="60"/>
      <c r="P1180" s="60"/>
      <c r="Q1180" s="60" t="s">
        <v>236</v>
      </c>
      <c r="R1180" s="60" t="s">
        <v>236</v>
      </c>
      <c r="S1180" s="60"/>
      <c r="T1180" s="60" t="b">
        <f>FALSE()</f>
        <v>0</v>
      </c>
      <c r="U1180" s="60" t="b">
        <f>FALSE()</f>
        <v>0</v>
      </c>
      <c r="V1180" s="60">
        <v>131</v>
      </c>
      <c r="W1180" s="62" t="s">
        <v>4403</v>
      </c>
      <c r="X1180" s="60">
        <v>5</v>
      </c>
      <c r="Y1180" s="63">
        <v>8.75</v>
      </c>
      <c r="Z1180" s="60" t="b">
        <f>FALSE()</f>
        <v>0</v>
      </c>
      <c r="AA1180" s="60" t="b">
        <f>TRUE()</f>
        <v>1</v>
      </c>
      <c r="AB1180" s="60" t="b">
        <f>TRUE()</f>
        <v>1</v>
      </c>
      <c r="AC1180" s="60" t="b">
        <f>FALSE()</f>
        <v>0</v>
      </c>
      <c r="AD1180" s="60" t="b">
        <f>FALSE()</f>
        <v>0</v>
      </c>
      <c r="AE1180" s="60">
        <v>2</v>
      </c>
      <c r="AF1180" s="64">
        <v>28.6</v>
      </c>
      <c r="AG1180" s="60" t="s">
        <v>73</v>
      </c>
      <c r="AH1180" s="60" t="s">
        <v>4404</v>
      </c>
      <c r="AI1180">
        <f>IF(AND(OR(Company_Explorer!$B$5="All Companies",$E1180=Company_Explorer!$B$5),OR(Company_Explorer!$B$6="All Platforms",$B1180=Company_Explorer!$B$6),OR(Company_Explorer!$B$7="All Roles",$D1180=Company_Explorer!$B$7),OR(Company_Explorer!$B$8="All Ghost Labels",$AG1180=Company_Explorer!$B$8)),1,0)</f>
        <v>0</v>
      </c>
    </row>
    <row r="1181" spans="1:35" ht="15" customHeight="1" x14ac:dyDescent="0.3">
      <c r="A1181" s="65" t="s">
        <v>4405</v>
      </c>
      <c r="B1181" s="65" t="s">
        <v>81</v>
      </c>
      <c r="C1181" s="65" t="s">
        <v>4406</v>
      </c>
      <c r="D1181" s="65" t="s">
        <v>125</v>
      </c>
      <c r="E1181" s="65" t="s">
        <v>1580</v>
      </c>
      <c r="F1181" s="65" t="b">
        <f>TRUE()</f>
        <v>1</v>
      </c>
      <c r="G1181" s="65" t="s">
        <v>165</v>
      </c>
      <c r="H1181" s="65" t="s">
        <v>3672</v>
      </c>
      <c r="I1181" s="66">
        <v>46210.078428726898</v>
      </c>
      <c r="J1181" s="66">
        <v>46210.282979328702</v>
      </c>
      <c r="K1181" s="65">
        <v>0.2</v>
      </c>
      <c r="L1181" s="65" t="s">
        <v>183</v>
      </c>
      <c r="M1181" s="65" t="s">
        <v>183</v>
      </c>
      <c r="N1181" s="65" t="b">
        <f>FALSE()</f>
        <v>0</v>
      </c>
      <c r="O1181" s="65"/>
      <c r="P1181" s="65"/>
      <c r="Q1181" s="65" t="s">
        <v>236</v>
      </c>
      <c r="R1181" s="65" t="s">
        <v>236</v>
      </c>
      <c r="S1181" s="65"/>
      <c r="T1181" s="65" t="b">
        <f>FALSE()</f>
        <v>0</v>
      </c>
      <c r="U1181" s="65" t="b">
        <f>FALSE()</f>
        <v>0</v>
      </c>
      <c r="V1181" s="65">
        <v>434</v>
      </c>
      <c r="W1181" s="67" t="s">
        <v>4407</v>
      </c>
      <c r="X1181" s="65">
        <v>6</v>
      </c>
      <c r="Y1181" s="68">
        <v>10.5</v>
      </c>
      <c r="Z1181" s="65" t="b">
        <f>FALSE()</f>
        <v>0</v>
      </c>
      <c r="AA1181" s="65" t="b">
        <f>TRUE()</f>
        <v>1</v>
      </c>
      <c r="AB1181" s="65" t="b">
        <f>FALSE()</f>
        <v>0</v>
      </c>
      <c r="AC1181" s="65" t="b">
        <f>FALSE()</f>
        <v>0</v>
      </c>
      <c r="AD1181" s="65" t="b">
        <f>FALSE()</f>
        <v>0</v>
      </c>
      <c r="AE1181" s="65">
        <v>1</v>
      </c>
      <c r="AF1181" s="69">
        <v>14.3</v>
      </c>
      <c r="AG1181" s="65" t="s">
        <v>74</v>
      </c>
      <c r="AH1181" s="65" t="s">
        <v>4408</v>
      </c>
      <c r="AI1181">
        <f>IF(AND(OR(Company_Explorer!$B$5="All Companies",$E1181=Company_Explorer!$B$5),OR(Company_Explorer!$B$6="All Platforms",$B1181=Company_Explorer!$B$6),OR(Company_Explorer!$B$7="All Roles",$D1181=Company_Explorer!$B$7),OR(Company_Explorer!$B$8="All Ghost Labels",$AG1181=Company_Explorer!$B$8)),1,0)</f>
        <v>0</v>
      </c>
    </row>
    <row r="1182" spans="1:35" ht="15" customHeight="1" x14ac:dyDescent="0.3">
      <c r="A1182" s="60" t="s">
        <v>4409</v>
      </c>
      <c r="B1182" s="60" t="s">
        <v>81</v>
      </c>
      <c r="C1182" s="60" t="s">
        <v>2034</v>
      </c>
      <c r="D1182" s="60" t="s">
        <v>130</v>
      </c>
      <c r="E1182" s="60" t="s">
        <v>4410</v>
      </c>
      <c r="F1182" s="60" t="b">
        <f>TRUE()</f>
        <v>1</v>
      </c>
      <c r="G1182" s="60" t="s">
        <v>165</v>
      </c>
      <c r="H1182" s="60" t="s">
        <v>3672</v>
      </c>
      <c r="I1182" s="61">
        <v>46210.195112118097</v>
      </c>
      <c r="J1182" s="61">
        <v>46210.282978842602</v>
      </c>
      <c r="K1182" s="60">
        <v>0.1</v>
      </c>
      <c r="L1182" s="60" t="s">
        <v>183</v>
      </c>
      <c r="M1182" s="60" t="s">
        <v>183</v>
      </c>
      <c r="N1182" s="60" t="b">
        <f>TRUE()</f>
        <v>1</v>
      </c>
      <c r="O1182" s="70">
        <v>850000</v>
      </c>
      <c r="P1182" s="70">
        <v>1400000</v>
      </c>
      <c r="Q1182" s="60" t="s">
        <v>3663</v>
      </c>
      <c r="R1182" s="60" t="s">
        <v>3961</v>
      </c>
      <c r="S1182" s="70">
        <v>1125000</v>
      </c>
      <c r="T1182" s="60" t="b">
        <f>TRUE()</f>
        <v>1</v>
      </c>
      <c r="U1182" s="60" t="b">
        <f>FALSE()</f>
        <v>0</v>
      </c>
      <c r="V1182" s="60">
        <v>195</v>
      </c>
      <c r="W1182" s="62" t="s">
        <v>4411</v>
      </c>
      <c r="X1182" s="60">
        <v>1</v>
      </c>
      <c r="Y1182" s="63">
        <v>1.75</v>
      </c>
      <c r="Z1182" s="60" t="b">
        <f>FALSE()</f>
        <v>0</v>
      </c>
      <c r="AA1182" s="60" t="b">
        <f>FALSE()</f>
        <v>0</v>
      </c>
      <c r="AB1182" s="60" t="b">
        <f>TRUE()</f>
        <v>1</v>
      </c>
      <c r="AC1182" s="60" t="b">
        <f>FALSE()</f>
        <v>0</v>
      </c>
      <c r="AD1182" s="60" t="b">
        <f>FALSE()</f>
        <v>0</v>
      </c>
      <c r="AE1182" s="60">
        <v>1</v>
      </c>
      <c r="AF1182" s="64">
        <v>14.3</v>
      </c>
      <c r="AG1182" s="60" t="s">
        <v>74</v>
      </c>
      <c r="AH1182" s="60" t="s">
        <v>4412</v>
      </c>
      <c r="AI1182">
        <f>IF(AND(OR(Company_Explorer!$B$5="All Companies",$E1182=Company_Explorer!$B$5),OR(Company_Explorer!$B$6="All Platforms",$B1182=Company_Explorer!$B$6),OR(Company_Explorer!$B$7="All Roles",$D1182=Company_Explorer!$B$7),OR(Company_Explorer!$B$8="All Ghost Labels",$AG1182=Company_Explorer!$B$8)),1,0)</f>
        <v>0</v>
      </c>
    </row>
    <row r="1183" spans="1:35" ht="15" customHeight="1" x14ac:dyDescent="0.3">
      <c r="A1183" s="65" t="s">
        <v>4413</v>
      </c>
      <c r="B1183" s="65" t="s">
        <v>81</v>
      </c>
      <c r="C1183" s="65" t="s">
        <v>4414</v>
      </c>
      <c r="D1183" s="65" t="s">
        <v>126</v>
      </c>
      <c r="E1183" s="65" t="s">
        <v>148</v>
      </c>
      <c r="F1183" s="65" t="b">
        <f>TRUE()</f>
        <v>1</v>
      </c>
      <c r="G1183" s="65" t="s">
        <v>165</v>
      </c>
      <c r="H1183" s="65" t="s">
        <v>3672</v>
      </c>
      <c r="I1183" s="66">
        <v>46210.194306365702</v>
      </c>
      <c r="J1183" s="66">
        <v>46210.282979919</v>
      </c>
      <c r="K1183" s="65">
        <v>0.1</v>
      </c>
      <c r="L1183" s="65" t="s">
        <v>183</v>
      </c>
      <c r="M1183" s="65" t="s">
        <v>183</v>
      </c>
      <c r="N1183" s="65" t="b">
        <f>FALSE()</f>
        <v>0</v>
      </c>
      <c r="O1183" s="65"/>
      <c r="P1183" s="65"/>
      <c r="Q1183" s="65" t="s">
        <v>236</v>
      </c>
      <c r="R1183" s="65" t="s">
        <v>236</v>
      </c>
      <c r="S1183" s="65"/>
      <c r="T1183" s="65" t="b">
        <f>FALSE()</f>
        <v>0</v>
      </c>
      <c r="U1183" s="65" t="b">
        <f>FALSE()</f>
        <v>0</v>
      </c>
      <c r="V1183" s="65">
        <v>701</v>
      </c>
      <c r="W1183" s="65" t="s">
        <v>733</v>
      </c>
      <c r="X1183" s="65">
        <v>17</v>
      </c>
      <c r="Y1183" s="68">
        <v>29.75</v>
      </c>
      <c r="Z1183" s="65" t="b">
        <f>FALSE()</f>
        <v>0</v>
      </c>
      <c r="AA1183" s="65" t="b">
        <f>TRUE()</f>
        <v>1</v>
      </c>
      <c r="AB1183" s="65" t="b">
        <f>FALSE()</f>
        <v>0</v>
      </c>
      <c r="AC1183" s="65" t="b">
        <f>FALSE()</f>
        <v>0</v>
      </c>
      <c r="AD1183" s="65" t="b">
        <f>FALSE()</f>
        <v>0</v>
      </c>
      <c r="AE1183" s="65">
        <v>1</v>
      </c>
      <c r="AF1183" s="69">
        <v>14.3</v>
      </c>
      <c r="AG1183" s="65" t="s">
        <v>74</v>
      </c>
      <c r="AH1183" s="65" t="s">
        <v>4415</v>
      </c>
      <c r="AI1183">
        <f>IF(AND(OR(Company_Explorer!$B$5="All Companies",$E1183=Company_Explorer!$B$5),OR(Company_Explorer!$B$6="All Platforms",$B1183=Company_Explorer!$B$6),OR(Company_Explorer!$B$7="All Roles",$D1183=Company_Explorer!$B$7),OR(Company_Explorer!$B$8="All Ghost Labels",$AG1183=Company_Explorer!$B$8)),1,0)</f>
        <v>0</v>
      </c>
    </row>
    <row r="1184" spans="1:35" ht="15" customHeight="1" x14ac:dyDescent="0.3">
      <c r="A1184" s="60" t="s">
        <v>4416</v>
      </c>
      <c r="B1184" s="60" t="s">
        <v>81</v>
      </c>
      <c r="C1184" s="60" t="s">
        <v>4417</v>
      </c>
      <c r="D1184" s="60" t="s">
        <v>126</v>
      </c>
      <c r="E1184" s="60" t="s">
        <v>4314</v>
      </c>
      <c r="F1184" s="60" t="b">
        <f>TRUE()</f>
        <v>1</v>
      </c>
      <c r="G1184" s="60" t="s">
        <v>165</v>
      </c>
      <c r="H1184" s="60" t="s">
        <v>3636</v>
      </c>
      <c r="I1184" s="61">
        <v>46210.230636122702</v>
      </c>
      <c r="J1184" s="61">
        <v>46210.282979965297</v>
      </c>
      <c r="K1184" s="60">
        <v>0.1</v>
      </c>
      <c r="L1184" s="60" t="s">
        <v>183</v>
      </c>
      <c r="M1184" s="60" t="s">
        <v>183</v>
      </c>
      <c r="N1184" s="60" t="b">
        <f>FALSE()</f>
        <v>0</v>
      </c>
      <c r="O1184" s="60"/>
      <c r="P1184" s="60"/>
      <c r="Q1184" s="60" t="s">
        <v>236</v>
      </c>
      <c r="R1184" s="60" t="s">
        <v>236</v>
      </c>
      <c r="S1184" s="60"/>
      <c r="T1184" s="60" t="b">
        <f>FALSE()</f>
        <v>0</v>
      </c>
      <c r="U1184" s="60" t="b">
        <f>FALSE()</f>
        <v>0</v>
      </c>
      <c r="V1184" s="60">
        <v>383</v>
      </c>
      <c r="W1184" s="62" t="s">
        <v>4418</v>
      </c>
      <c r="X1184" s="60">
        <v>3</v>
      </c>
      <c r="Y1184" s="63">
        <v>5.25</v>
      </c>
      <c r="Z1184" s="60" t="b">
        <f>FALSE()</f>
        <v>0</v>
      </c>
      <c r="AA1184" s="60" t="b">
        <f>TRUE()</f>
        <v>1</v>
      </c>
      <c r="AB1184" s="60" t="b">
        <f>FALSE()</f>
        <v>0</v>
      </c>
      <c r="AC1184" s="60" t="b">
        <f>FALSE()</f>
        <v>0</v>
      </c>
      <c r="AD1184" s="60" t="b">
        <f>FALSE()</f>
        <v>0</v>
      </c>
      <c r="AE1184" s="60">
        <v>1</v>
      </c>
      <c r="AF1184" s="64">
        <v>14.3</v>
      </c>
      <c r="AG1184" s="60" t="s">
        <v>74</v>
      </c>
      <c r="AH1184" s="60" t="s">
        <v>4419</v>
      </c>
      <c r="AI1184">
        <f>IF(AND(OR(Company_Explorer!$B$5="All Companies",$E1184=Company_Explorer!$B$5),OR(Company_Explorer!$B$6="All Platforms",$B1184=Company_Explorer!$B$6),OR(Company_Explorer!$B$7="All Roles",$D1184=Company_Explorer!$B$7),OR(Company_Explorer!$B$8="All Ghost Labels",$AG1184=Company_Explorer!$B$8)),1,0)</f>
        <v>0</v>
      </c>
    </row>
    <row r="1185" spans="1:35" ht="15" customHeight="1" x14ac:dyDescent="0.3">
      <c r="A1185" s="65" t="s">
        <v>4420</v>
      </c>
      <c r="B1185" s="65" t="s">
        <v>81</v>
      </c>
      <c r="C1185" s="65" t="s">
        <v>2792</v>
      </c>
      <c r="D1185" s="65" t="s">
        <v>125</v>
      </c>
      <c r="E1185" s="65" t="s">
        <v>3726</v>
      </c>
      <c r="F1185" s="65" t="b">
        <f>FALSE()</f>
        <v>0</v>
      </c>
      <c r="G1185" s="65" t="s">
        <v>177</v>
      </c>
      <c r="H1185" s="65" t="s">
        <v>165</v>
      </c>
      <c r="I1185" s="66">
        <v>46210.231273171303</v>
      </c>
      <c r="J1185" s="66">
        <v>46210.282980023199</v>
      </c>
      <c r="K1185" s="65">
        <v>0.1</v>
      </c>
      <c r="L1185" s="65" t="s">
        <v>183</v>
      </c>
      <c r="M1185" s="65" t="s">
        <v>183</v>
      </c>
      <c r="N1185" s="65" t="b">
        <f>TRUE()</f>
        <v>1</v>
      </c>
      <c r="O1185" s="71">
        <v>12000</v>
      </c>
      <c r="P1185" s="71">
        <v>18000</v>
      </c>
      <c r="Q1185" s="65" t="s">
        <v>3663</v>
      </c>
      <c r="R1185" s="65" t="s">
        <v>3664</v>
      </c>
      <c r="S1185" s="71">
        <v>180000</v>
      </c>
      <c r="T1185" s="65" t="b">
        <f>TRUE()</f>
        <v>1</v>
      </c>
      <c r="U1185" s="65" t="b">
        <f>FALSE()</f>
        <v>0</v>
      </c>
      <c r="V1185" s="65">
        <v>429</v>
      </c>
      <c r="W1185" s="67" t="s">
        <v>4421</v>
      </c>
      <c r="X1185" s="65"/>
      <c r="Y1185" s="68"/>
      <c r="Z1185" s="65" t="b">
        <f>TRUE()</f>
        <v>1</v>
      </c>
      <c r="AA1185" s="65" t="b">
        <f>FALSE()</f>
        <v>0</v>
      </c>
      <c r="AB1185" s="65" t="b">
        <f>FALSE()</f>
        <v>0</v>
      </c>
      <c r="AC1185" s="65" t="b">
        <f>FALSE()</f>
        <v>0</v>
      </c>
      <c r="AD1185" s="65" t="b">
        <f>FALSE()</f>
        <v>0</v>
      </c>
      <c r="AE1185" s="65">
        <v>2</v>
      </c>
      <c r="AF1185" s="69">
        <v>28.6</v>
      </c>
      <c r="AG1185" s="65" t="s">
        <v>73</v>
      </c>
      <c r="AH1185" s="65" t="s">
        <v>4422</v>
      </c>
      <c r="AI1185">
        <f>IF(AND(OR(Company_Explorer!$B$5="All Companies",$E1185=Company_Explorer!$B$5),OR(Company_Explorer!$B$6="All Platforms",$B1185=Company_Explorer!$B$6),OR(Company_Explorer!$B$7="All Roles",$D1185=Company_Explorer!$B$7),OR(Company_Explorer!$B$8="All Ghost Labels",$AG1185=Company_Explorer!$B$8)),1,0)</f>
        <v>0</v>
      </c>
    </row>
    <row r="1186" spans="1:35" ht="15" customHeight="1" x14ac:dyDescent="0.3">
      <c r="A1186" s="60" t="s">
        <v>4423</v>
      </c>
      <c r="B1186" s="60" t="s">
        <v>81</v>
      </c>
      <c r="C1186" s="60" t="s">
        <v>4424</v>
      </c>
      <c r="D1186" s="60" t="s">
        <v>125</v>
      </c>
      <c r="E1186" s="60" t="s">
        <v>4425</v>
      </c>
      <c r="F1186" s="60" t="b">
        <f>TRUE()</f>
        <v>1</v>
      </c>
      <c r="G1186" s="60" t="s">
        <v>165</v>
      </c>
      <c r="H1186" s="60" t="s">
        <v>3655</v>
      </c>
      <c r="I1186" s="61">
        <v>46210.058447523203</v>
      </c>
      <c r="J1186" s="61">
        <v>46210.282980196796</v>
      </c>
      <c r="K1186" s="60">
        <v>0.2</v>
      </c>
      <c r="L1186" s="60" t="s">
        <v>183</v>
      </c>
      <c r="M1186" s="60" t="s">
        <v>183</v>
      </c>
      <c r="N1186" s="60" t="b">
        <f>FALSE()</f>
        <v>0</v>
      </c>
      <c r="O1186" s="60"/>
      <c r="P1186" s="60"/>
      <c r="Q1186" s="60" t="s">
        <v>236</v>
      </c>
      <c r="R1186" s="60" t="s">
        <v>236</v>
      </c>
      <c r="S1186" s="60"/>
      <c r="T1186" s="60" t="b">
        <f>FALSE()</f>
        <v>0</v>
      </c>
      <c r="U1186" s="60" t="b">
        <f>FALSE()</f>
        <v>0</v>
      </c>
      <c r="V1186" s="60">
        <v>406</v>
      </c>
      <c r="W1186" s="62" t="s">
        <v>4426</v>
      </c>
      <c r="X1186" s="60">
        <v>3</v>
      </c>
      <c r="Y1186" s="63">
        <v>5.25</v>
      </c>
      <c r="Z1186" s="60" t="b">
        <f>FALSE()</f>
        <v>0</v>
      </c>
      <c r="AA1186" s="60" t="b">
        <f>TRUE()</f>
        <v>1</v>
      </c>
      <c r="AB1186" s="60" t="b">
        <f>FALSE()</f>
        <v>0</v>
      </c>
      <c r="AC1186" s="60" t="b">
        <f>FALSE()</f>
        <v>0</v>
      </c>
      <c r="AD1186" s="60" t="b">
        <f>FALSE()</f>
        <v>0</v>
      </c>
      <c r="AE1186" s="60">
        <v>1</v>
      </c>
      <c r="AF1186" s="64">
        <v>14.3</v>
      </c>
      <c r="AG1186" s="60" t="s">
        <v>74</v>
      </c>
      <c r="AH1186" s="60" t="s">
        <v>4427</v>
      </c>
      <c r="AI1186">
        <f>IF(AND(OR(Company_Explorer!$B$5="All Companies",$E1186=Company_Explorer!$B$5),OR(Company_Explorer!$B$6="All Platforms",$B1186=Company_Explorer!$B$6),OR(Company_Explorer!$B$7="All Roles",$D1186=Company_Explorer!$B$7),OR(Company_Explorer!$B$8="All Ghost Labels",$AG1186=Company_Explorer!$B$8)),1,0)</f>
        <v>0</v>
      </c>
    </row>
    <row r="1187" spans="1:35" ht="15" customHeight="1" x14ac:dyDescent="0.3">
      <c r="A1187" s="65" t="s">
        <v>4428</v>
      </c>
      <c r="B1187" s="65" t="s">
        <v>81</v>
      </c>
      <c r="C1187" s="65" t="s">
        <v>4429</v>
      </c>
      <c r="D1187" s="65" t="s">
        <v>125</v>
      </c>
      <c r="E1187" s="65" t="s">
        <v>148</v>
      </c>
      <c r="F1187" s="65" t="b">
        <f>TRUE()</f>
        <v>1</v>
      </c>
      <c r="G1187" s="65" t="s">
        <v>165</v>
      </c>
      <c r="H1187" s="65" t="s">
        <v>3672</v>
      </c>
      <c r="I1187" s="66">
        <v>46210.194307662001</v>
      </c>
      <c r="J1187" s="66">
        <v>46210.282980266202</v>
      </c>
      <c r="K1187" s="65">
        <v>0.1</v>
      </c>
      <c r="L1187" s="65" t="s">
        <v>183</v>
      </c>
      <c r="M1187" s="65" t="s">
        <v>183</v>
      </c>
      <c r="N1187" s="65" t="b">
        <f>FALSE()</f>
        <v>0</v>
      </c>
      <c r="O1187" s="65"/>
      <c r="P1187" s="65"/>
      <c r="Q1187" s="65" t="s">
        <v>236</v>
      </c>
      <c r="R1187" s="65" t="s">
        <v>236</v>
      </c>
      <c r="S1187" s="65"/>
      <c r="T1187" s="65" t="b">
        <f>FALSE()</f>
        <v>0</v>
      </c>
      <c r="U1187" s="65" t="b">
        <f>FALSE()</f>
        <v>0</v>
      </c>
      <c r="V1187" s="65">
        <v>604</v>
      </c>
      <c r="W1187" s="65" t="s">
        <v>733</v>
      </c>
      <c r="X1187" s="65">
        <v>17</v>
      </c>
      <c r="Y1187" s="68">
        <v>29.75</v>
      </c>
      <c r="Z1187" s="65" t="b">
        <f>FALSE()</f>
        <v>0</v>
      </c>
      <c r="AA1187" s="65" t="b">
        <f>TRUE()</f>
        <v>1</v>
      </c>
      <c r="AB1187" s="65" t="b">
        <f>FALSE()</f>
        <v>0</v>
      </c>
      <c r="AC1187" s="65" t="b">
        <f>FALSE()</f>
        <v>0</v>
      </c>
      <c r="AD1187" s="65" t="b">
        <f>FALSE()</f>
        <v>0</v>
      </c>
      <c r="AE1187" s="65">
        <v>1</v>
      </c>
      <c r="AF1187" s="69">
        <v>14.3</v>
      </c>
      <c r="AG1187" s="65" t="s">
        <v>74</v>
      </c>
      <c r="AH1187" s="65" t="s">
        <v>4430</v>
      </c>
      <c r="AI1187">
        <f>IF(AND(OR(Company_Explorer!$B$5="All Companies",$E1187=Company_Explorer!$B$5),OR(Company_Explorer!$B$6="All Platforms",$B1187=Company_Explorer!$B$6),OR(Company_Explorer!$B$7="All Roles",$D1187=Company_Explorer!$B$7),OR(Company_Explorer!$B$8="All Ghost Labels",$AG1187=Company_Explorer!$B$8)),1,0)</f>
        <v>0</v>
      </c>
    </row>
    <row r="1188" spans="1:35" ht="15" customHeight="1" x14ac:dyDescent="0.3">
      <c r="A1188" s="60" t="s">
        <v>4431</v>
      </c>
      <c r="B1188" s="60" t="s">
        <v>81</v>
      </c>
      <c r="C1188" s="60" t="s">
        <v>4432</v>
      </c>
      <c r="D1188" s="60" t="s">
        <v>125</v>
      </c>
      <c r="E1188" s="60" t="s">
        <v>4389</v>
      </c>
      <c r="F1188" s="60" t="b">
        <f>TRUE()</f>
        <v>1</v>
      </c>
      <c r="G1188" s="60" t="s">
        <v>165</v>
      </c>
      <c r="H1188" s="60" t="s">
        <v>3805</v>
      </c>
      <c r="I1188" s="61">
        <v>46210.156766296299</v>
      </c>
      <c r="J1188" s="61">
        <v>46210.282980358803</v>
      </c>
      <c r="K1188" s="60">
        <v>0.1</v>
      </c>
      <c r="L1188" s="60" t="s">
        <v>183</v>
      </c>
      <c r="M1188" s="60" t="s">
        <v>183</v>
      </c>
      <c r="N1188" s="60" t="b">
        <f>FALSE()</f>
        <v>0</v>
      </c>
      <c r="O1188" s="60"/>
      <c r="P1188" s="60"/>
      <c r="Q1188" s="60" t="s">
        <v>236</v>
      </c>
      <c r="R1188" s="60" t="s">
        <v>236</v>
      </c>
      <c r="S1188" s="60"/>
      <c r="T1188" s="60" t="b">
        <f>FALSE()</f>
        <v>0</v>
      </c>
      <c r="U1188" s="60" t="b">
        <f>FALSE()</f>
        <v>0</v>
      </c>
      <c r="V1188" s="60">
        <v>165</v>
      </c>
      <c r="W1188" s="62" t="s">
        <v>4433</v>
      </c>
      <c r="X1188" s="60">
        <v>5</v>
      </c>
      <c r="Y1188" s="63">
        <v>8.75</v>
      </c>
      <c r="Z1188" s="60" t="b">
        <f>FALSE()</f>
        <v>0</v>
      </c>
      <c r="AA1188" s="60" t="b">
        <f>TRUE()</f>
        <v>1</v>
      </c>
      <c r="AB1188" s="60" t="b">
        <f>TRUE()</f>
        <v>1</v>
      </c>
      <c r="AC1188" s="60" t="b">
        <f>FALSE()</f>
        <v>0</v>
      </c>
      <c r="AD1188" s="60" t="b">
        <f>FALSE()</f>
        <v>0</v>
      </c>
      <c r="AE1188" s="60">
        <v>2</v>
      </c>
      <c r="AF1188" s="64">
        <v>28.6</v>
      </c>
      <c r="AG1188" s="60" t="s">
        <v>73</v>
      </c>
      <c r="AH1188" s="60" t="s">
        <v>4434</v>
      </c>
      <c r="AI1188">
        <f>IF(AND(OR(Company_Explorer!$B$5="All Companies",$E1188=Company_Explorer!$B$5),OR(Company_Explorer!$B$6="All Platforms",$B1188=Company_Explorer!$B$6),OR(Company_Explorer!$B$7="All Roles",$D1188=Company_Explorer!$B$7),OR(Company_Explorer!$B$8="All Ghost Labels",$AG1188=Company_Explorer!$B$8)),1,0)</f>
        <v>0</v>
      </c>
    </row>
    <row r="1189" spans="1:35" ht="15" customHeight="1" x14ac:dyDescent="0.3">
      <c r="A1189" s="65" t="s">
        <v>4435</v>
      </c>
      <c r="B1189" s="65" t="s">
        <v>81</v>
      </c>
      <c r="C1189" s="65" t="s">
        <v>4436</v>
      </c>
      <c r="D1189" s="65" t="s">
        <v>125</v>
      </c>
      <c r="E1189" s="65" t="s">
        <v>2690</v>
      </c>
      <c r="F1189" s="65" t="b">
        <f>TRUE()</f>
        <v>1</v>
      </c>
      <c r="G1189" s="65" t="s">
        <v>165</v>
      </c>
      <c r="H1189" s="65" t="s">
        <v>3620</v>
      </c>
      <c r="I1189" s="66">
        <v>46210.053751504602</v>
      </c>
      <c r="J1189" s="66">
        <v>46210.282980775497</v>
      </c>
      <c r="K1189" s="65">
        <v>0.2</v>
      </c>
      <c r="L1189" s="65" t="s">
        <v>183</v>
      </c>
      <c r="M1189" s="65" t="s">
        <v>183</v>
      </c>
      <c r="N1189" s="65" t="b">
        <f>FALSE()</f>
        <v>0</v>
      </c>
      <c r="O1189" s="65"/>
      <c r="P1189" s="65"/>
      <c r="Q1189" s="65" t="s">
        <v>236</v>
      </c>
      <c r="R1189" s="65" t="s">
        <v>236</v>
      </c>
      <c r="S1189" s="65"/>
      <c r="T1189" s="65" t="b">
        <f>FALSE()</f>
        <v>0</v>
      </c>
      <c r="U1189" s="65" t="b">
        <f>FALSE()</f>
        <v>0</v>
      </c>
      <c r="V1189" s="65">
        <v>759</v>
      </c>
      <c r="W1189" s="65" t="s">
        <v>4437</v>
      </c>
      <c r="X1189" s="65">
        <v>5</v>
      </c>
      <c r="Y1189" s="68">
        <v>8.75</v>
      </c>
      <c r="Z1189" s="65" t="b">
        <f>FALSE()</f>
        <v>0</v>
      </c>
      <c r="AA1189" s="65" t="b">
        <f>TRUE()</f>
        <v>1</v>
      </c>
      <c r="AB1189" s="65" t="b">
        <f>FALSE()</f>
        <v>0</v>
      </c>
      <c r="AC1189" s="65" t="b">
        <f>FALSE()</f>
        <v>0</v>
      </c>
      <c r="AD1189" s="65" t="b">
        <f>FALSE()</f>
        <v>0</v>
      </c>
      <c r="AE1189" s="65">
        <v>1</v>
      </c>
      <c r="AF1189" s="69">
        <v>14.3</v>
      </c>
      <c r="AG1189" s="65" t="s">
        <v>74</v>
      </c>
      <c r="AH1189" s="65" t="s">
        <v>4438</v>
      </c>
      <c r="AI1189">
        <f>IF(AND(OR(Company_Explorer!$B$5="All Companies",$E1189=Company_Explorer!$B$5),OR(Company_Explorer!$B$6="All Platforms",$B1189=Company_Explorer!$B$6),OR(Company_Explorer!$B$7="All Roles",$D1189=Company_Explorer!$B$7),OR(Company_Explorer!$B$8="All Ghost Labels",$AG1189=Company_Explorer!$B$8)),1,0)</f>
        <v>0</v>
      </c>
    </row>
    <row r="1190" spans="1:35" ht="15" customHeight="1" x14ac:dyDescent="0.3">
      <c r="A1190" s="60" t="s">
        <v>4439</v>
      </c>
      <c r="B1190" s="60" t="s">
        <v>81</v>
      </c>
      <c r="C1190" s="60" t="s">
        <v>4440</v>
      </c>
      <c r="D1190" s="60" t="s">
        <v>125</v>
      </c>
      <c r="E1190" s="60" t="s">
        <v>4441</v>
      </c>
      <c r="F1190" s="60" t="b">
        <f>TRUE()</f>
        <v>1</v>
      </c>
      <c r="G1190" s="60" t="s">
        <v>165</v>
      </c>
      <c r="H1190" s="60" t="s">
        <v>4442</v>
      </c>
      <c r="I1190" s="61">
        <v>46210.228666666699</v>
      </c>
      <c r="J1190" s="61">
        <v>46210.282981007003</v>
      </c>
      <c r="K1190" s="60">
        <v>0.1</v>
      </c>
      <c r="L1190" s="60" t="s">
        <v>183</v>
      </c>
      <c r="M1190" s="60" t="s">
        <v>183</v>
      </c>
      <c r="N1190" s="60" t="b">
        <f>TRUE()</f>
        <v>1</v>
      </c>
      <c r="O1190" s="70">
        <v>20000</v>
      </c>
      <c r="P1190" s="70">
        <v>30000</v>
      </c>
      <c r="Q1190" s="60" t="s">
        <v>3663</v>
      </c>
      <c r="R1190" s="60" t="s">
        <v>3664</v>
      </c>
      <c r="S1190" s="70">
        <v>300000</v>
      </c>
      <c r="T1190" s="60" t="b">
        <f>TRUE()</f>
        <v>1</v>
      </c>
      <c r="U1190" s="60" t="b">
        <f>FALSE()</f>
        <v>0</v>
      </c>
      <c r="V1190" s="60">
        <v>361</v>
      </c>
      <c r="W1190" s="62" t="s">
        <v>4443</v>
      </c>
      <c r="X1190" s="60">
        <v>1</v>
      </c>
      <c r="Y1190" s="63">
        <v>1.75</v>
      </c>
      <c r="Z1190" s="60" t="b">
        <f>FALSE()</f>
        <v>0</v>
      </c>
      <c r="AA1190" s="60" t="b">
        <f>FALSE()</f>
        <v>0</v>
      </c>
      <c r="AB1190" s="60" t="b">
        <f>FALSE()</f>
        <v>0</v>
      </c>
      <c r="AC1190" s="60" t="b">
        <f>FALSE()</f>
        <v>0</v>
      </c>
      <c r="AD1190" s="60" t="b">
        <f>FALSE()</f>
        <v>0</v>
      </c>
      <c r="AE1190" s="60">
        <v>0</v>
      </c>
      <c r="AF1190" s="64">
        <v>0</v>
      </c>
      <c r="AG1190" s="60" t="s">
        <v>74</v>
      </c>
      <c r="AH1190" s="60" t="s">
        <v>4444</v>
      </c>
      <c r="AI1190">
        <f>IF(AND(OR(Company_Explorer!$B$5="All Companies",$E1190=Company_Explorer!$B$5),OR(Company_Explorer!$B$6="All Platforms",$B1190=Company_Explorer!$B$6),OR(Company_Explorer!$B$7="All Roles",$D1190=Company_Explorer!$B$7),OR(Company_Explorer!$B$8="All Ghost Labels",$AG1190=Company_Explorer!$B$8)),1,0)</f>
        <v>0</v>
      </c>
    </row>
    <row r="1191" spans="1:35" ht="15" customHeight="1" x14ac:dyDescent="0.3">
      <c r="A1191" s="65" t="s">
        <v>4445</v>
      </c>
      <c r="B1191" s="65" t="s">
        <v>81</v>
      </c>
      <c r="C1191" s="65" t="s">
        <v>4446</v>
      </c>
      <c r="D1191" s="65" t="s">
        <v>130</v>
      </c>
      <c r="E1191" s="65" t="s">
        <v>148</v>
      </c>
      <c r="F1191" s="65" t="b">
        <f>TRUE()</f>
        <v>1</v>
      </c>
      <c r="G1191" s="65" t="s">
        <v>165</v>
      </c>
      <c r="H1191" s="65" t="s">
        <v>3672</v>
      </c>
      <c r="I1191" s="66">
        <v>46210.194289224499</v>
      </c>
      <c r="J1191" s="66">
        <v>46210.2829811458</v>
      </c>
      <c r="K1191" s="65">
        <v>0.1</v>
      </c>
      <c r="L1191" s="65" t="s">
        <v>183</v>
      </c>
      <c r="M1191" s="65" t="s">
        <v>183</v>
      </c>
      <c r="N1191" s="65" t="b">
        <f>FALSE()</f>
        <v>0</v>
      </c>
      <c r="O1191" s="65"/>
      <c r="P1191" s="65"/>
      <c r="Q1191" s="65" t="s">
        <v>236</v>
      </c>
      <c r="R1191" s="65" t="s">
        <v>236</v>
      </c>
      <c r="S1191" s="65"/>
      <c r="T1191" s="65" t="b">
        <f>FALSE()</f>
        <v>0</v>
      </c>
      <c r="U1191" s="65" t="b">
        <f>FALSE()</f>
        <v>0</v>
      </c>
      <c r="V1191" s="65">
        <v>636</v>
      </c>
      <c r="W1191" s="65" t="s">
        <v>733</v>
      </c>
      <c r="X1191" s="65">
        <v>17</v>
      </c>
      <c r="Y1191" s="68">
        <v>29.75</v>
      </c>
      <c r="Z1191" s="65" t="b">
        <f>FALSE()</f>
        <v>0</v>
      </c>
      <c r="AA1191" s="65" t="b">
        <f>TRUE()</f>
        <v>1</v>
      </c>
      <c r="AB1191" s="65" t="b">
        <f>FALSE()</f>
        <v>0</v>
      </c>
      <c r="AC1191" s="65" t="b">
        <f>FALSE()</f>
        <v>0</v>
      </c>
      <c r="AD1191" s="65" t="b">
        <f>FALSE()</f>
        <v>0</v>
      </c>
      <c r="AE1191" s="65">
        <v>1</v>
      </c>
      <c r="AF1191" s="69">
        <v>14.3</v>
      </c>
      <c r="AG1191" s="65" t="s">
        <v>74</v>
      </c>
      <c r="AH1191" s="65" t="s">
        <v>4447</v>
      </c>
      <c r="AI1191">
        <f>IF(AND(OR(Company_Explorer!$B$5="All Companies",$E1191=Company_Explorer!$B$5),OR(Company_Explorer!$B$6="All Platforms",$B1191=Company_Explorer!$B$6),OR(Company_Explorer!$B$7="All Roles",$D1191=Company_Explorer!$B$7),OR(Company_Explorer!$B$8="All Ghost Labels",$AG1191=Company_Explorer!$B$8)),1,0)</f>
        <v>0</v>
      </c>
    </row>
    <row r="1192" spans="1:35" ht="15" customHeight="1" x14ac:dyDescent="0.3">
      <c r="A1192" s="60" t="s">
        <v>4448</v>
      </c>
      <c r="B1192" s="60" t="s">
        <v>81</v>
      </c>
      <c r="C1192" s="60" t="s">
        <v>130</v>
      </c>
      <c r="D1192" s="60" t="s">
        <v>130</v>
      </c>
      <c r="E1192" s="60" t="s">
        <v>143</v>
      </c>
      <c r="F1192" s="60" t="b">
        <f>TRUE()</f>
        <v>1</v>
      </c>
      <c r="G1192" s="60" t="s">
        <v>165</v>
      </c>
      <c r="H1192" s="60" t="s">
        <v>3620</v>
      </c>
      <c r="I1192" s="61">
        <v>46210.053319756997</v>
      </c>
      <c r="J1192" s="61">
        <v>46210.282981284698</v>
      </c>
      <c r="K1192" s="60">
        <v>0.2</v>
      </c>
      <c r="L1192" s="60" t="s">
        <v>183</v>
      </c>
      <c r="M1192" s="60" t="s">
        <v>183</v>
      </c>
      <c r="N1192" s="60" t="b">
        <f>FALSE()</f>
        <v>0</v>
      </c>
      <c r="O1192" s="60"/>
      <c r="P1192" s="60"/>
      <c r="Q1192" s="60" t="s">
        <v>236</v>
      </c>
      <c r="R1192" s="60" t="s">
        <v>236</v>
      </c>
      <c r="S1192" s="60"/>
      <c r="T1192" s="60" t="b">
        <f>FALSE()</f>
        <v>0</v>
      </c>
      <c r="U1192" s="60" t="b">
        <f>FALSE()</f>
        <v>0</v>
      </c>
      <c r="V1192" s="60">
        <v>352</v>
      </c>
      <c r="W1192" s="62" t="s">
        <v>4449</v>
      </c>
      <c r="X1192" s="60">
        <v>64</v>
      </c>
      <c r="Y1192" s="63">
        <v>112</v>
      </c>
      <c r="Z1192" s="60" t="b">
        <f>FALSE()</f>
        <v>0</v>
      </c>
      <c r="AA1192" s="60" t="b">
        <f>TRUE()</f>
        <v>1</v>
      </c>
      <c r="AB1192" s="60" t="b">
        <f>FALSE()</f>
        <v>0</v>
      </c>
      <c r="AC1192" s="60" t="b">
        <f>FALSE()</f>
        <v>0</v>
      </c>
      <c r="AD1192" s="60" t="b">
        <f>TRUE()</f>
        <v>1</v>
      </c>
      <c r="AE1192" s="60">
        <v>3</v>
      </c>
      <c r="AF1192" s="64">
        <v>42.9</v>
      </c>
      <c r="AG1192" s="60" t="s">
        <v>73</v>
      </c>
      <c r="AH1192" s="60" t="s">
        <v>4450</v>
      </c>
      <c r="AI1192">
        <f>IF(AND(OR(Company_Explorer!$B$5="All Companies",$E1192=Company_Explorer!$B$5),OR(Company_Explorer!$B$6="All Platforms",$B1192=Company_Explorer!$B$6),OR(Company_Explorer!$B$7="All Roles",$D1192=Company_Explorer!$B$7),OR(Company_Explorer!$B$8="All Ghost Labels",$AG1192=Company_Explorer!$B$8)),1,0)</f>
        <v>0</v>
      </c>
    </row>
    <row r="1193" spans="1:35" ht="15" customHeight="1" x14ac:dyDescent="0.3">
      <c r="A1193" s="65" t="s">
        <v>4451</v>
      </c>
      <c r="B1193" s="65" t="s">
        <v>81</v>
      </c>
      <c r="C1193" s="65" t="s">
        <v>4452</v>
      </c>
      <c r="D1193" s="65" t="s">
        <v>125</v>
      </c>
      <c r="E1193" s="65" t="s">
        <v>148</v>
      </c>
      <c r="F1193" s="65" t="b">
        <f>TRUE()</f>
        <v>1</v>
      </c>
      <c r="G1193" s="65" t="s">
        <v>165</v>
      </c>
      <c r="H1193" s="65" t="s">
        <v>3672</v>
      </c>
      <c r="I1193" s="66">
        <v>46210.194306458303</v>
      </c>
      <c r="J1193" s="66">
        <v>46210.282980810203</v>
      </c>
      <c r="K1193" s="65">
        <v>0.1</v>
      </c>
      <c r="L1193" s="65" t="s">
        <v>183</v>
      </c>
      <c r="M1193" s="65" t="s">
        <v>183</v>
      </c>
      <c r="N1193" s="65" t="b">
        <f>FALSE()</f>
        <v>0</v>
      </c>
      <c r="O1193" s="65"/>
      <c r="P1193" s="65"/>
      <c r="Q1193" s="65" t="s">
        <v>236</v>
      </c>
      <c r="R1193" s="65" t="s">
        <v>236</v>
      </c>
      <c r="S1193" s="65"/>
      <c r="T1193" s="65" t="b">
        <f>FALSE()</f>
        <v>0</v>
      </c>
      <c r="U1193" s="65" t="b">
        <f>FALSE()</f>
        <v>0</v>
      </c>
      <c r="V1193" s="65">
        <v>604</v>
      </c>
      <c r="W1193" s="65" t="s">
        <v>733</v>
      </c>
      <c r="X1193" s="65">
        <v>17</v>
      </c>
      <c r="Y1193" s="68">
        <v>29.75</v>
      </c>
      <c r="Z1193" s="65" t="b">
        <f>FALSE()</f>
        <v>0</v>
      </c>
      <c r="AA1193" s="65" t="b">
        <f>TRUE()</f>
        <v>1</v>
      </c>
      <c r="AB1193" s="65" t="b">
        <f>FALSE()</f>
        <v>0</v>
      </c>
      <c r="AC1193" s="65" t="b">
        <f>FALSE()</f>
        <v>0</v>
      </c>
      <c r="AD1193" s="65" t="b">
        <f>FALSE()</f>
        <v>0</v>
      </c>
      <c r="AE1193" s="65">
        <v>1</v>
      </c>
      <c r="AF1193" s="69">
        <v>14.3</v>
      </c>
      <c r="AG1193" s="65" t="s">
        <v>74</v>
      </c>
      <c r="AH1193" s="65" t="s">
        <v>4453</v>
      </c>
      <c r="AI1193">
        <f>IF(AND(OR(Company_Explorer!$B$5="All Companies",$E1193=Company_Explorer!$B$5),OR(Company_Explorer!$B$6="All Platforms",$B1193=Company_Explorer!$B$6),OR(Company_Explorer!$B$7="All Roles",$D1193=Company_Explorer!$B$7),OR(Company_Explorer!$B$8="All Ghost Labels",$AG1193=Company_Explorer!$B$8)),1,0)</f>
        <v>0</v>
      </c>
    </row>
    <row r="1194" spans="1:35" ht="15" customHeight="1" x14ac:dyDescent="0.3">
      <c r="A1194" s="60" t="s">
        <v>4454</v>
      </c>
      <c r="B1194" s="60" t="s">
        <v>81</v>
      </c>
      <c r="C1194" s="60" t="s">
        <v>4455</v>
      </c>
      <c r="D1194" s="60" t="s">
        <v>134</v>
      </c>
      <c r="E1194" s="60" t="s">
        <v>4314</v>
      </c>
      <c r="F1194" s="60" t="b">
        <f>TRUE()</f>
        <v>1</v>
      </c>
      <c r="G1194" s="60" t="s">
        <v>165</v>
      </c>
      <c r="H1194" s="60" t="s">
        <v>3636</v>
      </c>
      <c r="I1194" s="61">
        <v>46210.227016840297</v>
      </c>
      <c r="J1194" s="61">
        <v>46210.282981249999</v>
      </c>
      <c r="K1194" s="60">
        <v>0.1</v>
      </c>
      <c r="L1194" s="60" t="s">
        <v>183</v>
      </c>
      <c r="M1194" s="60" t="s">
        <v>183</v>
      </c>
      <c r="N1194" s="60" t="b">
        <f>FALSE()</f>
        <v>0</v>
      </c>
      <c r="O1194" s="60"/>
      <c r="P1194" s="60"/>
      <c r="Q1194" s="60" t="s">
        <v>236</v>
      </c>
      <c r="R1194" s="60" t="s">
        <v>236</v>
      </c>
      <c r="S1194" s="60"/>
      <c r="T1194" s="60" t="b">
        <f>FALSE()</f>
        <v>0</v>
      </c>
      <c r="U1194" s="60" t="b">
        <f>FALSE()</f>
        <v>0</v>
      </c>
      <c r="V1194" s="60">
        <v>297</v>
      </c>
      <c r="W1194" s="62" t="s">
        <v>4456</v>
      </c>
      <c r="X1194" s="60">
        <v>3</v>
      </c>
      <c r="Y1194" s="63">
        <v>5.25</v>
      </c>
      <c r="Z1194" s="60" t="b">
        <f>FALSE()</f>
        <v>0</v>
      </c>
      <c r="AA1194" s="60" t="b">
        <f>TRUE()</f>
        <v>1</v>
      </c>
      <c r="AB1194" s="60" t="b">
        <f>TRUE()</f>
        <v>1</v>
      </c>
      <c r="AC1194" s="60" t="b">
        <f>FALSE()</f>
        <v>0</v>
      </c>
      <c r="AD1194" s="60" t="b">
        <f>FALSE()</f>
        <v>0</v>
      </c>
      <c r="AE1194" s="60">
        <v>2</v>
      </c>
      <c r="AF1194" s="64">
        <v>28.6</v>
      </c>
      <c r="AG1194" s="60" t="s">
        <v>73</v>
      </c>
      <c r="AH1194" s="60" t="s">
        <v>4457</v>
      </c>
      <c r="AI1194">
        <f>IF(AND(OR(Company_Explorer!$B$5="All Companies",$E1194=Company_Explorer!$B$5),OR(Company_Explorer!$B$6="All Platforms",$B1194=Company_Explorer!$B$6),OR(Company_Explorer!$B$7="All Roles",$D1194=Company_Explorer!$B$7),OR(Company_Explorer!$B$8="All Ghost Labels",$AG1194=Company_Explorer!$B$8)),1,0)</f>
        <v>0</v>
      </c>
    </row>
    <row r="1195" spans="1:35" ht="15" customHeight="1" x14ac:dyDescent="0.3">
      <c r="A1195" s="65" t="s">
        <v>4458</v>
      </c>
      <c r="B1195" s="65" t="s">
        <v>81</v>
      </c>
      <c r="C1195" s="65" t="s">
        <v>134</v>
      </c>
      <c r="D1195" s="65" t="s">
        <v>134</v>
      </c>
      <c r="E1195" s="65" t="s">
        <v>4459</v>
      </c>
      <c r="F1195" s="65" t="b">
        <f>TRUE()</f>
        <v>1</v>
      </c>
      <c r="G1195" s="65" t="s">
        <v>165</v>
      </c>
      <c r="H1195" s="65" t="s">
        <v>3672</v>
      </c>
      <c r="I1195" s="66">
        <v>46210.148740925899</v>
      </c>
      <c r="J1195" s="66">
        <v>46210.2829812153</v>
      </c>
      <c r="K1195" s="65">
        <v>0.1</v>
      </c>
      <c r="L1195" s="65" t="s">
        <v>183</v>
      </c>
      <c r="M1195" s="65" t="s">
        <v>183</v>
      </c>
      <c r="N1195" s="65" t="b">
        <f>TRUE()</f>
        <v>1</v>
      </c>
      <c r="O1195" s="71">
        <v>20528.51953125</v>
      </c>
      <c r="P1195" s="71">
        <v>56310.19140625</v>
      </c>
      <c r="Q1195" s="65" t="s">
        <v>3663</v>
      </c>
      <c r="R1195" s="65" t="s">
        <v>3664</v>
      </c>
      <c r="S1195" s="71">
        <v>461032</v>
      </c>
      <c r="T1195" s="65" t="b">
        <f>TRUE()</f>
        <v>1</v>
      </c>
      <c r="U1195" s="65" t="b">
        <f>FALSE()</f>
        <v>0</v>
      </c>
      <c r="V1195" s="65">
        <v>431</v>
      </c>
      <c r="W1195" s="67" t="s">
        <v>4460</v>
      </c>
      <c r="X1195" s="65">
        <v>1</v>
      </c>
      <c r="Y1195" s="68">
        <v>1.75</v>
      </c>
      <c r="Z1195" s="65" t="b">
        <f>FALSE()</f>
        <v>0</v>
      </c>
      <c r="AA1195" s="65" t="b">
        <f>FALSE()</f>
        <v>0</v>
      </c>
      <c r="AB1195" s="65" t="b">
        <f>FALSE()</f>
        <v>0</v>
      </c>
      <c r="AC1195" s="65" t="b">
        <f>FALSE()</f>
        <v>0</v>
      </c>
      <c r="AD1195" s="65" t="b">
        <f>FALSE()</f>
        <v>0</v>
      </c>
      <c r="AE1195" s="65">
        <v>0</v>
      </c>
      <c r="AF1195" s="69">
        <v>0</v>
      </c>
      <c r="AG1195" s="65" t="s">
        <v>74</v>
      </c>
      <c r="AH1195" s="65" t="s">
        <v>4461</v>
      </c>
      <c r="AI1195">
        <f>IF(AND(OR(Company_Explorer!$B$5="All Companies",$E1195=Company_Explorer!$B$5),OR(Company_Explorer!$B$6="All Platforms",$B1195=Company_Explorer!$B$6),OR(Company_Explorer!$B$7="All Roles",$D1195=Company_Explorer!$B$7),OR(Company_Explorer!$B$8="All Ghost Labels",$AG1195=Company_Explorer!$B$8)),1,0)</f>
        <v>0</v>
      </c>
    </row>
    <row r="1196" spans="1:35" ht="15" customHeight="1" x14ac:dyDescent="0.3">
      <c r="A1196" s="60" t="s">
        <v>4462</v>
      </c>
      <c r="B1196" s="60" t="s">
        <v>81</v>
      </c>
      <c r="C1196" s="60" t="s">
        <v>1811</v>
      </c>
      <c r="D1196" s="60" t="s">
        <v>125</v>
      </c>
      <c r="E1196" s="60" t="s">
        <v>148</v>
      </c>
      <c r="F1196" s="60" t="b">
        <f>TRUE()</f>
        <v>1</v>
      </c>
      <c r="G1196" s="60" t="s">
        <v>165</v>
      </c>
      <c r="H1196" s="60" t="s">
        <v>3672</v>
      </c>
      <c r="I1196" s="61">
        <v>46210.194304421297</v>
      </c>
      <c r="J1196" s="61">
        <v>46210.282981782402</v>
      </c>
      <c r="K1196" s="60">
        <v>0.1</v>
      </c>
      <c r="L1196" s="60" t="s">
        <v>183</v>
      </c>
      <c r="M1196" s="60" t="s">
        <v>183</v>
      </c>
      <c r="N1196" s="60" t="b">
        <f>FALSE()</f>
        <v>0</v>
      </c>
      <c r="O1196" s="60"/>
      <c r="P1196" s="60"/>
      <c r="Q1196" s="60" t="s">
        <v>236</v>
      </c>
      <c r="R1196" s="60" t="s">
        <v>236</v>
      </c>
      <c r="S1196" s="60"/>
      <c r="T1196" s="60" t="b">
        <f>FALSE()</f>
        <v>0</v>
      </c>
      <c r="U1196" s="60" t="b">
        <f>FALSE()</f>
        <v>0</v>
      </c>
      <c r="V1196" s="60">
        <v>530</v>
      </c>
      <c r="W1196" s="60" t="s">
        <v>733</v>
      </c>
      <c r="X1196" s="60">
        <v>17</v>
      </c>
      <c r="Y1196" s="63">
        <v>29.75</v>
      </c>
      <c r="Z1196" s="60" t="b">
        <f>FALSE()</f>
        <v>0</v>
      </c>
      <c r="AA1196" s="60" t="b">
        <f>TRUE()</f>
        <v>1</v>
      </c>
      <c r="AB1196" s="60" t="b">
        <f>FALSE()</f>
        <v>0</v>
      </c>
      <c r="AC1196" s="60" t="b">
        <f>FALSE()</f>
        <v>0</v>
      </c>
      <c r="AD1196" s="60" t="b">
        <f>FALSE()</f>
        <v>0</v>
      </c>
      <c r="AE1196" s="60">
        <v>1</v>
      </c>
      <c r="AF1196" s="64">
        <v>14.3</v>
      </c>
      <c r="AG1196" s="60" t="s">
        <v>74</v>
      </c>
      <c r="AH1196" s="60" t="s">
        <v>4463</v>
      </c>
      <c r="AI1196">
        <f>IF(AND(OR(Company_Explorer!$B$5="All Companies",$E1196=Company_Explorer!$B$5),OR(Company_Explorer!$B$6="All Platforms",$B1196=Company_Explorer!$B$6),OR(Company_Explorer!$B$7="All Roles",$D1196=Company_Explorer!$B$7),OR(Company_Explorer!$B$8="All Ghost Labels",$AG1196=Company_Explorer!$B$8)),1,0)</f>
        <v>0</v>
      </c>
    </row>
    <row r="1197" spans="1:35" ht="15" customHeight="1" x14ac:dyDescent="0.3">
      <c r="A1197" s="65" t="s">
        <v>4464</v>
      </c>
      <c r="B1197" s="65" t="s">
        <v>81</v>
      </c>
      <c r="C1197" s="65" t="s">
        <v>4465</v>
      </c>
      <c r="D1197" s="65" t="s">
        <v>125</v>
      </c>
      <c r="E1197" s="65" t="s">
        <v>4389</v>
      </c>
      <c r="F1197" s="65" t="b">
        <f>TRUE()</f>
        <v>1</v>
      </c>
      <c r="G1197" s="65" t="s">
        <v>165</v>
      </c>
      <c r="H1197" s="65" t="s">
        <v>3805</v>
      </c>
      <c r="I1197" s="66">
        <v>46210.156763263898</v>
      </c>
      <c r="J1197" s="66">
        <v>46210.282981828699</v>
      </c>
      <c r="K1197" s="65">
        <v>0.1</v>
      </c>
      <c r="L1197" s="65" t="s">
        <v>183</v>
      </c>
      <c r="M1197" s="65" t="s">
        <v>183</v>
      </c>
      <c r="N1197" s="65" t="b">
        <f>FALSE()</f>
        <v>0</v>
      </c>
      <c r="O1197" s="65"/>
      <c r="P1197" s="65"/>
      <c r="Q1197" s="65" t="s">
        <v>236</v>
      </c>
      <c r="R1197" s="65" t="s">
        <v>236</v>
      </c>
      <c r="S1197" s="65"/>
      <c r="T1197" s="65" t="b">
        <f>FALSE()</f>
        <v>0</v>
      </c>
      <c r="U1197" s="65" t="b">
        <f>FALSE()</f>
        <v>0</v>
      </c>
      <c r="V1197" s="65">
        <v>49</v>
      </c>
      <c r="W1197" s="67" t="s">
        <v>4466</v>
      </c>
      <c r="X1197" s="65">
        <v>5</v>
      </c>
      <c r="Y1197" s="68">
        <v>8.75</v>
      </c>
      <c r="Z1197" s="65" t="b">
        <f>FALSE()</f>
        <v>0</v>
      </c>
      <c r="AA1197" s="65" t="b">
        <f>TRUE()</f>
        <v>1</v>
      </c>
      <c r="AB1197" s="65" t="b">
        <f>TRUE()</f>
        <v>1</v>
      </c>
      <c r="AC1197" s="65" t="b">
        <f>FALSE()</f>
        <v>0</v>
      </c>
      <c r="AD1197" s="65" t="b">
        <f>FALSE()</f>
        <v>0</v>
      </c>
      <c r="AE1197" s="65">
        <v>2</v>
      </c>
      <c r="AF1197" s="69">
        <v>28.6</v>
      </c>
      <c r="AG1197" s="65" t="s">
        <v>73</v>
      </c>
      <c r="AH1197" s="65" t="s">
        <v>4467</v>
      </c>
      <c r="AI1197">
        <f>IF(AND(OR(Company_Explorer!$B$5="All Companies",$E1197=Company_Explorer!$B$5),OR(Company_Explorer!$B$6="All Platforms",$B1197=Company_Explorer!$B$6),OR(Company_Explorer!$B$7="All Roles",$D1197=Company_Explorer!$B$7),OR(Company_Explorer!$B$8="All Ghost Labels",$AG1197=Company_Explorer!$B$8)),1,0)</f>
        <v>0</v>
      </c>
    </row>
    <row r="1198" spans="1:35" ht="15" customHeight="1" x14ac:dyDescent="0.3">
      <c r="A1198" s="60" t="s">
        <v>4468</v>
      </c>
      <c r="B1198" s="60" t="s">
        <v>81</v>
      </c>
      <c r="C1198" s="60" t="s">
        <v>4469</v>
      </c>
      <c r="D1198" s="60" t="s">
        <v>126</v>
      </c>
      <c r="E1198" s="60" t="s">
        <v>4470</v>
      </c>
      <c r="F1198" s="60" t="b">
        <f>TRUE()</f>
        <v>1</v>
      </c>
      <c r="G1198" s="60" t="s">
        <v>177</v>
      </c>
      <c r="H1198" s="60" t="s">
        <v>165</v>
      </c>
      <c r="I1198" s="61">
        <v>46210.224014733802</v>
      </c>
      <c r="J1198" s="61">
        <v>46210.282982106502</v>
      </c>
      <c r="K1198" s="60">
        <v>0.1</v>
      </c>
      <c r="L1198" s="60" t="s">
        <v>183</v>
      </c>
      <c r="M1198" s="60" t="s">
        <v>183</v>
      </c>
      <c r="N1198" s="60" t="b">
        <f>FALSE()</f>
        <v>0</v>
      </c>
      <c r="O1198" s="60"/>
      <c r="P1198" s="60"/>
      <c r="Q1198" s="60" t="s">
        <v>236</v>
      </c>
      <c r="R1198" s="60" t="s">
        <v>236</v>
      </c>
      <c r="S1198" s="60"/>
      <c r="T1198" s="60" t="b">
        <f>FALSE()</f>
        <v>0</v>
      </c>
      <c r="U1198" s="60" t="b">
        <f>FALSE()</f>
        <v>0</v>
      </c>
      <c r="V1198" s="60">
        <v>283</v>
      </c>
      <c r="W1198" s="62" t="s">
        <v>4471</v>
      </c>
      <c r="X1198" s="60">
        <v>2</v>
      </c>
      <c r="Y1198" s="63">
        <v>3.5</v>
      </c>
      <c r="Z1198" s="60" t="b">
        <f>FALSE()</f>
        <v>0</v>
      </c>
      <c r="AA1198" s="60" t="b">
        <f>TRUE()</f>
        <v>1</v>
      </c>
      <c r="AB1198" s="60" t="b">
        <f>TRUE()</f>
        <v>1</v>
      </c>
      <c r="AC1198" s="60" t="b">
        <f>FALSE()</f>
        <v>0</v>
      </c>
      <c r="AD1198" s="60" t="b">
        <f>FALSE()</f>
        <v>0</v>
      </c>
      <c r="AE1198" s="60">
        <v>2</v>
      </c>
      <c r="AF1198" s="64">
        <v>28.6</v>
      </c>
      <c r="AG1198" s="60" t="s">
        <v>73</v>
      </c>
      <c r="AH1198" s="60" t="s">
        <v>4472</v>
      </c>
      <c r="AI1198">
        <f>IF(AND(OR(Company_Explorer!$B$5="All Companies",$E1198=Company_Explorer!$B$5),OR(Company_Explorer!$B$6="All Platforms",$B1198=Company_Explorer!$B$6),OR(Company_Explorer!$B$7="All Roles",$D1198=Company_Explorer!$B$7),OR(Company_Explorer!$B$8="All Ghost Labels",$AG1198=Company_Explorer!$B$8)),1,0)</f>
        <v>0</v>
      </c>
    </row>
    <row r="1199" spans="1:35" ht="15" customHeight="1" x14ac:dyDescent="0.3">
      <c r="A1199" s="65" t="s">
        <v>4473</v>
      </c>
      <c r="B1199" s="65" t="s">
        <v>81</v>
      </c>
      <c r="C1199" s="65" t="s">
        <v>130</v>
      </c>
      <c r="D1199" s="65" t="s">
        <v>130</v>
      </c>
      <c r="E1199" s="65" t="s">
        <v>143</v>
      </c>
      <c r="F1199" s="65" t="b">
        <f>TRUE()</f>
        <v>1</v>
      </c>
      <c r="G1199" s="65" t="s">
        <v>165</v>
      </c>
      <c r="H1199" s="65" t="s">
        <v>3655</v>
      </c>
      <c r="I1199" s="66">
        <v>46210.0533075926</v>
      </c>
      <c r="J1199" s="66">
        <v>46210.282982569399</v>
      </c>
      <c r="K1199" s="65">
        <v>0.2</v>
      </c>
      <c r="L1199" s="65" t="s">
        <v>183</v>
      </c>
      <c r="M1199" s="65" t="s">
        <v>183</v>
      </c>
      <c r="N1199" s="65" t="b">
        <f>FALSE()</f>
        <v>0</v>
      </c>
      <c r="O1199" s="65"/>
      <c r="P1199" s="65"/>
      <c r="Q1199" s="65" t="s">
        <v>236</v>
      </c>
      <c r="R1199" s="65" t="s">
        <v>236</v>
      </c>
      <c r="S1199" s="65"/>
      <c r="T1199" s="65" t="b">
        <f>FALSE()</f>
        <v>0</v>
      </c>
      <c r="U1199" s="65" t="b">
        <f>FALSE()</f>
        <v>0</v>
      </c>
      <c r="V1199" s="65">
        <v>353</v>
      </c>
      <c r="W1199" s="67" t="s">
        <v>4449</v>
      </c>
      <c r="X1199" s="65">
        <v>64</v>
      </c>
      <c r="Y1199" s="68">
        <v>112</v>
      </c>
      <c r="Z1199" s="65" t="b">
        <f>FALSE()</f>
        <v>0</v>
      </c>
      <c r="AA1199" s="65" t="b">
        <f>TRUE()</f>
        <v>1</v>
      </c>
      <c r="AB1199" s="65" t="b">
        <f>FALSE()</f>
        <v>0</v>
      </c>
      <c r="AC1199" s="65" t="b">
        <f>FALSE()</f>
        <v>0</v>
      </c>
      <c r="AD1199" s="65" t="b">
        <f>TRUE()</f>
        <v>1</v>
      </c>
      <c r="AE1199" s="65">
        <v>3</v>
      </c>
      <c r="AF1199" s="69">
        <v>42.9</v>
      </c>
      <c r="AG1199" s="65" t="s">
        <v>73</v>
      </c>
      <c r="AH1199" s="65" t="s">
        <v>4474</v>
      </c>
      <c r="AI1199">
        <f>IF(AND(OR(Company_Explorer!$B$5="All Companies",$E1199=Company_Explorer!$B$5),OR(Company_Explorer!$B$6="All Platforms",$B1199=Company_Explorer!$B$6),OR(Company_Explorer!$B$7="All Roles",$D1199=Company_Explorer!$B$7),OR(Company_Explorer!$B$8="All Ghost Labels",$AG1199=Company_Explorer!$B$8)),1,0)</f>
        <v>0</v>
      </c>
    </row>
    <row r="1200" spans="1:35" ht="15" customHeight="1" x14ac:dyDescent="0.3">
      <c r="A1200" s="60" t="s">
        <v>4475</v>
      </c>
      <c r="B1200" s="60" t="s">
        <v>81</v>
      </c>
      <c r="C1200" s="60" t="s">
        <v>4476</v>
      </c>
      <c r="D1200" s="60" t="s">
        <v>125</v>
      </c>
      <c r="E1200" s="60" t="s">
        <v>4477</v>
      </c>
      <c r="F1200" s="60" t="b">
        <f>TRUE()</f>
        <v>1</v>
      </c>
      <c r="G1200" s="60" t="s">
        <v>165</v>
      </c>
      <c r="H1200" s="60" t="s">
        <v>3620</v>
      </c>
      <c r="I1200" s="61">
        <v>46210.223058483803</v>
      </c>
      <c r="J1200" s="61">
        <v>46210.282982800898</v>
      </c>
      <c r="K1200" s="60">
        <v>0.1</v>
      </c>
      <c r="L1200" s="60" t="s">
        <v>183</v>
      </c>
      <c r="M1200" s="60" t="s">
        <v>183</v>
      </c>
      <c r="N1200" s="60" t="b">
        <f>FALSE()</f>
        <v>0</v>
      </c>
      <c r="O1200" s="60"/>
      <c r="P1200" s="60"/>
      <c r="Q1200" s="60" t="s">
        <v>236</v>
      </c>
      <c r="R1200" s="60" t="s">
        <v>236</v>
      </c>
      <c r="S1200" s="60"/>
      <c r="T1200" s="60" t="b">
        <f>FALSE()</f>
        <v>0</v>
      </c>
      <c r="U1200" s="60" t="b">
        <f>FALSE()</f>
        <v>0</v>
      </c>
      <c r="V1200" s="60">
        <v>83</v>
      </c>
      <c r="W1200" s="62" t="s">
        <v>4478</v>
      </c>
      <c r="X1200" s="60">
        <v>1</v>
      </c>
      <c r="Y1200" s="63">
        <v>1.75</v>
      </c>
      <c r="Z1200" s="60" t="b">
        <f>FALSE()</f>
        <v>0</v>
      </c>
      <c r="AA1200" s="60" t="b">
        <f>TRUE()</f>
        <v>1</v>
      </c>
      <c r="AB1200" s="60" t="b">
        <f>TRUE()</f>
        <v>1</v>
      </c>
      <c r="AC1200" s="60" t="b">
        <f>FALSE()</f>
        <v>0</v>
      </c>
      <c r="AD1200" s="60" t="b">
        <f>FALSE()</f>
        <v>0</v>
      </c>
      <c r="AE1200" s="60">
        <v>2</v>
      </c>
      <c r="AF1200" s="64">
        <v>28.6</v>
      </c>
      <c r="AG1200" s="60" t="s">
        <v>73</v>
      </c>
      <c r="AH1200" s="60" t="s">
        <v>4479</v>
      </c>
      <c r="AI1200">
        <f>IF(AND(OR(Company_Explorer!$B$5="All Companies",$E1200=Company_Explorer!$B$5),OR(Company_Explorer!$B$6="All Platforms",$B1200=Company_Explorer!$B$6),OR(Company_Explorer!$B$7="All Roles",$D1200=Company_Explorer!$B$7),OR(Company_Explorer!$B$8="All Ghost Labels",$AG1200=Company_Explorer!$B$8)),1,0)</f>
        <v>0</v>
      </c>
    </row>
    <row r="1201" spans="1:35" ht="15" customHeight="1" x14ac:dyDescent="0.3">
      <c r="A1201" s="65" t="s">
        <v>4480</v>
      </c>
      <c r="B1201" s="65" t="s">
        <v>81</v>
      </c>
      <c r="C1201" s="65" t="s">
        <v>4481</v>
      </c>
      <c r="D1201" s="65" t="s">
        <v>125</v>
      </c>
      <c r="E1201" s="65" t="s">
        <v>4482</v>
      </c>
      <c r="F1201" s="65" t="b">
        <f>TRUE()</f>
        <v>1</v>
      </c>
      <c r="G1201" s="65" t="s">
        <v>165</v>
      </c>
      <c r="H1201" s="65" t="s">
        <v>3678</v>
      </c>
      <c r="I1201" s="66">
        <v>46210.133941909698</v>
      </c>
      <c r="J1201" s="66">
        <v>46210.2829828588</v>
      </c>
      <c r="K1201" s="65">
        <v>0.1</v>
      </c>
      <c r="L1201" s="65" t="s">
        <v>183</v>
      </c>
      <c r="M1201" s="65" t="s">
        <v>183</v>
      </c>
      <c r="N1201" s="65" t="b">
        <f>FALSE()</f>
        <v>0</v>
      </c>
      <c r="O1201" s="65"/>
      <c r="P1201" s="65"/>
      <c r="Q1201" s="65" t="s">
        <v>3663</v>
      </c>
      <c r="R1201" s="65" t="s">
        <v>3664</v>
      </c>
      <c r="S1201" s="65"/>
      <c r="T1201" s="65" t="b">
        <f>FALSE()</f>
        <v>0</v>
      </c>
      <c r="U1201" s="65" t="b">
        <f>FALSE()</f>
        <v>0</v>
      </c>
      <c r="V1201" s="65">
        <v>317</v>
      </c>
      <c r="W1201" s="67" t="s">
        <v>4483</v>
      </c>
      <c r="X1201" s="65">
        <v>1</v>
      </c>
      <c r="Y1201" s="68">
        <v>1.75</v>
      </c>
      <c r="Z1201" s="65" t="b">
        <f>FALSE()</f>
        <v>0</v>
      </c>
      <c r="AA1201" s="65" t="b">
        <f>TRUE()</f>
        <v>1</v>
      </c>
      <c r="AB1201" s="65" t="b">
        <f>FALSE()</f>
        <v>0</v>
      </c>
      <c r="AC1201" s="65" t="b">
        <f>FALSE()</f>
        <v>0</v>
      </c>
      <c r="AD1201" s="65" t="b">
        <f>FALSE()</f>
        <v>0</v>
      </c>
      <c r="AE1201" s="65">
        <v>1</v>
      </c>
      <c r="AF1201" s="69">
        <v>14.3</v>
      </c>
      <c r="AG1201" s="65" t="s">
        <v>74</v>
      </c>
      <c r="AH1201" s="65" t="s">
        <v>4484</v>
      </c>
      <c r="AI1201">
        <f>IF(AND(OR(Company_Explorer!$B$5="All Companies",$E1201=Company_Explorer!$B$5),OR(Company_Explorer!$B$6="All Platforms",$B1201=Company_Explorer!$B$6),OR(Company_Explorer!$B$7="All Roles",$D1201=Company_Explorer!$B$7),OR(Company_Explorer!$B$8="All Ghost Labels",$AG1201=Company_Explorer!$B$8)),1,0)</f>
        <v>0</v>
      </c>
    </row>
    <row r="1202" spans="1:35" ht="15" customHeight="1" x14ac:dyDescent="0.3">
      <c r="A1202" s="60" t="s">
        <v>4485</v>
      </c>
      <c r="B1202" s="60" t="s">
        <v>81</v>
      </c>
      <c r="C1202" s="60" t="s">
        <v>2959</v>
      </c>
      <c r="D1202" s="60" t="s">
        <v>131</v>
      </c>
      <c r="E1202" s="60" t="s">
        <v>4486</v>
      </c>
      <c r="F1202" s="60" t="b">
        <f>TRUE()</f>
        <v>1</v>
      </c>
      <c r="G1202" s="60" t="s">
        <v>165</v>
      </c>
      <c r="H1202" s="60" t="s">
        <v>3620</v>
      </c>
      <c r="I1202" s="61">
        <v>46210.145622199103</v>
      </c>
      <c r="J1202" s="61">
        <v>46210.282982812503</v>
      </c>
      <c r="K1202" s="60">
        <v>0.1</v>
      </c>
      <c r="L1202" s="60" t="s">
        <v>183</v>
      </c>
      <c r="M1202" s="60" t="s">
        <v>183</v>
      </c>
      <c r="N1202" s="60" t="b">
        <f>TRUE()</f>
        <v>1</v>
      </c>
      <c r="O1202" s="70">
        <v>337631.5</v>
      </c>
      <c r="P1202" s="70">
        <v>1632559.5</v>
      </c>
      <c r="Q1202" s="60" t="s">
        <v>3663</v>
      </c>
      <c r="R1202" s="60" t="s">
        <v>3961</v>
      </c>
      <c r="S1202" s="70">
        <v>985096</v>
      </c>
      <c r="T1202" s="60" t="b">
        <f>TRUE()</f>
        <v>1</v>
      </c>
      <c r="U1202" s="60" t="b">
        <f>FALSE()</f>
        <v>0</v>
      </c>
      <c r="V1202" s="60">
        <v>155</v>
      </c>
      <c r="W1202" s="62" t="s">
        <v>4487</v>
      </c>
      <c r="X1202" s="60">
        <v>1</v>
      </c>
      <c r="Y1202" s="63">
        <v>1.75</v>
      </c>
      <c r="Z1202" s="60" t="b">
        <f>FALSE()</f>
        <v>0</v>
      </c>
      <c r="AA1202" s="60" t="b">
        <f>FALSE()</f>
        <v>0</v>
      </c>
      <c r="AB1202" s="60" t="b">
        <f>TRUE()</f>
        <v>1</v>
      </c>
      <c r="AC1202" s="60" t="b">
        <f>FALSE()</f>
        <v>0</v>
      </c>
      <c r="AD1202" s="60" t="b">
        <f>FALSE()</f>
        <v>0</v>
      </c>
      <c r="AE1202" s="60">
        <v>1</v>
      </c>
      <c r="AF1202" s="64">
        <v>14.3</v>
      </c>
      <c r="AG1202" s="60" t="s">
        <v>74</v>
      </c>
      <c r="AH1202" s="60" t="s">
        <v>4488</v>
      </c>
      <c r="AI1202">
        <f>IF(AND(OR(Company_Explorer!$B$5="All Companies",$E1202=Company_Explorer!$B$5),OR(Company_Explorer!$B$6="All Platforms",$B1202=Company_Explorer!$B$6),OR(Company_Explorer!$B$7="All Roles",$D1202=Company_Explorer!$B$7),OR(Company_Explorer!$B$8="All Ghost Labels",$AG1202=Company_Explorer!$B$8)),1,0)</f>
        <v>0</v>
      </c>
    </row>
    <row r="1203" spans="1:35" ht="15" customHeight="1" x14ac:dyDescent="0.3">
      <c r="A1203" s="65" t="s">
        <v>4489</v>
      </c>
      <c r="B1203" s="65" t="s">
        <v>81</v>
      </c>
      <c r="C1203" s="65" t="s">
        <v>4490</v>
      </c>
      <c r="D1203" s="65" t="s">
        <v>126</v>
      </c>
      <c r="E1203" s="65" t="s">
        <v>148</v>
      </c>
      <c r="F1203" s="65" t="b">
        <f>TRUE()</f>
        <v>1</v>
      </c>
      <c r="G1203" s="65" t="s">
        <v>165</v>
      </c>
      <c r="H1203" s="65" t="s">
        <v>3672</v>
      </c>
      <c r="I1203" s="66">
        <v>46210.194258425901</v>
      </c>
      <c r="J1203" s="66">
        <v>46210.282982997698</v>
      </c>
      <c r="K1203" s="65">
        <v>0.1</v>
      </c>
      <c r="L1203" s="65" t="s">
        <v>183</v>
      </c>
      <c r="M1203" s="65" t="s">
        <v>183</v>
      </c>
      <c r="N1203" s="65" t="b">
        <f>FALSE()</f>
        <v>0</v>
      </c>
      <c r="O1203" s="65"/>
      <c r="P1203" s="65"/>
      <c r="Q1203" s="65" t="s">
        <v>236</v>
      </c>
      <c r="R1203" s="65" t="s">
        <v>236</v>
      </c>
      <c r="S1203" s="65"/>
      <c r="T1203" s="65" t="b">
        <f>FALSE()</f>
        <v>0</v>
      </c>
      <c r="U1203" s="65" t="b">
        <f>FALSE()</f>
        <v>0</v>
      </c>
      <c r="V1203" s="65">
        <v>514</v>
      </c>
      <c r="W1203" s="65" t="s">
        <v>733</v>
      </c>
      <c r="X1203" s="65">
        <v>17</v>
      </c>
      <c r="Y1203" s="68">
        <v>29.75</v>
      </c>
      <c r="Z1203" s="65" t="b">
        <f>FALSE()</f>
        <v>0</v>
      </c>
      <c r="AA1203" s="65" t="b">
        <f>TRUE()</f>
        <v>1</v>
      </c>
      <c r="AB1203" s="65" t="b">
        <f>FALSE()</f>
        <v>0</v>
      </c>
      <c r="AC1203" s="65" t="b">
        <f>FALSE()</f>
        <v>0</v>
      </c>
      <c r="AD1203" s="65" t="b">
        <f>FALSE()</f>
        <v>0</v>
      </c>
      <c r="AE1203" s="65">
        <v>1</v>
      </c>
      <c r="AF1203" s="69">
        <v>14.3</v>
      </c>
      <c r="AG1203" s="65" t="s">
        <v>74</v>
      </c>
      <c r="AH1203" s="65" t="s">
        <v>4491</v>
      </c>
      <c r="AI1203">
        <f>IF(AND(OR(Company_Explorer!$B$5="All Companies",$E1203=Company_Explorer!$B$5),OR(Company_Explorer!$B$6="All Platforms",$B1203=Company_Explorer!$B$6),OR(Company_Explorer!$B$7="All Roles",$D1203=Company_Explorer!$B$7),OR(Company_Explorer!$B$8="All Ghost Labels",$AG1203=Company_Explorer!$B$8)),1,0)</f>
        <v>0</v>
      </c>
    </row>
    <row r="1204" spans="1:35" ht="15" customHeight="1" x14ac:dyDescent="0.3">
      <c r="A1204" s="60" t="s">
        <v>4492</v>
      </c>
      <c r="B1204" s="60" t="s">
        <v>81</v>
      </c>
      <c r="C1204" s="60" t="s">
        <v>130</v>
      </c>
      <c r="D1204" s="60" t="s">
        <v>130</v>
      </c>
      <c r="E1204" s="60" t="s">
        <v>143</v>
      </c>
      <c r="F1204" s="60" t="b">
        <f>TRUE()</f>
        <v>1</v>
      </c>
      <c r="G1204" s="60" t="s">
        <v>165</v>
      </c>
      <c r="H1204" s="60" t="s">
        <v>3655</v>
      </c>
      <c r="I1204" s="61">
        <v>46210.053303090303</v>
      </c>
      <c r="J1204" s="61">
        <v>46210.282982905097</v>
      </c>
      <c r="K1204" s="60">
        <v>0.2</v>
      </c>
      <c r="L1204" s="60" t="s">
        <v>183</v>
      </c>
      <c r="M1204" s="60" t="s">
        <v>183</v>
      </c>
      <c r="N1204" s="60" t="b">
        <f>FALSE()</f>
        <v>0</v>
      </c>
      <c r="O1204" s="60"/>
      <c r="P1204" s="60"/>
      <c r="Q1204" s="60" t="s">
        <v>236</v>
      </c>
      <c r="R1204" s="60" t="s">
        <v>236</v>
      </c>
      <c r="S1204" s="60"/>
      <c r="T1204" s="60" t="b">
        <f>FALSE()</f>
        <v>0</v>
      </c>
      <c r="U1204" s="60" t="b">
        <f>FALSE()</f>
        <v>0</v>
      </c>
      <c r="V1204" s="60">
        <v>308</v>
      </c>
      <c r="W1204" s="62" t="s">
        <v>4449</v>
      </c>
      <c r="X1204" s="60">
        <v>64</v>
      </c>
      <c r="Y1204" s="63">
        <v>112</v>
      </c>
      <c r="Z1204" s="60" t="b">
        <f>FALSE()</f>
        <v>0</v>
      </c>
      <c r="AA1204" s="60" t="b">
        <f>TRUE()</f>
        <v>1</v>
      </c>
      <c r="AB1204" s="60" t="b">
        <f>FALSE()</f>
        <v>0</v>
      </c>
      <c r="AC1204" s="60" t="b">
        <f>FALSE()</f>
        <v>0</v>
      </c>
      <c r="AD1204" s="60" t="b">
        <f>TRUE()</f>
        <v>1</v>
      </c>
      <c r="AE1204" s="60">
        <v>3</v>
      </c>
      <c r="AF1204" s="64">
        <v>42.9</v>
      </c>
      <c r="AG1204" s="60" t="s">
        <v>73</v>
      </c>
      <c r="AH1204" s="60" t="s">
        <v>4493</v>
      </c>
      <c r="AI1204">
        <f>IF(AND(OR(Company_Explorer!$B$5="All Companies",$E1204=Company_Explorer!$B$5),OR(Company_Explorer!$B$6="All Platforms",$B1204=Company_Explorer!$B$6),OR(Company_Explorer!$B$7="All Roles",$D1204=Company_Explorer!$B$7),OR(Company_Explorer!$B$8="All Ghost Labels",$AG1204=Company_Explorer!$B$8)),1,0)</f>
        <v>0</v>
      </c>
    </row>
    <row r="1205" spans="1:35" ht="15" customHeight="1" x14ac:dyDescent="0.3">
      <c r="A1205" s="65" t="s">
        <v>4494</v>
      </c>
      <c r="B1205" s="65" t="s">
        <v>81</v>
      </c>
      <c r="C1205" s="65" t="s">
        <v>4495</v>
      </c>
      <c r="D1205" s="65" t="s">
        <v>125</v>
      </c>
      <c r="E1205" s="65" t="s">
        <v>148</v>
      </c>
      <c r="F1205" s="65" t="b">
        <f>TRUE()</f>
        <v>1</v>
      </c>
      <c r="G1205" s="65" t="s">
        <v>165</v>
      </c>
      <c r="H1205" s="65" t="s">
        <v>3672</v>
      </c>
      <c r="I1205" s="66">
        <v>46210.194273622699</v>
      </c>
      <c r="J1205" s="66">
        <v>46210.282983032397</v>
      </c>
      <c r="K1205" s="65">
        <v>0.1</v>
      </c>
      <c r="L1205" s="65" t="s">
        <v>183</v>
      </c>
      <c r="M1205" s="65" t="s">
        <v>183</v>
      </c>
      <c r="N1205" s="65" t="b">
        <f>FALSE()</f>
        <v>0</v>
      </c>
      <c r="O1205" s="65"/>
      <c r="P1205" s="65"/>
      <c r="Q1205" s="65" t="s">
        <v>236</v>
      </c>
      <c r="R1205" s="65" t="s">
        <v>236</v>
      </c>
      <c r="S1205" s="65"/>
      <c r="T1205" s="65" t="b">
        <f>FALSE()</f>
        <v>0</v>
      </c>
      <c r="U1205" s="65" t="b">
        <f>FALSE()</f>
        <v>0</v>
      </c>
      <c r="V1205" s="65">
        <v>606</v>
      </c>
      <c r="W1205" s="65" t="s">
        <v>733</v>
      </c>
      <c r="X1205" s="65">
        <v>17</v>
      </c>
      <c r="Y1205" s="68">
        <v>29.75</v>
      </c>
      <c r="Z1205" s="65" t="b">
        <f>FALSE()</f>
        <v>0</v>
      </c>
      <c r="AA1205" s="65" t="b">
        <f>TRUE()</f>
        <v>1</v>
      </c>
      <c r="AB1205" s="65" t="b">
        <f>FALSE()</f>
        <v>0</v>
      </c>
      <c r="AC1205" s="65" t="b">
        <f>FALSE()</f>
        <v>0</v>
      </c>
      <c r="AD1205" s="65" t="b">
        <f>FALSE()</f>
        <v>0</v>
      </c>
      <c r="AE1205" s="65">
        <v>1</v>
      </c>
      <c r="AF1205" s="69">
        <v>14.3</v>
      </c>
      <c r="AG1205" s="65" t="s">
        <v>74</v>
      </c>
      <c r="AH1205" s="65" t="s">
        <v>4496</v>
      </c>
      <c r="AI1205">
        <f>IF(AND(OR(Company_Explorer!$B$5="All Companies",$E1205=Company_Explorer!$B$5),OR(Company_Explorer!$B$6="All Platforms",$B1205=Company_Explorer!$B$6),OR(Company_Explorer!$B$7="All Roles",$D1205=Company_Explorer!$B$7),OR(Company_Explorer!$B$8="All Ghost Labels",$AG1205=Company_Explorer!$B$8)),1,0)</f>
        <v>0</v>
      </c>
    </row>
    <row r="1206" spans="1:35" ht="15" customHeight="1" x14ac:dyDescent="0.3">
      <c r="A1206" s="60" t="s">
        <v>4497</v>
      </c>
      <c r="B1206" s="60" t="s">
        <v>81</v>
      </c>
      <c r="C1206" s="60" t="s">
        <v>4498</v>
      </c>
      <c r="D1206" s="60" t="s">
        <v>125</v>
      </c>
      <c r="E1206" s="60" t="s">
        <v>3892</v>
      </c>
      <c r="F1206" s="60" t="b">
        <f>TRUE()</f>
        <v>1</v>
      </c>
      <c r="G1206" s="60" t="s">
        <v>165</v>
      </c>
      <c r="H1206" s="60" t="s">
        <v>3678</v>
      </c>
      <c r="I1206" s="61">
        <v>46210.132924560203</v>
      </c>
      <c r="J1206" s="61">
        <v>46210.282983078701</v>
      </c>
      <c r="K1206" s="60">
        <v>0.2</v>
      </c>
      <c r="L1206" s="60" t="s">
        <v>183</v>
      </c>
      <c r="M1206" s="60" t="s">
        <v>183</v>
      </c>
      <c r="N1206" s="60" t="b">
        <f>FALSE()</f>
        <v>0</v>
      </c>
      <c r="O1206" s="60"/>
      <c r="P1206" s="60"/>
      <c r="Q1206" s="60" t="s">
        <v>236</v>
      </c>
      <c r="R1206" s="60" t="s">
        <v>236</v>
      </c>
      <c r="S1206" s="60"/>
      <c r="T1206" s="60" t="b">
        <f>FALSE()</f>
        <v>0</v>
      </c>
      <c r="U1206" s="60" t="b">
        <f>FALSE()</f>
        <v>0</v>
      </c>
      <c r="V1206" s="60">
        <v>625</v>
      </c>
      <c r="W1206" s="60" t="s">
        <v>3893</v>
      </c>
      <c r="X1206" s="60">
        <v>9</v>
      </c>
      <c r="Y1206" s="63">
        <v>15.75</v>
      </c>
      <c r="Z1206" s="60" t="b">
        <f>FALSE()</f>
        <v>0</v>
      </c>
      <c r="AA1206" s="60" t="b">
        <f>TRUE()</f>
        <v>1</v>
      </c>
      <c r="AB1206" s="60" t="b">
        <f>FALSE()</f>
        <v>0</v>
      </c>
      <c r="AC1206" s="60" t="b">
        <f>FALSE()</f>
        <v>0</v>
      </c>
      <c r="AD1206" s="60" t="b">
        <f>FALSE()</f>
        <v>0</v>
      </c>
      <c r="AE1206" s="60">
        <v>1</v>
      </c>
      <c r="AF1206" s="64">
        <v>14.3</v>
      </c>
      <c r="AG1206" s="60" t="s">
        <v>74</v>
      </c>
      <c r="AH1206" s="60" t="s">
        <v>4499</v>
      </c>
      <c r="AI1206">
        <f>IF(AND(OR(Company_Explorer!$B$5="All Companies",$E1206=Company_Explorer!$B$5),OR(Company_Explorer!$B$6="All Platforms",$B1206=Company_Explorer!$B$6),OR(Company_Explorer!$B$7="All Roles",$D1206=Company_Explorer!$B$7),OR(Company_Explorer!$B$8="All Ghost Labels",$AG1206=Company_Explorer!$B$8)),1,0)</f>
        <v>0</v>
      </c>
    </row>
    <row r="1207" spans="1:35" ht="15" customHeight="1" x14ac:dyDescent="0.3">
      <c r="A1207" s="65" t="s">
        <v>4500</v>
      </c>
      <c r="B1207" s="65" t="s">
        <v>81</v>
      </c>
      <c r="C1207" s="65" t="s">
        <v>130</v>
      </c>
      <c r="D1207" s="65" t="s">
        <v>130</v>
      </c>
      <c r="E1207" s="65" t="s">
        <v>143</v>
      </c>
      <c r="F1207" s="65" t="b">
        <f>TRUE()</f>
        <v>1</v>
      </c>
      <c r="G1207" s="65" t="s">
        <v>165</v>
      </c>
      <c r="H1207" s="65" t="s">
        <v>3620</v>
      </c>
      <c r="I1207" s="66">
        <v>46210.053307060203</v>
      </c>
      <c r="J1207" s="66">
        <v>46210.282983587997</v>
      </c>
      <c r="K1207" s="65">
        <v>0.2</v>
      </c>
      <c r="L1207" s="65" t="s">
        <v>183</v>
      </c>
      <c r="M1207" s="65" t="s">
        <v>183</v>
      </c>
      <c r="N1207" s="65" t="b">
        <f>FALSE()</f>
        <v>0</v>
      </c>
      <c r="O1207" s="65"/>
      <c r="P1207" s="65"/>
      <c r="Q1207" s="65" t="s">
        <v>236</v>
      </c>
      <c r="R1207" s="65" t="s">
        <v>236</v>
      </c>
      <c r="S1207" s="65"/>
      <c r="T1207" s="65" t="b">
        <f>FALSE()</f>
        <v>0</v>
      </c>
      <c r="U1207" s="65" t="b">
        <f>FALSE()</f>
        <v>0</v>
      </c>
      <c r="V1207" s="65">
        <v>334</v>
      </c>
      <c r="W1207" s="67" t="s">
        <v>4449</v>
      </c>
      <c r="X1207" s="65">
        <v>64</v>
      </c>
      <c r="Y1207" s="68">
        <v>112</v>
      </c>
      <c r="Z1207" s="65" t="b">
        <f>FALSE()</f>
        <v>0</v>
      </c>
      <c r="AA1207" s="65" t="b">
        <f>TRUE()</f>
        <v>1</v>
      </c>
      <c r="AB1207" s="65" t="b">
        <f>FALSE()</f>
        <v>0</v>
      </c>
      <c r="AC1207" s="65" t="b">
        <f>FALSE()</f>
        <v>0</v>
      </c>
      <c r="AD1207" s="65" t="b">
        <f>TRUE()</f>
        <v>1</v>
      </c>
      <c r="AE1207" s="65">
        <v>3</v>
      </c>
      <c r="AF1207" s="69">
        <v>42.9</v>
      </c>
      <c r="AG1207" s="65" t="s">
        <v>73</v>
      </c>
      <c r="AH1207" s="65" t="s">
        <v>4501</v>
      </c>
      <c r="AI1207">
        <f>IF(AND(OR(Company_Explorer!$B$5="All Companies",$E1207=Company_Explorer!$B$5),OR(Company_Explorer!$B$6="All Platforms",$B1207=Company_Explorer!$B$6),OR(Company_Explorer!$B$7="All Roles",$D1207=Company_Explorer!$B$7),OR(Company_Explorer!$B$8="All Ghost Labels",$AG1207=Company_Explorer!$B$8)),1,0)</f>
        <v>0</v>
      </c>
    </row>
    <row r="1208" spans="1:35" ht="15" customHeight="1" x14ac:dyDescent="0.3">
      <c r="A1208" s="60" t="s">
        <v>4502</v>
      </c>
      <c r="B1208" s="60" t="s">
        <v>81</v>
      </c>
      <c r="C1208" s="60" t="s">
        <v>4503</v>
      </c>
      <c r="D1208" s="60" t="s">
        <v>125</v>
      </c>
      <c r="E1208" s="60" t="s">
        <v>3726</v>
      </c>
      <c r="F1208" s="60" t="b">
        <f>FALSE()</f>
        <v>0</v>
      </c>
      <c r="G1208" s="60" t="s">
        <v>165</v>
      </c>
      <c r="H1208" s="60" t="s">
        <v>3672</v>
      </c>
      <c r="I1208" s="61">
        <v>46210.221723252303</v>
      </c>
      <c r="J1208" s="61">
        <v>46210.282983865698</v>
      </c>
      <c r="K1208" s="60">
        <v>0.1</v>
      </c>
      <c r="L1208" s="60" t="s">
        <v>183</v>
      </c>
      <c r="M1208" s="60" t="s">
        <v>183</v>
      </c>
      <c r="N1208" s="60" t="b">
        <f>FALSE()</f>
        <v>0</v>
      </c>
      <c r="O1208" s="60"/>
      <c r="P1208" s="60"/>
      <c r="Q1208" s="60" t="s">
        <v>3663</v>
      </c>
      <c r="R1208" s="60" t="s">
        <v>3961</v>
      </c>
      <c r="S1208" s="60"/>
      <c r="T1208" s="60" t="b">
        <f>FALSE()</f>
        <v>0</v>
      </c>
      <c r="U1208" s="60" t="b">
        <f>FALSE()</f>
        <v>0</v>
      </c>
      <c r="V1208" s="60">
        <v>242</v>
      </c>
      <c r="W1208" s="62" t="s">
        <v>4504</v>
      </c>
      <c r="X1208" s="60"/>
      <c r="Y1208" s="63"/>
      <c r="Z1208" s="60" t="b">
        <f>TRUE()</f>
        <v>1</v>
      </c>
      <c r="AA1208" s="60" t="b">
        <f>TRUE()</f>
        <v>1</v>
      </c>
      <c r="AB1208" s="60" t="b">
        <f>TRUE()</f>
        <v>1</v>
      </c>
      <c r="AC1208" s="60" t="b">
        <f>FALSE()</f>
        <v>0</v>
      </c>
      <c r="AD1208" s="60" t="b">
        <f>FALSE()</f>
        <v>0</v>
      </c>
      <c r="AE1208" s="60">
        <v>4</v>
      </c>
      <c r="AF1208" s="64">
        <v>57.1</v>
      </c>
      <c r="AG1208" s="60" t="s">
        <v>72</v>
      </c>
      <c r="AH1208" s="60" t="s">
        <v>4505</v>
      </c>
      <c r="AI1208">
        <f>IF(AND(OR(Company_Explorer!$B$5="All Companies",$E1208=Company_Explorer!$B$5),OR(Company_Explorer!$B$6="All Platforms",$B1208=Company_Explorer!$B$6),OR(Company_Explorer!$B$7="All Roles",$D1208=Company_Explorer!$B$7),OR(Company_Explorer!$B$8="All Ghost Labels",$AG1208=Company_Explorer!$B$8)),1,0)</f>
        <v>0</v>
      </c>
    </row>
    <row r="1209" spans="1:35" ht="15" customHeight="1" x14ac:dyDescent="0.3">
      <c r="A1209" s="65" t="s">
        <v>4506</v>
      </c>
      <c r="B1209" s="65" t="s">
        <v>81</v>
      </c>
      <c r="C1209" s="65" t="s">
        <v>4452</v>
      </c>
      <c r="D1209" s="65" t="s">
        <v>125</v>
      </c>
      <c r="E1209" s="65" t="s">
        <v>148</v>
      </c>
      <c r="F1209" s="65" t="b">
        <f>TRUE()</f>
        <v>1</v>
      </c>
      <c r="G1209" s="65" t="s">
        <v>165</v>
      </c>
      <c r="H1209" s="65" t="s">
        <v>3672</v>
      </c>
      <c r="I1209" s="66">
        <v>46210.194262662</v>
      </c>
      <c r="J1209" s="66">
        <v>46210.282983946803</v>
      </c>
      <c r="K1209" s="65">
        <v>0.1</v>
      </c>
      <c r="L1209" s="65" t="s">
        <v>183</v>
      </c>
      <c r="M1209" s="65" t="s">
        <v>183</v>
      </c>
      <c r="N1209" s="65" t="b">
        <f>FALSE()</f>
        <v>0</v>
      </c>
      <c r="O1209" s="65"/>
      <c r="P1209" s="65"/>
      <c r="Q1209" s="65" t="s">
        <v>236</v>
      </c>
      <c r="R1209" s="65" t="s">
        <v>236</v>
      </c>
      <c r="S1209" s="65"/>
      <c r="T1209" s="65" t="b">
        <f>FALSE()</f>
        <v>0</v>
      </c>
      <c r="U1209" s="65" t="b">
        <f>FALSE()</f>
        <v>0</v>
      </c>
      <c r="V1209" s="65">
        <v>604</v>
      </c>
      <c r="W1209" s="65" t="s">
        <v>733</v>
      </c>
      <c r="X1209" s="65">
        <v>17</v>
      </c>
      <c r="Y1209" s="68">
        <v>29.75</v>
      </c>
      <c r="Z1209" s="65" t="b">
        <f>FALSE()</f>
        <v>0</v>
      </c>
      <c r="AA1209" s="65" t="b">
        <f>TRUE()</f>
        <v>1</v>
      </c>
      <c r="AB1209" s="65" t="b">
        <f>FALSE()</f>
        <v>0</v>
      </c>
      <c r="AC1209" s="65" t="b">
        <f>FALSE()</f>
        <v>0</v>
      </c>
      <c r="AD1209" s="65" t="b">
        <f>FALSE()</f>
        <v>0</v>
      </c>
      <c r="AE1209" s="65">
        <v>1</v>
      </c>
      <c r="AF1209" s="69">
        <v>14.3</v>
      </c>
      <c r="AG1209" s="65" t="s">
        <v>74</v>
      </c>
      <c r="AH1209" s="65" t="s">
        <v>4507</v>
      </c>
      <c r="AI1209">
        <f>IF(AND(OR(Company_Explorer!$B$5="All Companies",$E1209=Company_Explorer!$B$5),OR(Company_Explorer!$B$6="All Platforms",$B1209=Company_Explorer!$B$6),OR(Company_Explorer!$B$7="All Roles",$D1209=Company_Explorer!$B$7),OR(Company_Explorer!$B$8="All Ghost Labels",$AG1209=Company_Explorer!$B$8)),1,0)</f>
        <v>0</v>
      </c>
    </row>
    <row r="1210" spans="1:35" ht="15" customHeight="1" x14ac:dyDescent="0.3">
      <c r="A1210" s="60" t="s">
        <v>4508</v>
      </c>
      <c r="B1210" s="60" t="s">
        <v>81</v>
      </c>
      <c r="C1210" s="60" t="s">
        <v>4509</v>
      </c>
      <c r="D1210" s="60" t="s">
        <v>131</v>
      </c>
      <c r="E1210" s="60" t="s">
        <v>4510</v>
      </c>
      <c r="F1210" s="60" t="b">
        <f>TRUE()</f>
        <v>1</v>
      </c>
      <c r="G1210" s="60" t="s">
        <v>165</v>
      </c>
      <c r="H1210" s="60" t="s">
        <v>3672</v>
      </c>
      <c r="I1210" s="61">
        <v>46210.221687754602</v>
      </c>
      <c r="J1210" s="61">
        <v>46210.282984074103</v>
      </c>
      <c r="K1210" s="60">
        <v>0.1</v>
      </c>
      <c r="L1210" s="60" t="s">
        <v>183</v>
      </c>
      <c r="M1210" s="60" t="s">
        <v>183</v>
      </c>
      <c r="N1210" s="60" t="b">
        <f>TRUE()</f>
        <v>1</v>
      </c>
      <c r="O1210" s="70">
        <v>15000</v>
      </c>
      <c r="P1210" s="70">
        <v>20000</v>
      </c>
      <c r="Q1210" s="60" t="s">
        <v>3663</v>
      </c>
      <c r="R1210" s="60" t="s">
        <v>3664</v>
      </c>
      <c r="S1210" s="70">
        <v>210000</v>
      </c>
      <c r="T1210" s="60" t="b">
        <f>TRUE()</f>
        <v>1</v>
      </c>
      <c r="U1210" s="60" t="b">
        <f>FALSE()</f>
        <v>0</v>
      </c>
      <c r="V1210" s="60">
        <v>206</v>
      </c>
      <c r="W1210" s="62" t="s">
        <v>4511</v>
      </c>
      <c r="X1210" s="60">
        <v>1</v>
      </c>
      <c r="Y1210" s="63">
        <v>1.75</v>
      </c>
      <c r="Z1210" s="60" t="b">
        <f>FALSE()</f>
        <v>0</v>
      </c>
      <c r="AA1210" s="60" t="b">
        <f>FALSE()</f>
        <v>0</v>
      </c>
      <c r="AB1210" s="60" t="b">
        <f>TRUE()</f>
        <v>1</v>
      </c>
      <c r="AC1210" s="60" t="b">
        <f>FALSE()</f>
        <v>0</v>
      </c>
      <c r="AD1210" s="60" t="b">
        <f>FALSE()</f>
        <v>0</v>
      </c>
      <c r="AE1210" s="60">
        <v>1</v>
      </c>
      <c r="AF1210" s="64">
        <v>14.3</v>
      </c>
      <c r="AG1210" s="60" t="s">
        <v>74</v>
      </c>
      <c r="AH1210" s="60" t="s">
        <v>4512</v>
      </c>
      <c r="AI1210">
        <f>IF(AND(OR(Company_Explorer!$B$5="All Companies",$E1210=Company_Explorer!$B$5),OR(Company_Explorer!$B$6="All Platforms",$B1210=Company_Explorer!$B$6),OR(Company_Explorer!$B$7="All Roles",$D1210=Company_Explorer!$B$7),OR(Company_Explorer!$B$8="All Ghost Labels",$AG1210=Company_Explorer!$B$8)),1,0)</f>
        <v>0</v>
      </c>
    </row>
    <row r="1211" spans="1:35" ht="15" customHeight="1" x14ac:dyDescent="0.3">
      <c r="A1211" s="65" t="s">
        <v>4513</v>
      </c>
      <c r="B1211" s="65" t="s">
        <v>81</v>
      </c>
      <c r="C1211" s="65" t="s">
        <v>258</v>
      </c>
      <c r="D1211" s="65" t="s">
        <v>125</v>
      </c>
      <c r="E1211" s="65" t="s">
        <v>143</v>
      </c>
      <c r="F1211" s="65" t="b">
        <f>TRUE()</f>
        <v>1</v>
      </c>
      <c r="G1211" s="65" t="s">
        <v>165</v>
      </c>
      <c r="H1211" s="65" t="s">
        <v>3636</v>
      </c>
      <c r="I1211" s="66">
        <v>46210.053322569504</v>
      </c>
      <c r="J1211" s="66">
        <v>46210.282984097197</v>
      </c>
      <c r="K1211" s="65">
        <v>0.2</v>
      </c>
      <c r="L1211" s="65" t="s">
        <v>183</v>
      </c>
      <c r="M1211" s="65" t="s">
        <v>183</v>
      </c>
      <c r="N1211" s="65" t="b">
        <f>FALSE()</f>
        <v>0</v>
      </c>
      <c r="O1211" s="65"/>
      <c r="P1211" s="65"/>
      <c r="Q1211" s="65" t="s">
        <v>236</v>
      </c>
      <c r="R1211" s="65" t="s">
        <v>236</v>
      </c>
      <c r="S1211" s="65"/>
      <c r="T1211" s="65" t="b">
        <f>FALSE()</f>
        <v>0</v>
      </c>
      <c r="U1211" s="65" t="b">
        <f>FALSE()</f>
        <v>0</v>
      </c>
      <c r="V1211" s="65">
        <v>318</v>
      </c>
      <c r="W1211" s="67" t="s">
        <v>4514</v>
      </c>
      <c r="X1211" s="65">
        <v>64</v>
      </c>
      <c r="Y1211" s="68">
        <v>112</v>
      </c>
      <c r="Z1211" s="65" t="b">
        <f>FALSE()</f>
        <v>0</v>
      </c>
      <c r="AA1211" s="65" t="b">
        <f>TRUE()</f>
        <v>1</v>
      </c>
      <c r="AB1211" s="65" t="b">
        <f>FALSE()</f>
        <v>0</v>
      </c>
      <c r="AC1211" s="65" t="b">
        <f>FALSE()</f>
        <v>0</v>
      </c>
      <c r="AD1211" s="65" t="b">
        <f>TRUE()</f>
        <v>1</v>
      </c>
      <c r="AE1211" s="65">
        <v>3</v>
      </c>
      <c r="AF1211" s="69">
        <v>42.9</v>
      </c>
      <c r="AG1211" s="65" t="s">
        <v>73</v>
      </c>
      <c r="AH1211" s="65" t="s">
        <v>4515</v>
      </c>
      <c r="AI1211">
        <f>IF(AND(OR(Company_Explorer!$B$5="All Companies",$E1211=Company_Explorer!$B$5),OR(Company_Explorer!$B$6="All Platforms",$B1211=Company_Explorer!$B$6),OR(Company_Explorer!$B$7="All Roles",$D1211=Company_Explorer!$B$7),OR(Company_Explorer!$B$8="All Ghost Labels",$AG1211=Company_Explorer!$B$8)),1,0)</f>
        <v>0</v>
      </c>
    </row>
    <row r="1212" spans="1:35" ht="15" customHeight="1" x14ac:dyDescent="0.3">
      <c r="A1212" s="60" t="s">
        <v>4516</v>
      </c>
      <c r="B1212" s="60" t="s">
        <v>81</v>
      </c>
      <c r="C1212" s="60" t="s">
        <v>4517</v>
      </c>
      <c r="D1212" s="60" t="s">
        <v>134</v>
      </c>
      <c r="E1212" s="60" t="s">
        <v>160</v>
      </c>
      <c r="F1212" s="60" t="b">
        <f>TRUE()</f>
        <v>1</v>
      </c>
      <c r="G1212" s="60" t="s">
        <v>165</v>
      </c>
      <c r="H1212" s="60" t="s">
        <v>3672</v>
      </c>
      <c r="I1212" s="61">
        <v>46210.125998923599</v>
      </c>
      <c r="J1212" s="61">
        <v>46210.282984027799</v>
      </c>
      <c r="K1212" s="60">
        <v>0.2</v>
      </c>
      <c r="L1212" s="60" t="s">
        <v>183</v>
      </c>
      <c r="M1212" s="60" t="s">
        <v>183</v>
      </c>
      <c r="N1212" s="60" t="b">
        <f>FALSE()</f>
        <v>0</v>
      </c>
      <c r="O1212" s="60"/>
      <c r="P1212" s="60"/>
      <c r="Q1212" s="60" t="s">
        <v>236</v>
      </c>
      <c r="R1212" s="60" t="s">
        <v>236</v>
      </c>
      <c r="S1212" s="60"/>
      <c r="T1212" s="60" t="b">
        <f>FALSE()</f>
        <v>0</v>
      </c>
      <c r="U1212" s="60" t="b">
        <f>FALSE()</f>
        <v>0</v>
      </c>
      <c r="V1212" s="60">
        <v>1241</v>
      </c>
      <c r="W1212" s="62" t="s">
        <v>4069</v>
      </c>
      <c r="X1212" s="60">
        <v>14</v>
      </c>
      <c r="Y1212" s="63">
        <v>24.5</v>
      </c>
      <c r="Z1212" s="60" t="b">
        <f>FALSE()</f>
        <v>0</v>
      </c>
      <c r="AA1212" s="60" t="b">
        <f>TRUE()</f>
        <v>1</v>
      </c>
      <c r="AB1212" s="60" t="b">
        <f>FALSE()</f>
        <v>0</v>
      </c>
      <c r="AC1212" s="60" t="b">
        <f>FALSE()</f>
        <v>0</v>
      </c>
      <c r="AD1212" s="60" t="b">
        <f>FALSE()</f>
        <v>0</v>
      </c>
      <c r="AE1212" s="60">
        <v>1</v>
      </c>
      <c r="AF1212" s="64">
        <v>14.3</v>
      </c>
      <c r="AG1212" s="60" t="s">
        <v>74</v>
      </c>
      <c r="AH1212" s="60" t="s">
        <v>4518</v>
      </c>
      <c r="AI1212">
        <f>IF(AND(OR(Company_Explorer!$B$5="All Companies",$E1212=Company_Explorer!$B$5),OR(Company_Explorer!$B$6="All Platforms",$B1212=Company_Explorer!$B$6),OR(Company_Explorer!$B$7="All Roles",$D1212=Company_Explorer!$B$7),OR(Company_Explorer!$B$8="All Ghost Labels",$AG1212=Company_Explorer!$B$8)),1,0)</f>
        <v>0</v>
      </c>
    </row>
    <row r="1213" spans="1:35" ht="15" customHeight="1" x14ac:dyDescent="0.3">
      <c r="A1213" s="65" t="s">
        <v>4519</v>
      </c>
      <c r="B1213" s="65" t="s">
        <v>81</v>
      </c>
      <c r="C1213" s="65" t="s">
        <v>4520</v>
      </c>
      <c r="D1213" s="65" t="s">
        <v>126</v>
      </c>
      <c r="E1213" s="65" t="s">
        <v>160</v>
      </c>
      <c r="F1213" s="65" t="b">
        <f>TRUE()</f>
        <v>1</v>
      </c>
      <c r="G1213" s="65" t="s">
        <v>165</v>
      </c>
      <c r="H1213" s="65" t="s">
        <v>3672</v>
      </c>
      <c r="I1213" s="66">
        <v>46210.125950763897</v>
      </c>
      <c r="J1213" s="66">
        <v>46210.2829841782</v>
      </c>
      <c r="K1213" s="65">
        <v>0.2</v>
      </c>
      <c r="L1213" s="65" t="s">
        <v>183</v>
      </c>
      <c r="M1213" s="65" t="s">
        <v>183</v>
      </c>
      <c r="N1213" s="65" t="b">
        <f>FALSE()</f>
        <v>0</v>
      </c>
      <c r="O1213" s="65"/>
      <c r="P1213" s="65"/>
      <c r="Q1213" s="65" t="s">
        <v>236</v>
      </c>
      <c r="R1213" s="65" t="s">
        <v>236</v>
      </c>
      <c r="S1213" s="65"/>
      <c r="T1213" s="65" t="b">
        <f>FALSE()</f>
        <v>0</v>
      </c>
      <c r="U1213" s="65" t="b">
        <f>FALSE()</f>
        <v>0</v>
      </c>
      <c r="V1213" s="65">
        <v>656</v>
      </c>
      <c r="W1213" s="67" t="s">
        <v>4069</v>
      </c>
      <c r="X1213" s="65">
        <v>14</v>
      </c>
      <c r="Y1213" s="68">
        <v>24.5</v>
      </c>
      <c r="Z1213" s="65" t="b">
        <f>FALSE()</f>
        <v>0</v>
      </c>
      <c r="AA1213" s="65" t="b">
        <f>TRUE()</f>
        <v>1</v>
      </c>
      <c r="AB1213" s="65" t="b">
        <f>FALSE()</f>
        <v>0</v>
      </c>
      <c r="AC1213" s="65" t="b">
        <f>FALSE()</f>
        <v>0</v>
      </c>
      <c r="AD1213" s="65" t="b">
        <f>FALSE()</f>
        <v>0</v>
      </c>
      <c r="AE1213" s="65">
        <v>1</v>
      </c>
      <c r="AF1213" s="69">
        <v>14.3</v>
      </c>
      <c r="AG1213" s="65" t="s">
        <v>74</v>
      </c>
      <c r="AH1213" s="65" t="s">
        <v>4521</v>
      </c>
      <c r="AI1213">
        <f>IF(AND(OR(Company_Explorer!$B$5="All Companies",$E1213=Company_Explorer!$B$5),OR(Company_Explorer!$B$6="All Platforms",$B1213=Company_Explorer!$B$6),OR(Company_Explorer!$B$7="All Roles",$D1213=Company_Explorer!$B$7),OR(Company_Explorer!$B$8="All Ghost Labels",$AG1213=Company_Explorer!$B$8)),1,0)</f>
        <v>0</v>
      </c>
    </row>
    <row r="1214" spans="1:35" ht="15" customHeight="1" x14ac:dyDescent="0.3">
      <c r="A1214" s="60" t="s">
        <v>4522</v>
      </c>
      <c r="B1214" s="60" t="s">
        <v>81</v>
      </c>
      <c r="C1214" s="60" t="s">
        <v>4523</v>
      </c>
      <c r="D1214" s="60" t="s">
        <v>130</v>
      </c>
      <c r="E1214" s="60" t="s">
        <v>148</v>
      </c>
      <c r="F1214" s="60" t="b">
        <f>TRUE()</f>
        <v>1</v>
      </c>
      <c r="G1214" s="60" t="s">
        <v>165</v>
      </c>
      <c r="H1214" s="60" t="s">
        <v>3672</v>
      </c>
      <c r="I1214" s="61">
        <v>46210.194267974497</v>
      </c>
      <c r="J1214" s="61">
        <v>46210.282984201403</v>
      </c>
      <c r="K1214" s="60">
        <v>0.1</v>
      </c>
      <c r="L1214" s="60" t="s">
        <v>183</v>
      </c>
      <c r="M1214" s="60" t="s">
        <v>183</v>
      </c>
      <c r="N1214" s="60" t="b">
        <f>FALSE()</f>
        <v>0</v>
      </c>
      <c r="O1214" s="60"/>
      <c r="P1214" s="60"/>
      <c r="Q1214" s="60" t="s">
        <v>236</v>
      </c>
      <c r="R1214" s="60" t="s">
        <v>236</v>
      </c>
      <c r="S1214" s="60"/>
      <c r="T1214" s="60" t="b">
        <f>FALSE()</f>
        <v>0</v>
      </c>
      <c r="U1214" s="60" t="b">
        <f>FALSE()</f>
        <v>0</v>
      </c>
      <c r="V1214" s="60">
        <v>615</v>
      </c>
      <c r="W1214" s="60" t="s">
        <v>733</v>
      </c>
      <c r="X1214" s="60">
        <v>17</v>
      </c>
      <c r="Y1214" s="63">
        <v>29.75</v>
      </c>
      <c r="Z1214" s="60" t="b">
        <f>FALSE()</f>
        <v>0</v>
      </c>
      <c r="AA1214" s="60" t="b">
        <f>TRUE()</f>
        <v>1</v>
      </c>
      <c r="AB1214" s="60" t="b">
        <f>FALSE()</f>
        <v>0</v>
      </c>
      <c r="AC1214" s="60" t="b">
        <f>FALSE()</f>
        <v>0</v>
      </c>
      <c r="AD1214" s="60" t="b">
        <f>FALSE()</f>
        <v>0</v>
      </c>
      <c r="AE1214" s="60">
        <v>1</v>
      </c>
      <c r="AF1214" s="64">
        <v>14.3</v>
      </c>
      <c r="AG1214" s="60" t="s">
        <v>74</v>
      </c>
      <c r="AH1214" s="60" t="s">
        <v>4524</v>
      </c>
      <c r="AI1214">
        <f>IF(AND(OR(Company_Explorer!$B$5="All Companies",$E1214=Company_Explorer!$B$5),OR(Company_Explorer!$B$6="All Platforms",$B1214=Company_Explorer!$B$6),OR(Company_Explorer!$B$7="All Roles",$D1214=Company_Explorer!$B$7),OR(Company_Explorer!$B$8="All Ghost Labels",$AG1214=Company_Explorer!$B$8)),1,0)</f>
        <v>0</v>
      </c>
    </row>
    <row r="1215" spans="1:35" ht="15" customHeight="1" x14ac:dyDescent="0.3">
      <c r="A1215" s="65" t="s">
        <v>4525</v>
      </c>
      <c r="B1215" s="65" t="s">
        <v>81</v>
      </c>
      <c r="C1215" s="65" t="s">
        <v>2034</v>
      </c>
      <c r="D1215" s="65" t="s">
        <v>130</v>
      </c>
      <c r="E1215" s="65" t="s">
        <v>4073</v>
      </c>
      <c r="F1215" s="65" t="b">
        <f>TRUE()</f>
        <v>1</v>
      </c>
      <c r="G1215" s="65" t="s">
        <v>165</v>
      </c>
      <c r="H1215" s="65" t="s">
        <v>3630</v>
      </c>
      <c r="I1215" s="66">
        <v>46210.221526585701</v>
      </c>
      <c r="J1215" s="66">
        <v>46210.282984432903</v>
      </c>
      <c r="K1215" s="65">
        <v>0.1</v>
      </c>
      <c r="L1215" s="65" t="s">
        <v>183</v>
      </c>
      <c r="M1215" s="65" t="s">
        <v>183</v>
      </c>
      <c r="N1215" s="65" t="b">
        <f>TRUE()</f>
        <v>1</v>
      </c>
      <c r="O1215" s="71">
        <v>20000</v>
      </c>
      <c r="P1215" s="71">
        <v>30000</v>
      </c>
      <c r="Q1215" s="65" t="s">
        <v>3663</v>
      </c>
      <c r="R1215" s="65" t="s">
        <v>3664</v>
      </c>
      <c r="S1215" s="71">
        <v>300000</v>
      </c>
      <c r="T1215" s="65" t="b">
        <f>TRUE()</f>
        <v>1</v>
      </c>
      <c r="U1215" s="65" t="b">
        <f>FALSE()</f>
        <v>0</v>
      </c>
      <c r="V1215" s="65">
        <v>310</v>
      </c>
      <c r="W1215" s="67" t="s">
        <v>4526</v>
      </c>
      <c r="X1215" s="65">
        <v>2</v>
      </c>
      <c r="Y1215" s="68">
        <v>3.5</v>
      </c>
      <c r="Z1215" s="65" t="b">
        <f>FALSE()</f>
        <v>0</v>
      </c>
      <c r="AA1215" s="65" t="b">
        <f>FALSE()</f>
        <v>0</v>
      </c>
      <c r="AB1215" s="65" t="b">
        <f>FALSE()</f>
        <v>0</v>
      </c>
      <c r="AC1215" s="65" t="b">
        <f>FALSE()</f>
        <v>0</v>
      </c>
      <c r="AD1215" s="65" t="b">
        <f>FALSE()</f>
        <v>0</v>
      </c>
      <c r="AE1215" s="65">
        <v>0</v>
      </c>
      <c r="AF1215" s="69">
        <v>0</v>
      </c>
      <c r="AG1215" s="65" t="s">
        <v>74</v>
      </c>
      <c r="AH1215" s="65" t="s">
        <v>4527</v>
      </c>
      <c r="AI1215">
        <f>IF(AND(OR(Company_Explorer!$B$5="All Companies",$E1215=Company_Explorer!$B$5),OR(Company_Explorer!$B$6="All Platforms",$B1215=Company_Explorer!$B$6),OR(Company_Explorer!$B$7="All Roles",$D1215=Company_Explorer!$B$7),OR(Company_Explorer!$B$8="All Ghost Labels",$AG1215=Company_Explorer!$B$8)),1,0)</f>
        <v>0</v>
      </c>
    </row>
    <row r="1216" spans="1:35" ht="15" customHeight="1" x14ac:dyDescent="0.3">
      <c r="A1216" s="60" t="s">
        <v>4528</v>
      </c>
      <c r="B1216" s="60" t="s">
        <v>81</v>
      </c>
      <c r="C1216" s="60" t="s">
        <v>4529</v>
      </c>
      <c r="D1216" s="60" t="s">
        <v>126</v>
      </c>
      <c r="E1216" s="60" t="s">
        <v>3947</v>
      </c>
      <c r="F1216" s="60" t="b">
        <f>TRUE()</f>
        <v>1</v>
      </c>
      <c r="G1216" s="60" t="s">
        <v>165</v>
      </c>
      <c r="H1216" s="60" t="s">
        <v>3620</v>
      </c>
      <c r="I1216" s="61">
        <v>46210.220300983798</v>
      </c>
      <c r="J1216" s="61">
        <v>46210.282984953701</v>
      </c>
      <c r="K1216" s="60">
        <v>0.1</v>
      </c>
      <c r="L1216" s="60" t="s">
        <v>183</v>
      </c>
      <c r="M1216" s="60" t="s">
        <v>183</v>
      </c>
      <c r="N1216" s="60" t="b">
        <f>FALSE()</f>
        <v>0</v>
      </c>
      <c r="O1216" s="60"/>
      <c r="P1216" s="60"/>
      <c r="Q1216" s="60" t="s">
        <v>236</v>
      </c>
      <c r="R1216" s="60" t="s">
        <v>236</v>
      </c>
      <c r="S1216" s="60"/>
      <c r="T1216" s="60" t="b">
        <f>FALSE()</f>
        <v>0</v>
      </c>
      <c r="U1216" s="60" t="b">
        <f>FALSE()</f>
        <v>0</v>
      </c>
      <c r="V1216" s="60">
        <v>656</v>
      </c>
      <c r="W1216" s="62" t="s">
        <v>4530</v>
      </c>
      <c r="X1216" s="60">
        <v>13</v>
      </c>
      <c r="Y1216" s="63">
        <v>22.75</v>
      </c>
      <c r="Z1216" s="60" t="b">
        <f>FALSE()</f>
        <v>0</v>
      </c>
      <c r="AA1216" s="60" t="b">
        <f>TRUE()</f>
        <v>1</v>
      </c>
      <c r="AB1216" s="60" t="b">
        <f>FALSE()</f>
        <v>0</v>
      </c>
      <c r="AC1216" s="60" t="b">
        <f>FALSE()</f>
        <v>0</v>
      </c>
      <c r="AD1216" s="60" t="b">
        <f>FALSE()</f>
        <v>0</v>
      </c>
      <c r="AE1216" s="60">
        <v>1</v>
      </c>
      <c r="AF1216" s="64">
        <v>14.3</v>
      </c>
      <c r="AG1216" s="60" t="s">
        <v>74</v>
      </c>
      <c r="AH1216" s="60" t="s">
        <v>4531</v>
      </c>
      <c r="AI1216">
        <f>IF(AND(OR(Company_Explorer!$B$5="All Companies",$E1216=Company_Explorer!$B$5),OR(Company_Explorer!$B$6="All Platforms",$B1216=Company_Explorer!$B$6),OR(Company_Explorer!$B$7="All Roles",$D1216=Company_Explorer!$B$7),OR(Company_Explorer!$B$8="All Ghost Labels",$AG1216=Company_Explorer!$B$8)),1,0)</f>
        <v>0</v>
      </c>
    </row>
    <row r="1217" spans="1:35" ht="15" customHeight="1" x14ac:dyDescent="0.3">
      <c r="A1217" s="65" t="s">
        <v>4532</v>
      </c>
      <c r="B1217" s="65" t="s">
        <v>81</v>
      </c>
      <c r="C1217" s="65" t="s">
        <v>4533</v>
      </c>
      <c r="D1217" s="65" t="s">
        <v>130</v>
      </c>
      <c r="E1217" s="65" t="s">
        <v>160</v>
      </c>
      <c r="F1217" s="65" t="b">
        <f>TRUE()</f>
        <v>1</v>
      </c>
      <c r="G1217" s="65" t="s">
        <v>165</v>
      </c>
      <c r="H1217" s="65" t="s">
        <v>3672</v>
      </c>
      <c r="I1217" s="66">
        <v>46210.125899745399</v>
      </c>
      <c r="J1217" s="66">
        <v>46210.282985081001</v>
      </c>
      <c r="K1217" s="65">
        <v>0.2</v>
      </c>
      <c r="L1217" s="65" t="s">
        <v>183</v>
      </c>
      <c r="M1217" s="65" t="s">
        <v>183</v>
      </c>
      <c r="N1217" s="65" t="b">
        <f>FALSE()</f>
        <v>0</v>
      </c>
      <c r="O1217" s="65"/>
      <c r="P1217" s="65"/>
      <c r="Q1217" s="65" t="s">
        <v>236</v>
      </c>
      <c r="R1217" s="65" t="s">
        <v>236</v>
      </c>
      <c r="S1217" s="65"/>
      <c r="T1217" s="65" t="b">
        <f>FALSE()</f>
        <v>0</v>
      </c>
      <c r="U1217" s="65" t="b">
        <f>FALSE()</f>
        <v>0</v>
      </c>
      <c r="V1217" s="65">
        <v>1146</v>
      </c>
      <c r="W1217" s="67" t="s">
        <v>4069</v>
      </c>
      <c r="X1217" s="65">
        <v>14</v>
      </c>
      <c r="Y1217" s="68">
        <v>24.5</v>
      </c>
      <c r="Z1217" s="65" t="b">
        <f>FALSE()</f>
        <v>0</v>
      </c>
      <c r="AA1217" s="65" t="b">
        <f>TRUE()</f>
        <v>1</v>
      </c>
      <c r="AB1217" s="65" t="b">
        <f>FALSE()</f>
        <v>0</v>
      </c>
      <c r="AC1217" s="65" t="b">
        <f>FALSE()</f>
        <v>0</v>
      </c>
      <c r="AD1217" s="65" t="b">
        <f>FALSE()</f>
        <v>0</v>
      </c>
      <c r="AE1217" s="65">
        <v>1</v>
      </c>
      <c r="AF1217" s="69">
        <v>14.3</v>
      </c>
      <c r="AG1217" s="65" t="s">
        <v>74</v>
      </c>
      <c r="AH1217" s="65" t="s">
        <v>4534</v>
      </c>
      <c r="AI1217">
        <f>IF(AND(OR(Company_Explorer!$B$5="All Companies",$E1217=Company_Explorer!$B$5),OR(Company_Explorer!$B$6="All Platforms",$B1217=Company_Explorer!$B$6),OR(Company_Explorer!$B$7="All Roles",$D1217=Company_Explorer!$B$7),OR(Company_Explorer!$B$8="All Ghost Labels",$AG1217=Company_Explorer!$B$8)),1,0)</f>
        <v>0</v>
      </c>
    </row>
    <row r="1218" spans="1:35" ht="15" customHeight="1" x14ac:dyDescent="0.3">
      <c r="A1218" s="60" t="s">
        <v>4535</v>
      </c>
      <c r="B1218" s="60" t="s">
        <v>81</v>
      </c>
      <c r="C1218" s="60" t="s">
        <v>130</v>
      </c>
      <c r="D1218" s="60" t="s">
        <v>130</v>
      </c>
      <c r="E1218" s="60" t="s">
        <v>143</v>
      </c>
      <c r="F1218" s="60" t="b">
        <f>TRUE()</f>
        <v>1</v>
      </c>
      <c r="G1218" s="60" t="s">
        <v>165</v>
      </c>
      <c r="H1218" s="60" t="s">
        <v>3620</v>
      </c>
      <c r="I1218" s="61">
        <v>46210.053305856498</v>
      </c>
      <c r="J1218" s="61">
        <v>46210.282985138903</v>
      </c>
      <c r="K1218" s="60">
        <v>0.2</v>
      </c>
      <c r="L1218" s="60" t="s">
        <v>183</v>
      </c>
      <c r="M1218" s="60" t="s">
        <v>183</v>
      </c>
      <c r="N1218" s="60" t="b">
        <f>FALSE()</f>
        <v>0</v>
      </c>
      <c r="O1218" s="60"/>
      <c r="P1218" s="60"/>
      <c r="Q1218" s="60" t="s">
        <v>236</v>
      </c>
      <c r="R1218" s="60" t="s">
        <v>236</v>
      </c>
      <c r="S1218" s="60"/>
      <c r="T1218" s="60" t="b">
        <f>FALSE()</f>
        <v>0</v>
      </c>
      <c r="U1218" s="60" t="b">
        <f>FALSE()</f>
        <v>0</v>
      </c>
      <c r="V1218" s="60">
        <v>306</v>
      </c>
      <c r="W1218" s="62" t="s">
        <v>4449</v>
      </c>
      <c r="X1218" s="60">
        <v>64</v>
      </c>
      <c r="Y1218" s="63">
        <v>112</v>
      </c>
      <c r="Z1218" s="60" t="b">
        <f>FALSE()</f>
        <v>0</v>
      </c>
      <c r="AA1218" s="60" t="b">
        <f>TRUE()</f>
        <v>1</v>
      </c>
      <c r="AB1218" s="60" t="b">
        <f>FALSE()</f>
        <v>0</v>
      </c>
      <c r="AC1218" s="60" t="b">
        <f>FALSE()</f>
        <v>0</v>
      </c>
      <c r="AD1218" s="60" t="b">
        <f>TRUE()</f>
        <v>1</v>
      </c>
      <c r="AE1218" s="60">
        <v>3</v>
      </c>
      <c r="AF1218" s="64">
        <v>42.9</v>
      </c>
      <c r="AG1218" s="60" t="s">
        <v>73</v>
      </c>
      <c r="AH1218" s="60" t="s">
        <v>4536</v>
      </c>
      <c r="AI1218">
        <f>IF(AND(OR(Company_Explorer!$B$5="All Companies",$E1218=Company_Explorer!$B$5),OR(Company_Explorer!$B$6="All Platforms",$B1218=Company_Explorer!$B$6),OR(Company_Explorer!$B$7="All Roles",$D1218=Company_Explorer!$B$7),OR(Company_Explorer!$B$8="All Ghost Labels",$AG1218=Company_Explorer!$B$8)),1,0)</f>
        <v>0</v>
      </c>
    </row>
    <row r="1219" spans="1:35" ht="15" customHeight="1" x14ac:dyDescent="0.3">
      <c r="A1219" s="65" t="s">
        <v>4537</v>
      </c>
      <c r="B1219" s="65" t="s">
        <v>81</v>
      </c>
      <c r="C1219" s="65" t="s">
        <v>1811</v>
      </c>
      <c r="D1219" s="65" t="s">
        <v>125</v>
      </c>
      <c r="E1219" s="65" t="s">
        <v>148</v>
      </c>
      <c r="F1219" s="65" t="b">
        <f>TRUE()</f>
        <v>1</v>
      </c>
      <c r="G1219" s="65" t="s">
        <v>165</v>
      </c>
      <c r="H1219" s="65" t="s">
        <v>3672</v>
      </c>
      <c r="I1219" s="66">
        <v>46210.194270544001</v>
      </c>
      <c r="J1219" s="66">
        <v>46210.282985208301</v>
      </c>
      <c r="K1219" s="65">
        <v>0.1</v>
      </c>
      <c r="L1219" s="65" t="s">
        <v>183</v>
      </c>
      <c r="M1219" s="65" t="s">
        <v>183</v>
      </c>
      <c r="N1219" s="65" t="b">
        <f>FALSE()</f>
        <v>0</v>
      </c>
      <c r="O1219" s="65"/>
      <c r="P1219" s="65"/>
      <c r="Q1219" s="65" t="s">
        <v>236</v>
      </c>
      <c r="R1219" s="65" t="s">
        <v>236</v>
      </c>
      <c r="S1219" s="65"/>
      <c r="T1219" s="65" t="b">
        <f>FALSE()</f>
        <v>0</v>
      </c>
      <c r="U1219" s="65" t="b">
        <f>FALSE()</f>
        <v>0</v>
      </c>
      <c r="V1219" s="65">
        <v>555</v>
      </c>
      <c r="W1219" s="65" t="s">
        <v>733</v>
      </c>
      <c r="X1219" s="65">
        <v>17</v>
      </c>
      <c r="Y1219" s="68">
        <v>29.75</v>
      </c>
      <c r="Z1219" s="65" t="b">
        <f>FALSE()</f>
        <v>0</v>
      </c>
      <c r="AA1219" s="65" t="b">
        <f>TRUE()</f>
        <v>1</v>
      </c>
      <c r="AB1219" s="65" t="b">
        <f>FALSE()</f>
        <v>0</v>
      </c>
      <c r="AC1219" s="65" t="b">
        <f>FALSE()</f>
        <v>0</v>
      </c>
      <c r="AD1219" s="65" t="b">
        <f>FALSE()</f>
        <v>0</v>
      </c>
      <c r="AE1219" s="65">
        <v>1</v>
      </c>
      <c r="AF1219" s="69">
        <v>14.3</v>
      </c>
      <c r="AG1219" s="65" t="s">
        <v>74</v>
      </c>
      <c r="AH1219" s="65" t="s">
        <v>4538</v>
      </c>
      <c r="AI1219">
        <f>IF(AND(OR(Company_Explorer!$B$5="All Companies",$E1219=Company_Explorer!$B$5),OR(Company_Explorer!$B$6="All Platforms",$B1219=Company_Explorer!$B$6),OR(Company_Explorer!$B$7="All Roles",$D1219=Company_Explorer!$B$7),OR(Company_Explorer!$B$8="All Ghost Labels",$AG1219=Company_Explorer!$B$8)),1,0)</f>
        <v>0</v>
      </c>
    </row>
    <row r="1220" spans="1:35" ht="15" customHeight="1" x14ac:dyDescent="0.3">
      <c r="A1220" s="60" t="s">
        <v>4539</v>
      </c>
      <c r="B1220" s="60" t="s">
        <v>81</v>
      </c>
      <c r="C1220" s="60" t="s">
        <v>130</v>
      </c>
      <c r="D1220" s="60" t="s">
        <v>130</v>
      </c>
      <c r="E1220" s="60" t="s">
        <v>143</v>
      </c>
      <c r="F1220" s="60" t="b">
        <f>TRUE()</f>
        <v>1</v>
      </c>
      <c r="G1220" s="60" t="s">
        <v>165</v>
      </c>
      <c r="H1220" s="60" t="s">
        <v>3655</v>
      </c>
      <c r="I1220" s="61">
        <v>46210.053310463001</v>
      </c>
      <c r="J1220" s="61">
        <v>46210.282984872698</v>
      </c>
      <c r="K1220" s="60">
        <v>0.2</v>
      </c>
      <c r="L1220" s="60" t="s">
        <v>183</v>
      </c>
      <c r="M1220" s="60" t="s">
        <v>183</v>
      </c>
      <c r="N1220" s="60" t="b">
        <f>FALSE()</f>
        <v>0</v>
      </c>
      <c r="O1220" s="60"/>
      <c r="P1220" s="60"/>
      <c r="Q1220" s="60" t="s">
        <v>236</v>
      </c>
      <c r="R1220" s="60" t="s">
        <v>236</v>
      </c>
      <c r="S1220" s="60"/>
      <c r="T1220" s="60" t="b">
        <f>FALSE()</f>
        <v>0</v>
      </c>
      <c r="U1220" s="60" t="b">
        <f>FALSE()</f>
        <v>0</v>
      </c>
      <c r="V1220" s="60">
        <v>326</v>
      </c>
      <c r="W1220" s="62" t="s">
        <v>4449</v>
      </c>
      <c r="X1220" s="60">
        <v>64</v>
      </c>
      <c r="Y1220" s="63">
        <v>112</v>
      </c>
      <c r="Z1220" s="60" t="b">
        <f>FALSE()</f>
        <v>0</v>
      </c>
      <c r="AA1220" s="60" t="b">
        <f>TRUE()</f>
        <v>1</v>
      </c>
      <c r="AB1220" s="60" t="b">
        <f>FALSE()</f>
        <v>0</v>
      </c>
      <c r="AC1220" s="60" t="b">
        <f>FALSE()</f>
        <v>0</v>
      </c>
      <c r="AD1220" s="60" t="b">
        <f>TRUE()</f>
        <v>1</v>
      </c>
      <c r="AE1220" s="60">
        <v>3</v>
      </c>
      <c r="AF1220" s="64">
        <v>42.9</v>
      </c>
      <c r="AG1220" s="60" t="s">
        <v>73</v>
      </c>
      <c r="AH1220" s="60" t="s">
        <v>4540</v>
      </c>
      <c r="AI1220">
        <f>IF(AND(OR(Company_Explorer!$B$5="All Companies",$E1220=Company_Explorer!$B$5),OR(Company_Explorer!$B$6="All Platforms",$B1220=Company_Explorer!$B$6),OR(Company_Explorer!$B$7="All Roles",$D1220=Company_Explorer!$B$7),OR(Company_Explorer!$B$8="All Ghost Labels",$AG1220=Company_Explorer!$B$8)),1,0)</f>
        <v>0</v>
      </c>
    </row>
    <row r="1221" spans="1:35" ht="15" customHeight="1" x14ac:dyDescent="0.3">
      <c r="A1221" s="65" t="s">
        <v>4541</v>
      </c>
      <c r="B1221" s="65" t="s">
        <v>81</v>
      </c>
      <c r="C1221" s="65" t="s">
        <v>4542</v>
      </c>
      <c r="D1221" s="65" t="s">
        <v>134</v>
      </c>
      <c r="E1221" s="65" t="s">
        <v>148</v>
      </c>
      <c r="F1221" s="65" t="b">
        <f>TRUE()</f>
        <v>1</v>
      </c>
      <c r="G1221" s="65" t="s">
        <v>165</v>
      </c>
      <c r="H1221" s="65" t="s">
        <v>3672</v>
      </c>
      <c r="I1221" s="66">
        <v>46210.194267141203</v>
      </c>
      <c r="J1221" s="66">
        <v>46210.282985300903</v>
      </c>
      <c r="K1221" s="65">
        <v>0.1</v>
      </c>
      <c r="L1221" s="65" t="s">
        <v>183</v>
      </c>
      <c r="M1221" s="65" t="s">
        <v>183</v>
      </c>
      <c r="N1221" s="65" t="b">
        <f>FALSE()</f>
        <v>0</v>
      </c>
      <c r="O1221" s="65"/>
      <c r="P1221" s="65"/>
      <c r="Q1221" s="65" t="s">
        <v>236</v>
      </c>
      <c r="R1221" s="65" t="s">
        <v>236</v>
      </c>
      <c r="S1221" s="65"/>
      <c r="T1221" s="65" t="b">
        <f>FALSE()</f>
        <v>0</v>
      </c>
      <c r="U1221" s="65" t="b">
        <f>FALSE()</f>
        <v>0</v>
      </c>
      <c r="V1221" s="65">
        <v>605</v>
      </c>
      <c r="W1221" s="65" t="s">
        <v>733</v>
      </c>
      <c r="X1221" s="65">
        <v>17</v>
      </c>
      <c r="Y1221" s="68">
        <v>29.75</v>
      </c>
      <c r="Z1221" s="65" t="b">
        <f>FALSE()</f>
        <v>0</v>
      </c>
      <c r="AA1221" s="65" t="b">
        <f>TRUE()</f>
        <v>1</v>
      </c>
      <c r="AB1221" s="65" t="b">
        <f>FALSE()</f>
        <v>0</v>
      </c>
      <c r="AC1221" s="65" t="b">
        <f>FALSE()</f>
        <v>0</v>
      </c>
      <c r="AD1221" s="65" t="b">
        <f>FALSE()</f>
        <v>0</v>
      </c>
      <c r="AE1221" s="65">
        <v>1</v>
      </c>
      <c r="AF1221" s="69">
        <v>14.3</v>
      </c>
      <c r="AG1221" s="65" t="s">
        <v>74</v>
      </c>
      <c r="AH1221" s="65" t="s">
        <v>4543</v>
      </c>
      <c r="AI1221">
        <f>IF(AND(OR(Company_Explorer!$B$5="All Companies",$E1221=Company_Explorer!$B$5),OR(Company_Explorer!$B$6="All Platforms",$B1221=Company_Explorer!$B$6),OR(Company_Explorer!$B$7="All Roles",$D1221=Company_Explorer!$B$7),OR(Company_Explorer!$B$8="All Ghost Labels",$AG1221=Company_Explorer!$B$8)),1,0)</f>
        <v>0</v>
      </c>
    </row>
    <row r="1222" spans="1:35" ht="15" customHeight="1" x14ac:dyDescent="0.3">
      <c r="A1222" s="60" t="s">
        <v>4544</v>
      </c>
      <c r="B1222" s="60" t="s">
        <v>81</v>
      </c>
      <c r="C1222" s="60" t="s">
        <v>4545</v>
      </c>
      <c r="D1222" s="60" t="s">
        <v>126</v>
      </c>
      <c r="E1222" s="60" t="s">
        <v>160</v>
      </c>
      <c r="F1222" s="60" t="b">
        <f>TRUE()</f>
        <v>1</v>
      </c>
      <c r="G1222" s="60" t="s">
        <v>165</v>
      </c>
      <c r="H1222" s="60" t="s">
        <v>3672</v>
      </c>
      <c r="I1222" s="61">
        <v>46210.125810416699</v>
      </c>
      <c r="J1222" s="61">
        <v>46210.282985486097</v>
      </c>
      <c r="K1222" s="60">
        <v>0.2</v>
      </c>
      <c r="L1222" s="60" t="s">
        <v>183</v>
      </c>
      <c r="M1222" s="60" t="s">
        <v>183</v>
      </c>
      <c r="N1222" s="60" t="b">
        <f>FALSE()</f>
        <v>0</v>
      </c>
      <c r="O1222" s="60"/>
      <c r="P1222" s="60"/>
      <c r="Q1222" s="60" t="s">
        <v>236</v>
      </c>
      <c r="R1222" s="60" t="s">
        <v>236</v>
      </c>
      <c r="S1222" s="60"/>
      <c r="T1222" s="60" t="b">
        <f>FALSE()</f>
        <v>0</v>
      </c>
      <c r="U1222" s="60" t="b">
        <f>FALSE()</f>
        <v>0</v>
      </c>
      <c r="V1222" s="60">
        <v>760</v>
      </c>
      <c r="W1222" s="62" t="s">
        <v>4069</v>
      </c>
      <c r="X1222" s="60">
        <v>14</v>
      </c>
      <c r="Y1222" s="63">
        <v>24.5</v>
      </c>
      <c r="Z1222" s="60" t="b">
        <f>FALSE()</f>
        <v>0</v>
      </c>
      <c r="AA1222" s="60" t="b">
        <f>TRUE()</f>
        <v>1</v>
      </c>
      <c r="AB1222" s="60" t="b">
        <f>FALSE()</f>
        <v>0</v>
      </c>
      <c r="AC1222" s="60" t="b">
        <f>FALSE()</f>
        <v>0</v>
      </c>
      <c r="AD1222" s="60" t="b">
        <f>FALSE()</f>
        <v>0</v>
      </c>
      <c r="AE1222" s="60">
        <v>1</v>
      </c>
      <c r="AF1222" s="64">
        <v>14.3</v>
      </c>
      <c r="AG1222" s="60" t="s">
        <v>74</v>
      </c>
      <c r="AH1222" s="60" t="s">
        <v>4546</v>
      </c>
      <c r="AI1222">
        <f>IF(AND(OR(Company_Explorer!$B$5="All Companies",$E1222=Company_Explorer!$B$5),OR(Company_Explorer!$B$6="All Platforms",$B1222=Company_Explorer!$B$6),OR(Company_Explorer!$B$7="All Roles",$D1222=Company_Explorer!$B$7),OR(Company_Explorer!$B$8="All Ghost Labels",$AG1222=Company_Explorer!$B$8)),1,0)</f>
        <v>0</v>
      </c>
    </row>
    <row r="1223" spans="1:35" ht="15" customHeight="1" x14ac:dyDescent="0.3">
      <c r="A1223" s="65" t="s">
        <v>4547</v>
      </c>
      <c r="B1223" s="65" t="s">
        <v>81</v>
      </c>
      <c r="C1223" s="65" t="s">
        <v>4548</v>
      </c>
      <c r="D1223" s="65" t="s">
        <v>126</v>
      </c>
      <c r="E1223" s="65" t="s">
        <v>4470</v>
      </c>
      <c r="F1223" s="65" t="b">
        <f>TRUE()</f>
        <v>1</v>
      </c>
      <c r="G1223" s="65" t="s">
        <v>165</v>
      </c>
      <c r="H1223" s="65" t="s">
        <v>3636</v>
      </c>
      <c r="I1223" s="66">
        <v>46210.218700416699</v>
      </c>
      <c r="J1223" s="66">
        <v>46210.282985381898</v>
      </c>
      <c r="K1223" s="65">
        <v>0.1</v>
      </c>
      <c r="L1223" s="65" t="s">
        <v>183</v>
      </c>
      <c r="M1223" s="65" t="s">
        <v>183</v>
      </c>
      <c r="N1223" s="65" t="b">
        <f>FALSE()</f>
        <v>0</v>
      </c>
      <c r="O1223" s="65"/>
      <c r="P1223" s="65"/>
      <c r="Q1223" s="65" t="s">
        <v>236</v>
      </c>
      <c r="R1223" s="65" t="s">
        <v>236</v>
      </c>
      <c r="S1223" s="65"/>
      <c r="T1223" s="65" t="b">
        <f>FALSE()</f>
        <v>0</v>
      </c>
      <c r="U1223" s="65" t="b">
        <f>FALSE()</f>
        <v>0</v>
      </c>
      <c r="V1223" s="65">
        <v>467</v>
      </c>
      <c r="W1223" s="67" t="s">
        <v>4549</v>
      </c>
      <c r="X1223" s="65">
        <v>2</v>
      </c>
      <c r="Y1223" s="68">
        <v>3.5</v>
      </c>
      <c r="Z1223" s="65" t="b">
        <f>FALSE()</f>
        <v>0</v>
      </c>
      <c r="AA1223" s="65" t="b">
        <f>TRUE()</f>
        <v>1</v>
      </c>
      <c r="AB1223" s="65" t="b">
        <f>FALSE()</f>
        <v>0</v>
      </c>
      <c r="AC1223" s="65" t="b">
        <f>FALSE()</f>
        <v>0</v>
      </c>
      <c r="AD1223" s="65" t="b">
        <f>FALSE()</f>
        <v>0</v>
      </c>
      <c r="AE1223" s="65">
        <v>1</v>
      </c>
      <c r="AF1223" s="69">
        <v>14.3</v>
      </c>
      <c r="AG1223" s="65" t="s">
        <v>74</v>
      </c>
      <c r="AH1223" s="65" t="s">
        <v>4550</v>
      </c>
      <c r="AI1223">
        <f>IF(AND(OR(Company_Explorer!$B$5="All Companies",$E1223=Company_Explorer!$B$5),OR(Company_Explorer!$B$6="All Platforms",$B1223=Company_Explorer!$B$6),OR(Company_Explorer!$B$7="All Roles",$D1223=Company_Explorer!$B$7),OR(Company_Explorer!$B$8="All Ghost Labels",$AG1223=Company_Explorer!$B$8)),1,0)</f>
        <v>0</v>
      </c>
    </row>
    <row r="1224" spans="1:35" ht="15" customHeight="1" x14ac:dyDescent="0.3">
      <c r="A1224" s="60" t="s">
        <v>4551</v>
      </c>
      <c r="B1224" s="60" t="s">
        <v>81</v>
      </c>
      <c r="C1224" s="60" t="s">
        <v>130</v>
      </c>
      <c r="D1224" s="60" t="s">
        <v>130</v>
      </c>
      <c r="E1224" s="60" t="s">
        <v>143</v>
      </c>
      <c r="F1224" s="60" t="b">
        <f>TRUE()</f>
        <v>1</v>
      </c>
      <c r="G1224" s="60" t="s">
        <v>165</v>
      </c>
      <c r="H1224" s="60" t="s">
        <v>3636</v>
      </c>
      <c r="I1224" s="61">
        <v>46210.053305277797</v>
      </c>
      <c r="J1224" s="61">
        <v>46210.282986145801</v>
      </c>
      <c r="K1224" s="60">
        <v>0.2</v>
      </c>
      <c r="L1224" s="60" t="s">
        <v>183</v>
      </c>
      <c r="M1224" s="60" t="s">
        <v>183</v>
      </c>
      <c r="N1224" s="60" t="b">
        <f>FALSE()</f>
        <v>0</v>
      </c>
      <c r="O1224" s="60"/>
      <c r="P1224" s="60"/>
      <c r="Q1224" s="60" t="s">
        <v>236</v>
      </c>
      <c r="R1224" s="60" t="s">
        <v>236</v>
      </c>
      <c r="S1224" s="60"/>
      <c r="T1224" s="60" t="b">
        <f>FALSE()</f>
        <v>0</v>
      </c>
      <c r="U1224" s="60" t="b">
        <f>FALSE()</f>
        <v>0</v>
      </c>
      <c r="V1224" s="60">
        <v>344</v>
      </c>
      <c r="W1224" s="62" t="s">
        <v>4449</v>
      </c>
      <c r="X1224" s="60">
        <v>64</v>
      </c>
      <c r="Y1224" s="63">
        <v>112</v>
      </c>
      <c r="Z1224" s="60" t="b">
        <f>FALSE()</f>
        <v>0</v>
      </c>
      <c r="AA1224" s="60" t="b">
        <f>TRUE()</f>
        <v>1</v>
      </c>
      <c r="AB1224" s="60" t="b">
        <f>FALSE()</f>
        <v>0</v>
      </c>
      <c r="AC1224" s="60" t="b">
        <f>FALSE()</f>
        <v>0</v>
      </c>
      <c r="AD1224" s="60" t="b">
        <f>TRUE()</f>
        <v>1</v>
      </c>
      <c r="AE1224" s="60">
        <v>3</v>
      </c>
      <c r="AF1224" s="64">
        <v>42.9</v>
      </c>
      <c r="AG1224" s="60" t="s">
        <v>73</v>
      </c>
      <c r="AH1224" s="60" t="s">
        <v>4552</v>
      </c>
      <c r="AI1224">
        <f>IF(AND(OR(Company_Explorer!$B$5="All Companies",$E1224=Company_Explorer!$B$5),OR(Company_Explorer!$B$6="All Platforms",$B1224=Company_Explorer!$B$6),OR(Company_Explorer!$B$7="All Roles",$D1224=Company_Explorer!$B$7),OR(Company_Explorer!$B$8="All Ghost Labels",$AG1224=Company_Explorer!$B$8)),1,0)</f>
        <v>0</v>
      </c>
    </row>
    <row r="1225" spans="1:35" ht="15" customHeight="1" x14ac:dyDescent="0.3">
      <c r="A1225" s="65" t="s">
        <v>4553</v>
      </c>
      <c r="B1225" s="65" t="s">
        <v>81</v>
      </c>
      <c r="C1225" s="65" t="s">
        <v>130</v>
      </c>
      <c r="D1225" s="65" t="s">
        <v>130</v>
      </c>
      <c r="E1225" s="65" t="s">
        <v>143</v>
      </c>
      <c r="F1225" s="65" t="b">
        <f>TRUE()</f>
        <v>1</v>
      </c>
      <c r="G1225" s="65" t="s">
        <v>165</v>
      </c>
      <c r="H1225" s="65" t="s">
        <v>3620</v>
      </c>
      <c r="I1225" s="66">
        <v>46210.053301956003</v>
      </c>
      <c r="J1225" s="66">
        <v>46210.2829866088</v>
      </c>
      <c r="K1225" s="65">
        <v>0.2</v>
      </c>
      <c r="L1225" s="65" t="s">
        <v>183</v>
      </c>
      <c r="M1225" s="65" t="s">
        <v>183</v>
      </c>
      <c r="N1225" s="65" t="b">
        <f>FALSE()</f>
        <v>0</v>
      </c>
      <c r="O1225" s="65"/>
      <c r="P1225" s="65"/>
      <c r="Q1225" s="65" t="s">
        <v>236</v>
      </c>
      <c r="R1225" s="65" t="s">
        <v>236</v>
      </c>
      <c r="S1225" s="65"/>
      <c r="T1225" s="65" t="b">
        <f>FALSE()</f>
        <v>0</v>
      </c>
      <c r="U1225" s="65" t="b">
        <f>FALSE()</f>
        <v>0</v>
      </c>
      <c r="V1225" s="65">
        <v>372</v>
      </c>
      <c r="W1225" s="67" t="s">
        <v>4449</v>
      </c>
      <c r="X1225" s="65">
        <v>64</v>
      </c>
      <c r="Y1225" s="68">
        <v>112</v>
      </c>
      <c r="Z1225" s="65" t="b">
        <f>FALSE()</f>
        <v>0</v>
      </c>
      <c r="AA1225" s="65" t="b">
        <f>TRUE()</f>
        <v>1</v>
      </c>
      <c r="AB1225" s="65" t="b">
        <f>FALSE()</f>
        <v>0</v>
      </c>
      <c r="AC1225" s="65" t="b">
        <f>FALSE()</f>
        <v>0</v>
      </c>
      <c r="AD1225" s="65" t="b">
        <f>TRUE()</f>
        <v>1</v>
      </c>
      <c r="AE1225" s="65">
        <v>3</v>
      </c>
      <c r="AF1225" s="69">
        <v>42.9</v>
      </c>
      <c r="AG1225" s="65" t="s">
        <v>73</v>
      </c>
      <c r="AH1225" s="65" t="s">
        <v>4554</v>
      </c>
      <c r="AI1225">
        <f>IF(AND(OR(Company_Explorer!$B$5="All Companies",$E1225=Company_Explorer!$B$5),OR(Company_Explorer!$B$6="All Platforms",$B1225=Company_Explorer!$B$6),OR(Company_Explorer!$B$7="All Roles",$D1225=Company_Explorer!$B$7),OR(Company_Explorer!$B$8="All Ghost Labels",$AG1225=Company_Explorer!$B$8)),1,0)</f>
        <v>0</v>
      </c>
    </row>
    <row r="1226" spans="1:35" ht="15" customHeight="1" x14ac:dyDescent="0.3">
      <c r="A1226" s="60" t="s">
        <v>4555</v>
      </c>
      <c r="B1226" s="60" t="s">
        <v>81</v>
      </c>
      <c r="C1226" s="60" t="s">
        <v>125</v>
      </c>
      <c r="D1226" s="60" t="s">
        <v>125</v>
      </c>
      <c r="E1226" s="60" t="s">
        <v>148</v>
      </c>
      <c r="F1226" s="60" t="b">
        <f>TRUE()</f>
        <v>1</v>
      </c>
      <c r="G1226" s="60" t="s">
        <v>165</v>
      </c>
      <c r="H1226" s="60" t="s">
        <v>3672</v>
      </c>
      <c r="I1226" s="61">
        <v>46210.194222708298</v>
      </c>
      <c r="J1226" s="61">
        <v>46210.282986689803</v>
      </c>
      <c r="K1226" s="60">
        <v>0.1</v>
      </c>
      <c r="L1226" s="60" t="s">
        <v>183</v>
      </c>
      <c r="M1226" s="60" t="s">
        <v>183</v>
      </c>
      <c r="N1226" s="60" t="b">
        <f>FALSE()</f>
        <v>0</v>
      </c>
      <c r="O1226" s="60"/>
      <c r="P1226" s="60"/>
      <c r="Q1226" s="60" t="s">
        <v>236</v>
      </c>
      <c r="R1226" s="60" t="s">
        <v>236</v>
      </c>
      <c r="S1226" s="60"/>
      <c r="T1226" s="60" t="b">
        <f>FALSE()</f>
        <v>0</v>
      </c>
      <c r="U1226" s="60" t="b">
        <f>FALSE()</f>
        <v>0</v>
      </c>
      <c r="V1226" s="60">
        <v>523</v>
      </c>
      <c r="W1226" s="60" t="s">
        <v>733</v>
      </c>
      <c r="X1226" s="60">
        <v>17</v>
      </c>
      <c r="Y1226" s="63">
        <v>29.75</v>
      </c>
      <c r="Z1226" s="60" t="b">
        <f>FALSE()</f>
        <v>0</v>
      </c>
      <c r="AA1226" s="60" t="b">
        <f>TRUE()</f>
        <v>1</v>
      </c>
      <c r="AB1226" s="60" t="b">
        <f>FALSE()</f>
        <v>0</v>
      </c>
      <c r="AC1226" s="60" t="b">
        <f>FALSE()</f>
        <v>0</v>
      </c>
      <c r="AD1226" s="60" t="b">
        <f>FALSE()</f>
        <v>0</v>
      </c>
      <c r="AE1226" s="60">
        <v>1</v>
      </c>
      <c r="AF1226" s="64">
        <v>14.3</v>
      </c>
      <c r="AG1226" s="60" t="s">
        <v>74</v>
      </c>
      <c r="AH1226" s="60" t="s">
        <v>4556</v>
      </c>
      <c r="AI1226">
        <f>IF(AND(OR(Company_Explorer!$B$5="All Companies",$E1226=Company_Explorer!$B$5),OR(Company_Explorer!$B$6="All Platforms",$B1226=Company_Explorer!$B$6),OR(Company_Explorer!$B$7="All Roles",$D1226=Company_Explorer!$B$7),OR(Company_Explorer!$B$8="All Ghost Labels",$AG1226=Company_Explorer!$B$8)),1,0)</f>
        <v>0</v>
      </c>
    </row>
    <row r="1227" spans="1:35" ht="15" customHeight="1" x14ac:dyDescent="0.3">
      <c r="A1227" s="65" t="s">
        <v>4557</v>
      </c>
      <c r="B1227" s="65" t="s">
        <v>81</v>
      </c>
      <c r="C1227" s="65" t="s">
        <v>4558</v>
      </c>
      <c r="D1227" s="65" t="s">
        <v>125</v>
      </c>
      <c r="E1227" s="65" t="s">
        <v>148</v>
      </c>
      <c r="F1227" s="65" t="b">
        <f>TRUE()</f>
        <v>1</v>
      </c>
      <c r="G1227" s="65" t="s">
        <v>165</v>
      </c>
      <c r="H1227" s="65" t="s">
        <v>3672</v>
      </c>
      <c r="I1227" s="66">
        <v>46210.194221423597</v>
      </c>
      <c r="J1227" s="66">
        <v>46210.282986666702</v>
      </c>
      <c r="K1227" s="65">
        <v>0.1</v>
      </c>
      <c r="L1227" s="65" t="s">
        <v>183</v>
      </c>
      <c r="M1227" s="65" t="s">
        <v>183</v>
      </c>
      <c r="N1227" s="65" t="b">
        <f>FALSE()</f>
        <v>0</v>
      </c>
      <c r="O1227" s="65"/>
      <c r="P1227" s="65"/>
      <c r="Q1227" s="65" t="s">
        <v>236</v>
      </c>
      <c r="R1227" s="65" t="s">
        <v>236</v>
      </c>
      <c r="S1227" s="65"/>
      <c r="T1227" s="65" t="b">
        <f>FALSE()</f>
        <v>0</v>
      </c>
      <c r="U1227" s="65" t="b">
        <f>FALSE()</f>
        <v>0</v>
      </c>
      <c r="V1227" s="65">
        <v>605</v>
      </c>
      <c r="W1227" s="65" t="s">
        <v>733</v>
      </c>
      <c r="X1227" s="65">
        <v>17</v>
      </c>
      <c r="Y1227" s="68">
        <v>29.75</v>
      </c>
      <c r="Z1227" s="65" t="b">
        <f>FALSE()</f>
        <v>0</v>
      </c>
      <c r="AA1227" s="65" t="b">
        <f>TRUE()</f>
        <v>1</v>
      </c>
      <c r="AB1227" s="65" t="b">
        <f>FALSE()</f>
        <v>0</v>
      </c>
      <c r="AC1227" s="65" t="b">
        <f>FALSE()</f>
        <v>0</v>
      </c>
      <c r="AD1227" s="65" t="b">
        <f>FALSE()</f>
        <v>0</v>
      </c>
      <c r="AE1227" s="65">
        <v>1</v>
      </c>
      <c r="AF1227" s="69">
        <v>14.3</v>
      </c>
      <c r="AG1227" s="65" t="s">
        <v>74</v>
      </c>
      <c r="AH1227" s="65" t="s">
        <v>4559</v>
      </c>
      <c r="AI1227">
        <f>IF(AND(OR(Company_Explorer!$B$5="All Companies",$E1227=Company_Explorer!$B$5),OR(Company_Explorer!$B$6="All Platforms",$B1227=Company_Explorer!$B$6),OR(Company_Explorer!$B$7="All Roles",$D1227=Company_Explorer!$B$7),OR(Company_Explorer!$B$8="All Ghost Labels",$AG1227=Company_Explorer!$B$8)),1,0)</f>
        <v>0</v>
      </c>
    </row>
    <row r="1228" spans="1:35" ht="15" customHeight="1" x14ac:dyDescent="0.3">
      <c r="A1228" s="60" t="s">
        <v>4560</v>
      </c>
      <c r="B1228" s="60" t="s">
        <v>81</v>
      </c>
      <c r="C1228" s="60" t="s">
        <v>4561</v>
      </c>
      <c r="D1228" s="60" t="s">
        <v>125</v>
      </c>
      <c r="E1228" s="60" t="s">
        <v>3947</v>
      </c>
      <c r="F1228" s="60" t="b">
        <f>TRUE()</f>
        <v>1</v>
      </c>
      <c r="G1228" s="60" t="s">
        <v>165</v>
      </c>
      <c r="H1228" s="60" t="s">
        <v>3620</v>
      </c>
      <c r="I1228" s="61">
        <v>46210.2173776852</v>
      </c>
      <c r="J1228" s="61">
        <v>46210.282986631901</v>
      </c>
      <c r="K1228" s="60">
        <v>0.1</v>
      </c>
      <c r="L1228" s="60" t="s">
        <v>183</v>
      </c>
      <c r="M1228" s="60" t="s">
        <v>183</v>
      </c>
      <c r="N1228" s="60" t="b">
        <f>FALSE()</f>
        <v>0</v>
      </c>
      <c r="O1228" s="60"/>
      <c r="P1228" s="60"/>
      <c r="Q1228" s="60" t="s">
        <v>236</v>
      </c>
      <c r="R1228" s="60" t="s">
        <v>236</v>
      </c>
      <c r="S1228" s="60"/>
      <c r="T1228" s="60" t="b">
        <f>FALSE()</f>
        <v>0</v>
      </c>
      <c r="U1228" s="60" t="b">
        <f>FALSE()</f>
        <v>0</v>
      </c>
      <c r="V1228" s="60">
        <v>487</v>
      </c>
      <c r="W1228" s="62" t="s">
        <v>4562</v>
      </c>
      <c r="X1228" s="60">
        <v>13</v>
      </c>
      <c r="Y1228" s="63">
        <v>22.75</v>
      </c>
      <c r="Z1228" s="60" t="b">
        <f>FALSE()</f>
        <v>0</v>
      </c>
      <c r="AA1228" s="60" t="b">
        <f>TRUE()</f>
        <v>1</v>
      </c>
      <c r="AB1228" s="60" t="b">
        <f>FALSE()</f>
        <v>0</v>
      </c>
      <c r="AC1228" s="60" t="b">
        <f>FALSE()</f>
        <v>0</v>
      </c>
      <c r="AD1228" s="60" t="b">
        <f>FALSE()</f>
        <v>0</v>
      </c>
      <c r="AE1228" s="60">
        <v>1</v>
      </c>
      <c r="AF1228" s="64">
        <v>14.3</v>
      </c>
      <c r="AG1228" s="60" t="s">
        <v>74</v>
      </c>
      <c r="AH1228" s="60" t="s">
        <v>4563</v>
      </c>
      <c r="AI1228">
        <f>IF(AND(OR(Company_Explorer!$B$5="All Companies",$E1228=Company_Explorer!$B$5),OR(Company_Explorer!$B$6="All Platforms",$B1228=Company_Explorer!$B$6),OR(Company_Explorer!$B$7="All Roles",$D1228=Company_Explorer!$B$7),OR(Company_Explorer!$B$8="All Ghost Labels",$AG1228=Company_Explorer!$B$8)),1,0)</f>
        <v>0</v>
      </c>
    </row>
    <row r="1229" spans="1:35" ht="15" customHeight="1" x14ac:dyDescent="0.3">
      <c r="A1229" s="65" t="s">
        <v>4564</v>
      </c>
      <c r="B1229" s="65" t="s">
        <v>81</v>
      </c>
      <c r="C1229" s="65" t="s">
        <v>134</v>
      </c>
      <c r="D1229" s="65" t="s">
        <v>134</v>
      </c>
      <c r="E1229" s="65" t="s">
        <v>4565</v>
      </c>
      <c r="F1229" s="65" t="b">
        <f>TRUE()</f>
        <v>1</v>
      </c>
      <c r="G1229" s="65" t="s">
        <v>165</v>
      </c>
      <c r="H1229" s="65" t="s">
        <v>3672</v>
      </c>
      <c r="I1229" s="66">
        <v>46210.215733622703</v>
      </c>
      <c r="J1229" s="66">
        <v>46210.282986655096</v>
      </c>
      <c r="K1229" s="65">
        <v>0.1</v>
      </c>
      <c r="L1229" s="65" t="s">
        <v>183</v>
      </c>
      <c r="M1229" s="65" t="s">
        <v>183</v>
      </c>
      <c r="N1229" s="65" t="b">
        <f>TRUE()</f>
        <v>1</v>
      </c>
      <c r="O1229" s="71">
        <v>700000</v>
      </c>
      <c r="P1229" s="71">
        <v>1200000</v>
      </c>
      <c r="Q1229" s="65" t="s">
        <v>3663</v>
      </c>
      <c r="R1229" s="65" t="s">
        <v>3961</v>
      </c>
      <c r="S1229" s="71">
        <v>950000</v>
      </c>
      <c r="T1229" s="65" t="b">
        <f>TRUE()</f>
        <v>1</v>
      </c>
      <c r="U1229" s="65" t="b">
        <f>FALSE()</f>
        <v>0</v>
      </c>
      <c r="V1229" s="65">
        <v>389</v>
      </c>
      <c r="W1229" s="67" t="s">
        <v>4566</v>
      </c>
      <c r="X1229" s="65">
        <v>2</v>
      </c>
      <c r="Y1229" s="68">
        <v>3.5</v>
      </c>
      <c r="Z1229" s="65" t="b">
        <f>FALSE()</f>
        <v>0</v>
      </c>
      <c r="AA1229" s="65" t="b">
        <f>FALSE()</f>
        <v>0</v>
      </c>
      <c r="AB1229" s="65" t="b">
        <f>FALSE()</f>
        <v>0</v>
      </c>
      <c r="AC1229" s="65" t="b">
        <f>FALSE()</f>
        <v>0</v>
      </c>
      <c r="AD1229" s="65" t="b">
        <f>FALSE()</f>
        <v>0</v>
      </c>
      <c r="AE1229" s="65">
        <v>0</v>
      </c>
      <c r="AF1229" s="69">
        <v>0</v>
      </c>
      <c r="AG1229" s="65" t="s">
        <v>74</v>
      </c>
      <c r="AH1229" s="65" t="s">
        <v>4567</v>
      </c>
      <c r="AI1229">
        <f>IF(AND(OR(Company_Explorer!$B$5="All Companies",$E1229=Company_Explorer!$B$5),OR(Company_Explorer!$B$6="All Platforms",$B1229=Company_Explorer!$B$6),OR(Company_Explorer!$B$7="All Roles",$D1229=Company_Explorer!$B$7),OR(Company_Explorer!$B$8="All Ghost Labels",$AG1229=Company_Explorer!$B$8)),1,0)</f>
        <v>0</v>
      </c>
    </row>
    <row r="1230" spans="1:35" ht="15" customHeight="1" x14ac:dyDescent="0.3">
      <c r="A1230" s="60" t="s">
        <v>4568</v>
      </c>
      <c r="B1230" s="60" t="s">
        <v>81</v>
      </c>
      <c r="C1230" s="60" t="s">
        <v>130</v>
      </c>
      <c r="D1230" s="60" t="s">
        <v>130</v>
      </c>
      <c r="E1230" s="60" t="s">
        <v>143</v>
      </c>
      <c r="F1230" s="60" t="b">
        <f>TRUE()</f>
        <v>1</v>
      </c>
      <c r="G1230" s="60" t="s">
        <v>165</v>
      </c>
      <c r="H1230" s="60" t="s">
        <v>3655</v>
      </c>
      <c r="I1230" s="61">
        <v>46210.0532829398</v>
      </c>
      <c r="J1230" s="61">
        <v>46210.282986770799</v>
      </c>
      <c r="K1230" s="60">
        <v>0.2</v>
      </c>
      <c r="L1230" s="60" t="s">
        <v>183</v>
      </c>
      <c r="M1230" s="60" t="s">
        <v>183</v>
      </c>
      <c r="N1230" s="60" t="b">
        <f>FALSE()</f>
        <v>0</v>
      </c>
      <c r="O1230" s="60"/>
      <c r="P1230" s="60"/>
      <c r="Q1230" s="60" t="s">
        <v>236</v>
      </c>
      <c r="R1230" s="60" t="s">
        <v>236</v>
      </c>
      <c r="S1230" s="60"/>
      <c r="T1230" s="60" t="b">
        <f>FALSE()</f>
        <v>0</v>
      </c>
      <c r="U1230" s="60" t="b">
        <f>FALSE()</f>
        <v>0</v>
      </c>
      <c r="V1230" s="60">
        <v>323</v>
      </c>
      <c r="W1230" s="62" t="s">
        <v>4449</v>
      </c>
      <c r="X1230" s="60">
        <v>64</v>
      </c>
      <c r="Y1230" s="63">
        <v>112</v>
      </c>
      <c r="Z1230" s="60" t="b">
        <f>FALSE()</f>
        <v>0</v>
      </c>
      <c r="AA1230" s="60" t="b">
        <f>TRUE()</f>
        <v>1</v>
      </c>
      <c r="AB1230" s="60" t="b">
        <f>FALSE()</f>
        <v>0</v>
      </c>
      <c r="AC1230" s="60" t="b">
        <f>FALSE()</f>
        <v>0</v>
      </c>
      <c r="AD1230" s="60" t="b">
        <f>TRUE()</f>
        <v>1</v>
      </c>
      <c r="AE1230" s="60">
        <v>3</v>
      </c>
      <c r="AF1230" s="64">
        <v>42.9</v>
      </c>
      <c r="AG1230" s="60" t="s">
        <v>73</v>
      </c>
      <c r="AH1230" s="60" t="s">
        <v>4569</v>
      </c>
      <c r="AI1230">
        <f>IF(AND(OR(Company_Explorer!$B$5="All Companies",$E1230=Company_Explorer!$B$5),OR(Company_Explorer!$B$6="All Platforms",$B1230=Company_Explorer!$B$6),OR(Company_Explorer!$B$7="All Roles",$D1230=Company_Explorer!$B$7),OR(Company_Explorer!$B$8="All Ghost Labels",$AG1230=Company_Explorer!$B$8)),1,0)</f>
        <v>0</v>
      </c>
    </row>
    <row r="1231" spans="1:35" ht="15" customHeight="1" x14ac:dyDescent="0.3">
      <c r="A1231" s="65" t="s">
        <v>4570</v>
      </c>
      <c r="B1231" s="65" t="s">
        <v>81</v>
      </c>
      <c r="C1231" s="65" t="s">
        <v>4571</v>
      </c>
      <c r="D1231" s="65" t="s">
        <v>130</v>
      </c>
      <c r="E1231" s="65" t="s">
        <v>160</v>
      </c>
      <c r="F1231" s="65" t="b">
        <f>TRUE()</f>
        <v>1</v>
      </c>
      <c r="G1231" s="65" t="s">
        <v>165</v>
      </c>
      <c r="H1231" s="65" t="s">
        <v>3672</v>
      </c>
      <c r="I1231" s="66">
        <v>46210.125763830998</v>
      </c>
      <c r="J1231" s="66">
        <v>46210.282986550897</v>
      </c>
      <c r="K1231" s="65">
        <v>0.2</v>
      </c>
      <c r="L1231" s="65" t="s">
        <v>183</v>
      </c>
      <c r="M1231" s="65" t="s">
        <v>183</v>
      </c>
      <c r="N1231" s="65" t="b">
        <f>FALSE()</f>
        <v>0</v>
      </c>
      <c r="O1231" s="65"/>
      <c r="P1231" s="65"/>
      <c r="Q1231" s="65" t="s">
        <v>236</v>
      </c>
      <c r="R1231" s="65" t="s">
        <v>236</v>
      </c>
      <c r="S1231" s="65"/>
      <c r="T1231" s="65" t="b">
        <f>FALSE()</f>
        <v>0</v>
      </c>
      <c r="U1231" s="65" t="b">
        <f>FALSE()</f>
        <v>0</v>
      </c>
      <c r="V1231" s="65">
        <v>1199</v>
      </c>
      <c r="W1231" s="67" t="s">
        <v>4069</v>
      </c>
      <c r="X1231" s="65">
        <v>14</v>
      </c>
      <c r="Y1231" s="68">
        <v>24.5</v>
      </c>
      <c r="Z1231" s="65" t="b">
        <f>FALSE()</f>
        <v>0</v>
      </c>
      <c r="AA1231" s="65" t="b">
        <f>TRUE()</f>
        <v>1</v>
      </c>
      <c r="AB1231" s="65" t="b">
        <f>FALSE()</f>
        <v>0</v>
      </c>
      <c r="AC1231" s="65" t="b">
        <f>FALSE()</f>
        <v>0</v>
      </c>
      <c r="AD1231" s="65" t="b">
        <f>FALSE()</f>
        <v>0</v>
      </c>
      <c r="AE1231" s="65">
        <v>1</v>
      </c>
      <c r="AF1231" s="69">
        <v>14.3</v>
      </c>
      <c r="AG1231" s="65" t="s">
        <v>74</v>
      </c>
      <c r="AH1231" s="65" t="s">
        <v>4572</v>
      </c>
      <c r="AI1231">
        <f>IF(AND(OR(Company_Explorer!$B$5="All Companies",$E1231=Company_Explorer!$B$5),OR(Company_Explorer!$B$6="All Platforms",$B1231=Company_Explorer!$B$6),OR(Company_Explorer!$B$7="All Roles",$D1231=Company_Explorer!$B$7),OR(Company_Explorer!$B$8="All Ghost Labels",$AG1231=Company_Explorer!$B$8)),1,0)</f>
        <v>0</v>
      </c>
    </row>
    <row r="1232" spans="1:35" ht="15" customHeight="1" x14ac:dyDescent="0.3">
      <c r="A1232" s="60" t="s">
        <v>4573</v>
      </c>
      <c r="B1232" s="60" t="s">
        <v>81</v>
      </c>
      <c r="C1232" s="60" t="s">
        <v>4574</v>
      </c>
      <c r="D1232" s="60" t="s">
        <v>130</v>
      </c>
      <c r="E1232" s="60" t="s">
        <v>160</v>
      </c>
      <c r="F1232" s="60" t="b">
        <f>TRUE()</f>
        <v>1</v>
      </c>
      <c r="G1232" s="60" t="s">
        <v>165</v>
      </c>
      <c r="H1232" s="60" t="s">
        <v>3672</v>
      </c>
      <c r="I1232" s="61">
        <v>46210.125763738397</v>
      </c>
      <c r="J1232" s="61">
        <v>46210.2829870602</v>
      </c>
      <c r="K1232" s="60">
        <v>0.2</v>
      </c>
      <c r="L1232" s="60" t="s">
        <v>183</v>
      </c>
      <c r="M1232" s="60" t="s">
        <v>183</v>
      </c>
      <c r="N1232" s="60" t="b">
        <f>FALSE()</f>
        <v>0</v>
      </c>
      <c r="O1232" s="60"/>
      <c r="P1232" s="60"/>
      <c r="Q1232" s="60" t="s">
        <v>236</v>
      </c>
      <c r="R1232" s="60" t="s">
        <v>236</v>
      </c>
      <c r="S1232" s="60"/>
      <c r="T1232" s="60" t="b">
        <f>FALSE()</f>
        <v>0</v>
      </c>
      <c r="U1232" s="60" t="b">
        <f>FALSE()</f>
        <v>0</v>
      </c>
      <c r="V1232" s="60">
        <v>1187</v>
      </c>
      <c r="W1232" s="62" t="s">
        <v>4069</v>
      </c>
      <c r="X1232" s="60">
        <v>14</v>
      </c>
      <c r="Y1232" s="63">
        <v>24.5</v>
      </c>
      <c r="Z1232" s="60" t="b">
        <f>FALSE()</f>
        <v>0</v>
      </c>
      <c r="AA1232" s="60" t="b">
        <f>TRUE()</f>
        <v>1</v>
      </c>
      <c r="AB1232" s="60" t="b">
        <f>FALSE()</f>
        <v>0</v>
      </c>
      <c r="AC1232" s="60" t="b">
        <f>FALSE()</f>
        <v>0</v>
      </c>
      <c r="AD1232" s="60" t="b">
        <f>FALSE()</f>
        <v>0</v>
      </c>
      <c r="AE1232" s="60">
        <v>1</v>
      </c>
      <c r="AF1232" s="64">
        <v>14.3</v>
      </c>
      <c r="AG1232" s="60" t="s">
        <v>74</v>
      </c>
      <c r="AH1232" s="60" t="s">
        <v>4575</v>
      </c>
      <c r="AI1232">
        <f>IF(AND(OR(Company_Explorer!$B$5="All Companies",$E1232=Company_Explorer!$B$5),OR(Company_Explorer!$B$6="All Platforms",$B1232=Company_Explorer!$B$6),OR(Company_Explorer!$B$7="All Roles",$D1232=Company_Explorer!$B$7),OR(Company_Explorer!$B$8="All Ghost Labels",$AG1232=Company_Explorer!$B$8)),1,0)</f>
        <v>0</v>
      </c>
    </row>
    <row r="1233" spans="1:35" ht="15" customHeight="1" x14ac:dyDescent="0.3">
      <c r="A1233" s="65" t="s">
        <v>4576</v>
      </c>
      <c r="B1233" s="65" t="s">
        <v>81</v>
      </c>
      <c r="C1233" s="65" t="s">
        <v>4577</v>
      </c>
      <c r="D1233" s="65" t="s">
        <v>125</v>
      </c>
      <c r="E1233" s="65" t="s">
        <v>143</v>
      </c>
      <c r="F1233" s="65" t="b">
        <f>TRUE()</f>
        <v>1</v>
      </c>
      <c r="G1233" s="65" t="s">
        <v>165</v>
      </c>
      <c r="H1233" s="65" t="s">
        <v>3620</v>
      </c>
      <c r="I1233" s="66">
        <v>46210.053270300901</v>
      </c>
      <c r="J1233" s="66">
        <v>46210.282987627303</v>
      </c>
      <c r="K1233" s="65">
        <v>0.2</v>
      </c>
      <c r="L1233" s="65" t="s">
        <v>183</v>
      </c>
      <c r="M1233" s="65" t="s">
        <v>183</v>
      </c>
      <c r="N1233" s="65" t="b">
        <f>FALSE()</f>
        <v>0</v>
      </c>
      <c r="O1233" s="65"/>
      <c r="P1233" s="65"/>
      <c r="Q1233" s="65" t="s">
        <v>236</v>
      </c>
      <c r="R1233" s="65" t="s">
        <v>236</v>
      </c>
      <c r="S1233" s="65"/>
      <c r="T1233" s="65" t="b">
        <f>FALSE()</f>
        <v>0</v>
      </c>
      <c r="U1233" s="65" t="b">
        <f>FALSE()</f>
        <v>0</v>
      </c>
      <c r="V1233" s="65">
        <v>338</v>
      </c>
      <c r="W1233" s="67" t="s">
        <v>4578</v>
      </c>
      <c r="X1233" s="65">
        <v>64</v>
      </c>
      <c r="Y1233" s="68">
        <v>112</v>
      </c>
      <c r="Z1233" s="65" t="b">
        <f>FALSE()</f>
        <v>0</v>
      </c>
      <c r="AA1233" s="65" t="b">
        <f>TRUE()</f>
        <v>1</v>
      </c>
      <c r="AB1233" s="65" t="b">
        <f>FALSE()</f>
        <v>0</v>
      </c>
      <c r="AC1233" s="65" t="b">
        <f>FALSE()</f>
        <v>0</v>
      </c>
      <c r="AD1233" s="65" t="b">
        <f>TRUE()</f>
        <v>1</v>
      </c>
      <c r="AE1233" s="65">
        <v>3</v>
      </c>
      <c r="AF1233" s="69">
        <v>42.9</v>
      </c>
      <c r="AG1233" s="65" t="s">
        <v>73</v>
      </c>
      <c r="AH1233" s="65" t="s">
        <v>4579</v>
      </c>
      <c r="AI1233">
        <f>IF(AND(OR(Company_Explorer!$B$5="All Companies",$E1233=Company_Explorer!$B$5),OR(Company_Explorer!$B$6="All Platforms",$B1233=Company_Explorer!$B$6),OR(Company_Explorer!$B$7="All Roles",$D1233=Company_Explorer!$B$7),OR(Company_Explorer!$B$8="All Ghost Labels",$AG1233=Company_Explorer!$B$8)),1,0)</f>
        <v>0</v>
      </c>
    </row>
    <row r="1234" spans="1:35" ht="15" customHeight="1" x14ac:dyDescent="0.3">
      <c r="A1234" s="60" t="s">
        <v>4580</v>
      </c>
      <c r="B1234" s="60" t="s">
        <v>81</v>
      </c>
      <c r="C1234" s="60" t="s">
        <v>4581</v>
      </c>
      <c r="D1234" s="60" t="s">
        <v>130</v>
      </c>
      <c r="E1234" s="60" t="s">
        <v>160</v>
      </c>
      <c r="F1234" s="60" t="b">
        <f>TRUE()</f>
        <v>1</v>
      </c>
      <c r="G1234" s="60" t="s">
        <v>165</v>
      </c>
      <c r="H1234" s="60" t="s">
        <v>3672</v>
      </c>
      <c r="I1234" s="61">
        <v>46210.125718830997</v>
      </c>
      <c r="J1234" s="61">
        <v>46210.282987731502</v>
      </c>
      <c r="K1234" s="60">
        <v>0.2</v>
      </c>
      <c r="L1234" s="60" t="s">
        <v>183</v>
      </c>
      <c r="M1234" s="60" t="s">
        <v>183</v>
      </c>
      <c r="N1234" s="60" t="b">
        <f>FALSE()</f>
        <v>0</v>
      </c>
      <c r="O1234" s="60"/>
      <c r="P1234" s="60"/>
      <c r="Q1234" s="60" t="s">
        <v>236</v>
      </c>
      <c r="R1234" s="60" t="s">
        <v>236</v>
      </c>
      <c r="S1234" s="60"/>
      <c r="T1234" s="60" t="b">
        <f>FALSE()</f>
        <v>0</v>
      </c>
      <c r="U1234" s="60" t="b">
        <f>FALSE()</f>
        <v>0</v>
      </c>
      <c r="V1234" s="60">
        <v>1071</v>
      </c>
      <c r="W1234" s="62" t="s">
        <v>4069</v>
      </c>
      <c r="X1234" s="60">
        <v>14</v>
      </c>
      <c r="Y1234" s="63">
        <v>24.5</v>
      </c>
      <c r="Z1234" s="60" t="b">
        <f>FALSE()</f>
        <v>0</v>
      </c>
      <c r="AA1234" s="60" t="b">
        <f>TRUE()</f>
        <v>1</v>
      </c>
      <c r="AB1234" s="60" t="b">
        <f>FALSE()</f>
        <v>0</v>
      </c>
      <c r="AC1234" s="60" t="b">
        <f>FALSE()</f>
        <v>0</v>
      </c>
      <c r="AD1234" s="60" t="b">
        <f>FALSE()</f>
        <v>0</v>
      </c>
      <c r="AE1234" s="60">
        <v>1</v>
      </c>
      <c r="AF1234" s="64">
        <v>14.3</v>
      </c>
      <c r="AG1234" s="60" t="s">
        <v>74</v>
      </c>
      <c r="AH1234" s="60" t="s">
        <v>4582</v>
      </c>
      <c r="AI1234">
        <f>IF(AND(OR(Company_Explorer!$B$5="All Companies",$E1234=Company_Explorer!$B$5),OR(Company_Explorer!$B$6="All Platforms",$B1234=Company_Explorer!$B$6),OR(Company_Explorer!$B$7="All Roles",$D1234=Company_Explorer!$B$7),OR(Company_Explorer!$B$8="All Ghost Labels",$AG1234=Company_Explorer!$B$8)),1,0)</f>
        <v>0</v>
      </c>
    </row>
    <row r="1235" spans="1:35" ht="15" customHeight="1" x14ac:dyDescent="0.3">
      <c r="A1235" s="65" t="s">
        <v>4583</v>
      </c>
      <c r="B1235" s="65" t="s">
        <v>81</v>
      </c>
      <c r="C1235" s="65" t="s">
        <v>4584</v>
      </c>
      <c r="D1235" s="65" t="s">
        <v>125</v>
      </c>
      <c r="E1235" s="65" t="s">
        <v>4350</v>
      </c>
      <c r="F1235" s="65" t="b">
        <f>TRUE()</f>
        <v>1</v>
      </c>
      <c r="G1235" s="65" t="s">
        <v>165</v>
      </c>
      <c r="H1235" s="65" t="s">
        <v>3672</v>
      </c>
      <c r="I1235" s="66">
        <v>46210.210602638901</v>
      </c>
      <c r="J1235" s="66">
        <v>46210.282987685197</v>
      </c>
      <c r="K1235" s="65">
        <v>0.1</v>
      </c>
      <c r="L1235" s="65" t="s">
        <v>183</v>
      </c>
      <c r="M1235" s="65" t="s">
        <v>183</v>
      </c>
      <c r="N1235" s="65" t="b">
        <f>TRUE()</f>
        <v>1</v>
      </c>
      <c r="O1235" s="71">
        <v>17415.369140625</v>
      </c>
      <c r="P1235" s="71">
        <v>63705.12109375</v>
      </c>
      <c r="Q1235" s="65" t="s">
        <v>3663</v>
      </c>
      <c r="R1235" s="65" t="s">
        <v>3664</v>
      </c>
      <c r="S1235" s="71">
        <v>486723</v>
      </c>
      <c r="T1235" s="65" t="b">
        <f>TRUE()</f>
        <v>1</v>
      </c>
      <c r="U1235" s="65" t="b">
        <f>FALSE()</f>
        <v>0</v>
      </c>
      <c r="V1235" s="65">
        <v>376</v>
      </c>
      <c r="W1235" s="67" t="s">
        <v>4585</v>
      </c>
      <c r="X1235" s="65">
        <v>2</v>
      </c>
      <c r="Y1235" s="68">
        <v>3.5</v>
      </c>
      <c r="Z1235" s="65" t="b">
        <f>FALSE()</f>
        <v>0</v>
      </c>
      <c r="AA1235" s="65" t="b">
        <f>FALSE()</f>
        <v>0</v>
      </c>
      <c r="AB1235" s="65" t="b">
        <f>FALSE()</f>
        <v>0</v>
      </c>
      <c r="AC1235" s="65" t="b">
        <f>FALSE()</f>
        <v>0</v>
      </c>
      <c r="AD1235" s="65" t="b">
        <f>FALSE()</f>
        <v>0</v>
      </c>
      <c r="AE1235" s="65">
        <v>0</v>
      </c>
      <c r="AF1235" s="69">
        <v>0</v>
      </c>
      <c r="AG1235" s="65" t="s">
        <v>74</v>
      </c>
      <c r="AH1235" s="65" t="s">
        <v>4586</v>
      </c>
      <c r="AI1235">
        <f>IF(AND(OR(Company_Explorer!$B$5="All Companies",$E1235=Company_Explorer!$B$5),OR(Company_Explorer!$B$6="All Platforms",$B1235=Company_Explorer!$B$6),OR(Company_Explorer!$B$7="All Roles",$D1235=Company_Explorer!$B$7),OR(Company_Explorer!$B$8="All Ghost Labels",$AG1235=Company_Explorer!$B$8)),1,0)</f>
        <v>0</v>
      </c>
    </row>
    <row r="1236" spans="1:35" ht="15" customHeight="1" x14ac:dyDescent="0.3">
      <c r="A1236" s="60" t="s">
        <v>4587</v>
      </c>
      <c r="B1236" s="60" t="s">
        <v>81</v>
      </c>
      <c r="C1236" s="60" t="s">
        <v>4588</v>
      </c>
      <c r="D1236" s="60" t="s">
        <v>126</v>
      </c>
      <c r="E1236" s="60" t="s">
        <v>148</v>
      </c>
      <c r="F1236" s="60" t="b">
        <f>TRUE()</f>
        <v>1</v>
      </c>
      <c r="G1236" s="60" t="s">
        <v>165</v>
      </c>
      <c r="H1236" s="60" t="s">
        <v>3672</v>
      </c>
      <c r="I1236" s="61">
        <v>46210.194212661998</v>
      </c>
      <c r="J1236" s="61">
        <v>46210.2829878009</v>
      </c>
      <c r="K1236" s="60">
        <v>0.1</v>
      </c>
      <c r="L1236" s="60" t="s">
        <v>183</v>
      </c>
      <c r="M1236" s="60" t="s">
        <v>183</v>
      </c>
      <c r="N1236" s="60" t="b">
        <f>FALSE()</f>
        <v>0</v>
      </c>
      <c r="O1236" s="60"/>
      <c r="P1236" s="60"/>
      <c r="Q1236" s="60" t="s">
        <v>236</v>
      </c>
      <c r="R1236" s="60" t="s">
        <v>236</v>
      </c>
      <c r="S1236" s="60"/>
      <c r="T1236" s="60" t="b">
        <f>FALSE()</f>
        <v>0</v>
      </c>
      <c r="U1236" s="60" t="b">
        <f>FALSE()</f>
        <v>0</v>
      </c>
      <c r="V1236" s="60">
        <v>714</v>
      </c>
      <c r="W1236" s="60" t="s">
        <v>733</v>
      </c>
      <c r="X1236" s="60">
        <v>17</v>
      </c>
      <c r="Y1236" s="63">
        <v>29.75</v>
      </c>
      <c r="Z1236" s="60" t="b">
        <f>FALSE()</f>
        <v>0</v>
      </c>
      <c r="AA1236" s="60" t="b">
        <f>TRUE()</f>
        <v>1</v>
      </c>
      <c r="AB1236" s="60" t="b">
        <f>FALSE()</f>
        <v>0</v>
      </c>
      <c r="AC1236" s="60" t="b">
        <f>FALSE()</f>
        <v>0</v>
      </c>
      <c r="AD1236" s="60" t="b">
        <f>FALSE()</f>
        <v>0</v>
      </c>
      <c r="AE1236" s="60">
        <v>1</v>
      </c>
      <c r="AF1236" s="64">
        <v>14.3</v>
      </c>
      <c r="AG1236" s="60" t="s">
        <v>74</v>
      </c>
      <c r="AH1236" s="60" t="s">
        <v>4589</v>
      </c>
      <c r="AI1236">
        <f>IF(AND(OR(Company_Explorer!$B$5="All Companies",$E1236=Company_Explorer!$B$5),OR(Company_Explorer!$B$6="All Platforms",$B1236=Company_Explorer!$B$6),OR(Company_Explorer!$B$7="All Roles",$D1236=Company_Explorer!$B$7),OR(Company_Explorer!$B$8="All Ghost Labels",$AG1236=Company_Explorer!$B$8)),1,0)</f>
        <v>0</v>
      </c>
    </row>
    <row r="1237" spans="1:35" ht="15" customHeight="1" x14ac:dyDescent="0.3">
      <c r="A1237" s="65" t="s">
        <v>4590</v>
      </c>
      <c r="B1237" s="65" t="s">
        <v>81</v>
      </c>
      <c r="C1237" s="65" t="s">
        <v>130</v>
      </c>
      <c r="D1237" s="65" t="s">
        <v>130</v>
      </c>
      <c r="E1237" s="65" t="s">
        <v>143</v>
      </c>
      <c r="F1237" s="65" t="b">
        <f>TRUE()</f>
        <v>1</v>
      </c>
      <c r="G1237" s="65" t="s">
        <v>165</v>
      </c>
      <c r="H1237" s="65" t="s">
        <v>3636</v>
      </c>
      <c r="I1237" s="66">
        <v>46210.053262916699</v>
      </c>
      <c r="J1237" s="66">
        <v>46210.282987905099</v>
      </c>
      <c r="K1237" s="65">
        <v>0.2</v>
      </c>
      <c r="L1237" s="65" t="s">
        <v>183</v>
      </c>
      <c r="M1237" s="65" t="s">
        <v>183</v>
      </c>
      <c r="N1237" s="65" t="b">
        <f>FALSE()</f>
        <v>0</v>
      </c>
      <c r="O1237" s="65"/>
      <c r="P1237" s="65"/>
      <c r="Q1237" s="65" t="s">
        <v>236</v>
      </c>
      <c r="R1237" s="65" t="s">
        <v>236</v>
      </c>
      <c r="S1237" s="65"/>
      <c r="T1237" s="65" t="b">
        <f>FALSE()</f>
        <v>0</v>
      </c>
      <c r="U1237" s="65" t="b">
        <f>FALSE()</f>
        <v>0</v>
      </c>
      <c r="V1237" s="65">
        <v>360</v>
      </c>
      <c r="W1237" s="67" t="s">
        <v>4449</v>
      </c>
      <c r="X1237" s="65">
        <v>64</v>
      </c>
      <c r="Y1237" s="68">
        <v>112</v>
      </c>
      <c r="Z1237" s="65" t="b">
        <f>FALSE()</f>
        <v>0</v>
      </c>
      <c r="AA1237" s="65" t="b">
        <f>TRUE()</f>
        <v>1</v>
      </c>
      <c r="AB1237" s="65" t="b">
        <f>FALSE()</f>
        <v>0</v>
      </c>
      <c r="AC1237" s="65" t="b">
        <f>FALSE()</f>
        <v>0</v>
      </c>
      <c r="AD1237" s="65" t="b">
        <f>TRUE()</f>
        <v>1</v>
      </c>
      <c r="AE1237" s="65">
        <v>3</v>
      </c>
      <c r="AF1237" s="69">
        <v>42.9</v>
      </c>
      <c r="AG1237" s="65" t="s">
        <v>73</v>
      </c>
      <c r="AH1237" s="65" t="s">
        <v>4591</v>
      </c>
      <c r="AI1237">
        <f>IF(AND(OR(Company_Explorer!$B$5="All Companies",$E1237=Company_Explorer!$B$5),OR(Company_Explorer!$B$6="All Platforms",$B1237=Company_Explorer!$B$6),OR(Company_Explorer!$B$7="All Roles",$D1237=Company_Explorer!$B$7),OR(Company_Explorer!$B$8="All Ghost Labels",$AG1237=Company_Explorer!$B$8)),1,0)</f>
        <v>0</v>
      </c>
    </row>
    <row r="1238" spans="1:35" ht="15" customHeight="1" x14ac:dyDescent="0.3">
      <c r="A1238" s="60" t="s">
        <v>4592</v>
      </c>
      <c r="B1238" s="60" t="s">
        <v>81</v>
      </c>
      <c r="C1238" s="60" t="s">
        <v>4593</v>
      </c>
      <c r="D1238" s="60" t="s">
        <v>125</v>
      </c>
      <c r="E1238" s="60" t="s">
        <v>4594</v>
      </c>
      <c r="F1238" s="60" t="b">
        <f>TRUE()</f>
        <v>1</v>
      </c>
      <c r="G1238" s="60" t="s">
        <v>165</v>
      </c>
      <c r="H1238" s="60" t="s">
        <v>3636</v>
      </c>
      <c r="I1238" s="61">
        <v>46210.208948784697</v>
      </c>
      <c r="J1238" s="61">
        <v>46210.2829878704</v>
      </c>
      <c r="K1238" s="60">
        <v>0.1</v>
      </c>
      <c r="L1238" s="60" t="s">
        <v>183</v>
      </c>
      <c r="M1238" s="60" t="s">
        <v>183</v>
      </c>
      <c r="N1238" s="60" t="b">
        <f>FALSE()</f>
        <v>0</v>
      </c>
      <c r="O1238" s="60"/>
      <c r="P1238" s="60"/>
      <c r="Q1238" s="60" t="s">
        <v>236</v>
      </c>
      <c r="R1238" s="60" t="s">
        <v>236</v>
      </c>
      <c r="S1238" s="60"/>
      <c r="T1238" s="60" t="b">
        <f>FALSE()</f>
        <v>0</v>
      </c>
      <c r="U1238" s="60" t="b">
        <f>FALSE()</f>
        <v>0</v>
      </c>
      <c r="V1238" s="60">
        <v>570</v>
      </c>
      <c r="W1238" s="62" t="s">
        <v>4595</v>
      </c>
      <c r="X1238" s="60">
        <v>4</v>
      </c>
      <c r="Y1238" s="63">
        <v>7</v>
      </c>
      <c r="Z1238" s="60" t="b">
        <f>FALSE()</f>
        <v>0</v>
      </c>
      <c r="AA1238" s="60" t="b">
        <f>TRUE()</f>
        <v>1</v>
      </c>
      <c r="AB1238" s="60" t="b">
        <f>FALSE()</f>
        <v>0</v>
      </c>
      <c r="AC1238" s="60" t="b">
        <f>FALSE()</f>
        <v>0</v>
      </c>
      <c r="AD1238" s="60" t="b">
        <f>FALSE()</f>
        <v>0</v>
      </c>
      <c r="AE1238" s="60">
        <v>1</v>
      </c>
      <c r="AF1238" s="64">
        <v>14.3</v>
      </c>
      <c r="AG1238" s="60" t="s">
        <v>74</v>
      </c>
      <c r="AH1238" s="60" t="s">
        <v>4596</v>
      </c>
      <c r="AI1238">
        <f>IF(AND(OR(Company_Explorer!$B$5="All Companies",$E1238=Company_Explorer!$B$5),OR(Company_Explorer!$B$6="All Platforms",$B1238=Company_Explorer!$B$6),OR(Company_Explorer!$B$7="All Roles",$D1238=Company_Explorer!$B$7),OR(Company_Explorer!$B$8="All Ghost Labels",$AG1238=Company_Explorer!$B$8)),1,0)</f>
        <v>0</v>
      </c>
    </row>
    <row r="1239" spans="1:35" ht="15" customHeight="1" x14ac:dyDescent="0.3">
      <c r="A1239" s="65" t="s">
        <v>4597</v>
      </c>
      <c r="B1239" s="65" t="s">
        <v>81</v>
      </c>
      <c r="C1239" s="65" t="s">
        <v>4598</v>
      </c>
      <c r="D1239" s="65" t="s">
        <v>126</v>
      </c>
      <c r="E1239" s="65" t="s">
        <v>4599</v>
      </c>
      <c r="F1239" s="65" t="b">
        <f>TRUE()</f>
        <v>1</v>
      </c>
      <c r="G1239" s="65" t="s">
        <v>165</v>
      </c>
      <c r="H1239" s="65" t="s">
        <v>3630</v>
      </c>
      <c r="I1239" s="66">
        <v>46210.2082109607</v>
      </c>
      <c r="J1239" s="66">
        <v>46210.282988472201</v>
      </c>
      <c r="K1239" s="65">
        <v>0.1</v>
      </c>
      <c r="L1239" s="65" t="s">
        <v>183</v>
      </c>
      <c r="M1239" s="65" t="s">
        <v>183</v>
      </c>
      <c r="N1239" s="65" t="b">
        <f>TRUE()</f>
        <v>1</v>
      </c>
      <c r="O1239" s="71">
        <v>10000</v>
      </c>
      <c r="P1239" s="71">
        <v>20000</v>
      </c>
      <c r="Q1239" s="65" t="s">
        <v>3663</v>
      </c>
      <c r="R1239" s="65" t="s">
        <v>3664</v>
      </c>
      <c r="S1239" s="71">
        <v>180000</v>
      </c>
      <c r="T1239" s="65" t="b">
        <f>TRUE()</f>
        <v>1</v>
      </c>
      <c r="U1239" s="65" t="b">
        <f>FALSE()</f>
        <v>0</v>
      </c>
      <c r="V1239" s="65">
        <v>220</v>
      </c>
      <c r="W1239" s="67" t="s">
        <v>4600</v>
      </c>
      <c r="X1239" s="65">
        <v>1</v>
      </c>
      <c r="Y1239" s="68">
        <v>1.75</v>
      </c>
      <c r="Z1239" s="65" t="b">
        <f>FALSE()</f>
        <v>0</v>
      </c>
      <c r="AA1239" s="65" t="b">
        <f>FALSE()</f>
        <v>0</v>
      </c>
      <c r="AB1239" s="65" t="b">
        <f>TRUE()</f>
        <v>1</v>
      </c>
      <c r="AC1239" s="65" t="b">
        <f>FALSE()</f>
        <v>0</v>
      </c>
      <c r="AD1239" s="65" t="b">
        <f>FALSE()</f>
        <v>0</v>
      </c>
      <c r="AE1239" s="65">
        <v>1</v>
      </c>
      <c r="AF1239" s="69">
        <v>14.3</v>
      </c>
      <c r="AG1239" s="65" t="s">
        <v>74</v>
      </c>
      <c r="AH1239" s="65" t="s">
        <v>4601</v>
      </c>
      <c r="AI1239">
        <f>IF(AND(OR(Company_Explorer!$B$5="All Companies",$E1239=Company_Explorer!$B$5),OR(Company_Explorer!$B$6="All Platforms",$B1239=Company_Explorer!$B$6),OR(Company_Explorer!$B$7="All Roles",$D1239=Company_Explorer!$B$7),OR(Company_Explorer!$B$8="All Ghost Labels",$AG1239=Company_Explorer!$B$8)),1,0)</f>
        <v>0</v>
      </c>
    </row>
    <row r="1240" spans="1:35" ht="15" customHeight="1" x14ac:dyDescent="0.3">
      <c r="A1240" s="60" t="s">
        <v>4602</v>
      </c>
      <c r="B1240" s="60" t="s">
        <v>81</v>
      </c>
      <c r="C1240" s="60" t="s">
        <v>4588</v>
      </c>
      <c r="D1240" s="60" t="s">
        <v>126</v>
      </c>
      <c r="E1240" s="60" t="s">
        <v>148</v>
      </c>
      <c r="F1240" s="60" t="b">
        <f>TRUE()</f>
        <v>1</v>
      </c>
      <c r="G1240" s="60" t="s">
        <v>165</v>
      </c>
      <c r="H1240" s="60" t="s">
        <v>3672</v>
      </c>
      <c r="I1240" s="61">
        <v>46210.194214930598</v>
      </c>
      <c r="J1240" s="61">
        <v>46210.282988645798</v>
      </c>
      <c r="K1240" s="60">
        <v>0.1</v>
      </c>
      <c r="L1240" s="60" t="s">
        <v>183</v>
      </c>
      <c r="M1240" s="60" t="s">
        <v>183</v>
      </c>
      <c r="N1240" s="60" t="b">
        <f>FALSE()</f>
        <v>0</v>
      </c>
      <c r="O1240" s="60"/>
      <c r="P1240" s="60"/>
      <c r="Q1240" s="60" t="s">
        <v>236</v>
      </c>
      <c r="R1240" s="60" t="s">
        <v>236</v>
      </c>
      <c r="S1240" s="60"/>
      <c r="T1240" s="60" t="b">
        <f>FALSE()</f>
        <v>0</v>
      </c>
      <c r="U1240" s="60" t="b">
        <f>FALSE()</f>
        <v>0</v>
      </c>
      <c r="V1240" s="60">
        <v>714</v>
      </c>
      <c r="W1240" s="60" t="s">
        <v>733</v>
      </c>
      <c r="X1240" s="60">
        <v>17</v>
      </c>
      <c r="Y1240" s="63">
        <v>29.75</v>
      </c>
      <c r="Z1240" s="60" t="b">
        <f>FALSE()</f>
        <v>0</v>
      </c>
      <c r="AA1240" s="60" t="b">
        <f>TRUE()</f>
        <v>1</v>
      </c>
      <c r="AB1240" s="60" t="b">
        <f>FALSE()</f>
        <v>0</v>
      </c>
      <c r="AC1240" s="60" t="b">
        <f>FALSE()</f>
        <v>0</v>
      </c>
      <c r="AD1240" s="60" t="b">
        <f>FALSE()</f>
        <v>0</v>
      </c>
      <c r="AE1240" s="60">
        <v>1</v>
      </c>
      <c r="AF1240" s="64">
        <v>14.3</v>
      </c>
      <c r="AG1240" s="60" t="s">
        <v>74</v>
      </c>
      <c r="AH1240" s="60" t="s">
        <v>4603</v>
      </c>
      <c r="AI1240">
        <f>IF(AND(OR(Company_Explorer!$B$5="All Companies",$E1240=Company_Explorer!$B$5),OR(Company_Explorer!$B$6="All Platforms",$B1240=Company_Explorer!$B$6),OR(Company_Explorer!$B$7="All Roles",$D1240=Company_Explorer!$B$7),OR(Company_Explorer!$B$8="All Ghost Labels",$AG1240=Company_Explorer!$B$8)),1,0)</f>
        <v>0</v>
      </c>
    </row>
    <row r="1241" spans="1:35" ht="15" customHeight="1" x14ac:dyDescent="0.3">
      <c r="A1241" s="65" t="s">
        <v>4604</v>
      </c>
      <c r="B1241" s="65" t="s">
        <v>81</v>
      </c>
      <c r="C1241" s="65" t="s">
        <v>4605</v>
      </c>
      <c r="D1241" s="65" t="s">
        <v>126</v>
      </c>
      <c r="E1241" s="65" t="s">
        <v>3820</v>
      </c>
      <c r="F1241" s="65" t="b">
        <f>TRUE()</f>
        <v>1</v>
      </c>
      <c r="G1241" s="65" t="s">
        <v>165</v>
      </c>
      <c r="H1241" s="65" t="s">
        <v>3821</v>
      </c>
      <c r="I1241" s="66">
        <v>46210.181263125</v>
      </c>
      <c r="J1241" s="66">
        <v>46210.2829887384</v>
      </c>
      <c r="K1241" s="65">
        <v>0.1</v>
      </c>
      <c r="L1241" s="65" t="s">
        <v>183</v>
      </c>
      <c r="M1241" s="65" t="s">
        <v>183</v>
      </c>
      <c r="N1241" s="65" t="b">
        <f>TRUE()</f>
        <v>1</v>
      </c>
      <c r="O1241" s="71">
        <v>20972.279296875</v>
      </c>
      <c r="P1241" s="71">
        <v>50000.76953125</v>
      </c>
      <c r="Q1241" s="65" t="s">
        <v>3663</v>
      </c>
      <c r="R1241" s="65" t="s">
        <v>3664</v>
      </c>
      <c r="S1241" s="71">
        <v>425838</v>
      </c>
      <c r="T1241" s="65" t="b">
        <f>TRUE()</f>
        <v>1</v>
      </c>
      <c r="U1241" s="65" t="b">
        <f>FALSE()</f>
        <v>0</v>
      </c>
      <c r="V1241" s="65">
        <v>370</v>
      </c>
      <c r="W1241" s="67" t="s">
        <v>4606</v>
      </c>
      <c r="X1241" s="65">
        <v>4</v>
      </c>
      <c r="Y1241" s="68">
        <v>7</v>
      </c>
      <c r="Z1241" s="65" t="b">
        <f>FALSE()</f>
        <v>0</v>
      </c>
      <c r="AA1241" s="65" t="b">
        <f>FALSE()</f>
        <v>0</v>
      </c>
      <c r="AB1241" s="65" t="b">
        <f>FALSE()</f>
        <v>0</v>
      </c>
      <c r="AC1241" s="65" t="b">
        <f>FALSE()</f>
        <v>0</v>
      </c>
      <c r="AD1241" s="65" t="b">
        <f>FALSE()</f>
        <v>0</v>
      </c>
      <c r="AE1241" s="65">
        <v>0</v>
      </c>
      <c r="AF1241" s="69">
        <v>0</v>
      </c>
      <c r="AG1241" s="65" t="s">
        <v>74</v>
      </c>
      <c r="AH1241" s="65" t="s">
        <v>4607</v>
      </c>
      <c r="AI1241">
        <f>IF(AND(OR(Company_Explorer!$B$5="All Companies",$E1241=Company_Explorer!$B$5),OR(Company_Explorer!$B$6="All Platforms",$B1241=Company_Explorer!$B$6),OR(Company_Explorer!$B$7="All Roles",$D1241=Company_Explorer!$B$7),OR(Company_Explorer!$B$8="All Ghost Labels",$AG1241=Company_Explorer!$B$8)),1,0)</f>
        <v>0</v>
      </c>
    </row>
    <row r="1242" spans="1:35" ht="15" customHeight="1" x14ac:dyDescent="0.3">
      <c r="A1242" s="60" t="s">
        <v>4608</v>
      </c>
      <c r="B1242" s="60" t="s">
        <v>81</v>
      </c>
      <c r="C1242" s="60" t="s">
        <v>4609</v>
      </c>
      <c r="D1242" s="60" t="s">
        <v>126</v>
      </c>
      <c r="E1242" s="60" t="s">
        <v>4610</v>
      </c>
      <c r="F1242" s="60" t="b">
        <f>TRUE()</f>
        <v>1</v>
      </c>
      <c r="G1242" s="60" t="s">
        <v>165</v>
      </c>
      <c r="H1242" s="60" t="s">
        <v>3636</v>
      </c>
      <c r="I1242" s="61">
        <v>46210.181041643496</v>
      </c>
      <c r="J1242" s="61">
        <v>46210.2829887732</v>
      </c>
      <c r="K1242" s="60">
        <v>0.1</v>
      </c>
      <c r="L1242" s="60" t="s">
        <v>183</v>
      </c>
      <c r="M1242" s="60" t="s">
        <v>183</v>
      </c>
      <c r="N1242" s="60" t="b">
        <f>FALSE()</f>
        <v>0</v>
      </c>
      <c r="O1242" s="60"/>
      <c r="P1242" s="60"/>
      <c r="Q1242" s="60" t="s">
        <v>236</v>
      </c>
      <c r="R1242" s="60" t="s">
        <v>236</v>
      </c>
      <c r="S1242" s="60"/>
      <c r="T1242" s="60" t="b">
        <f>FALSE()</f>
        <v>0</v>
      </c>
      <c r="U1242" s="60" t="b">
        <f>FALSE()</f>
        <v>0</v>
      </c>
      <c r="V1242" s="60">
        <v>673</v>
      </c>
      <c r="W1242" s="62" t="s">
        <v>4611</v>
      </c>
      <c r="X1242" s="60">
        <v>12</v>
      </c>
      <c r="Y1242" s="63">
        <v>21</v>
      </c>
      <c r="Z1242" s="60" t="b">
        <f>FALSE()</f>
        <v>0</v>
      </c>
      <c r="AA1242" s="60" t="b">
        <f>TRUE()</f>
        <v>1</v>
      </c>
      <c r="AB1242" s="60" t="b">
        <f>FALSE()</f>
        <v>0</v>
      </c>
      <c r="AC1242" s="60" t="b">
        <f>FALSE()</f>
        <v>0</v>
      </c>
      <c r="AD1242" s="60" t="b">
        <f>FALSE()</f>
        <v>0</v>
      </c>
      <c r="AE1242" s="60">
        <v>1</v>
      </c>
      <c r="AF1242" s="64">
        <v>14.3</v>
      </c>
      <c r="AG1242" s="60" t="s">
        <v>74</v>
      </c>
      <c r="AH1242" s="60" t="s">
        <v>4612</v>
      </c>
      <c r="AI1242">
        <f>IF(AND(OR(Company_Explorer!$B$5="All Companies",$E1242=Company_Explorer!$B$5),OR(Company_Explorer!$B$6="All Platforms",$B1242=Company_Explorer!$B$6),OR(Company_Explorer!$B$7="All Roles",$D1242=Company_Explorer!$B$7),OR(Company_Explorer!$B$8="All Ghost Labels",$AG1242=Company_Explorer!$B$8)),1,0)</f>
        <v>0</v>
      </c>
    </row>
    <row r="1243" spans="1:35" ht="15" customHeight="1" x14ac:dyDescent="0.3">
      <c r="A1243" s="65" t="s">
        <v>4613</v>
      </c>
      <c r="B1243" s="65" t="s">
        <v>81</v>
      </c>
      <c r="C1243" s="65" t="s">
        <v>4614</v>
      </c>
      <c r="D1243" s="65" t="s">
        <v>126</v>
      </c>
      <c r="E1243" s="65" t="s">
        <v>4615</v>
      </c>
      <c r="F1243" s="65" t="b">
        <f>TRUE()</f>
        <v>1</v>
      </c>
      <c r="G1243" s="65" t="s">
        <v>165</v>
      </c>
      <c r="H1243" s="65" t="s">
        <v>3620</v>
      </c>
      <c r="I1243" s="66">
        <v>46210.2076884259</v>
      </c>
      <c r="J1243" s="66">
        <v>46210.282988877298</v>
      </c>
      <c r="K1243" s="65">
        <v>0.1</v>
      </c>
      <c r="L1243" s="65" t="s">
        <v>183</v>
      </c>
      <c r="M1243" s="65" t="s">
        <v>183</v>
      </c>
      <c r="N1243" s="65" t="b">
        <f>FALSE()</f>
        <v>0</v>
      </c>
      <c r="O1243" s="65"/>
      <c r="P1243" s="65"/>
      <c r="Q1243" s="65" t="s">
        <v>236</v>
      </c>
      <c r="R1243" s="65" t="s">
        <v>236</v>
      </c>
      <c r="S1243" s="65"/>
      <c r="T1243" s="65" t="b">
        <f>FALSE()</f>
        <v>0</v>
      </c>
      <c r="U1243" s="65" t="b">
        <f>FALSE()</f>
        <v>0</v>
      </c>
      <c r="V1243" s="65">
        <v>505</v>
      </c>
      <c r="W1243" s="67" t="s">
        <v>4616</v>
      </c>
      <c r="X1243" s="65">
        <v>2</v>
      </c>
      <c r="Y1243" s="68">
        <v>3.5</v>
      </c>
      <c r="Z1243" s="65" t="b">
        <f>FALSE()</f>
        <v>0</v>
      </c>
      <c r="AA1243" s="65" t="b">
        <f>TRUE()</f>
        <v>1</v>
      </c>
      <c r="AB1243" s="65" t="b">
        <f>FALSE()</f>
        <v>0</v>
      </c>
      <c r="AC1243" s="65" t="b">
        <f>FALSE()</f>
        <v>0</v>
      </c>
      <c r="AD1243" s="65" t="b">
        <f>FALSE()</f>
        <v>0</v>
      </c>
      <c r="AE1243" s="65">
        <v>1</v>
      </c>
      <c r="AF1243" s="69">
        <v>14.3</v>
      </c>
      <c r="AG1243" s="65" t="s">
        <v>74</v>
      </c>
      <c r="AH1243" s="65" t="s">
        <v>4617</v>
      </c>
      <c r="AI1243">
        <f>IF(AND(OR(Company_Explorer!$B$5="All Companies",$E1243=Company_Explorer!$B$5),OR(Company_Explorer!$B$6="All Platforms",$B1243=Company_Explorer!$B$6),OR(Company_Explorer!$B$7="All Roles",$D1243=Company_Explorer!$B$7),OR(Company_Explorer!$B$8="All Ghost Labels",$AG1243=Company_Explorer!$B$8)),1,0)</f>
        <v>0</v>
      </c>
    </row>
    <row r="1244" spans="1:35" ht="15" customHeight="1" x14ac:dyDescent="0.3">
      <c r="A1244" s="60" t="s">
        <v>4618</v>
      </c>
      <c r="B1244" s="60" t="s">
        <v>81</v>
      </c>
      <c r="C1244" s="60" t="s">
        <v>4619</v>
      </c>
      <c r="D1244" s="60" t="s">
        <v>126</v>
      </c>
      <c r="E1244" s="60" t="s">
        <v>4620</v>
      </c>
      <c r="F1244" s="60" t="b">
        <f>TRUE()</f>
        <v>1</v>
      </c>
      <c r="G1244" s="60" t="s">
        <v>165</v>
      </c>
      <c r="H1244" s="60" t="s">
        <v>3620</v>
      </c>
      <c r="I1244" s="61">
        <v>46210.232423495399</v>
      </c>
      <c r="J1244" s="61">
        <v>46210.282988854196</v>
      </c>
      <c r="K1244" s="60">
        <v>0.1</v>
      </c>
      <c r="L1244" s="60" t="s">
        <v>183</v>
      </c>
      <c r="M1244" s="60" t="s">
        <v>183</v>
      </c>
      <c r="N1244" s="60" t="b">
        <f>FALSE()</f>
        <v>0</v>
      </c>
      <c r="O1244" s="60"/>
      <c r="P1244" s="60"/>
      <c r="Q1244" s="60" t="s">
        <v>236</v>
      </c>
      <c r="R1244" s="60" t="s">
        <v>236</v>
      </c>
      <c r="S1244" s="60"/>
      <c r="T1244" s="60" t="b">
        <f>FALSE()</f>
        <v>0</v>
      </c>
      <c r="U1244" s="60" t="b">
        <f>FALSE()</f>
        <v>0</v>
      </c>
      <c r="V1244" s="60">
        <v>906</v>
      </c>
      <c r="W1244" s="62" t="s">
        <v>4621</v>
      </c>
      <c r="X1244" s="60">
        <v>2</v>
      </c>
      <c r="Y1244" s="63">
        <v>3.5</v>
      </c>
      <c r="Z1244" s="60" t="b">
        <f>FALSE()</f>
        <v>0</v>
      </c>
      <c r="AA1244" s="60" t="b">
        <f>TRUE()</f>
        <v>1</v>
      </c>
      <c r="AB1244" s="60" t="b">
        <f>FALSE()</f>
        <v>0</v>
      </c>
      <c r="AC1244" s="60" t="b">
        <f>FALSE()</f>
        <v>0</v>
      </c>
      <c r="AD1244" s="60" t="b">
        <f>FALSE()</f>
        <v>0</v>
      </c>
      <c r="AE1244" s="60">
        <v>1</v>
      </c>
      <c r="AF1244" s="64">
        <v>14.3</v>
      </c>
      <c r="AG1244" s="60" t="s">
        <v>74</v>
      </c>
      <c r="AH1244" s="60" t="s">
        <v>4622</v>
      </c>
      <c r="AI1244">
        <f>IF(AND(OR(Company_Explorer!$B$5="All Companies",$E1244=Company_Explorer!$B$5),OR(Company_Explorer!$B$6="All Platforms",$B1244=Company_Explorer!$B$6),OR(Company_Explorer!$B$7="All Roles",$D1244=Company_Explorer!$B$7),OR(Company_Explorer!$B$8="All Ghost Labels",$AG1244=Company_Explorer!$B$8)),1,0)</f>
        <v>0</v>
      </c>
    </row>
    <row r="1245" spans="1:35" ht="15" customHeight="1" x14ac:dyDescent="0.3">
      <c r="A1245" s="65" t="s">
        <v>4623</v>
      </c>
      <c r="B1245" s="65" t="s">
        <v>81</v>
      </c>
      <c r="C1245" s="65" t="s">
        <v>4624</v>
      </c>
      <c r="D1245" s="65" t="s">
        <v>126</v>
      </c>
      <c r="E1245" s="65" t="s">
        <v>4625</v>
      </c>
      <c r="F1245" s="65" t="b">
        <f>TRUE()</f>
        <v>1</v>
      </c>
      <c r="G1245" s="65" t="s">
        <v>165</v>
      </c>
      <c r="H1245" s="65" t="s">
        <v>3630</v>
      </c>
      <c r="I1245" s="66">
        <v>46210.2319514931</v>
      </c>
      <c r="J1245" s="66">
        <v>46210.282988923602</v>
      </c>
      <c r="K1245" s="65">
        <v>0.1</v>
      </c>
      <c r="L1245" s="65" t="s">
        <v>183</v>
      </c>
      <c r="M1245" s="65" t="s">
        <v>183</v>
      </c>
      <c r="N1245" s="65" t="b">
        <f>TRUE()</f>
        <v>1</v>
      </c>
      <c r="O1245" s="71">
        <v>11265.1396484375</v>
      </c>
      <c r="P1245" s="71">
        <v>20000</v>
      </c>
      <c r="Q1245" s="65" t="s">
        <v>3663</v>
      </c>
      <c r="R1245" s="65" t="s">
        <v>3664</v>
      </c>
      <c r="S1245" s="71">
        <v>187591</v>
      </c>
      <c r="T1245" s="65" t="b">
        <f>TRUE()</f>
        <v>1</v>
      </c>
      <c r="U1245" s="65" t="b">
        <f>FALSE()</f>
        <v>0</v>
      </c>
      <c r="V1245" s="65">
        <v>395</v>
      </c>
      <c r="W1245" s="67" t="s">
        <v>4626</v>
      </c>
      <c r="X1245" s="65">
        <v>1</v>
      </c>
      <c r="Y1245" s="68">
        <v>1.75</v>
      </c>
      <c r="Z1245" s="65" t="b">
        <f>FALSE()</f>
        <v>0</v>
      </c>
      <c r="AA1245" s="65" t="b">
        <f>FALSE()</f>
        <v>0</v>
      </c>
      <c r="AB1245" s="65" t="b">
        <f>FALSE()</f>
        <v>0</v>
      </c>
      <c r="AC1245" s="65" t="b">
        <f>FALSE()</f>
        <v>0</v>
      </c>
      <c r="AD1245" s="65" t="b">
        <f>FALSE()</f>
        <v>0</v>
      </c>
      <c r="AE1245" s="65">
        <v>0</v>
      </c>
      <c r="AF1245" s="69">
        <v>0</v>
      </c>
      <c r="AG1245" s="65" t="s">
        <v>74</v>
      </c>
      <c r="AH1245" s="65" t="s">
        <v>4627</v>
      </c>
      <c r="AI1245">
        <f>IF(AND(OR(Company_Explorer!$B$5="All Companies",$E1245=Company_Explorer!$B$5),OR(Company_Explorer!$B$6="All Platforms",$B1245=Company_Explorer!$B$6),OR(Company_Explorer!$B$7="All Roles",$D1245=Company_Explorer!$B$7),OR(Company_Explorer!$B$8="All Ghost Labels",$AG1245=Company_Explorer!$B$8)),1,0)</f>
        <v>0</v>
      </c>
    </row>
    <row r="1246" spans="1:35" ht="15" customHeight="1" x14ac:dyDescent="0.3">
      <c r="A1246" s="60" t="s">
        <v>4628</v>
      </c>
      <c r="B1246" s="60" t="s">
        <v>81</v>
      </c>
      <c r="C1246" s="60" t="s">
        <v>4629</v>
      </c>
      <c r="D1246" s="60" t="s">
        <v>126</v>
      </c>
      <c r="E1246" s="60" t="s">
        <v>4630</v>
      </c>
      <c r="F1246" s="60" t="b">
        <f>TRUE()</f>
        <v>1</v>
      </c>
      <c r="G1246" s="60" t="s">
        <v>165</v>
      </c>
      <c r="H1246" s="60" t="s">
        <v>3655</v>
      </c>
      <c r="I1246" s="61">
        <v>46210.233984398197</v>
      </c>
      <c r="J1246" s="61">
        <v>46210.282988969899</v>
      </c>
      <c r="K1246" s="60">
        <v>0</v>
      </c>
      <c r="L1246" s="60" t="s">
        <v>183</v>
      </c>
      <c r="M1246" s="60" t="s">
        <v>183</v>
      </c>
      <c r="N1246" s="60" t="b">
        <f>FALSE()</f>
        <v>0</v>
      </c>
      <c r="O1246" s="60"/>
      <c r="P1246" s="60"/>
      <c r="Q1246" s="60" t="s">
        <v>236</v>
      </c>
      <c r="R1246" s="60" t="s">
        <v>236</v>
      </c>
      <c r="S1246" s="60"/>
      <c r="T1246" s="60" t="b">
        <f>FALSE()</f>
        <v>0</v>
      </c>
      <c r="U1246" s="60" t="b">
        <f>FALSE()</f>
        <v>0</v>
      </c>
      <c r="V1246" s="60">
        <v>540</v>
      </c>
      <c r="W1246" s="60" t="s">
        <v>4631</v>
      </c>
      <c r="X1246" s="60">
        <v>1</v>
      </c>
      <c r="Y1246" s="63">
        <v>1.75</v>
      </c>
      <c r="Z1246" s="60" t="b">
        <f>FALSE()</f>
        <v>0</v>
      </c>
      <c r="AA1246" s="60" t="b">
        <f>TRUE()</f>
        <v>1</v>
      </c>
      <c r="AB1246" s="60" t="b">
        <f>FALSE()</f>
        <v>0</v>
      </c>
      <c r="AC1246" s="60" t="b">
        <f>FALSE()</f>
        <v>0</v>
      </c>
      <c r="AD1246" s="60" t="b">
        <f>FALSE()</f>
        <v>0</v>
      </c>
      <c r="AE1246" s="60">
        <v>1</v>
      </c>
      <c r="AF1246" s="64">
        <v>14.3</v>
      </c>
      <c r="AG1246" s="60" t="s">
        <v>74</v>
      </c>
      <c r="AH1246" s="60" t="s">
        <v>4632</v>
      </c>
      <c r="AI1246">
        <f>IF(AND(OR(Company_Explorer!$B$5="All Companies",$E1246=Company_Explorer!$B$5),OR(Company_Explorer!$B$6="All Platforms",$B1246=Company_Explorer!$B$6),OR(Company_Explorer!$B$7="All Roles",$D1246=Company_Explorer!$B$7),OR(Company_Explorer!$B$8="All Ghost Labels",$AG1246=Company_Explorer!$B$8)),1,0)</f>
        <v>0</v>
      </c>
    </row>
    <row r="1247" spans="1:35" ht="15" customHeight="1" x14ac:dyDescent="0.3">
      <c r="A1247" s="65" t="s">
        <v>4633</v>
      </c>
      <c r="B1247" s="65" t="s">
        <v>81</v>
      </c>
      <c r="C1247" s="65" t="s">
        <v>4287</v>
      </c>
      <c r="D1247" s="65" t="s">
        <v>128</v>
      </c>
      <c r="E1247" s="65" t="s">
        <v>147</v>
      </c>
      <c r="F1247" s="65" t="b">
        <f>TRUE()</f>
        <v>1</v>
      </c>
      <c r="G1247" s="65" t="s">
        <v>165</v>
      </c>
      <c r="H1247" s="65" t="s">
        <v>3620</v>
      </c>
      <c r="I1247" s="66">
        <v>46210.222502106502</v>
      </c>
      <c r="J1247" s="66">
        <v>46210.282989016203</v>
      </c>
      <c r="K1247" s="65">
        <v>0.1</v>
      </c>
      <c r="L1247" s="65" t="s">
        <v>183</v>
      </c>
      <c r="M1247" s="65" t="s">
        <v>183</v>
      </c>
      <c r="N1247" s="65" t="b">
        <f>FALSE()</f>
        <v>0</v>
      </c>
      <c r="O1247" s="65"/>
      <c r="P1247" s="65"/>
      <c r="Q1247" s="65" t="s">
        <v>236</v>
      </c>
      <c r="R1247" s="65" t="s">
        <v>236</v>
      </c>
      <c r="S1247" s="65"/>
      <c r="T1247" s="65" t="b">
        <f>FALSE()</f>
        <v>0</v>
      </c>
      <c r="U1247" s="65" t="b">
        <f>FALSE()</f>
        <v>0</v>
      </c>
      <c r="V1247" s="65">
        <v>244</v>
      </c>
      <c r="W1247" s="67" t="s">
        <v>4634</v>
      </c>
      <c r="X1247" s="65">
        <v>16</v>
      </c>
      <c r="Y1247" s="68">
        <v>28</v>
      </c>
      <c r="Z1247" s="65" t="b">
        <f>FALSE()</f>
        <v>0</v>
      </c>
      <c r="AA1247" s="65" t="b">
        <f>TRUE()</f>
        <v>1</v>
      </c>
      <c r="AB1247" s="65" t="b">
        <f>TRUE()</f>
        <v>1</v>
      </c>
      <c r="AC1247" s="65" t="b">
        <f>FALSE()</f>
        <v>0</v>
      </c>
      <c r="AD1247" s="65" t="b">
        <f>FALSE()</f>
        <v>0</v>
      </c>
      <c r="AE1247" s="65">
        <v>2</v>
      </c>
      <c r="AF1247" s="69">
        <v>28.6</v>
      </c>
      <c r="AG1247" s="65" t="s">
        <v>73</v>
      </c>
      <c r="AH1247" s="65" t="s">
        <v>4635</v>
      </c>
      <c r="AI1247">
        <f>IF(AND(OR(Company_Explorer!$B$5="All Companies",$E1247=Company_Explorer!$B$5),OR(Company_Explorer!$B$6="All Platforms",$B1247=Company_Explorer!$B$6),OR(Company_Explorer!$B$7="All Roles",$D1247=Company_Explorer!$B$7),OR(Company_Explorer!$B$8="All Ghost Labels",$AG1247=Company_Explorer!$B$8)),1,0)</f>
        <v>1</v>
      </c>
    </row>
    <row r="1248" spans="1:35" ht="15" customHeight="1" x14ac:dyDescent="0.3">
      <c r="A1248" s="60" t="s">
        <v>4636</v>
      </c>
      <c r="B1248" s="60" t="s">
        <v>81</v>
      </c>
      <c r="C1248" s="60" t="s">
        <v>4637</v>
      </c>
      <c r="D1248" s="60" t="s">
        <v>126</v>
      </c>
      <c r="E1248" s="60" t="s">
        <v>4638</v>
      </c>
      <c r="F1248" s="60" t="b">
        <f>TRUE()</f>
        <v>1</v>
      </c>
      <c r="G1248" s="60" t="s">
        <v>165</v>
      </c>
      <c r="H1248" s="60" t="s">
        <v>3636</v>
      </c>
      <c r="I1248" s="61">
        <v>46210.217403935203</v>
      </c>
      <c r="J1248" s="61">
        <v>46210.282990370397</v>
      </c>
      <c r="K1248" s="60">
        <v>0.1</v>
      </c>
      <c r="L1248" s="60" t="s">
        <v>183</v>
      </c>
      <c r="M1248" s="60" t="s">
        <v>183</v>
      </c>
      <c r="N1248" s="60" t="b">
        <f>TRUE()</f>
        <v>1</v>
      </c>
      <c r="O1248" s="70">
        <v>1000000</v>
      </c>
      <c r="P1248" s="70">
        <v>1100000</v>
      </c>
      <c r="Q1248" s="60" t="s">
        <v>3663</v>
      </c>
      <c r="R1248" s="60" t="s">
        <v>3961</v>
      </c>
      <c r="S1248" s="70">
        <v>1050000</v>
      </c>
      <c r="T1248" s="60" t="b">
        <f>TRUE()</f>
        <v>1</v>
      </c>
      <c r="U1248" s="60" t="b">
        <f>FALSE()</f>
        <v>0</v>
      </c>
      <c r="V1248" s="60">
        <v>399</v>
      </c>
      <c r="W1248" s="60" t="s">
        <v>4639</v>
      </c>
      <c r="X1248" s="60">
        <v>1</v>
      </c>
      <c r="Y1248" s="63">
        <v>1.75</v>
      </c>
      <c r="Z1248" s="60" t="b">
        <f>FALSE()</f>
        <v>0</v>
      </c>
      <c r="AA1248" s="60" t="b">
        <f>FALSE()</f>
        <v>0</v>
      </c>
      <c r="AB1248" s="60" t="b">
        <f>FALSE()</f>
        <v>0</v>
      </c>
      <c r="AC1248" s="60" t="b">
        <f>FALSE()</f>
        <v>0</v>
      </c>
      <c r="AD1248" s="60" t="b">
        <f>FALSE()</f>
        <v>0</v>
      </c>
      <c r="AE1248" s="60">
        <v>0</v>
      </c>
      <c r="AF1248" s="64">
        <v>0</v>
      </c>
      <c r="AG1248" s="60" t="s">
        <v>74</v>
      </c>
      <c r="AH1248" s="60" t="s">
        <v>4640</v>
      </c>
      <c r="AI1248">
        <f>IF(AND(OR(Company_Explorer!$B$5="All Companies",$E1248=Company_Explorer!$B$5),OR(Company_Explorer!$B$6="All Platforms",$B1248=Company_Explorer!$B$6),OR(Company_Explorer!$B$7="All Roles",$D1248=Company_Explorer!$B$7),OR(Company_Explorer!$B$8="All Ghost Labels",$AG1248=Company_Explorer!$B$8)),1,0)</f>
        <v>0</v>
      </c>
    </row>
    <row r="1249" spans="1:35" ht="15" customHeight="1" x14ac:dyDescent="0.3">
      <c r="A1249" s="65" t="s">
        <v>4641</v>
      </c>
      <c r="B1249" s="65" t="s">
        <v>81</v>
      </c>
      <c r="C1249" s="65" t="s">
        <v>4642</v>
      </c>
      <c r="D1249" s="65" t="s">
        <v>126</v>
      </c>
      <c r="E1249" s="65" t="s">
        <v>4643</v>
      </c>
      <c r="F1249" s="65" t="b">
        <f>TRUE()</f>
        <v>1</v>
      </c>
      <c r="G1249" s="65" t="s">
        <v>165</v>
      </c>
      <c r="H1249" s="65" t="s">
        <v>3620</v>
      </c>
      <c r="I1249" s="66">
        <v>46210.238031469897</v>
      </c>
      <c r="J1249" s="66">
        <v>46210.282990347201</v>
      </c>
      <c r="K1249" s="65">
        <v>0</v>
      </c>
      <c r="L1249" s="65" t="s">
        <v>183</v>
      </c>
      <c r="M1249" s="65" t="s">
        <v>183</v>
      </c>
      <c r="N1249" s="65" t="b">
        <f>FALSE()</f>
        <v>0</v>
      </c>
      <c r="O1249" s="65"/>
      <c r="P1249" s="65"/>
      <c r="Q1249" s="65" t="s">
        <v>3663</v>
      </c>
      <c r="R1249" s="65" t="s">
        <v>3961</v>
      </c>
      <c r="S1249" s="65"/>
      <c r="T1249" s="65" t="b">
        <f>FALSE()</f>
        <v>0</v>
      </c>
      <c r="U1249" s="65" t="b">
        <f>FALSE()</f>
        <v>0</v>
      </c>
      <c r="V1249" s="65">
        <v>312</v>
      </c>
      <c r="W1249" s="67" t="s">
        <v>4644</v>
      </c>
      <c r="X1249" s="65">
        <v>1</v>
      </c>
      <c r="Y1249" s="68">
        <v>1.75</v>
      </c>
      <c r="Z1249" s="65" t="b">
        <f>FALSE()</f>
        <v>0</v>
      </c>
      <c r="AA1249" s="65" t="b">
        <f>TRUE()</f>
        <v>1</v>
      </c>
      <c r="AB1249" s="65" t="b">
        <f>FALSE()</f>
        <v>0</v>
      </c>
      <c r="AC1249" s="65" t="b">
        <f>FALSE()</f>
        <v>0</v>
      </c>
      <c r="AD1249" s="65" t="b">
        <f>FALSE()</f>
        <v>0</v>
      </c>
      <c r="AE1249" s="65">
        <v>1</v>
      </c>
      <c r="AF1249" s="69">
        <v>14.3</v>
      </c>
      <c r="AG1249" s="65" t="s">
        <v>74</v>
      </c>
      <c r="AH1249" s="65" t="s">
        <v>4645</v>
      </c>
      <c r="AI1249">
        <f>IF(AND(OR(Company_Explorer!$B$5="All Companies",$E1249=Company_Explorer!$B$5),OR(Company_Explorer!$B$6="All Platforms",$B1249=Company_Explorer!$B$6),OR(Company_Explorer!$B$7="All Roles",$D1249=Company_Explorer!$B$7),OR(Company_Explorer!$B$8="All Ghost Labels",$AG1249=Company_Explorer!$B$8)),1,0)</f>
        <v>0</v>
      </c>
    </row>
    <row r="1250" spans="1:35" ht="15" customHeight="1" x14ac:dyDescent="0.3">
      <c r="A1250" s="60" t="s">
        <v>4646</v>
      </c>
      <c r="B1250" s="60" t="s">
        <v>81</v>
      </c>
      <c r="C1250" s="60" t="s">
        <v>4647</v>
      </c>
      <c r="D1250" s="60" t="s">
        <v>126</v>
      </c>
      <c r="E1250" s="60" t="s">
        <v>4648</v>
      </c>
      <c r="F1250" s="60" t="b">
        <f>TRUE()</f>
        <v>1</v>
      </c>
      <c r="G1250" s="60" t="s">
        <v>165</v>
      </c>
      <c r="H1250" s="60" t="s">
        <v>3805</v>
      </c>
      <c r="I1250" s="61">
        <v>46210.229344895801</v>
      </c>
      <c r="J1250" s="61">
        <v>46210.282990416701</v>
      </c>
      <c r="K1250" s="60">
        <v>0.1</v>
      </c>
      <c r="L1250" s="60" t="s">
        <v>183</v>
      </c>
      <c r="M1250" s="60" t="s">
        <v>183</v>
      </c>
      <c r="N1250" s="60" t="b">
        <f>FALSE()</f>
        <v>0</v>
      </c>
      <c r="O1250" s="60"/>
      <c r="P1250" s="60"/>
      <c r="Q1250" s="60" t="s">
        <v>236</v>
      </c>
      <c r="R1250" s="60" t="s">
        <v>236</v>
      </c>
      <c r="S1250" s="60"/>
      <c r="T1250" s="60" t="b">
        <f>FALSE()</f>
        <v>0</v>
      </c>
      <c r="U1250" s="60" t="b">
        <f>FALSE()</f>
        <v>0</v>
      </c>
      <c r="V1250" s="60">
        <v>517</v>
      </c>
      <c r="W1250" s="62" t="s">
        <v>4649</v>
      </c>
      <c r="X1250" s="60">
        <v>1</v>
      </c>
      <c r="Y1250" s="63">
        <v>1.75</v>
      </c>
      <c r="Z1250" s="60" t="b">
        <f>FALSE()</f>
        <v>0</v>
      </c>
      <c r="AA1250" s="60" t="b">
        <f>TRUE()</f>
        <v>1</v>
      </c>
      <c r="AB1250" s="60" t="b">
        <f>FALSE()</f>
        <v>0</v>
      </c>
      <c r="AC1250" s="60" t="b">
        <f>FALSE()</f>
        <v>0</v>
      </c>
      <c r="AD1250" s="60" t="b">
        <f>FALSE()</f>
        <v>0</v>
      </c>
      <c r="AE1250" s="60">
        <v>1</v>
      </c>
      <c r="AF1250" s="64">
        <v>14.3</v>
      </c>
      <c r="AG1250" s="60" t="s">
        <v>74</v>
      </c>
      <c r="AH1250" s="60" t="s">
        <v>4650</v>
      </c>
      <c r="AI1250">
        <f>IF(AND(OR(Company_Explorer!$B$5="All Companies",$E1250=Company_Explorer!$B$5),OR(Company_Explorer!$B$6="All Platforms",$B1250=Company_Explorer!$B$6),OR(Company_Explorer!$B$7="All Roles",$D1250=Company_Explorer!$B$7),OR(Company_Explorer!$B$8="All Ghost Labels",$AG1250=Company_Explorer!$B$8)),1,0)</f>
        <v>0</v>
      </c>
    </row>
    <row r="1251" spans="1:35" ht="15" customHeight="1" x14ac:dyDescent="0.3">
      <c r="A1251" s="65" t="s">
        <v>4651</v>
      </c>
      <c r="B1251" s="65" t="s">
        <v>81</v>
      </c>
      <c r="C1251" s="65" t="s">
        <v>4652</v>
      </c>
      <c r="D1251" s="65" t="s">
        <v>126</v>
      </c>
      <c r="E1251" s="65" t="s">
        <v>4653</v>
      </c>
      <c r="F1251" s="65" t="b">
        <f>TRUE()</f>
        <v>1</v>
      </c>
      <c r="G1251" s="65" t="s">
        <v>165</v>
      </c>
      <c r="H1251" s="65" t="s">
        <v>4442</v>
      </c>
      <c r="I1251" s="66">
        <v>46210.213329988401</v>
      </c>
      <c r="J1251" s="66">
        <v>46210.282990439802</v>
      </c>
      <c r="K1251" s="65">
        <v>0.1</v>
      </c>
      <c r="L1251" s="65" t="s">
        <v>183</v>
      </c>
      <c r="M1251" s="65" t="s">
        <v>183</v>
      </c>
      <c r="N1251" s="65" t="b">
        <f>TRUE()</f>
        <v>1</v>
      </c>
      <c r="O1251" s="71">
        <v>25000</v>
      </c>
      <c r="P1251" s="71">
        <v>55074.96875</v>
      </c>
      <c r="Q1251" s="65" t="s">
        <v>3663</v>
      </c>
      <c r="R1251" s="65" t="s">
        <v>3664</v>
      </c>
      <c r="S1251" s="71">
        <v>480450</v>
      </c>
      <c r="T1251" s="65" t="b">
        <f>TRUE()</f>
        <v>1</v>
      </c>
      <c r="U1251" s="65" t="b">
        <f>FALSE()</f>
        <v>0</v>
      </c>
      <c r="V1251" s="65">
        <v>151</v>
      </c>
      <c r="W1251" s="67" t="s">
        <v>4654</v>
      </c>
      <c r="X1251" s="65">
        <v>1</v>
      </c>
      <c r="Y1251" s="68">
        <v>1.75</v>
      </c>
      <c r="Z1251" s="65" t="b">
        <f>FALSE()</f>
        <v>0</v>
      </c>
      <c r="AA1251" s="65" t="b">
        <f>FALSE()</f>
        <v>0</v>
      </c>
      <c r="AB1251" s="65" t="b">
        <f>TRUE()</f>
        <v>1</v>
      </c>
      <c r="AC1251" s="65" t="b">
        <f>FALSE()</f>
        <v>0</v>
      </c>
      <c r="AD1251" s="65" t="b">
        <f>FALSE()</f>
        <v>0</v>
      </c>
      <c r="AE1251" s="65">
        <v>1</v>
      </c>
      <c r="AF1251" s="69">
        <v>14.3</v>
      </c>
      <c r="AG1251" s="65" t="s">
        <v>74</v>
      </c>
      <c r="AH1251" s="65" t="s">
        <v>4655</v>
      </c>
      <c r="AI1251">
        <f>IF(AND(OR(Company_Explorer!$B$5="All Companies",$E1251=Company_Explorer!$B$5),OR(Company_Explorer!$B$6="All Platforms",$B1251=Company_Explorer!$B$6),OR(Company_Explorer!$B$7="All Roles",$D1251=Company_Explorer!$B$7),OR(Company_Explorer!$B$8="All Ghost Labels",$AG1251=Company_Explorer!$B$8)),1,0)</f>
        <v>0</v>
      </c>
    </row>
    <row r="1252" spans="1:35" ht="15" customHeight="1" x14ac:dyDescent="0.3">
      <c r="A1252" s="60" t="s">
        <v>4656</v>
      </c>
      <c r="B1252" s="60" t="s">
        <v>81</v>
      </c>
      <c r="C1252" s="60" t="s">
        <v>4657</v>
      </c>
      <c r="D1252" s="60" t="s">
        <v>133</v>
      </c>
      <c r="E1252" s="60" t="s">
        <v>719</v>
      </c>
      <c r="F1252" s="60" t="b">
        <f>TRUE()</f>
        <v>1</v>
      </c>
      <c r="G1252" s="60" t="s">
        <v>165</v>
      </c>
      <c r="H1252" s="60" t="s">
        <v>3672</v>
      </c>
      <c r="I1252" s="61">
        <v>46210.242700833303</v>
      </c>
      <c r="J1252" s="61">
        <v>46210.282990474501</v>
      </c>
      <c r="K1252" s="60">
        <v>0</v>
      </c>
      <c r="L1252" s="60" t="s">
        <v>183</v>
      </c>
      <c r="M1252" s="60" t="s">
        <v>183</v>
      </c>
      <c r="N1252" s="60" t="b">
        <f>FALSE()</f>
        <v>0</v>
      </c>
      <c r="O1252" s="60"/>
      <c r="P1252" s="60"/>
      <c r="Q1252" s="60" t="s">
        <v>236</v>
      </c>
      <c r="R1252" s="60" t="s">
        <v>236</v>
      </c>
      <c r="S1252" s="60"/>
      <c r="T1252" s="60" t="b">
        <f>FALSE()</f>
        <v>0</v>
      </c>
      <c r="U1252" s="60" t="b">
        <f>FALSE()</f>
        <v>0</v>
      </c>
      <c r="V1252" s="60">
        <v>650</v>
      </c>
      <c r="W1252" s="60" t="s">
        <v>4658</v>
      </c>
      <c r="X1252" s="60">
        <v>5</v>
      </c>
      <c r="Y1252" s="63">
        <v>8.75</v>
      </c>
      <c r="Z1252" s="60" t="b">
        <f>FALSE()</f>
        <v>0</v>
      </c>
      <c r="AA1252" s="60" t="b">
        <f>TRUE()</f>
        <v>1</v>
      </c>
      <c r="AB1252" s="60" t="b">
        <f>FALSE()</f>
        <v>0</v>
      </c>
      <c r="AC1252" s="60" t="b">
        <f>FALSE()</f>
        <v>0</v>
      </c>
      <c r="AD1252" s="60" t="b">
        <f>FALSE()</f>
        <v>0</v>
      </c>
      <c r="AE1252" s="60">
        <v>1</v>
      </c>
      <c r="AF1252" s="64">
        <v>14.3</v>
      </c>
      <c r="AG1252" s="60" t="s">
        <v>74</v>
      </c>
      <c r="AH1252" s="60" t="s">
        <v>4659</v>
      </c>
      <c r="AI1252">
        <f>IF(AND(OR(Company_Explorer!$B$5="All Companies",$E1252=Company_Explorer!$B$5),OR(Company_Explorer!$B$6="All Platforms",$B1252=Company_Explorer!$B$6),OR(Company_Explorer!$B$7="All Roles",$D1252=Company_Explorer!$B$7),OR(Company_Explorer!$B$8="All Ghost Labels",$AG1252=Company_Explorer!$B$8)),1,0)</f>
        <v>0</v>
      </c>
    </row>
    <row r="1253" spans="1:35" ht="15" customHeight="1" x14ac:dyDescent="0.3">
      <c r="A1253" s="65" t="s">
        <v>4660</v>
      </c>
      <c r="B1253" s="65" t="s">
        <v>81</v>
      </c>
      <c r="C1253" s="65" t="s">
        <v>4609</v>
      </c>
      <c r="D1253" s="65" t="s">
        <v>126</v>
      </c>
      <c r="E1253" s="65" t="s">
        <v>4610</v>
      </c>
      <c r="F1253" s="65" t="b">
        <f>TRUE()</f>
        <v>1</v>
      </c>
      <c r="G1253" s="65" t="s">
        <v>165</v>
      </c>
      <c r="H1253" s="65" t="s">
        <v>4661</v>
      </c>
      <c r="I1253" s="66">
        <v>46210.238505150497</v>
      </c>
      <c r="J1253" s="66">
        <v>46210.282990532403</v>
      </c>
      <c r="K1253" s="65">
        <v>0</v>
      </c>
      <c r="L1253" s="65" t="s">
        <v>183</v>
      </c>
      <c r="M1253" s="65" t="s">
        <v>183</v>
      </c>
      <c r="N1253" s="65" t="b">
        <f>FALSE()</f>
        <v>0</v>
      </c>
      <c r="O1253" s="65"/>
      <c r="P1253" s="65"/>
      <c r="Q1253" s="65" t="s">
        <v>236</v>
      </c>
      <c r="R1253" s="65" t="s">
        <v>236</v>
      </c>
      <c r="S1253" s="65"/>
      <c r="T1253" s="65" t="b">
        <f>FALSE()</f>
        <v>0</v>
      </c>
      <c r="U1253" s="65" t="b">
        <f>FALSE()</f>
        <v>0</v>
      </c>
      <c r="V1253" s="65">
        <v>682</v>
      </c>
      <c r="W1253" s="67" t="s">
        <v>4662</v>
      </c>
      <c r="X1253" s="65">
        <v>12</v>
      </c>
      <c r="Y1253" s="68">
        <v>21</v>
      </c>
      <c r="Z1253" s="65" t="b">
        <f>FALSE()</f>
        <v>0</v>
      </c>
      <c r="AA1253" s="65" t="b">
        <f>TRUE()</f>
        <v>1</v>
      </c>
      <c r="AB1253" s="65" t="b">
        <f>FALSE()</f>
        <v>0</v>
      </c>
      <c r="AC1253" s="65" t="b">
        <f>FALSE()</f>
        <v>0</v>
      </c>
      <c r="AD1253" s="65" t="b">
        <f>FALSE()</f>
        <v>0</v>
      </c>
      <c r="AE1253" s="65">
        <v>1</v>
      </c>
      <c r="AF1253" s="69">
        <v>14.3</v>
      </c>
      <c r="AG1253" s="65" t="s">
        <v>74</v>
      </c>
      <c r="AH1253" s="65" t="s">
        <v>4663</v>
      </c>
      <c r="AI1253">
        <f>IF(AND(OR(Company_Explorer!$B$5="All Companies",$E1253=Company_Explorer!$B$5),OR(Company_Explorer!$B$6="All Platforms",$B1253=Company_Explorer!$B$6),OR(Company_Explorer!$B$7="All Roles",$D1253=Company_Explorer!$B$7),OR(Company_Explorer!$B$8="All Ghost Labels",$AG1253=Company_Explorer!$B$8)),1,0)</f>
        <v>0</v>
      </c>
    </row>
    <row r="1254" spans="1:35" ht="15" customHeight="1" x14ac:dyDescent="0.3">
      <c r="A1254" s="60" t="s">
        <v>4664</v>
      </c>
      <c r="B1254" s="60" t="s">
        <v>81</v>
      </c>
      <c r="C1254" s="60" t="s">
        <v>4665</v>
      </c>
      <c r="D1254" s="60" t="s">
        <v>126</v>
      </c>
      <c r="E1254" s="60" t="s">
        <v>4666</v>
      </c>
      <c r="F1254" s="60" t="b">
        <f>TRUE()</f>
        <v>1</v>
      </c>
      <c r="G1254" s="60" t="s">
        <v>165</v>
      </c>
      <c r="H1254" s="60" t="s">
        <v>3672</v>
      </c>
      <c r="I1254" s="61">
        <v>46210.239256851899</v>
      </c>
      <c r="J1254" s="61">
        <v>46210.282990613399</v>
      </c>
      <c r="K1254" s="60">
        <v>0</v>
      </c>
      <c r="L1254" s="60" t="s">
        <v>183</v>
      </c>
      <c r="M1254" s="60" t="s">
        <v>183</v>
      </c>
      <c r="N1254" s="60" t="b">
        <f>TRUE()</f>
        <v>1</v>
      </c>
      <c r="O1254" s="70">
        <v>20000</v>
      </c>
      <c r="P1254" s="70">
        <v>25000</v>
      </c>
      <c r="Q1254" s="60" t="s">
        <v>3663</v>
      </c>
      <c r="R1254" s="60" t="s">
        <v>3664</v>
      </c>
      <c r="S1254" s="70">
        <v>270000</v>
      </c>
      <c r="T1254" s="60" t="b">
        <f>TRUE()</f>
        <v>1</v>
      </c>
      <c r="U1254" s="60" t="b">
        <f>FALSE()</f>
        <v>0</v>
      </c>
      <c r="V1254" s="60">
        <v>343</v>
      </c>
      <c r="W1254" s="62" t="s">
        <v>4667</v>
      </c>
      <c r="X1254" s="60">
        <v>1</v>
      </c>
      <c r="Y1254" s="63">
        <v>1.75</v>
      </c>
      <c r="Z1254" s="60" t="b">
        <f>FALSE()</f>
        <v>0</v>
      </c>
      <c r="AA1254" s="60" t="b">
        <f>FALSE()</f>
        <v>0</v>
      </c>
      <c r="AB1254" s="60" t="b">
        <f>FALSE()</f>
        <v>0</v>
      </c>
      <c r="AC1254" s="60" t="b">
        <f>FALSE()</f>
        <v>0</v>
      </c>
      <c r="AD1254" s="60" t="b">
        <f>FALSE()</f>
        <v>0</v>
      </c>
      <c r="AE1254" s="60">
        <v>0</v>
      </c>
      <c r="AF1254" s="64">
        <v>0</v>
      </c>
      <c r="AG1254" s="60" t="s">
        <v>74</v>
      </c>
      <c r="AH1254" s="60" t="s">
        <v>4668</v>
      </c>
      <c r="AI1254">
        <f>IF(AND(OR(Company_Explorer!$B$5="All Companies",$E1254=Company_Explorer!$B$5),OR(Company_Explorer!$B$6="All Platforms",$B1254=Company_Explorer!$B$6),OR(Company_Explorer!$B$7="All Roles",$D1254=Company_Explorer!$B$7),OR(Company_Explorer!$B$8="All Ghost Labels",$AG1254=Company_Explorer!$B$8)),1,0)</f>
        <v>0</v>
      </c>
    </row>
    <row r="1255" spans="1:35" ht="15" customHeight="1" x14ac:dyDescent="0.3">
      <c r="A1255" s="65" t="s">
        <v>4669</v>
      </c>
      <c r="B1255" s="65" t="s">
        <v>81</v>
      </c>
      <c r="C1255" s="65" t="s">
        <v>4614</v>
      </c>
      <c r="D1255" s="65" t="s">
        <v>126</v>
      </c>
      <c r="E1255" s="65" t="s">
        <v>4615</v>
      </c>
      <c r="F1255" s="65" t="b">
        <f>TRUE()</f>
        <v>1</v>
      </c>
      <c r="G1255" s="65" t="s">
        <v>165</v>
      </c>
      <c r="H1255" s="65" t="s">
        <v>3620</v>
      </c>
      <c r="I1255" s="66">
        <v>46210.207846388897</v>
      </c>
      <c r="J1255" s="66">
        <v>46210.282990671301</v>
      </c>
      <c r="K1255" s="65">
        <v>0.1</v>
      </c>
      <c r="L1255" s="65" t="s">
        <v>183</v>
      </c>
      <c r="M1255" s="65" t="s">
        <v>183</v>
      </c>
      <c r="N1255" s="65" t="b">
        <f>FALSE()</f>
        <v>0</v>
      </c>
      <c r="O1255" s="65"/>
      <c r="P1255" s="65"/>
      <c r="Q1255" s="65" t="s">
        <v>236</v>
      </c>
      <c r="R1255" s="65" t="s">
        <v>236</v>
      </c>
      <c r="S1255" s="65"/>
      <c r="T1255" s="65" t="b">
        <f>FALSE()</f>
        <v>0</v>
      </c>
      <c r="U1255" s="65" t="b">
        <f>FALSE()</f>
        <v>0</v>
      </c>
      <c r="V1255" s="65">
        <v>505</v>
      </c>
      <c r="W1255" s="67" t="s">
        <v>4616</v>
      </c>
      <c r="X1255" s="65">
        <v>2</v>
      </c>
      <c r="Y1255" s="68">
        <v>3.5</v>
      </c>
      <c r="Z1255" s="65" t="b">
        <f>FALSE()</f>
        <v>0</v>
      </c>
      <c r="AA1255" s="65" t="b">
        <f>TRUE()</f>
        <v>1</v>
      </c>
      <c r="AB1255" s="65" t="b">
        <f>FALSE()</f>
        <v>0</v>
      </c>
      <c r="AC1255" s="65" t="b">
        <f>FALSE()</f>
        <v>0</v>
      </c>
      <c r="AD1255" s="65" t="b">
        <f>FALSE()</f>
        <v>0</v>
      </c>
      <c r="AE1255" s="65">
        <v>1</v>
      </c>
      <c r="AF1255" s="69">
        <v>14.3</v>
      </c>
      <c r="AG1255" s="65" t="s">
        <v>74</v>
      </c>
      <c r="AH1255" s="65" t="s">
        <v>4670</v>
      </c>
      <c r="AI1255">
        <f>IF(AND(OR(Company_Explorer!$B$5="All Companies",$E1255=Company_Explorer!$B$5),OR(Company_Explorer!$B$6="All Platforms",$B1255=Company_Explorer!$B$6),OR(Company_Explorer!$B$7="All Roles",$D1255=Company_Explorer!$B$7),OR(Company_Explorer!$B$8="All Ghost Labels",$AG1255=Company_Explorer!$B$8)),1,0)</f>
        <v>0</v>
      </c>
    </row>
    <row r="1256" spans="1:35" ht="15" customHeight="1" x14ac:dyDescent="0.3">
      <c r="A1256" s="60" t="s">
        <v>4671</v>
      </c>
      <c r="B1256" s="60" t="s">
        <v>81</v>
      </c>
      <c r="C1256" s="60" t="s">
        <v>4672</v>
      </c>
      <c r="D1256" s="60" t="s">
        <v>126</v>
      </c>
      <c r="E1256" s="60" t="s">
        <v>3947</v>
      </c>
      <c r="F1256" s="60" t="b">
        <f>TRUE()</f>
        <v>1</v>
      </c>
      <c r="G1256" s="60" t="s">
        <v>165</v>
      </c>
      <c r="H1256" s="60" t="s">
        <v>3620</v>
      </c>
      <c r="I1256" s="61">
        <v>46210.217737256899</v>
      </c>
      <c r="J1256" s="61">
        <v>46210.282991365697</v>
      </c>
      <c r="K1256" s="60">
        <v>0.1</v>
      </c>
      <c r="L1256" s="60" t="s">
        <v>183</v>
      </c>
      <c r="M1256" s="60" t="s">
        <v>183</v>
      </c>
      <c r="N1256" s="60" t="b">
        <f>FALSE()</f>
        <v>0</v>
      </c>
      <c r="O1256" s="60"/>
      <c r="P1256" s="60"/>
      <c r="Q1256" s="60" t="s">
        <v>236</v>
      </c>
      <c r="R1256" s="60" t="s">
        <v>236</v>
      </c>
      <c r="S1256" s="60"/>
      <c r="T1256" s="60" t="b">
        <f>FALSE()</f>
        <v>0</v>
      </c>
      <c r="U1256" s="60" t="b">
        <f>FALSE()</f>
        <v>0</v>
      </c>
      <c r="V1256" s="60">
        <v>612</v>
      </c>
      <c r="W1256" s="62" t="s">
        <v>4673</v>
      </c>
      <c r="X1256" s="60">
        <v>13</v>
      </c>
      <c r="Y1256" s="63">
        <v>22.75</v>
      </c>
      <c r="Z1256" s="60" t="b">
        <f>FALSE()</f>
        <v>0</v>
      </c>
      <c r="AA1256" s="60" t="b">
        <f>TRUE()</f>
        <v>1</v>
      </c>
      <c r="AB1256" s="60" t="b">
        <f>FALSE()</f>
        <v>0</v>
      </c>
      <c r="AC1256" s="60" t="b">
        <f>FALSE()</f>
        <v>0</v>
      </c>
      <c r="AD1256" s="60" t="b">
        <f>FALSE()</f>
        <v>0</v>
      </c>
      <c r="AE1256" s="60">
        <v>1</v>
      </c>
      <c r="AF1256" s="64">
        <v>14.3</v>
      </c>
      <c r="AG1256" s="60" t="s">
        <v>74</v>
      </c>
      <c r="AH1256" s="60" t="s">
        <v>4674</v>
      </c>
      <c r="AI1256">
        <f>IF(AND(OR(Company_Explorer!$B$5="All Companies",$E1256=Company_Explorer!$B$5),OR(Company_Explorer!$B$6="All Platforms",$B1256=Company_Explorer!$B$6),OR(Company_Explorer!$B$7="All Roles",$D1256=Company_Explorer!$B$7),OR(Company_Explorer!$B$8="All Ghost Labels",$AG1256=Company_Explorer!$B$8)),1,0)</f>
        <v>0</v>
      </c>
    </row>
    <row r="1257" spans="1:35" ht="15" customHeight="1" x14ac:dyDescent="0.3">
      <c r="A1257" s="65" t="s">
        <v>4675</v>
      </c>
      <c r="B1257" s="65" t="s">
        <v>81</v>
      </c>
      <c r="C1257" s="65" t="s">
        <v>4676</v>
      </c>
      <c r="D1257" s="65" t="s">
        <v>126</v>
      </c>
      <c r="E1257" s="65" t="s">
        <v>4677</v>
      </c>
      <c r="F1257" s="65" t="b">
        <f>TRUE()</f>
        <v>1</v>
      </c>
      <c r="G1257" s="65" t="s">
        <v>165</v>
      </c>
      <c r="H1257" s="65" t="s">
        <v>3636</v>
      </c>
      <c r="I1257" s="66">
        <v>46210.2380342014</v>
      </c>
      <c r="J1257" s="66">
        <v>46210.282991435197</v>
      </c>
      <c r="K1257" s="65">
        <v>0</v>
      </c>
      <c r="L1257" s="65" t="s">
        <v>183</v>
      </c>
      <c r="M1257" s="65" t="s">
        <v>183</v>
      </c>
      <c r="N1257" s="65" t="b">
        <f>TRUE()</f>
        <v>1</v>
      </c>
      <c r="O1257" s="71">
        <v>15000</v>
      </c>
      <c r="P1257" s="71">
        <v>20000</v>
      </c>
      <c r="Q1257" s="65" t="s">
        <v>3663</v>
      </c>
      <c r="R1257" s="65" t="s">
        <v>3664</v>
      </c>
      <c r="S1257" s="71">
        <v>210000</v>
      </c>
      <c r="T1257" s="65" t="b">
        <f>TRUE()</f>
        <v>1</v>
      </c>
      <c r="U1257" s="65" t="b">
        <f>FALSE()</f>
        <v>0</v>
      </c>
      <c r="V1257" s="65">
        <v>325</v>
      </c>
      <c r="W1257" s="67" t="s">
        <v>4678</v>
      </c>
      <c r="X1257" s="65">
        <v>1</v>
      </c>
      <c r="Y1257" s="68">
        <v>1.75</v>
      </c>
      <c r="Z1257" s="65" t="b">
        <f>FALSE()</f>
        <v>0</v>
      </c>
      <c r="AA1257" s="65" t="b">
        <f>FALSE()</f>
        <v>0</v>
      </c>
      <c r="AB1257" s="65" t="b">
        <f>FALSE()</f>
        <v>0</v>
      </c>
      <c r="AC1257" s="65" t="b">
        <f>FALSE()</f>
        <v>0</v>
      </c>
      <c r="AD1257" s="65" t="b">
        <f>FALSE()</f>
        <v>0</v>
      </c>
      <c r="AE1257" s="65">
        <v>0</v>
      </c>
      <c r="AF1257" s="69">
        <v>0</v>
      </c>
      <c r="AG1257" s="65" t="s">
        <v>74</v>
      </c>
      <c r="AH1257" s="65" t="s">
        <v>4679</v>
      </c>
      <c r="AI1257">
        <f>IF(AND(OR(Company_Explorer!$B$5="All Companies",$E1257=Company_Explorer!$B$5),OR(Company_Explorer!$B$6="All Platforms",$B1257=Company_Explorer!$B$6),OR(Company_Explorer!$B$7="All Roles",$D1257=Company_Explorer!$B$7),OR(Company_Explorer!$B$8="All Ghost Labels",$AG1257=Company_Explorer!$B$8)),1,0)</f>
        <v>0</v>
      </c>
    </row>
    <row r="1258" spans="1:35" ht="15" customHeight="1" x14ac:dyDescent="0.3">
      <c r="A1258" s="60" t="s">
        <v>4680</v>
      </c>
      <c r="B1258" s="60" t="s">
        <v>81</v>
      </c>
      <c r="C1258" s="60" t="s">
        <v>4681</v>
      </c>
      <c r="D1258" s="60" t="s">
        <v>133</v>
      </c>
      <c r="E1258" s="60" t="s">
        <v>4594</v>
      </c>
      <c r="F1258" s="60" t="b">
        <f>TRUE()</f>
        <v>1</v>
      </c>
      <c r="G1258" s="60" t="s">
        <v>165</v>
      </c>
      <c r="H1258" s="60" t="s">
        <v>3636</v>
      </c>
      <c r="I1258" s="61">
        <v>46210.208951956003</v>
      </c>
      <c r="J1258" s="61">
        <v>46210.2829915162</v>
      </c>
      <c r="K1258" s="60">
        <v>0.1</v>
      </c>
      <c r="L1258" s="60" t="s">
        <v>183</v>
      </c>
      <c r="M1258" s="60" t="s">
        <v>183</v>
      </c>
      <c r="N1258" s="60" t="b">
        <f>FALSE()</f>
        <v>0</v>
      </c>
      <c r="O1258" s="60"/>
      <c r="P1258" s="60"/>
      <c r="Q1258" s="60" t="s">
        <v>236</v>
      </c>
      <c r="R1258" s="60" t="s">
        <v>236</v>
      </c>
      <c r="S1258" s="60"/>
      <c r="T1258" s="60" t="b">
        <f>FALSE()</f>
        <v>0</v>
      </c>
      <c r="U1258" s="60" t="b">
        <f>FALSE()</f>
        <v>0</v>
      </c>
      <c r="V1258" s="60">
        <v>1019</v>
      </c>
      <c r="W1258" s="62" t="s">
        <v>4682</v>
      </c>
      <c r="X1258" s="60">
        <v>4</v>
      </c>
      <c r="Y1258" s="63">
        <v>7</v>
      </c>
      <c r="Z1258" s="60" t="b">
        <f>FALSE()</f>
        <v>0</v>
      </c>
      <c r="AA1258" s="60" t="b">
        <f>TRUE()</f>
        <v>1</v>
      </c>
      <c r="AB1258" s="60" t="b">
        <f>FALSE()</f>
        <v>0</v>
      </c>
      <c r="AC1258" s="60" t="b">
        <f>FALSE()</f>
        <v>0</v>
      </c>
      <c r="AD1258" s="60" t="b">
        <f>FALSE()</f>
        <v>0</v>
      </c>
      <c r="AE1258" s="60">
        <v>1</v>
      </c>
      <c r="AF1258" s="64">
        <v>14.3</v>
      </c>
      <c r="AG1258" s="60" t="s">
        <v>74</v>
      </c>
      <c r="AH1258" s="60" t="s">
        <v>4683</v>
      </c>
      <c r="AI1258">
        <f>IF(AND(OR(Company_Explorer!$B$5="All Companies",$E1258=Company_Explorer!$B$5),OR(Company_Explorer!$B$6="All Platforms",$B1258=Company_Explorer!$B$6),OR(Company_Explorer!$B$7="All Roles",$D1258=Company_Explorer!$B$7),OR(Company_Explorer!$B$8="All Ghost Labels",$AG1258=Company_Explorer!$B$8)),1,0)</f>
        <v>0</v>
      </c>
    </row>
    <row r="1259" spans="1:35" ht="15" customHeight="1" x14ac:dyDescent="0.3">
      <c r="A1259" s="65" t="s">
        <v>4684</v>
      </c>
      <c r="B1259" s="65" t="s">
        <v>81</v>
      </c>
      <c r="C1259" s="65" t="s">
        <v>4685</v>
      </c>
      <c r="D1259" s="65" t="s">
        <v>126</v>
      </c>
      <c r="E1259" s="65" t="s">
        <v>4686</v>
      </c>
      <c r="F1259" s="65" t="b">
        <f>TRUE()</f>
        <v>1</v>
      </c>
      <c r="G1259" s="65" t="s">
        <v>165</v>
      </c>
      <c r="H1259" s="65" t="s">
        <v>3805</v>
      </c>
      <c r="I1259" s="66">
        <v>46210.239261955998</v>
      </c>
      <c r="J1259" s="66">
        <v>46210.282991655098</v>
      </c>
      <c r="K1259" s="65">
        <v>0</v>
      </c>
      <c r="L1259" s="65" t="s">
        <v>183</v>
      </c>
      <c r="M1259" s="65" t="s">
        <v>183</v>
      </c>
      <c r="N1259" s="65" t="b">
        <f>FALSE()</f>
        <v>0</v>
      </c>
      <c r="O1259" s="65"/>
      <c r="P1259" s="65"/>
      <c r="Q1259" s="65" t="s">
        <v>236</v>
      </c>
      <c r="R1259" s="65" t="s">
        <v>236</v>
      </c>
      <c r="S1259" s="65"/>
      <c r="T1259" s="65" t="b">
        <f>FALSE()</f>
        <v>0</v>
      </c>
      <c r="U1259" s="65" t="b">
        <f>FALSE()</f>
        <v>0</v>
      </c>
      <c r="V1259" s="65">
        <v>319</v>
      </c>
      <c r="W1259" s="65" t="s">
        <v>4687</v>
      </c>
      <c r="X1259" s="65">
        <v>1</v>
      </c>
      <c r="Y1259" s="68">
        <v>1.75</v>
      </c>
      <c r="Z1259" s="65" t="b">
        <f>FALSE()</f>
        <v>0</v>
      </c>
      <c r="AA1259" s="65" t="b">
        <f>TRUE()</f>
        <v>1</v>
      </c>
      <c r="AB1259" s="65" t="b">
        <f>FALSE()</f>
        <v>0</v>
      </c>
      <c r="AC1259" s="65" t="b">
        <f>FALSE()</f>
        <v>0</v>
      </c>
      <c r="AD1259" s="65" t="b">
        <f>FALSE()</f>
        <v>0</v>
      </c>
      <c r="AE1259" s="65">
        <v>1</v>
      </c>
      <c r="AF1259" s="69">
        <v>14.3</v>
      </c>
      <c r="AG1259" s="65" t="s">
        <v>74</v>
      </c>
      <c r="AH1259" s="65" t="s">
        <v>4688</v>
      </c>
      <c r="AI1259">
        <f>IF(AND(OR(Company_Explorer!$B$5="All Companies",$E1259=Company_Explorer!$B$5),OR(Company_Explorer!$B$6="All Platforms",$B1259=Company_Explorer!$B$6),OR(Company_Explorer!$B$7="All Roles",$D1259=Company_Explorer!$B$7),OR(Company_Explorer!$B$8="All Ghost Labels",$AG1259=Company_Explorer!$B$8)),1,0)</f>
        <v>0</v>
      </c>
    </row>
    <row r="1260" spans="1:35" ht="15" customHeight="1" x14ac:dyDescent="0.3">
      <c r="A1260" s="60" t="s">
        <v>4689</v>
      </c>
      <c r="B1260" s="60" t="s">
        <v>81</v>
      </c>
      <c r="C1260" s="60" t="s">
        <v>4690</v>
      </c>
      <c r="D1260" s="60" t="s">
        <v>126</v>
      </c>
      <c r="E1260" s="60" t="s">
        <v>3820</v>
      </c>
      <c r="F1260" s="60" t="b">
        <f>TRUE()</f>
        <v>1</v>
      </c>
      <c r="G1260" s="60" t="s">
        <v>165</v>
      </c>
      <c r="H1260" s="60" t="s">
        <v>3821</v>
      </c>
      <c r="I1260" s="61">
        <v>46210.208473194398</v>
      </c>
      <c r="J1260" s="61">
        <v>46210.282991759297</v>
      </c>
      <c r="K1260" s="60">
        <v>0.1</v>
      </c>
      <c r="L1260" s="60" t="s">
        <v>183</v>
      </c>
      <c r="M1260" s="60" t="s">
        <v>183</v>
      </c>
      <c r="N1260" s="60" t="b">
        <f>TRUE()</f>
        <v>1</v>
      </c>
      <c r="O1260" s="70">
        <v>10197.83984375</v>
      </c>
      <c r="P1260" s="70">
        <v>22000.779296875</v>
      </c>
      <c r="Q1260" s="60" t="s">
        <v>3663</v>
      </c>
      <c r="R1260" s="60" t="s">
        <v>3664</v>
      </c>
      <c r="S1260" s="70">
        <v>193192</v>
      </c>
      <c r="T1260" s="60" t="b">
        <f>TRUE()</f>
        <v>1</v>
      </c>
      <c r="U1260" s="60" t="b">
        <f>FALSE()</f>
        <v>0</v>
      </c>
      <c r="V1260" s="60">
        <v>369</v>
      </c>
      <c r="W1260" s="62" t="s">
        <v>4691</v>
      </c>
      <c r="X1260" s="60">
        <v>4</v>
      </c>
      <c r="Y1260" s="63">
        <v>7</v>
      </c>
      <c r="Z1260" s="60" t="b">
        <f>FALSE()</f>
        <v>0</v>
      </c>
      <c r="AA1260" s="60" t="b">
        <f>FALSE()</f>
        <v>0</v>
      </c>
      <c r="AB1260" s="60" t="b">
        <f>FALSE()</f>
        <v>0</v>
      </c>
      <c r="AC1260" s="60" t="b">
        <f>FALSE()</f>
        <v>0</v>
      </c>
      <c r="AD1260" s="60" t="b">
        <f>FALSE()</f>
        <v>0</v>
      </c>
      <c r="AE1260" s="60">
        <v>0</v>
      </c>
      <c r="AF1260" s="64">
        <v>0</v>
      </c>
      <c r="AG1260" s="60" t="s">
        <v>74</v>
      </c>
      <c r="AH1260" s="60" t="s">
        <v>4692</v>
      </c>
      <c r="AI1260">
        <f>IF(AND(OR(Company_Explorer!$B$5="All Companies",$E1260=Company_Explorer!$B$5),OR(Company_Explorer!$B$6="All Platforms",$B1260=Company_Explorer!$B$6),OR(Company_Explorer!$B$7="All Roles",$D1260=Company_Explorer!$B$7),OR(Company_Explorer!$B$8="All Ghost Labels",$AG1260=Company_Explorer!$B$8)),1,0)</f>
        <v>0</v>
      </c>
    </row>
    <row r="1261" spans="1:35" ht="15" customHeight="1" x14ac:dyDescent="0.3">
      <c r="A1261" s="65" t="s">
        <v>4693</v>
      </c>
      <c r="B1261" s="65" t="s">
        <v>81</v>
      </c>
      <c r="C1261" s="65" t="s">
        <v>4694</v>
      </c>
      <c r="D1261" s="65" t="s">
        <v>126</v>
      </c>
      <c r="E1261" s="65" t="s">
        <v>4695</v>
      </c>
      <c r="F1261" s="65" t="b">
        <f>TRUE()</f>
        <v>1</v>
      </c>
      <c r="G1261" s="65" t="s">
        <v>165</v>
      </c>
      <c r="H1261" s="65" t="s">
        <v>3672</v>
      </c>
      <c r="I1261" s="66">
        <v>46210.209616539403</v>
      </c>
      <c r="J1261" s="66">
        <v>46210.282991886597</v>
      </c>
      <c r="K1261" s="65">
        <v>0.1</v>
      </c>
      <c r="L1261" s="65" t="s">
        <v>183</v>
      </c>
      <c r="M1261" s="65" t="s">
        <v>183</v>
      </c>
      <c r="N1261" s="65" t="b">
        <f>TRUE()</f>
        <v>1</v>
      </c>
      <c r="O1261" s="71">
        <v>25000</v>
      </c>
      <c r="P1261" s="71">
        <v>45000</v>
      </c>
      <c r="Q1261" s="65" t="s">
        <v>3663</v>
      </c>
      <c r="R1261" s="65" t="s">
        <v>3664</v>
      </c>
      <c r="S1261" s="71">
        <v>420000</v>
      </c>
      <c r="T1261" s="65" t="b">
        <f>TRUE()</f>
        <v>1</v>
      </c>
      <c r="U1261" s="65" t="b">
        <f>FALSE()</f>
        <v>0</v>
      </c>
      <c r="V1261" s="65">
        <v>389</v>
      </c>
      <c r="W1261" s="67" t="s">
        <v>4696</v>
      </c>
      <c r="X1261" s="65">
        <v>1</v>
      </c>
      <c r="Y1261" s="68">
        <v>1.75</v>
      </c>
      <c r="Z1261" s="65" t="b">
        <f>FALSE()</f>
        <v>0</v>
      </c>
      <c r="AA1261" s="65" t="b">
        <f>FALSE()</f>
        <v>0</v>
      </c>
      <c r="AB1261" s="65" t="b">
        <f>FALSE()</f>
        <v>0</v>
      </c>
      <c r="AC1261" s="65" t="b">
        <f>FALSE()</f>
        <v>0</v>
      </c>
      <c r="AD1261" s="65" t="b">
        <f>FALSE()</f>
        <v>0</v>
      </c>
      <c r="AE1261" s="65">
        <v>0</v>
      </c>
      <c r="AF1261" s="69">
        <v>0</v>
      </c>
      <c r="AG1261" s="65" t="s">
        <v>74</v>
      </c>
      <c r="AH1261" s="65" t="s">
        <v>4697</v>
      </c>
      <c r="AI1261">
        <f>IF(AND(OR(Company_Explorer!$B$5="All Companies",$E1261=Company_Explorer!$B$5),OR(Company_Explorer!$B$6="All Platforms",$B1261=Company_Explorer!$B$6),OR(Company_Explorer!$B$7="All Roles",$D1261=Company_Explorer!$B$7),OR(Company_Explorer!$B$8="All Ghost Labels",$AG1261=Company_Explorer!$B$8)),1,0)</f>
        <v>0</v>
      </c>
    </row>
    <row r="1262" spans="1:35" ht="15" customHeight="1" x14ac:dyDescent="0.3">
      <c r="A1262" s="60" t="s">
        <v>4698</v>
      </c>
      <c r="B1262" s="60" t="s">
        <v>81</v>
      </c>
      <c r="C1262" s="60" t="s">
        <v>4699</v>
      </c>
      <c r="D1262" s="60" t="s">
        <v>126</v>
      </c>
      <c r="E1262" s="60" t="s">
        <v>3947</v>
      </c>
      <c r="F1262" s="60" t="b">
        <f>TRUE()</f>
        <v>1</v>
      </c>
      <c r="G1262" s="60" t="s">
        <v>165</v>
      </c>
      <c r="H1262" s="60" t="s">
        <v>3636</v>
      </c>
      <c r="I1262" s="61">
        <v>46210.217496689802</v>
      </c>
      <c r="J1262" s="61">
        <v>46210.282991620399</v>
      </c>
      <c r="K1262" s="60">
        <v>0.1</v>
      </c>
      <c r="L1262" s="60" t="s">
        <v>183</v>
      </c>
      <c r="M1262" s="60" t="s">
        <v>183</v>
      </c>
      <c r="N1262" s="60" t="b">
        <f>FALSE()</f>
        <v>0</v>
      </c>
      <c r="O1262" s="60"/>
      <c r="P1262" s="60"/>
      <c r="Q1262" s="60" t="s">
        <v>236</v>
      </c>
      <c r="R1262" s="60" t="s">
        <v>236</v>
      </c>
      <c r="S1262" s="60"/>
      <c r="T1262" s="60" t="b">
        <f>FALSE()</f>
        <v>0</v>
      </c>
      <c r="U1262" s="60" t="b">
        <f>FALSE()</f>
        <v>0</v>
      </c>
      <c r="V1262" s="60">
        <v>897</v>
      </c>
      <c r="W1262" s="62" t="s">
        <v>4700</v>
      </c>
      <c r="X1262" s="60">
        <v>13</v>
      </c>
      <c r="Y1262" s="63">
        <v>22.75</v>
      </c>
      <c r="Z1262" s="60" t="b">
        <f>FALSE()</f>
        <v>0</v>
      </c>
      <c r="AA1262" s="60" t="b">
        <f>TRUE()</f>
        <v>1</v>
      </c>
      <c r="AB1262" s="60" t="b">
        <f>FALSE()</f>
        <v>0</v>
      </c>
      <c r="AC1262" s="60" t="b">
        <f>FALSE()</f>
        <v>0</v>
      </c>
      <c r="AD1262" s="60" t="b">
        <f>FALSE()</f>
        <v>0</v>
      </c>
      <c r="AE1262" s="60">
        <v>1</v>
      </c>
      <c r="AF1262" s="64">
        <v>14.3</v>
      </c>
      <c r="AG1262" s="60" t="s">
        <v>74</v>
      </c>
      <c r="AH1262" s="60" t="s">
        <v>4701</v>
      </c>
      <c r="AI1262">
        <f>IF(AND(OR(Company_Explorer!$B$5="All Companies",$E1262=Company_Explorer!$B$5),OR(Company_Explorer!$B$6="All Platforms",$B1262=Company_Explorer!$B$6),OR(Company_Explorer!$B$7="All Roles",$D1262=Company_Explorer!$B$7),OR(Company_Explorer!$B$8="All Ghost Labels",$AG1262=Company_Explorer!$B$8)),1,0)</f>
        <v>0</v>
      </c>
    </row>
    <row r="1263" spans="1:35" ht="15" customHeight="1" x14ac:dyDescent="0.3">
      <c r="A1263" s="65" t="s">
        <v>4702</v>
      </c>
      <c r="B1263" s="65" t="s">
        <v>81</v>
      </c>
      <c r="C1263" s="65" t="s">
        <v>4703</v>
      </c>
      <c r="D1263" s="65" t="s">
        <v>135</v>
      </c>
      <c r="E1263" s="65" t="s">
        <v>4704</v>
      </c>
      <c r="F1263" s="65" t="b">
        <f>TRUE()</f>
        <v>1</v>
      </c>
      <c r="G1263" s="65" t="s">
        <v>165</v>
      </c>
      <c r="H1263" s="65" t="s">
        <v>3805</v>
      </c>
      <c r="I1263" s="66">
        <v>46210.183766689799</v>
      </c>
      <c r="J1263" s="66">
        <v>46210.282991921304</v>
      </c>
      <c r="K1263" s="65">
        <v>0.1</v>
      </c>
      <c r="L1263" s="65" t="s">
        <v>183</v>
      </c>
      <c r="M1263" s="65" t="s">
        <v>183</v>
      </c>
      <c r="N1263" s="65" t="b">
        <f>TRUE()</f>
        <v>1</v>
      </c>
      <c r="O1263" s="71">
        <v>5000</v>
      </c>
      <c r="P1263" s="71">
        <v>46621.6015625</v>
      </c>
      <c r="Q1263" s="65" t="s">
        <v>3663</v>
      </c>
      <c r="R1263" s="65" t="s">
        <v>3664</v>
      </c>
      <c r="S1263" s="71">
        <v>309730</v>
      </c>
      <c r="T1263" s="65" t="b">
        <f>TRUE()</f>
        <v>1</v>
      </c>
      <c r="U1263" s="65" t="b">
        <f>FALSE()</f>
        <v>0</v>
      </c>
      <c r="V1263" s="65">
        <v>474</v>
      </c>
      <c r="W1263" s="67" t="s">
        <v>4705</v>
      </c>
      <c r="X1263" s="65">
        <v>1</v>
      </c>
      <c r="Y1263" s="68">
        <v>1.75</v>
      </c>
      <c r="Z1263" s="65" t="b">
        <f>FALSE()</f>
        <v>0</v>
      </c>
      <c r="AA1263" s="65" t="b">
        <f>FALSE()</f>
        <v>0</v>
      </c>
      <c r="AB1263" s="65" t="b">
        <f>FALSE()</f>
        <v>0</v>
      </c>
      <c r="AC1263" s="65" t="b">
        <f>FALSE()</f>
        <v>0</v>
      </c>
      <c r="AD1263" s="65" t="b">
        <f>FALSE()</f>
        <v>0</v>
      </c>
      <c r="AE1263" s="65">
        <v>0</v>
      </c>
      <c r="AF1263" s="69">
        <v>0</v>
      </c>
      <c r="AG1263" s="65" t="s">
        <v>74</v>
      </c>
      <c r="AH1263" s="65" t="s">
        <v>4706</v>
      </c>
      <c r="AI1263">
        <f>IF(AND(OR(Company_Explorer!$B$5="All Companies",$E1263=Company_Explorer!$B$5),OR(Company_Explorer!$B$6="All Platforms",$B1263=Company_Explorer!$B$6),OR(Company_Explorer!$B$7="All Roles",$D1263=Company_Explorer!$B$7),OR(Company_Explorer!$B$8="All Ghost Labels",$AG1263=Company_Explorer!$B$8)),1,0)</f>
        <v>0</v>
      </c>
    </row>
    <row r="1264" spans="1:35" ht="15" customHeight="1" x14ac:dyDescent="0.3">
      <c r="A1264" s="60" t="s">
        <v>4707</v>
      </c>
      <c r="B1264" s="60" t="s">
        <v>81</v>
      </c>
      <c r="C1264" s="60" t="s">
        <v>4708</v>
      </c>
      <c r="D1264" s="60" t="s">
        <v>126</v>
      </c>
      <c r="E1264" s="60" t="s">
        <v>4709</v>
      </c>
      <c r="F1264" s="60" t="b">
        <f>TRUE()</f>
        <v>1</v>
      </c>
      <c r="G1264" s="60" t="s">
        <v>165</v>
      </c>
      <c r="H1264" s="60" t="s">
        <v>3655</v>
      </c>
      <c r="I1264" s="61">
        <v>46210.2136022454</v>
      </c>
      <c r="J1264" s="61">
        <v>46210.282992662003</v>
      </c>
      <c r="K1264" s="60">
        <v>0.1</v>
      </c>
      <c r="L1264" s="60" t="s">
        <v>183</v>
      </c>
      <c r="M1264" s="60" t="s">
        <v>183</v>
      </c>
      <c r="N1264" s="60" t="b">
        <f>TRUE()</f>
        <v>1</v>
      </c>
      <c r="O1264" s="70">
        <v>35000</v>
      </c>
      <c r="P1264" s="70">
        <v>50000</v>
      </c>
      <c r="Q1264" s="60" t="s">
        <v>3663</v>
      </c>
      <c r="R1264" s="60" t="s">
        <v>3664</v>
      </c>
      <c r="S1264" s="70">
        <v>510000</v>
      </c>
      <c r="T1264" s="60" t="b">
        <f>TRUE()</f>
        <v>1</v>
      </c>
      <c r="U1264" s="60" t="b">
        <f>FALSE()</f>
        <v>0</v>
      </c>
      <c r="V1264" s="60">
        <v>635</v>
      </c>
      <c r="W1264" s="62" t="s">
        <v>4710</v>
      </c>
      <c r="X1264" s="60">
        <v>1</v>
      </c>
      <c r="Y1264" s="63">
        <v>1.75</v>
      </c>
      <c r="Z1264" s="60" t="b">
        <f>FALSE()</f>
        <v>0</v>
      </c>
      <c r="AA1264" s="60" t="b">
        <f>FALSE()</f>
        <v>0</v>
      </c>
      <c r="AB1264" s="60" t="b">
        <f>FALSE()</f>
        <v>0</v>
      </c>
      <c r="AC1264" s="60" t="b">
        <f>FALSE()</f>
        <v>0</v>
      </c>
      <c r="AD1264" s="60" t="b">
        <f>FALSE()</f>
        <v>0</v>
      </c>
      <c r="AE1264" s="60">
        <v>0</v>
      </c>
      <c r="AF1264" s="64">
        <v>0</v>
      </c>
      <c r="AG1264" s="60" t="s">
        <v>74</v>
      </c>
      <c r="AH1264" s="60" t="s">
        <v>4711</v>
      </c>
      <c r="AI1264">
        <f>IF(AND(OR(Company_Explorer!$B$5="All Companies",$E1264=Company_Explorer!$B$5),OR(Company_Explorer!$B$6="All Platforms",$B1264=Company_Explorer!$B$6),OR(Company_Explorer!$B$7="All Roles",$D1264=Company_Explorer!$B$7),OR(Company_Explorer!$B$8="All Ghost Labels",$AG1264=Company_Explorer!$B$8)),1,0)</f>
        <v>0</v>
      </c>
    </row>
    <row r="1265" spans="1:35" ht="15" customHeight="1" x14ac:dyDescent="0.3">
      <c r="A1265" s="65" t="s">
        <v>4712</v>
      </c>
      <c r="B1265" s="65" t="s">
        <v>81</v>
      </c>
      <c r="C1265" s="65" t="s">
        <v>4713</v>
      </c>
      <c r="D1265" s="65" t="s">
        <v>126</v>
      </c>
      <c r="E1265" s="65" t="s">
        <v>4714</v>
      </c>
      <c r="F1265" s="65" t="b">
        <f>TRUE()</f>
        <v>1</v>
      </c>
      <c r="G1265" s="65" t="s">
        <v>177</v>
      </c>
      <c r="H1265" s="65" t="s">
        <v>165</v>
      </c>
      <c r="I1265" s="66">
        <v>46210.243624583301</v>
      </c>
      <c r="J1265" s="66">
        <v>46210.282992604203</v>
      </c>
      <c r="K1265" s="65">
        <v>0</v>
      </c>
      <c r="L1265" s="65" t="s">
        <v>183</v>
      </c>
      <c r="M1265" s="65" t="s">
        <v>183</v>
      </c>
      <c r="N1265" s="65" t="b">
        <f>TRUE()</f>
        <v>1</v>
      </c>
      <c r="O1265" s="71">
        <v>50000</v>
      </c>
      <c r="P1265" s="71">
        <v>100000</v>
      </c>
      <c r="Q1265" s="65" t="s">
        <v>3663</v>
      </c>
      <c r="R1265" s="65" t="s">
        <v>3664</v>
      </c>
      <c r="S1265" s="71">
        <v>900000</v>
      </c>
      <c r="T1265" s="65" t="b">
        <f>TRUE()</f>
        <v>1</v>
      </c>
      <c r="U1265" s="65" t="b">
        <f>FALSE()</f>
        <v>0</v>
      </c>
      <c r="V1265" s="65">
        <v>218</v>
      </c>
      <c r="W1265" s="67" t="s">
        <v>4715</v>
      </c>
      <c r="X1265" s="65">
        <v>1</v>
      </c>
      <c r="Y1265" s="68">
        <v>1.75</v>
      </c>
      <c r="Z1265" s="65" t="b">
        <f>FALSE()</f>
        <v>0</v>
      </c>
      <c r="AA1265" s="65" t="b">
        <f>FALSE()</f>
        <v>0</v>
      </c>
      <c r="AB1265" s="65" t="b">
        <f>TRUE()</f>
        <v>1</v>
      </c>
      <c r="AC1265" s="65" t="b">
        <f>FALSE()</f>
        <v>0</v>
      </c>
      <c r="AD1265" s="65" t="b">
        <f>FALSE()</f>
        <v>0</v>
      </c>
      <c r="AE1265" s="65">
        <v>1</v>
      </c>
      <c r="AF1265" s="69">
        <v>14.3</v>
      </c>
      <c r="AG1265" s="65" t="s">
        <v>74</v>
      </c>
      <c r="AH1265" s="65" t="s">
        <v>4716</v>
      </c>
      <c r="AI1265">
        <f>IF(AND(OR(Company_Explorer!$B$5="All Companies",$E1265=Company_Explorer!$B$5),OR(Company_Explorer!$B$6="All Platforms",$B1265=Company_Explorer!$B$6),OR(Company_Explorer!$B$7="All Roles",$D1265=Company_Explorer!$B$7),OR(Company_Explorer!$B$8="All Ghost Labels",$AG1265=Company_Explorer!$B$8)),1,0)</f>
        <v>0</v>
      </c>
    </row>
    <row r="1266" spans="1:35" ht="15" customHeight="1" x14ac:dyDescent="0.3">
      <c r="A1266" s="60" t="s">
        <v>4717</v>
      </c>
      <c r="B1266" s="60" t="s">
        <v>81</v>
      </c>
      <c r="C1266" s="60" t="s">
        <v>4718</v>
      </c>
      <c r="D1266" s="60" t="s">
        <v>126</v>
      </c>
      <c r="E1266" s="60" t="s">
        <v>4719</v>
      </c>
      <c r="F1266" s="60" t="b">
        <f>TRUE()</f>
        <v>1</v>
      </c>
      <c r="G1266" s="60" t="s">
        <v>165</v>
      </c>
      <c r="H1266" s="60" t="s">
        <v>3672</v>
      </c>
      <c r="I1266" s="61">
        <v>46210.240859675898</v>
      </c>
      <c r="J1266" s="61">
        <v>46210.282992939799</v>
      </c>
      <c r="K1266" s="60">
        <v>0</v>
      </c>
      <c r="L1266" s="60" t="s">
        <v>183</v>
      </c>
      <c r="M1266" s="60" t="s">
        <v>183</v>
      </c>
      <c r="N1266" s="60" t="b">
        <f>TRUE()</f>
        <v>1</v>
      </c>
      <c r="O1266" s="70">
        <v>45000</v>
      </c>
      <c r="P1266" s="70">
        <v>50000</v>
      </c>
      <c r="Q1266" s="60" t="s">
        <v>3663</v>
      </c>
      <c r="R1266" s="60" t="s">
        <v>3664</v>
      </c>
      <c r="S1266" s="70">
        <v>570000</v>
      </c>
      <c r="T1266" s="60" t="b">
        <f>TRUE()</f>
        <v>1</v>
      </c>
      <c r="U1266" s="60" t="b">
        <f>FALSE()</f>
        <v>0</v>
      </c>
      <c r="V1266" s="60">
        <v>305</v>
      </c>
      <c r="W1266" s="62" t="s">
        <v>4720</v>
      </c>
      <c r="X1266" s="60">
        <v>1</v>
      </c>
      <c r="Y1266" s="63">
        <v>1.75</v>
      </c>
      <c r="Z1266" s="60" t="b">
        <f>FALSE()</f>
        <v>0</v>
      </c>
      <c r="AA1266" s="60" t="b">
        <f>FALSE()</f>
        <v>0</v>
      </c>
      <c r="AB1266" s="60" t="b">
        <f>FALSE()</f>
        <v>0</v>
      </c>
      <c r="AC1266" s="60" t="b">
        <f>FALSE()</f>
        <v>0</v>
      </c>
      <c r="AD1266" s="60" t="b">
        <f>FALSE()</f>
        <v>0</v>
      </c>
      <c r="AE1266" s="60">
        <v>0</v>
      </c>
      <c r="AF1266" s="64">
        <v>0</v>
      </c>
      <c r="AG1266" s="60" t="s">
        <v>74</v>
      </c>
      <c r="AH1266" s="60" t="s">
        <v>4721</v>
      </c>
      <c r="AI1266">
        <f>IF(AND(OR(Company_Explorer!$B$5="All Companies",$E1266=Company_Explorer!$B$5),OR(Company_Explorer!$B$6="All Platforms",$B1266=Company_Explorer!$B$6),OR(Company_Explorer!$B$7="All Roles",$D1266=Company_Explorer!$B$7),OR(Company_Explorer!$B$8="All Ghost Labels",$AG1266=Company_Explorer!$B$8)),1,0)</f>
        <v>0</v>
      </c>
    </row>
    <row r="1267" spans="1:35" ht="15" customHeight="1" x14ac:dyDescent="0.3">
      <c r="A1267" s="65" t="s">
        <v>4722</v>
      </c>
      <c r="B1267" s="65" t="s">
        <v>81</v>
      </c>
      <c r="C1267" s="65" t="s">
        <v>4723</v>
      </c>
      <c r="D1267" s="65" t="s">
        <v>126</v>
      </c>
      <c r="E1267" s="65" t="s">
        <v>3740</v>
      </c>
      <c r="F1267" s="65" t="b">
        <f>TRUE()</f>
        <v>1</v>
      </c>
      <c r="G1267" s="65" t="s">
        <v>165</v>
      </c>
      <c r="H1267" s="65" t="s">
        <v>3620</v>
      </c>
      <c r="I1267" s="66">
        <v>46209.3774153009</v>
      </c>
      <c r="J1267" s="66">
        <v>46210.283004780104</v>
      </c>
      <c r="K1267" s="65">
        <v>0.9</v>
      </c>
      <c r="L1267" s="65" t="s">
        <v>183</v>
      </c>
      <c r="M1267" s="65" t="s">
        <v>183</v>
      </c>
      <c r="N1267" s="65" t="b">
        <f>FALSE()</f>
        <v>0</v>
      </c>
      <c r="O1267" s="65"/>
      <c r="P1267" s="65"/>
      <c r="Q1267" s="65" t="s">
        <v>236</v>
      </c>
      <c r="R1267" s="65" t="s">
        <v>236</v>
      </c>
      <c r="S1267" s="65"/>
      <c r="T1267" s="65" t="b">
        <f>FALSE()</f>
        <v>0</v>
      </c>
      <c r="U1267" s="65" t="b">
        <f>FALSE()</f>
        <v>0</v>
      </c>
      <c r="V1267" s="65">
        <v>1266</v>
      </c>
      <c r="W1267" s="67" t="s">
        <v>4724</v>
      </c>
      <c r="X1267" s="65">
        <v>5</v>
      </c>
      <c r="Y1267" s="68">
        <v>8.75</v>
      </c>
      <c r="Z1267" s="65" t="b">
        <f>FALSE()</f>
        <v>0</v>
      </c>
      <c r="AA1267" s="65" t="b">
        <f>TRUE()</f>
        <v>1</v>
      </c>
      <c r="AB1267" s="65" t="b">
        <f>FALSE()</f>
        <v>0</v>
      </c>
      <c r="AC1267" s="65" t="b">
        <f>TRUE()</f>
        <v>1</v>
      </c>
      <c r="AD1267" s="65" t="b">
        <f>FALSE()</f>
        <v>0</v>
      </c>
      <c r="AE1267" s="65">
        <v>2</v>
      </c>
      <c r="AF1267" s="69">
        <v>28.6</v>
      </c>
      <c r="AG1267" s="65" t="s">
        <v>73</v>
      </c>
      <c r="AH1267" s="65" t="s">
        <v>4725</v>
      </c>
      <c r="AI1267">
        <f>IF(AND(OR(Company_Explorer!$B$5="All Companies",$E1267=Company_Explorer!$B$5),OR(Company_Explorer!$B$6="All Platforms",$B1267=Company_Explorer!$B$6),OR(Company_Explorer!$B$7="All Roles",$D1267=Company_Explorer!$B$7),OR(Company_Explorer!$B$8="All Ghost Labels",$AG1267=Company_Explorer!$B$8)),1,0)</f>
        <v>0</v>
      </c>
    </row>
    <row r="1268" spans="1:35" ht="15" customHeight="1" x14ac:dyDescent="0.3">
      <c r="A1268" s="60" t="s">
        <v>4726</v>
      </c>
      <c r="B1268" s="60" t="s">
        <v>81</v>
      </c>
      <c r="C1268" s="60" t="s">
        <v>4727</v>
      </c>
      <c r="D1268" s="60" t="s">
        <v>126</v>
      </c>
      <c r="E1268" s="60" t="s">
        <v>153</v>
      </c>
      <c r="F1268" s="60" t="b">
        <f>TRUE()</f>
        <v>1</v>
      </c>
      <c r="G1268" s="60" t="s">
        <v>165</v>
      </c>
      <c r="H1268" s="60" t="s">
        <v>3620</v>
      </c>
      <c r="I1268" s="61">
        <v>46209.377427175903</v>
      </c>
      <c r="J1268" s="61">
        <v>46210.283004884302</v>
      </c>
      <c r="K1268" s="60">
        <v>0.9</v>
      </c>
      <c r="L1268" s="60" t="s">
        <v>183</v>
      </c>
      <c r="M1268" s="60" t="s">
        <v>183</v>
      </c>
      <c r="N1268" s="60" t="b">
        <f>FALSE()</f>
        <v>0</v>
      </c>
      <c r="O1268" s="60"/>
      <c r="P1268" s="60"/>
      <c r="Q1268" s="60" t="s">
        <v>236</v>
      </c>
      <c r="R1268" s="60" t="s">
        <v>236</v>
      </c>
      <c r="S1268" s="60"/>
      <c r="T1268" s="60" t="b">
        <f>FALSE()</f>
        <v>0</v>
      </c>
      <c r="U1268" s="60" t="b">
        <f>FALSE()</f>
        <v>0</v>
      </c>
      <c r="V1268" s="60">
        <v>209</v>
      </c>
      <c r="W1268" s="62" t="s">
        <v>4728</v>
      </c>
      <c r="X1268" s="60">
        <v>12</v>
      </c>
      <c r="Y1268" s="63">
        <v>21</v>
      </c>
      <c r="Z1268" s="60" t="b">
        <f>FALSE()</f>
        <v>0</v>
      </c>
      <c r="AA1268" s="60" t="b">
        <f>TRUE()</f>
        <v>1</v>
      </c>
      <c r="AB1268" s="60" t="b">
        <f>TRUE()</f>
        <v>1</v>
      </c>
      <c r="AC1268" s="60" t="b">
        <f>TRUE()</f>
        <v>1</v>
      </c>
      <c r="AD1268" s="60" t="b">
        <f>FALSE()</f>
        <v>0</v>
      </c>
      <c r="AE1268" s="60">
        <v>3</v>
      </c>
      <c r="AF1268" s="64">
        <v>42.9</v>
      </c>
      <c r="AG1268" s="60" t="s">
        <v>73</v>
      </c>
      <c r="AH1268" s="60" t="s">
        <v>4729</v>
      </c>
      <c r="AI1268">
        <f>IF(AND(OR(Company_Explorer!$B$5="All Companies",$E1268=Company_Explorer!$B$5),OR(Company_Explorer!$B$6="All Platforms",$B1268=Company_Explorer!$B$6),OR(Company_Explorer!$B$7="All Roles",$D1268=Company_Explorer!$B$7),OR(Company_Explorer!$B$8="All Ghost Labels",$AG1268=Company_Explorer!$B$8)),1,0)</f>
        <v>0</v>
      </c>
    </row>
    <row r="1269" spans="1:35" ht="15" customHeight="1" x14ac:dyDescent="0.3">
      <c r="A1269" s="65" t="s">
        <v>4730</v>
      </c>
      <c r="B1269" s="65" t="s">
        <v>81</v>
      </c>
      <c r="C1269" s="65" t="s">
        <v>4731</v>
      </c>
      <c r="D1269" s="65" t="s">
        <v>126</v>
      </c>
      <c r="E1269" s="65" t="s">
        <v>4732</v>
      </c>
      <c r="F1269" s="65" t="b">
        <f>TRUE()</f>
        <v>1</v>
      </c>
      <c r="G1269" s="65" t="s">
        <v>165</v>
      </c>
      <c r="H1269" s="65" t="s">
        <v>3630</v>
      </c>
      <c r="I1269" s="66">
        <v>46209.278714768501</v>
      </c>
      <c r="J1269" s="66">
        <v>46210.283005173602</v>
      </c>
      <c r="K1269" s="65">
        <v>1</v>
      </c>
      <c r="L1269" s="65" t="s">
        <v>183</v>
      </c>
      <c r="M1269" s="65" t="s">
        <v>183</v>
      </c>
      <c r="N1269" s="65" t="b">
        <f>FALSE()</f>
        <v>0</v>
      </c>
      <c r="O1269" s="65"/>
      <c r="P1269" s="65"/>
      <c r="Q1269" s="65" t="s">
        <v>3663</v>
      </c>
      <c r="R1269" s="65" t="s">
        <v>3664</v>
      </c>
      <c r="S1269" s="65"/>
      <c r="T1269" s="65" t="b">
        <f>FALSE()</f>
        <v>0</v>
      </c>
      <c r="U1269" s="65" t="b">
        <f>FALSE()</f>
        <v>0</v>
      </c>
      <c r="V1269" s="65">
        <v>256</v>
      </c>
      <c r="W1269" s="67" t="s">
        <v>4733</v>
      </c>
      <c r="X1269" s="65">
        <v>1</v>
      </c>
      <c r="Y1269" s="68">
        <v>1.75</v>
      </c>
      <c r="Z1269" s="65" t="b">
        <f>FALSE()</f>
        <v>0</v>
      </c>
      <c r="AA1269" s="65" t="b">
        <f>TRUE()</f>
        <v>1</v>
      </c>
      <c r="AB1269" s="65" t="b">
        <f>TRUE()</f>
        <v>1</v>
      </c>
      <c r="AC1269" s="65" t="b">
        <f>TRUE()</f>
        <v>1</v>
      </c>
      <c r="AD1269" s="65" t="b">
        <f>FALSE()</f>
        <v>0</v>
      </c>
      <c r="AE1269" s="65">
        <v>3</v>
      </c>
      <c r="AF1269" s="69">
        <v>42.9</v>
      </c>
      <c r="AG1269" s="65" t="s">
        <v>73</v>
      </c>
      <c r="AH1269" s="65" t="s">
        <v>4734</v>
      </c>
      <c r="AI1269">
        <f>IF(AND(OR(Company_Explorer!$B$5="All Companies",$E1269=Company_Explorer!$B$5),OR(Company_Explorer!$B$6="All Platforms",$B1269=Company_Explorer!$B$6),OR(Company_Explorer!$B$7="All Roles",$D1269=Company_Explorer!$B$7),OR(Company_Explorer!$B$8="All Ghost Labels",$AG1269=Company_Explorer!$B$8)),1,0)</f>
        <v>0</v>
      </c>
    </row>
    <row r="1270" spans="1:35" ht="15" customHeight="1" x14ac:dyDescent="0.3">
      <c r="A1270" s="60" t="s">
        <v>4735</v>
      </c>
      <c r="B1270" s="60" t="s">
        <v>81</v>
      </c>
      <c r="C1270" s="60" t="s">
        <v>3918</v>
      </c>
      <c r="D1270" s="60" t="s">
        <v>126</v>
      </c>
      <c r="E1270" s="60" t="s">
        <v>3919</v>
      </c>
      <c r="F1270" s="60" t="b">
        <f>TRUE()</f>
        <v>1</v>
      </c>
      <c r="G1270" s="60" t="s">
        <v>165</v>
      </c>
      <c r="H1270" s="60" t="s">
        <v>3655</v>
      </c>
      <c r="I1270" s="61">
        <v>46209.382265729197</v>
      </c>
      <c r="J1270" s="61">
        <v>46210.283004965298</v>
      </c>
      <c r="K1270" s="60">
        <v>0.9</v>
      </c>
      <c r="L1270" s="60" t="s">
        <v>183</v>
      </c>
      <c r="M1270" s="60" t="s">
        <v>183</v>
      </c>
      <c r="N1270" s="60" t="b">
        <f>FALSE()</f>
        <v>0</v>
      </c>
      <c r="O1270" s="60"/>
      <c r="P1270" s="60"/>
      <c r="Q1270" s="60" t="s">
        <v>236</v>
      </c>
      <c r="R1270" s="60" t="s">
        <v>236</v>
      </c>
      <c r="S1270" s="60"/>
      <c r="T1270" s="60" t="b">
        <f>FALSE()</f>
        <v>0</v>
      </c>
      <c r="U1270" s="60" t="b">
        <f>FALSE()</f>
        <v>0</v>
      </c>
      <c r="V1270" s="60">
        <v>757</v>
      </c>
      <c r="W1270" s="62" t="s">
        <v>3920</v>
      </c>
      <c r="X1270" s="60">
        <v>2</v>
      </c>
      <c r="Y1270" s="63">
        <v>3.5</v>
      </c>
      <c r="Z1270" s="60" t="b">
        <f>FALSE()</f>
        <v>0</v>
      </c>
      <c r="AA1270" s="60" t="b">
        <f>TRUE()</f>
        <v>1</v>
      </c>
      <c r="AB1270" s="60" t="b">
        <f>FALSE()</f>
        <v>0</v>
      </c>
      <c r="AC1270" s="60" t="b">
        <f>TRUE()</f>
        <v>1</v>
      </c>
      <c r="AD1270" s="60" t="b">
        <f>FALSE()</f>
        <v>0</v>
      </c>
      <c r="AE1270" s="60">
        <v>2</v>
      </c>
      <c r="AF1270" s="64">
        <v>28.6</v>
      </c>
      <c r="AG1270" s="60" t="s">
        <v>73</v>
      </c>
      <c r="AH1270" s="60" t="s">
        <v>4736</v>
      </c>
      <c r="AI1270">
        <f>IF(AND(OR(Company_Explorer!$B$5="All Companies",$E1270=Company_Explorer!$B$5),OR(Company_Explorer!$B$6="All Platforms",$B1270=Company_Explorer!$B$6),OR(Company_Explorer!$B$7="All Roles",$D1270=Company_Explorer!$B$7),OR(Company_Explorer!$B$8="All Ghost Labels",$AG1270=Company_Explorer!$B$8)),1,0)</f>
        <v>0</v>
      </c>
    </row>
    <row r="1271" spans="1:35" ht="15" customHeight="1" x14ac:dyDescent="0.3">
      <c r="A1271" s="65" t="s">
        <v>4737</v>
      </c>
      <c r="B1271" s="65" t="s">
        <v>81</v>
      </c>
      <c r="C1271" s="65" t="s">
        <v>4738</v>
      </c>
      <c r="D1271" s="65" t="s">
        <v>132</v>
      </c>
      <c r="E1271" s="65" t="s">
        <v>2463</v>
      </c>
      <c r="F1271" s="65" t="b">
        <f>TRUE()</f>
        <v>1</v>
      </c>
      <c r="G1271" s="65" t="s">
        <v>165</v>
      </c>
      <c r="H1271" s="65" t="s">
        <v>3620</v>
      </c>
      <c r="I1271" s="66">
        <v>46209.380522430598</v>
      </c>
      <c r="J1271" s="66">
        <v>46210.283004837998</v>
      </c>
      <c r="K1271" s="65">
        <v>0.9</v>
      </c>
      <c r="L1271" s="65" t="s">
        <v>183</v>
      </c>
      <c r="M1271" s="65" t="s">
        <v>183</v>
      </c>
      <c r="N1271" s="65" t="b">
        <f>FALSE()</f>
        <v>0</v>
      </c>
      <c r="O1271" s="65"/>
      <c r="P1271" s="65"/>
      <c r="Q1271" s="65" t="s">
        <v>236</v>
      </c>
      <c r="R1271" s="65" t="s">
        <v>236</v>
      </c>
      <c r="S1271" s="65"/>
      <c r="T1271" s="65" t="b">
        <f>FALSE()</f>
        <v>0</v>
      </c>
      <c r="U1271" s="65" t="b">
        <f>FALSE()</f>
        <v>0</v>
      </c>
      <c r="V1271" s="65">
        <v>939</v>
      </c>
      <c r="W1271" s="65" t="s">
        <v>2464</v>
      </c>
      <c r="X1271" s="65">
        <v>2</v>
      </c>
      <c r="Y1271" s="68">
        <v>3.5</v>
      </c>
      <c r="Z1271" s="65" t="b">
        <f>FALSE()</f>
        <v>0</v>
      </c>
      <c r="AA1271" s="65" t="b">
        <f>TRUE()</f>
        <v>1</v>
      </c>
      <c r="AB1271" s="65" t="b">
        <f>FALSE()</f>
        <v>0</v>
      </c>
      <c r="AC1271" s="65" t="b">
        <f>TRUE()</f>
        <v>1</v>
      </c>
      <c r="AD1271" s="65" t="b">
        <f>FALSE()</f>
        <v>0</v>
      </c>
      <c r="AE1271" s="65">
        <v>2</v>
      </c>
      <c r="AF1271" s="69">
        <v>28.6</v>
      </c>
      <c r="AG1271" s="65" t="s">
        <v>73</v>
      </c>
      <c r="AH1271" s="65" t="s">
        <v>4739</v>
      </c>
      <c r="AI1271">
        <f>IF(AND(OR(Company_Explorer!$B$5="All Companies",$E1271=Company_Explorer!$B$5),OR(Company_Explorer!$B$6="All Platforms",$B1271=Company_Explorer!$B$6),OR(Company_Explorer!$B$7="All Roles",$D1271=Company_Explorer!$B$7),OR(Company_Explorer!$B$8="All Ghost Labels",$AG1271=Company_Explorer!$B$8)),1,0)</f>
        <v>0</v>
      </c>
    </row>
    <row r="1272" spans="1:35" ht="15" customHeight="1" x14ac:dyDescent="0.3">
      <c r="A1272" s="60" t="s">
        <v>4740</v>
      </c>
      <c r="B1272" s="60" t="s">
        <v>81</v>
      </c>
      <c r="C1272" s="60" t="s">
        <v>4741</v>
      </c>
      <c r="D1272" s="60" t="s">
        <v>127</v>
      </c>
      <c r="E1272" s="60" t="s">
        <v>4742</v>
      </c>
      <c r="F1272" s="60" t="b">
        <f>TRUE()</f>
        <v>1</v>
      </c>
      <c r="G1272" s="60" t="s">
        <v>177</v>
      </c>
      <c r="H1272" s="60" t="s">
        <v>165</v>
      </c>
      <c r="I1272" s="61">
        <v>46209.378482499997</v>
      </c>
      <c r="J1272" s="61">
        <v>46210.283005578698</v>
      </c>
      <c r="K1272" s="60">
        <v>0.9</v>
      </c>
      <c r="L1272" s="60" t="s">
        <v>183</v>
      </c>
      <c r="M1272" s="60" t="s">
        <v>183</v>
      </c>
      <c r="N1272" s="60" t="b">
        <f>TRUE()</f>
        <v>1</v>
      </c>
      <c r="O1272" s="70">
        <v>304646.28125</v>
      </c>
      <c r="P1272" s="70">
        <v>1306500.75</v>
      </c>
      <c r="Q1272" s="60" t="s">
        <v>3663</v>
      </c>
      <c r="R1272" s="60" t="s">
        <v>3961</v>
      </c>
      <c r="S1272" s="70">
        <v>805574</v>
      </c>
      <c r="T1272" s="60" t="b">
        <f>TRUE()</f>
        <v>1</v>
      </c>
      <c r="U1272" s="60" t="b">
        <f>FALSE()</f>
        <v>0</v>
      </c>
      <c r="V1272" s="60">
        <v>278</v>
      </c>
      <c r="W1272" s="62" t="s">
        <v>4743</v>
      </c>
      <c r="X1272" s="60">
        <v>1</v>
      </c>
      <c r="Y1272" s="63">
        <v>1.75</v>
      </c>
      <c r="Z1272" s="60" t="b">
        <f>FALSE()</f>
        <v>0</v>
      </c>
      <c r="AA1272" s="60" t="b">
        <f>FALSE()</f>
        <v>0</v>
      </c>
      <c r="AB1272" s="60" t="b">
        <f>TRUE()</f>
        <v>1</v>
      </c>
      <c r="AC1272" s="60" t="b">
        <f>TRUE()</f>
        <v>1</v>
      </c>
      <c r="AD1272" s="60" t="b">
        <f>FALSE()</f>
        <v>0</v>
      </c>
      <c r="AE1272" s="60">
        <v>2</v>
      </c>
      <c r="AF1272" s="64">
        <v>28.6</v>
      </c>
      <c r="AG1272" s="60" t="s">
        <v>73</v>
      </c>
      <c r="AH1272" s="60" t="s">
        <v>4744</v>
      </c>
      <c r="AI1272">
        <f>IF(AND(OR(Company_Explorer!$B$5="All Companies",$E1272=Company_Explorer!$B$5),OR(Company_Explorer!$B$6="All Platforms",$B1272=Company_Explorer!$B$6),OR(Company_Explorer!$B$7="All Roles",$D1272=Company_Explorer!$B$7),OR(Company_Explorer!$B$8="All Ghost Labels",$AG1272=Company_Explorer!$B$8)),1,0)</f>
        <v>0</v>
      </c>
    </row>
    <row r="1273" spans="1:35" ht="15" customHeight="1" x14ac:dyDescent="0.3">
      <c r="A1273" s="65" t="s">
        <v>4745</v>
      </c>
      <c r="B1273" s="65" t="s">
        <v>81</v>
      </c>
      <c r="C1273" s="65" t="s">
        <v>4746</v>
      </c>
      <c r="D1273" s="65" t="s">
        <v>125</v>
      </c>
      <c r="E1273" s="65" t="s">
        <v>142</v>
      </c>
      <c r="F1273" s="65" t="b">
        <f>TRUE()</f>
        <v>1</v>
      </c>
      <c r="G1273" s="65" t="s">
        <v>165</v>
      </c>
      <c r="H1273" s="65" t="s">
        <v>3672</v>
      </c>
      <c r="I1273" s="66">
        <v>46210.0135650347</v>
      </c>
      <c r="J1273" s="66">
        <v>46210.283006817102</v>
      </c>
      <c r="K1273" s="65">
        <v>0.3</v>
      </c>
      <c r="L1273" s="65" t="s">
        <v>183</v>
      </c>
      <c r="M1273" s="65" t="s">
        <v>183</v>
      </c>
      <c r="N1273" s="65" t="b">
        <f>FALSE()</f>
        <v>0</v>
      </c>
      <c r="O1273" s="65"/>
      <c r="P1273" s="65"/>
      <c r="Q1273" s="65" t="s">
        <v>236</v>
      </c>
      <c r="R1273" s="65" t="s">
        <v>236</v>
      </c>
      <c r="S1273" s="65"/>
      <c r="T1273" s="65" t="b">
        <f>FALSE()</f>
        <v>0</v>
      </c>
      <c r="U1273" s="65" t="b">
        <f>FALSE()</f>
        <v>0</v>
      </c>
      <c r="V1273" s="65">
        <v>723</v>
      </c>
      <c r="W1273" s="67" t="s">
        <v>4747</v>
      </c>
      <c r="X1273" s="65">
        <v>81</v>
      </c>
      <c r="Y1273" s="68">
        <v>141.75</v>
      </c>
      <c r="Z1273" s="65" t="b">
        <f>FALSE()</f>
        <v>0</v>
      </c>
      <c r="AA1273" s="65" t="b">
        <f>TRUE()</f>
        <v>1</v>
      </c>
      <c r="AB1273" s="65" t="b">
        <f>FALSE()</f>
        <v>0</v>
      </c>
      <c r="AC1273" s="65" t="b">
        <f>FALSE()</f>
        <v>0</v>
      </c>
      <c r="AD1273" s="65" t="b">
        <f>TRUE()</f>
        <v>1</v>
      </c>
      <c r="AE1273" s="65">
        <v>3</v>
      </c>
      <c r="AF1273" s="69">
        <v>42.9</v>
      </c>
      <c r="AG1273" s="65" t="s">
        <v>73</v>
      </c>
      <c r="AH1273" s="65" t="s">
        <v>4748</v>
      </c>
      <c r="AI1273">
        <f>IF(AND(OR(Company_Explorer!$B$5="All Companies",$E1273=Company_Explorer!$B$5),OR(Company_Explorer!$B$6="All Platforms",$B1273=Company_Explorer!$B$6),OR(Company_Explorer!$B$7="All Roles",$D1273=Company_Explorer!$B$7),OR(Company_Explorer!$B$8="All Ghost Labels",$AG1273=Company_Explorer!$B$8)),1,0)</f>
        <v>0</v>
      </c>
    </row>
    <row r="1274" spans="1:35" ht="15" customHeight="1" x14ac:dyDescent="0.3">
      <c r="A1274" s="60" t="s">
        <v>4749</v>
      </c>
      <c r="B1274" s="60" t="s">
        <v>81</v>
      </c>
      <c r="C1274" s="60" t="s">
        <v>4750</v>
      </c>
      <c r="D1274" s="60" t="s">
        <v>125</v>
      </c>
      <c r="E1274" s="60" t="s">
        <v>142</v>
      </c>
      <c r="F1274" s="60" t="b">
        <f>TRUE()</f>
        <v>1</v>
      </c>
      <c r="G1274" s="60" t="s">
        <v>165</v>
      </c>
      <c r="H1274" s="60" t="s">
        <v>3636</v>
      </c>
      <c r="I1274" s="61">
        <v>46210.013572708303</v>
      </c>
      <c r="J1274" s="61">
        <v>46210.283006782403</v>
      </c>
      <c r="K1274" s="60">
        <v>0.3</v>
      </c>
      <c r="L1274" s="60" t="s">
        <v>183</v>
      </c>
      <c r="M1274" s="60" t="s">
        <v>183</v>
      </c>
      <c r="N1274" s="60" t="b">
        <f>FALSE()</f>
        <v>0</v>
      </c>
      <c r="O1274" s="60"/>
      <c r="P1274" s="60"/>
      <c r="Q1274" s="60" t="s">
        <v>236</v>
      </c>
      <c r="R1274" s="60" t="s">
        <v>236</v>
      </c>
      <c r="S1274" s="60"/>
      <c r="T1274" s="60" t="b">
        <f>FALSE()</f>
        <v>0</v>
      </c>
      <c r="U1274" s="60" t="b">
        <f>FALSE()</f>
        <v>0</v>
      </c>
      <c r="V1274" s="60">
        <v>380</v>
      </c>
      <c r="W1274" s="62" t="s">
        <v>4751</v>
      </c>
      <c r="X1274" s="60">
        <v>81</v>
      </c>
      <c r="Y1274" s="63">
        <v>141.75</v>
      </c>
      <c r="Z1274" s="60" t="b">
        <f>FALSE()</f>
        <v>0</v>
      </c>
      <c r="AA1274" s="60" t="b">
        <f>TRUE()</f>
        <v>1</v>
      </c>
      <c r="AB1274" s="60" t="b">
        <f>FALSE()</f>
        <v>0</v>
      </c>
      <c r="AC1274" s="60" t="b">
        <f>FALSE()</f>
        <v>0</v>
      </c>
      <c r="AD1274" s="60" t="b">
        <f>TRUE()</f>
        <v>1</v>
      </c>
      <c r="AE1274" s="60">
        <v>3</v>
      </c>
      <c r="AF1274" s="64">
        <v>42.9</v>
      </c>
      <c r="AG1274" s="60" t="s">
        <v>73</v>
      </c>
      <c r="AH1274" s="60" t="s">
        <v>4752</v>
      </c>
      <c r="AI1274">
        <f>IF(AND(OR(Company_Explorer!$B$5="All Companies",$E1274=Company_Explorer!$B$5),OR(Company_Explorer!$B$6="All Platforms",$B1274=Company_Explorer!$B$6),OR(Company_Explorer!$B$7="All Roles",$D1274=Company_Explorer!$B$7),OR(Company_Explorer!$B$8="All Ghost Labels",$AG1274=Company_Explorer!$B$8)),1,0)</f>
        <v>0</v>
      </c>
    </row>
    <row r="1275" spans="1:35" ht="15" customHeight="1" x14ac:dyDescent="0.3">
      <c r="A1275" s="65" t="s">
        <v>4753</v>
      </c>
      <c r="B1275" s="65" t="s">
        <v>81</v>
      </c>
      <c r="C1275" s="65" t="s">
        <v>4750</v>
      </c>
      <c r="D1275" s="65" t="s">
        <v>125</v>
      </c>
      <c r="E1275" s="65" t="s">
        <v>142</v>
      </c>
      <c r="F1275" s="65" t="b">
        <f>TRUE()</f>
        <v>1</v>
      </c>
      <c r="G1275" s="65" t="s">
        <v>165</v>
      </c>
      <c r="H1275" s="65" t="s">
        <v>3636</v>
      </c>
      <c r="I1275" s="66">
        <v>46210.013567395799</v>
      </c>
      <c r="J1275" s="66">
        <v>46210.283006840298</v>
      </c>
      <c r="K1275" s="65">
        <v>0.3</v>
      </c>
      <c r="L1275" s="65" t="s">
        <v>183</v>
      </c>
      <c r="M1275" s="65" t="s">
        <v>183</v>
      </c>
      <c r="N1275" s="65" t="b">
        <f>FALSE()</f>
        <v>0</v>
      </c>
      <c r="O1275" s="65"/>
      <c r="P1275" s="65"/>
      <c r="Q1275" s="65" t="s">
        <v>236</v>
      </c>
      <c r="R1275" s="65" t="s">
        <v>236</v>
      </c>
      <c r="S1275" s="65"/>
      <c r="T1275" s="65" t="b">
        <f>FALSE()</f>
        <v>0</v>
      </c>
      <c r="U1275" s="65" t="b">
        <f>FALSE()</f>
        <v>0</v>
      </c>
      <c r="V1275" s="65">
        <v>380</v>
      </c>
      <c r="W1275" s="67" t="s">
        <v>4751</v>
      </c>
      <c r="X1275" s="65">
        <v>81</v>
      </c>
      <c r="Y1275" s="68">
        <v>141.75</v>
      </c>
      <c r="Z1275" s="65" t="b">
        <f>FALSE()</f>
        <v>0</v>
      </c>
      <c r="AA1275" s="65" t="b">
        <f>TRUE()</f>
        <v>1</v>
      </c>
      <c r="AB1275" s="65" t="b">
        <f>FALSE()</f>
        <v>0</v>
      </c>
      <c r="AC1275" s="65" t="b">
        <f>FALSE()</f>
        <v>0</v>
      </c>
      <c r="AD1275" s="65" t="b">
        <f>TRUE()</f>
        <v>1</v>
      </c>
      <c r="AE1275" s="65">
        <v>3</v>
      </c>
      <c r="AF1275" s="69">
        <v>42.9</v>
      </c>
      <c r="AG1275" s="65" t="s">
        <v>73</v>
      </c>
      <c r="AH1275" s="65" t="s">
        <v>4754</v>
      </c>
      <c r="AI1275">
        <f>IF(AND(OR(Company_Explorer!$B$5="All Companies",$E1275=Company_Explorer!$B$5),OR(Company_Explorer!$B$6="All Platforms",$B1275=Company_Explorer!$B$6),OR(Company_Explorer!$B$7="All Roles",$D1275=Company_Explorer!$B$7),OR(Company_Explorer!$B$8="All Ghost Labels",$AG1275=Company_Explorer!$B$8)),1,0)</f>
        <v>0</v>
      </c>
    </row>
    <row r="1276" spans="1:35" ht="15" customHeight="1" x14ac:dyDescent="0.3">
      <c r="A1276" s="60" t="s">
        <v>4755</v>
      </c>
      <c r="B1276" s="60" t="s">
        <v>81</v>
      </c>
      <c r="C1276" s="60" t="s">
        <v>4756</v>
      </c>
      <c r="D1276" s="60" t="s">
        <v>125</v>
      </c>
      <c r="E1276" s="60" t="s">
        <v>142</v>
      </c>
      <c r="F1276" s="60" t="b">
        <f>TRUE()</f>
        <v>1</v>
      </c>
      <c r="G1276" s="60" t="s">
        <v>165</v>
      </c>
      <c r="H1276" s="60" t="s">
        <v>3672</v>
      </c>
      <c r="I1276" s="61">
        <v>46210.013570080999</v>
      </c>
      <c r="J1276" s="61">
        <v>46210.283006909704</v>
      </c>
      <c r="K1276" s="60">
        <v>0.3</v>
      </c>
      <c r="L1276" s="60" t="s">
        <v>183</v>
      </c>
      <c r="M1276" s="60" t="s">
        <v>183</v>
      </c>
      <c r="N1276" s="60" t="b">
        <f>FALSE()</f>
        <v>0</v>
      </c>
      <c r="O1276" s="60"/>
      <c r="P1276" s="60"/>
      <c r="Q1276" s="60" t="s">
        <v>236</v>
      </c>
      <c r="R1276" s="60" t="s">
        <v>236</v>
      </c>
      <c r="S1276" s="60"/>
      <c r="T1276" s="60" t="b">
        <f>FALSE()</f>
        <v>0</v>
      </c>
      <c r="U1276" s="60" t="b">
        <f>FALSE()</f>
        <v>0</v>
      </c>
      <c r="V1276" s="60">
        <v>591</v>
      </c>
      <c r="W1276" s="62" t="s">
        <v>4757</v>
      </c>
      <c r="X1276" s="60">
        <v>81</v>
      </c>
      <c r="Y1276" s="63">
        <v>141.75</v>
      </c>
      <c r="Z1276" s="60" t="b">
        <f>FALSE()</f>
        <v>0</v>
      </c>
      <c r="AA1276" s="60" t="b">
        <f>TRUE()</f>
        <v>1</v>
      </c>
      <c r="AB1276" s="60" t="b">
        <f>FALSE()</f>
        <v>0</v>
      </c>
      <c r="AC1276" s="60" t="b">
        <f>FALSE()</f>
        <v>0</v>
      </c>
      <c r="AD1276" s="60" t="b">
        <f>TRUE()</f>
        <v>1</v>
      </c>
      <c r="AE1276" s="60">
        <v>3</v>
      </c>
      <c r="AF1276" s="64">
        <v>42.9</v>
      </c>
      <c r="AG1276" s="60" t="s">
        <v>73</v>
      </c>
      <c r="AH1276" s="60" t="s">
        <v>4758</v>
      </c>
      <c r="AI1276">
        <f>IF(AND(OR(Company_Explorer!$B$5="All Companies",$E1276=Company_Explorer!$B$5),OR(Company_Explorer!$B$6="All Platforms",$B1276=Company_Explorer!$B$6),OR(Company_Explorer!$B$7="All Roles",$D1276=Company_Explorer!$B$7),OR(Company_Explorer!$B$8="All Ghost Labels",$AG1276=Company_Explorer!$B$8)),1,0)</f>
        <v>0</v>
      </c>
    </row>
    <row r="1277" spans="1:35" ht="15" customHeight="1" x14ac:dyDescent="0.3">
      <c r="A1277" s="65" t="s">
        <v>4759</v>
      </c>
      <c r="B1277" s="65" t="s">
        <v>81</v>
      </c>
      <c r="C1277" s="65" t="s">
        <v>4746</v>
      </c>
      <c r="D1277" s="65" t="s">
        <v>125</v>
      </c>
      <c r="E1277" s="65" t="s">
        <v>142</v>
      </c>
      <c r="F1277" s="65" t="b">
        <f>TRUE()</f>
        <v>1</v>
      </c>
      <c r="G1277" s="65" t="s">
        <v>165</v>
      </c>
      <c r="H1277" s="65" t="s">
        <v>3636</v>
      </c>
      <c r="I1277" s="66">
        <v>46210.013589652801</v>
      </c>
      <c r="J1277" s="66">
        <v>46210.283006956</v>
      </c>
      <c r="K1277" s="65">
        <v>0.3</v>
      </c>
      <c r="L1277" s="65" t="s">
        <v>183</v>
      </c>
      <c r="M1277" s="65" t="s">
        <v>183</v>
      </c>
      <c r="N1277" s="65" t="b">
        <f>FALSE()</f>
        <v>0</v>
      </c>
      <c r="O1277" s="65"/>
      <c r="P1277" s="65"/>
      <c r="Q1277" s="65" t="s">
        <v>236</v>
      </c>
      <c r="R1277" s="65" t="s">
        <v>236</v>
      </c>
      <c r="S1277" s="65"/>
      <c r="T1277" s="65" t="b">
        <f>FALSE()</f>
        <v>0</v>
      </c>
      <c r="U1277" s="65" t="b">
        <f>FALSE()</f>
        <v>0</v>
      </c>
      <c r="V1277" s="65">
        <v>724</v>
      </c>
      <c r="W1277" s="67" t="s">
        <v>4747</v>
      </c>
      <c r="X1277" s="65">
        <v>81</v>
      </c>
      <c r="Y1277" s="68">
        <v>141.75</v>
      </c>
      <c r="Z1277" s="65" t="b">
        <f>FALSE()</f>
        <v>0</v>
      </c>
      <c r="AA1277" s="65" t="b">
        <f>TRUE()</f>
        <v>1</v>
      </c>
      <c r="AB1277" s="65" t="b">
        <f>FALSE()</f>
        <v>0</v>
      </c>
      <c r="AC1277" s="65" t="b">
        <f>FALSE()</f>
        <v>0</v>
      </c>
      <c r="AD1277" s="65" t="b">
        <f>TRUE()</f>
        <v>1</v>
      </c>
      <c r="AE1277" s="65">
        <v>3</v>
      </c>
      <c r="AF1277" s="69">
        <v>42.9</v>
      </c>
      <c r="AG1277" s="65" t="s">
        <v>73</v>
      </c>
      <c r="AH1277" s="65" t="s">
        <v>4760</v>
      </c>
      <c r="AI1277">
        <f>IF(AND(OR(Company_Explorer!$B$5="All Companies",$E1277=Company_Explorer!$B$5),OR(Company_Explorer!$B$6="All Platforms",$B1277=Company_Explorer!$B$6),OR(Company_Explorer!$B$7="All Roles",$D1277=Company_Explorer!$B$7),OR(Company_Explorer!$B$8="All Ghost Labels",$AG1277=Company_Explorer!$B$8)),1,0)</f>
        <v>0</v>
      </c>
    </row>
    <row r="1278" spans="1:35" ht="15" customHeight="1" x14ac:dyDescent="0.3">
      <c r="A1278" s="60" t="s">
        <v>4761</v>
      </c>
      <c r="B1278" s="60" t="s">
        <v>81</v>
      </c>
      <c r="C1278" s="60" t="s">
        <v>4750</v>
      </c>
      <c r="D1278" s="60" t="s">
        <v>125</v>
      </c>
      <c r="E1278" s="60" t="s">
        <v>142</v>
      </c>
      <c r="F1278" s="60" t="b">
        <f>TRUE()</f>
        <v>1</v>
      </c>
      <c r="G1278" s="60" t="s">
        <v>165</v>
      </c>
      <c r="H1278" s="60" t="s">
        <v>3636</v>
      </c>
      <c r="I1278" s="61">
        <v>46210.013564398199</v>
      </c>
      <c r="J1278" s="61">
        <v>46210.283006886602</v>
      </c>
      <c r="K1278" s="60">
        <v>0.3</v>
      </c>
      <c r="L1278" s="60" t="s">
        <v>183</v>
      </c>
      <c r="M1278" s="60" t="s">
        <v>183</v>
      </c>
      <c r="N1278" s="60" t="b">
        <f>FALSE()</f>
        <v>0</v>
      </c>
      <c r="O1278" s="60"/>
      <c r="P1278" s="60"/>
      <c r="Q1278" s="60" t="s">
        <v>236</v>
      </c>
      <c r="R1278" s="60" t="s">
        <v>236</v>
      </c>
      <c r="S1278" s="60"/>
      <c r="T1278" s="60" t="b">
        <f>FALSE()</f>
        <v>0</v>
      </c>
      <c r="U1278" s="60" t="b">
        <f>FALSE()</f>
        <v>0</v>
      </c>
      <c r="V1278" s="60">
        <v>380</v>
      </c>
      <c r="W1278" s="62" t="s">
        <v>4751</v>
      </c>
      <c r="X1278" s="60">
        <v>81</v>
      </c>
      <c r="Y1278" s="63">
        <v>141.75</v>
      </c>
      <c r="Z1278" s="60" t="b">
        <f>FALSE()</f>
        <v>0</v>
      </c>
      <c r="AA1278" s="60" t="b">
        <f>TRUE()</f>
        <v>1</v>
      </c>
      <c r="AB1278" s="60" t="b">
        <f>FALSE()</f>
        <v>0</v>
      </c>
      <c r="AC1278" s="60" t="b">
        <f>FALSE()</f>
        <v>0</v>
      </c>
      <c r="AD1278" s="60" t="b">
        <f>TRUE()</f>
        <v>1</v>
      </c>
      <c r="AE1278" s="60">
        <v>3</v>
      </c>
      <c r="AF1278" s="64">
        <v>42.9</v>
      </c>
      <c r="AG1278" s="60" t="s">
        <v>73</v>
      </c>
      <c r="AH1278" s="60" t="s">
        <v>4762</v>
      </c>
      <c r="AI1278">
        <f>IF(AND(OR(Company_Explorer!$B$5="All Companies",$E1278=Company_Explorer!$B$5),OR(Company_Explorer!$B$6="All Platforms",$B1278=Company_Explorer!$B$6),OR(Company_Explorer!$B$7="All Roles",$D1278=Company_Explorer!$B$7),OR(Company_Explorer!$B$8="All Ghost Labels",$AG1278=Company_Explorer!$B$8)),1,0)</f>
        <v>0</v>
      </c>
    </row>
    <row r="1279" spans="1:35" ht="15" customHeight="1" x14ac:dyDescent="0.3">
      <c r="A1279" s="65" t="s">
        <v>4763</v>
      </c>
      <c r="B1279" s="65" t="s">
        <v>81</v>
      </c>
      <c r="C1279" s="65" t="s">
        <v>4746</v>
      </c>
      <c r="D1279" s="65" t="s">
        <v>125</v>
      </c>
      <c r="E1279" s="65" t="s">
        <v>142</v>
      </c>
      <c r="F1279" s="65" t="b">
        <f>TRUE()</f>
        <v>1</v>
      </c>
      <c r="G1279" s="65" t="s">
        <v>165</v>
      </c>
      <c r="H1279" s="65" t="s">
        <v>3636</v>
      </c>
      <c r="I1279" s="66">
        <v>46210.013565833302</v>
      </c>
      <c r="J1279" s="66">
        <v>46210.2830069907</v>
      </c>
      <c r="K1279" s="65">
        <v>0.3</v>
      </c>
      <c r="L1279" s="65" t="s">
        <v>183</v>
      </c>
      <c r="M1279" s="65" t="s">
        <v>183</v>
      </c>
      <c r="N1279" s="65" t="b">
        <f>FALSE()</f>
        <v>0</v>
      </c>
      <c r="O1279" s="65"/>
      <c r="P1279" s="65"/>
      <c r="Q1279" s="65" t="s">
        <v>236</v>
      </c>
      <c r="R1279" s="65" t="s">
        <v>236</v>
      </c>
      <c r="S1279" s="65"/>
      <c r="T1279" s="65" t="b">
        <f>FALSE()</f>
        <v>0</v>
      </c>
      <c r="U1279" s="65" t="b">
        <f>FALSE()</f>
        <v>0</v>
      </c>
      <c r="V1279" s="65">
        <v>724</v>
      </c>
      <c r="W1279" s="67" t="s">
        <v>4747</v>
      </c>
      <c r="X1279" s="65">
        <v>81</v>
      </c>
      <c r="Y1279" s="68">
        <v>141.75</v>
      </c>
      <c r="Z1279" s="65" t="b">
        <f>FALSE()</f>
        <v>0</v>
      </c>
      <c r="AA1279" s="65" t="b">
        <f>TRUE()</f>
        <v>1</v>
      </c>
      <c r="AB1279" s="65" t="b">
        <f>FALSE()</f>
        <v>0</v>
      </c>
      <c r="AC1279" s="65" t="b">
        <f>FALSE()</f>
        <v>0</v>
      </c>
      <c r="AD1279" s="65" t="b">
        <f>TRUE()</f>
        <v>1</v>
      </c>
      <c r="AE1279" s="65">
        <v>3</v>
      </c>
      <c r="AF1279" s="69">
        <v>42.9</v>
      </c>
      <c r="AG1279" s="65" t="s">
        <v>73</v>
      </c>
      <c r="AH1279" s="65" t="s">
        <v>4764</v>
      </c>
      <c r="AI1279">
        <f>IF(AND(OR(Company_Explorer!$B$5="All Companies",$E1279=Company_Explorer!$B$5),OR(Company_Explorer!$B$6="All Platforms",$B1279=Company_Explorer!$B$6),OR(Company_Explorer!$B$7="All Roles",$D1279=Company_Explorer!$B$7),OR(Company_Explorer!$B$8="All Ghost Labels",$AG1279=Company_Explorer!$B$8)),1,0)</f>
        <v>0</v>
      </c>
    </row>
    <row r="1280" spans="1:35" ht="15" customHeight="1" x14ac:dyDescent="0.3">
      <c r="A1280" s="60" t="s">
        <v>4765</v>
      </c>
      <c r="B1280" s="60" t="s">
        <v>81</v>
      </c>
      <c r="C1280" s="60" t="s">
        <v>4750</v>
      </c>
      <c r="D1280" s="60" t="s">
        <v>125</v>
      </c>
      <c r="E1280" s="60" t="s">
        <v>142</v>
      </c>
      <c r="F1280" s="60" t="b">
        <f>TRUE()</f>
        <v>1</v>
      </c>
      <c r="G1280" s="60" t="s">
        <v>165</v>
      </c>
      <c r="H1280" s="60" t="s">
        <v>3636</v>
      </c>
      <c r="I1280" s="61">
        <v>46210.013569838004</v>
      </c>
      <c r="J1280" s="61">
        <v>46210.283007731501</v>
      </c>
      <c r="K1280" s="60">
        <v>0.3</v>
      </c>
      <c r="L1280" s="60" t="s">
        <v>183</v>
      </c>
      <c r="M1280" s="60" t="s">
        <v>183</v>
      </c>
      <c r="N1280" s="60" t="b">
        <f>FALSE()</f>
        <v>0</v>
      </c>
      <c r="O1280" s="60"/>
      <c r="P1280" s="60"/>
      <c r="Q1280" s="60" t="s">
        <v>236</v>
      </c>
      <c r="R1280" s="60" t="s">
        <v>236</v>
      </c>
      <c r="S1280" s="60"/>
      <c r="T1280" s="60" t="b">
        <f>FALSE()</f>
        <v>0</v>
      </c>
      <c r="U1280" s="60" t="b">
        <f>FALSE()</f>
        <v>0</v>
      </c>
      <c r="V1280" s="60">
        <v>380</v>
      </c>
      <c r="W1280" s="62" t="s">
        <v>4751</v>
      </c>
      <c r="X1280" s="60">
        <v>81</v>
      </c>
      <c r="Y1280" s="63">
        <v>141.75</v>
      </c>
      <c r="Z1280" s="60" t="b">
        <f>FALSE()</f>
        <v>0</v>
      </c>
      <c r="AA1280" s="60" t="b">
        <f>TRUE()</f>
        <v>1</v>
      </c>
      <c r="AB1280" s="60" t="b">
        <f>FALSE()</f>
        <v>0</v>
      </c>
      <c r="AC1280" s="60" t="b">
        <f>FALSE()</f>
        <v>0</v>
      </c>
      <c r="AD1280" s="60" t="b">
        <f>TRUE()</f>
        <v>1</v>
      </c>
      <c r="AE1280" s="60">
        <v>3</v>
      </c>
      <c r="AF1280" s="64">
        <v>42.9</v>
      </c>
      <c r="AG1280" s="60" t="s">
        <v>73</v>
      </c>
      <c r="AH1280" s="60" t="s">
        <v>4766</v>
      </c>
      <c r="AI1280">
        <f>IF(AND(OR(Company_Explorer!$B$5="All Companies",$E1280=Company_Explorer!$B$5),OR(Company_Explorer!$B$6="All Platforms",$B1280=Company_Explorer!$B$6),OR(Company_Explorer!$B$7="All Roles",$D1280=Company_Explorer!$B$7),OR(Company_Explorer!$B$8="All Ghost Labels",$AG1280=Company_Explorer!$B$8)),1,0)</f>
        <v>0</v>
      </c>
    </row>
    <row r="1281" spans="1:35" ht="15" customHeight="1" x14ac:dyDescent="0.3">
      <c r="A1281" s="65" t="s">
        <v>4767</v>
      </c>
      <c r="B1281" s="65" t="s">
        <v>81</v>
      </c>
      <c r="C1281" s="65" t="s">
        <v>4750</v>
      </c>
      <c r="D1281" s="65" t="s">
        <v>125</v>
      </c>
      <c r="E1281" s="65" t="s">
        <v>142</v>
      </c>
      <c r="F1281" s="65" t="b">
        <f>TRUE()</f>
        <v>1</v>
      </c>
      <c r="G1281" s="65" t="s">
        <v>165</v>
      </c>
      <c r="H1281" s="65" t="s">
        <v>3636</v>
      </c>
      <c r="I1281" s="66">
        <v>46210.013566921298</v>
      </c>
      <c r="J1281" s="66">
        <v>46210.283007789403</v>
      </c>
      <c r="K1281" s="65">
        <v>0.3</v>
      </c>
      <c r="L1281" s="65" t="s">
        <v>183</v>
      </c>
      <c r="M1281" s="65" t="s">
        <v>183</v>
      </c>
      <c r="N1281" s="65" t="b">
        <f>FALSE()</f>
        <v>0</v>
      </c>
      <c r="O1281" s="65"/>
      <c r="P1281" s="65"/>
      <c r="Q1281" s="65" t="s">
        <v>236</v>
      </c>
      <c r="R1281" s="65" t="s">
        <v>236</v>
      </c>
      <c r="S1281" s="65"/>
      <c r="T1281" s="65" t="b">
        <f>FALSE()</f>
        <v>0</v>
      </c>
      <c r="U1281" s="65" t="b">
        <f>FALSE()</f>
        <v>0</v>
      </c>
      <c r="V1281" s="65">
        <v>380</v>
      </c>
      <c r="W1281" s="67" t="s">
        <v>4751</v>
      </c>
      <c r="X1281" s="65">
        <v>81</v>
      </c>
      <c r="Y1281" s="68">
        <v>141.75</v>
      </c>
      <c r="Z1281" s="65" t="b">
        <f>FALSE()</f>
        <v>0</v>
      </c>
      <c r="AA1281" s="65" t="b">
        <f>TRUE()</f>
        <v>1</v>
      </c>
      <c r="AB1281" s="65" t="b">
        <f>FALSE()</f>
        <v>0</v>
      </c>
      <c r="AC1281" s="65" t="b">
        <f>FALSE()</f>
        <v>0</v>
      </c>
      <c r="AD1281" s="65" t="b">
        <f>TRUE()</f>
        <v>1</v>
      </c>
      <c r="AE1281" s="65">
        <v>3</v>
      </c>
      <c r="AF1281" s="69">
        <v>42.9</v>
      </c>
      <c r="AG1281" s="65" t="s">
        <v>73</v>
      </c>
      <c r="AH1281" s="65" t="s">
        <v>4768</v>
      </c>
      <c r="AI1281">
        <f>IF(AND(OR(Company_Explorer!$B$5="All Companies",$E1281=Company_Explorer!$B$5),OR(Company_Explorer!$B$6="All Platforms",$B1281=Company_Explorer!$B$6),OR(Company_Explorer!$B$7="All Roles",$D1281=Company_Explorer!$B$7),OR(Company_Explorer!$B$8="All Ghost Labels",$AG1281=Company_Explorer!$B$8)),1,0)</f>
        <v>0</v>
      </c>
    </row>
    <row r="1282" spans="1:35" ht="15" customHeight="1" x14ac:dyDescent="0.3">
      <c r="A1282" s="60" t="s">
        <v>4769</v>
      </c>
      <c r="B1282" s="60" t="s">
        <v>81</v>
      </c>
      <c r="C1282" s="60" t="s">
        <v>4750</v>
      </c>
      <c r="D1282" s="60" t="s">
        <v>125</v>
      </c>
      <c r="E1282" s="60" t="s">
        <v>142</v>
      </c>
      <c r="F1282" s="60" t="b">
        <f>TRUE()</f>
        <v>1</v>
      </c>
      <c r="G1282" s="60" t="s">
        <v>165</v>
      </c>
      <c r="H1282" s="60" t="s">
        <v>3636</v>
      </c>
      <c r="I1282" s="61">
        <v>46210.013569791699</v>
      </c>
      <c r="J1282" s="61">
        <v>46210.2830078357</v>
      </c>
      <c r="K1282" s="60">
        <v>0.3</v>
      </c>
      <c r="L1282" s="60" t="s">
        <v>183</v>
      </c>
      <c r="M1282" s="60" t="s">
        <v>183</v>
      </c>
      <c r="N1282" s="60" t="b">
        <f>FALSE()</f>
        <v>0</v>
      </c>
      <c r="O1282" s="60"/>
      <c r="P1282" s="60"/>
      <c r="Q1282" s="60" t="s">
        <v>236</v>
      </c>
      <c r="R1282" s="60" t="s">
        <v>236</v>
      </c>
      <c r="S1282" s="60"/>
      <c r="T1282" s="60" t="b">
        <f>FALSE()</f>
        <v>0</v>
      </c>
      <c r="U1282" s="60" t="b">
        <f>FALSE()</f>
        <v>0</v>
      </c>
      <c r="V1282" s="60">
        <v>380</v>
      </c>
      <c r="W1282" s="62" t="s">
        <v>4751</v>
      </c>
      <c r="X1282" s="60">
        <v>81</v>
      </c>
      <c r="Y1282" s="63">
        <v>141.75</v>
      </c>
      <c r="Z1282" s="60" t="b">
        <f>FALSE()</f>
        <v>0</v>
      </c>
      <c r="AA1282" s="60" t="b">
        <f>TRUE()</f>
        <v>1</v>
      </c>
      <c r="AB1282" s="60" t="b">
        <f>FALSE()</f>
        <v>0</v>
      </c>
      <c r="AC1282" s="60" t="b">
        <f>FALSE()</f>
        <v>0</v>
      </c>
      <c r="AD1282" s="60" t="b">
        <f>TRUE()</f>
        <v>1</v>
      </c>
      <c r="AE1282" s="60">
        <v>3</v>
      </c>
      <c r="AF1282" s="64">
        <v>42.9</v>
      </c>
      <c r="AG1282" s="60" t="s">
        <v>73</v>
      </c>
      <c r="AH1282" s="60" t="s">
        <v>4770</v>
      </c>
      <c r="AI1282">
        <f>IF(AND(OR(Company_Explorer!$B$5="All Companies",$E1282=Company_Explorer!$B$5),OR(Company_Explorer!$B$6="All Platforms",$B1282=Company_Explorer!$B$6),OR(Company_Explorer!$B$7="All Roles",$D1282=Company_Explorer!$B$7),OR(Company_Explorer!$B$8="All Ghost Labels",$AG1282=Company_Explorer!$B$8)),1,0)</f>
        <v>0</v>
      </c>
    </row>
    <row r="1283" spans="1:35" ht="15" customHeight="1" x14ac:dyDescent="0.3">
      <c r="A1283" s="65" t="s">
        <v>4771</v>
      </c>
      <c r="B1283" s="65" t="s">
        <v>81</v>
      </c>
      <c r="C1283" s="65" t="s">
        <v>258</v>
      </c>
      <c r="D1283" s="65" t="s">
        <v>125</v>
      </c>
      <c r="E1283" s="65" t="s">
        <v>143</v>
      </c>
      <c r="F1283" s="65" t="b">
        <f>TRUE()</f>
        <v>1</v>
      </c>
      <c r="G1283" s="65" t="s">
        <v>165</v>
      </c>
      <c r="H1283" s="65" t="s">
        <v>3620</v>
      </c>
      <c r="I1283" s="66">
        <v>46210.053205138902</v>
      </c>
      <c r="J1283" s="66">
        <v>46210.283007881997</v>
      </c>
      <c r="K1283" s="65">
        <v>0.2</v>
      </c>
      <c r="L1283" s="65" t="s">
        <v>183</v>
      </c>
      <c r="M1283" s="65" t="s">
        <v>183</v>
      </c>
      <c r="N1283" s="65" t="b">
        <f>FALSE()</f>
        <v>0</v>
      </c>
      <c r="O1283" s="65"/>
      <c r="P1283" s="65"/>
      <c r="Q1283" s="65" t="s">
        <v>236</v>
      </c>
      <c r="R1283" s="65" t="s">
        <v>236</v>
      </c>
      <c r="S1283" s="65"/>
      <c r="T1283" s="65" t="b">
        <f>FALSE()</f>
        <v>0</v>
      </c>
      <c r="U1283" s="65" t="b">
        <f>FALSE()</f>
        <v>0</v>
      </c>
      <c r="V1283" s="65">
        <v>438</v>
      </c>
      <c r="W1283" s="67" t="s">
        <v>4514</v>
      </c>
      <c r="X1283" s="65">
        <v>64</v>
      </c>
      <c r="Y1283" s="68">
        <v>112</v>
      </c>
      <c r="Z1283" s="65" t="b">
        <f>FALSE()</f>
        <v>0</v>
      </c>
      <c r="AA1283" s="65" t="b">
        <f>TRUE()</f>
        <v>1</v>
      </c>
      <c r="AB1283" s="65" t="b">
        <f>FALSE()</f>
        <v>0</v>
      </c>
      <c r="AC1283" s="65" t="b">
        <f>FALSE()</f>
        <v>0</v>
      </c>
      <c r="AD1283" s="65" t="b">
        <f>TRUE()</f>
        <v>1</v>
      </c>
      <c r="AE1283" s="65">
        <v>3</v>
      </c>
      <c r="AF1283" s="69">
        <v>42.9</v>
      </c>
      <c r="AG1283" s="65" t="s">
        <v>73</v>
      </c>
      <c r="AH1283" s="65" t="s">
        <v>4772</v>
      </c>
      <c r="AI1283">
        <f>IF(AND(OR(Company_Explorer!$B$5="All Companies",$E1283=Company_Explorer!$B$5),OR(Company_Explorer!$B$6="All Platforms",$B1283=Company_Explorer!$B$6),OR(Company_Explorer!$B$7="All Roles",$D1283=Company_Explorer!$B$7),OR(Company_Explorer!$B$8="All Ghost Labels",$AG1283=Company_Explorer!$B$8)),1,0)</f>
        <v>0</v>
      </c>
    </row>
    <row r="1284" spans="1:35" ht="15" customHeight="1" x14ac:dyDescent="0.3">
      <c r="A1284" s="60" t="s">
        <v>4773</v>
      </c>
      <c r="B1284" s="60" t="s">
        <v>81</v>
      </c>
      <c r="C1284" s="60" t="s">
        <v>134</v>
      </c>
      <c r="D1284" s="60" t="s">
        <v>134</v>
      </c>
      <c r="E1284" s="60" t="s">
        <v>143</v>
      </c>
      <c r="F1284" s="60" t="b">
        <f>TRUE()</f>
        <v>1</v>
      </c>
      <c r="G1284" s="60" t="s">
        <v>165</v>
      </c>
      <c r="H1284" s="60" t="s">
        <v>3655</v>
      </c>
      <c r="I1284" s="61">
        <v>46210.053218622699</v>
      </c>
      <c r="J1284" s="61">
        <v>46210.283007951402</v>
      </c>
      <c r="K1284" s="60">
        <v>0.2</v>
      </c>
      <c r="L1284" s="60" t="s">
        <v>183</v>
      </c>
      <c r="M1284" s="60" t="s">
        <v>183</v>
      </c>
      <c r="N1284" s="60" t="b">
        <f>FALSE()</f>
        <v>0</v>
      </c>
      <c r="O1284" s="60"/>
      <c r="P1284" s="60"/>
      <c r="Q1284" s="60" t="s">
        <v>236</v>
      </c>
      <c r="R1284" s="60" t="s">
        <v>236</v>
      </c>
      <c r="S1284" s="60"/>
      <c r="T1284" s="60" t="b">
        <f>FALSE()</f>
        <v>0</v>
      </c>
      <c r="U1284" s="60" t="b">
        <f>FALSE()</f>
        <v>0</v>
      </c>
      <c r="V1284" s="60">
        <v>337</v>
      </c>
      <c r="W1284" s="62" t="s">
        <v>4774</v>
      </c>
      <c r="X1284" s="60">
        <v>64</v>
      </c>
      <c r="Y1284" s="63">
        <v>112</v>
      </c>
      <c r="Z1284" s="60" t="b">
        <f>FALSE()</f>
        <v>0</v>
      </c>
      <c r="AA1284" s="60" t="b">
        <f>TRUE()</f>
        <v>1</v>
      </c>
      <c r="AB1284" s="60" t="b">
        <f>FALSE()</f>
        <v>0</v>
      </c>
      <c r="AC1284" s="60" t="b">
        <f>FALSE()</f>
        <v>0</v>
      </c>
      <c r="AD1284" s="60" t="b">
        <f>TRUE()</f>
        <v>1</v>
      </c>
      <c r="AE1284" s="60">
        <v>3</v>
      </c>
      <c r="AF1284" s="64">
        <v>42.9</v>
      </c>
      <c r="AG1284" s="60" t="s">
        <v>73</v>
      </c>
      <c r="AH1284" s="60" t="s">
        <v>4775</v>
      </c>
      <c r="AI1284">
        <f>IF(AND(OR(Company_Explorer!$B$5="All Companies",$E1284=Company_Explorer!$B$5),OR(Company_Explorer!$B$6="All Platforms",$B1284=Company_Explorer!$B$6),OR(Company_Explorer!$B$7="All Roles",$D1284=Company_Explorer!$B$7),OR(Company_Explorer!$B$8="All Ghost Labels",$AG1284=Company_Explorer!$B$8)),1,0)</f>
        <v>0</v>
      </c>
    </row>
    <row r="1285" spans="1:35" ht="15" customHeight="1" x14ac:dyDescent="0.3">
      <c r="A1285" s="65" t="s">
        <v>4776</v>
      </c>
      <c r="B1285" s="65" t="s">
        <v>81</v>
      </c>
      <c r="C1285" s="65" t="s">
        <v>130</v>
      </c>
      <c r="D1285" s="65" t="s">
        <v>130</v>
      </c>
      <c r="E1285" s="65" t="s">
        <v>143</v>
      </c>
      <c r="F1285" s="65" t="b">
        <f>TRUE()</f>
        <v>1</v>
      </c>
      <c r="G1285" s="65" t="s">
        <v>165</v>
      </c>
      <c r="H1285" s="65" t="s">
        <v>3702</v>
      </c>
      <c r="I1285" s="66">
        <v>46210.0532705324</v>
      </c>
      <c r="J1285" s="66">
        <v>46210.283008044004</v>
      </c>
      <c r="K1285" s="65">
        <v>0.2</v>
      </c>
      <c r="L1285" s="65" t="s">
        <v>183</v>
      </c>
      <c r="M1285" s="65" t="s">
        <v>183</v>
      </c>
      <c r="N1285" s="65" t="b">
        <f>FALSE()</f>
        <v>0</v>
      </c>
      <c r="O1285" s="65"/>
      <c r="P1285" s="65"/>
      <c r="Q1285" s="65" t="s">
        <v>236</v>
      </c>
      <c r="R1285" s="65" t="s">
        <v>236</v>
      </c>
      <c r="S1285" s="65"/>
      <c r="T1285" s="65" t="b">
        <f>FALSE()</f>
        <v>0</v>
      </c>
      <c r="U1285" s="65" t="b">
        <f>FALSE()</f>
        <v>0</v>
      </c>
      <c r="V1285" s="65">
        <v>385</v>
      </c>
      <c r="W1285" s="67" t="s">
        <v>4449</v>
      </c>
      <c r="X1285" s="65">
        <v>64</v>
      </c>
      <c r="Y1285" s="68">
        <v>112</v>
      </c>
      <c r="Z1285" s="65" t="b">
        <f>FALSE()</f>
        <v>0</v>
      </c>
      <c r="AA1285" s="65" t="b">
        <f>TRUE()</f>
        <v>1</v>
      </c>
      <c r="AB1285" s="65" t="b">
        <f>FALSE()</f>
        <v>0</v>
      </c>
      <c r="AC1285" s="65" t="b">
        <f>FALSE()</f>
        <v>0</v>
      </c>
      <c r="AD1285" s="65" t="b">
        <f>TRUE()</f>
        <v>1</v>
      </c>
      <c r="AE1285" s="65">
        <v>3</v>
      </c>
      <c r="AF1285" s="69">
        <v>42.9</v>
      </c>
      <c r="AG1285" s="65" t="s">
        <v>73</v>
      </c>
      <c r="AH1285" s="65" t="s">
        <v>4777</v>
      </c>
      <c r="AI1285">
        <f>IF(AND(OR(Company_Explorer!$B$5="All Companies",$E1285=Company_Explorer!$B$5),OR(Company_Explorer!$B$6="All Platforms",$B1285=Company_Explorer!$B$6),OR(Company_Explorer!$B$7="All Roles",$D1285=Company_Explorer!$B$7),OR(Company_Explorer!$B$8="All Ghost Labels",$AG1285=Company_Explorer!$B$8)),1,0)</f>
        <v>0</v>
      </c>
    </row>
    <row r="1286" spans="1:35" ht="15" customHeight="1" x14ac:dyDescent="0.3">
      <c r="A1286" s="60" t="s">
        <v>4778</v>
      </c>
      <c r="B1286" s="60" t="s">
        <v>81</v>
      </c>
      <c r="C1286" s="60" t="s">
        <v>4750</v>
      </c>
      <c r="D1286" s="60" t="s">
        <v>125</v>
      </c>
      <c r="E1286" s="60" t="s">
        <v>142</v>
      </c>
      <c r="F1286" s="60" t="b">
        <f>TRUE()</f>
        <v>1</v>
      </c>
      <c r="G1286" s="60" t="s">
        <v>165</v>
      </c>
      <c r="H1286" s="60" t="s">
        <v>3636</v>
      </c>
      <c r="I1286" s="61">
        <v>46210.013564305598</v>
      </c>
      <c r="J1286" s="61">
        <v>46210.283008148202</v>
      </c>
      <c r="K1286" s="60">
        <v>0.3</v>
      </c>
      <c r="L1286" s="60" t="s">
        <v>183</v>
      </c>
      <c r="M1286" s="60" t="s">
        <v>183</v>
      </c>
      <c r="N1286" s="60" t="b">
        <f>FALSE()</f>
        <v>0</v>
      </c>
      <c r="O1286" s="60"/>
      <c r="P1286" s="60"/>
      <c r="Q1286" s="60" t="s">
        <v>236</v>
      </c>
      <c r="R1286" s="60" t="s">
        <v>236</v>
      </c>
      <c r="S1286" s="60"/>
      <c r="T1286" s="60" t="b">
        <f>FALSE()</f>
        <v>0</v>
      </c>
      <c r="U1286" s="60" t="b">
        <f>FALSE()</f>
        <v>0</v>
      </c>
      <c r="V1286" s="60">
        <v>380</v>
      </c>
      <c r="W1286" s="62" t="s">
        <v>4751</v>
      </c>
      <c r="X1286" s="60">
        <v>81</v>
      </c>
      <c r="Y1286" s="63">
        <v>141.75</v>
      </c>
      <c r="Z1286" s="60" t="b">
        <f>FALSE()</f>
        <v>0</v>
      </c>
      <c r="AA1286" s="60" t="b">
        <f>TRUE()</f>
        <v>1</v>
      </c>
      <c r="AB1286" s="60" t="b">
        <f>FALSE()</f>
        <v>0</v>
      </c>
      <c r="AC1286" s="60" t="b">
        <f>FALSE()</f>
        <v>0</v>
      </c>
      <c r="AD1286" s="60" t="b">
        <f>TRUE()</f>
        <v>1</v>
      </c>
      <c r="AE1286" s="60">
        <v>3</v>
      </c>
      <c r="AF1286" s="64">
        <v>42.9</v>
      </c>
      <c r="AG1286" s="60" t="s">
        <v>73</v>
      </c>
      <c r="AH1286" s="60" t="s">
        <v>4779</v>
      </c>
      <c r="AI1286">
        <f>IF(AND(OR(Company_Explorer!$B$5="All Companies",$E1286=Company_Explorer!$B$5),OR(Company_Explorer!$B$6="All Platforms",$B1286=Company_Explorer!$B$6),OR(Company_Explorer!$B$7="All Roles",$D1286=Company_Explorer!$B$7),OR(Company_Explorer!$B$8="All Ghost Labels",$AG1286=Company_Explorer!$B$8)),1,0)</f>
        <v>0</v>
      </c>
    </row>
    <row r="1287" spans="1:35" ht="15" customHeight="1" x14ac:dyDescent="0.3">
      <c r="A1287" s="65" t="s">
        <v>4780</v>
      </c>
      <c r="B1287" s="65" t="s">
        <v>81</v>
      </c>
      <c r="C1287" s="65" t="s">
        <v>4781</v>
      </c>
      <c r="D1287" s="65" t="s">
        <v>125</v>
      </c>
      <c r="E1287" s="65" t="s">
        <v>2690</v>
      </c>
      <c r="F1287" s="65" t="b">
        <f>TRUE()</f>
        <v>1</v>
      </c>
      <c r="G1287" s="65" t="s">
        <v>165</v>
      </c>
      <c r="H1287" s="65" t="s">
        <v>165</v>
      </c>
      <c r="I1287" s="66">
        <v>46210.053134803202</v>
      </c>
      <c r="J1287" s="66">
        <v>46210.283008761602</v>
      </c>
      <c r="K1287" s="65">
        <v>0.2</v>
      </c>
      <c r="L1287" s="65" t="s">
        <v>183</v>
      </c>
      <c r="M1287" s="65" t="s">
        <v>183</v>
      </c>
      <c r="N1287" s="65" t="b">
        <f>FALSE()</f>
        <v>0</v>
      </c>
      <c r="O1287" s="65"/>
      <c r="P1287" s="65"/>
      <c r="Q1287" s="65" t="s">
        <v>236</v>
      </c>
      <c r="R1287" s="65" t="s">
        <v>236</v>
      </c>
      <c r="S1287" s="65"/>
      <c r="T1287" s="65" t="b">
        <f>FALSE()</f>
        <v>0</v>
      </c>
      <c r="U1287" s="65" t="b">
        <f>FALSE()</f>
        <v>0</v>
      </c>
      <c r="V1287" s="65">
        <v>759</v>
      </c>
      <c r="W1287" s="65" t="s">
        <v>4437</v>
      </c>
      <c r="X1287" s="65">
        <v>5</v>
      </c>
      <c r="Y1287" s="68">
        <v>8.75</v>
      </c>
      <c r="Z1287" s="65" t="b">
        <f>FALSE()</f>
        <v>0</v>
      </c>
      <c r="AA1287" s="65" t="b">
        <f>TRUE()</f>
        <v>1</v>
      </c>
      <c r="AB1287" s="65" t="b">
        <f>FALSE()</f>
        <v>0</v>
      </c>
      <c r="AC1287" s="65" t="b">
        <f>FALSE()</f>
        <v>0</v>
      </c>
      <c r="AD1287" s="65" t="b">
        <f>FALSE()</f>
        <v>0</v>
      </c>
      <c r="AE1287" s="65">
        <v>1</v>
      </c>
      <c r="AF1287" s="69">
        <v>14.3</v>
      </c>
      <c r="AG1287" s="65" t="s">
        <v>74</v>
      </c>
      <c r="AH1287" s="65" t="s">
        <v>4782</v>
      </c>
      <c r="AI1287">
        <f>IF(AND(OR(Company_Explorer!$B$5="All Companies",$E1287=Company_Explorer!$B$5),OR(Company_Explorer!$B$6="All Platforms",$B1287=Company_Explorer!$B$6),OR(Company_Explorer!$B$7="All Roles",$D1287=Company_Explorer!$B$7),OR(Company_Explorer!$B$8="All Ghost Labels",$AG1287=Company_Explorer!$B$8)),1,0)</f>
        <v>0</v>
      </c>
    </row>
    <row r="1288" spans="1:35" ht="15" customHeight="1" x14ac:dyDescent="0.3">
      <c r="A1288" s="60" t="s">
        <v>4783</v>
      </c>
      <c r="B1288" s="60" t="s">
        <v>81</v>
      </c>
      <c r="C1288" s="60" t="s">
        <v>4750</v>
      </c>
      <c r="D1288" s="60" t="s">
        <v>125</v>
      </c>
      <c r="E1288" s="60" t="s">
        <v>142</v>
      </c>
      <c r="F1288" s="60" t="b">
        <f>TRUE()</f>
        <v>1</v>
      </c>
      <c r="G1288" s="60" t="s">
        <v>165</v>
      </c>
      <c r="H1288" s="60" t="s">
        <v>3636</v>
      </c>
      <c r="I1288" s="61">
        <v>46210.0135513079</v>
      </c>
      <c r="J1288" s="61">
        <v>46210.283008796301</v>
      </c>
      <c r="K1288" s="60">
        <v>0.3</v>
      </c>
      <c r="L1288" s="60" t="s">
        <v>183</v>
      </c>
      <c r="M1288" s="60" t="s">
        <v>183</v>
      </c>
      <c r="N1288" s="60" t="b">
        <f>FALSE()</f>
        <v>0</v>
      </c>
      <c r="O1288" s="60"/>
      <c r="P1288" s="60"/>
      <c r="Q1288" s="60" t="s">
        <v>236</v>
      </c>
      <c r="R1288" s="60" t="s">
        <v>236</v>
      </c>
      <c r="S1288" s="60"/>
      <c r="T1288" s="60" t="b">
        <f>FALSE()</f>
        <v>0</v>
      </c>
      <c r="U1288" s="60" t="b">
        <f>FALSE()</f>
        <v>0</v>
      </c>
      <c r="V1288" s="60">
        <v>380</v>
      </c>
      <c r="W1288" s="62" t="s">
        <v>4751</v>
      </c>
      <c r="X1288" s="60">
        <v>81</v>
      </c>
      <c r="Y1288" s="63">
        <v>141.75</v>
      </c>
      <c r="Z1288" s="60" t="b">
        <f>FALSE()</f>
        <v>0</v>
      </c>
      <c r="AA1288" s="60" t="b">
        <f>TRUE()</f>
        <v>1</v>
      </c>
      <c r="AB1288" s="60" t="b">
        <f>FALSE()</f>
        <v>0</v>
      </c>
      <c r="AC1288" s="60" t="b">
        <f>FALSE()</f>
        <v>0</v>
      </c>
      <c r="AD1288" s="60" t="b">
        <f>TRUE()</f>
        <v>1</v>
      </c>
      <c r="AE1288" s="60">
        <v>3</v>
      </c>
      <c r="AF1288" s="64">
        <v>42.9</v>
      </c>
      <c r="AG1288" s="60" t="s">
        <v>73</v>
      </c>
      <c r="AH1288" s="60" t="s">
        <v>4784</v>
      </c>
      <c r="AI1288">
        <f>IF(AND(OR(Company_Explorer!$B$5="All Companies",$E1288=Company_Explorer!$B$5),OR(Company_Explorer!$B$6="All Platforms",$B1288=Company_Explorer!$B$6),OR(Company_Explorer!$B$7="All Roles",$D1288=Company_Explorer!$B$7),OR(Company_Explorer!$B$8="All Ghost Labels",$AG1288=Company_Explorer!$B$8)),1,0)</f>
        <v>0</v>
      </c>
    </row>
    <row r="1289" spans="1:35" ht="15" customHeight="1" x14ac:dyDescent="0.3">
      <c r="A1289" s="65" t="s">
        <v>4785</v>
      </c>
      <c r="B1289" s="65" t="s">
        <v>81</v>
      </c>
      <c r="C1289" s="65" t="s">
        <v>4750</v>
      </c>
      <c r="D1289" s="65" t="s">
        <v>125</v>
      </c>
      <c r="E1289" s="65" t="s">
        <v>142</v>
      </c>
      <c r="F1289" s="65" t="b">
        <f>TRUE()</f>
        <v>1</v>
      </c>
      <c r="G1289" s="65" t="s">
        <v>165</v>
      </c>
      <c r="H1289" s="65" t="s">
        <v>3655</v>
      </c>
      <c r="I1289" s="66">
        <v>46210.013680914402</v>
      </c>
      <c r="J1289" s="66">
        <v>46210.283008865699</v>
      </c>
      <c r="K1289" s="65">
        <v>0.3</v>
      </c>
      <c r="L1289" s="65" t="s">
        <v>183</v>
      </c>
      <c r="M1289" s="65" t="s">
        <v>183</v>
      </c>
      <c r="N1289" s="65" t="b">
        <f>FALSE()</f>
        <v>0</v>
      </c>
      <c r="O1289" s="65"/>
      <c r="P1289" s="65"/>
      <c r="Q1289" s="65" t="s">
        <v>236</v>
      </c>
      <c r="R1289" s="65" t="s">
        <v>236</v>
      </c>
      <c r="S1289" s="65"/>
      <c r="T1289" s="65" t="b">
        <f>FALSE()</f>
        <v>0</v>
      </c>
      <c r="U1289" s="65" t="b">
        <f>FALSE()</f>
        <v>0</v>
      </c>
      <c r="V1289" s="65">
        <v>381</v>
      </c>
      <c r="W1289" s="67" t="s">
        <v>4751</v>
      </c>
      <c r="X1289" s="65">
        <v>81</v>
      </c>
      <c r="Y1289" s="68">
        <v>141.75</v>
      </c>
      <c r="Z1289" s="65" t="b">
        <f>FALSE()</f>
        <v>0</v>
      </c>
      <c r="AA1289" s="65" t="b">
        <f>TRUE()</f>
        <v>1</v>
      </c>
      <c r="AB1289" s="65" t="b">
        <f>FALSE()</f>
        <v>0</v>
      </c>
      <c r="AC1289" s="65" t="b">
        <f>FALSE()</f>
        <v>0</v>
      </c>
      <c r="AD1289" s="65" t="b">
        <f>TRUE()</f>
        <v>1</v>
      </c>
      <c r="AE1289" s="65">
        <v>3</v>
      </c>
      <c r="AF1289" s="69">
        <v>42.9</v>
      </c>
      <c r="AG1289" s="65" t="s">
        <v>73</v>
      </c>
      <c r="AH1289" s="65" t="s">
        <v>4786</v>
      </c>
      <c r="AI1289">
        <f>IF(AND(OR(Company_Explorer!$B$5="All Companies",$E1289=Company_Explorer!$B$5),OR(Company_Explorer!$B$6="All Platforms",$B1289=Company_Explorer!$B$6),OR(Company_Explorer!$B$7="All Roles",$D1289=Company_Explorer!$B$7),OR(Company_Explorer!$B$8="All Ghost Labels",$AG1289=Company_Explorer!$B$8)),1,0)</f>
        <v>0</v>
      </c>
    </row>
    <row r="1290" spans="1:35" ht="15" customHeight="1" x14ac:dyDescent="0.3">
      <c r="A1290" s="60" t="s">
        <v>4787</v>
      </c>
      <c r="B1290" s="60" t="s">
        <v>81</v>
      </c>
      <c r="C1290" s="60" t="s">
        <v>4750</v>
      </c>
      <c r="D1290" s="60" t="s">
        <v>125</v>
      </c>
      <c r="E1290" s="60" t="s">
        <v>142</v>
      </c>
      <c r="F1290" s="60" t="b">
        <f>TRUE()</f>
        <v>1</v>
      </c>
      <c r="G1290" s="60" t="s">
        <v>165</v>
      </c>
      <c r="H1290" s="60" t="s">
        <v>3636</v>
      </c>
      <c r="I1290" s="61">
        <v>46210.013550949101</v>
      </c>
      <c r="J1290" s="61">
        <v>46210.283008946797</v>
      </c>
      <c r="K1290" s="60">
        <v>0.3</v>
      </c>
      <c r="L1290" s="60" t="s">
        <v>183</v>
      </c>
      <c r="M1290" s="60" t="s">
        <v>183</v>
      </c>
      <c r="N1290" s="60" t="b">
        <f>FALSE()</f>
        <v>0</v>
      </c>
      <c r="O1290" s="60"/>
      <c r="P1290" s="60"/>
      <c r="Q1290" s="60" t="s">
        <v>236</v>
      </c>
      <c r="R1290" s="60" t="s">
        <v>236</v>
      </c>
      <c r="S1290" s="60"/>
      <c r="T1290" s="60" t="b">
        <f>FALSE()</f>
        <v>0</v>
      </c>
      <c r="U1290" s="60" t="b">
        <f>FALSE()</f>
        <v>0</v>
      </c>
      <c r="V1290" s="60">
        <v>380</v>
      </c>
      <c r="W1290" s="62" t="s">
        <v>4751</v>
      </c>
      <c r="X1290" s="60">
        <v>81</v>
      </c>
      <c r="Y1290" s="63">
        <v>141.75</v>
      </c>
      <c r="Z1290" s="60" t="b">
        <f>FALSE()</f>
        <v>0</v>
      </c>
      <c r="AA1290" s="60" t="b">
        <f>TRUE()</f>
        <v>1</v>
      </c>
      <c r="AB1290" s="60" t="b">
        <f>FALSE()</f>
        <v>0</v>
      </c>
      <c r="AC1290" s="60" t="b">
        <f>FALSE()</f>
        <v>0</v>
      </c>
      <c r="AD1290" s="60" t="b">
        <f>TRUE()</f>
        <v>1</v>
      </c>
      <c r="AE1290" s="60">
        <v>3</v>
      </c>
      <c r="AF1290" s="64">
        <v>42.9</v>
      </c>
      <c r="AG1290" s="60" t="s">
        <v>73</v>
      </c>
      <c r="AH1290" s="60" t="s">
        <v>4788</v>
      </c>
      <c r="AI1290">
        <f>IF(AND(OR(Company_Explorer!$B$5="All Companies",$E1290=Company_Explorer!$B$5),OR(Company_Explorer!$B$6="All Platforms",$B1290=Company_Explorer!$B$6),OR(Company_Explorer!$B$7="All Roles",$D1290=Company_Explorer!$B$7),OR(Company_Explorer!$B$8="All Ghost Labels",$AG1290=Company_Explorer!$B$8)),1,0)</f>
        <v>0</v>
      </c>
    </row>
    <row r="1291" spans="1:35" ht="15" customHeight="1" x14ac:dyDescent="0.3">
      <c r="A1291" s="65" t="s">
        <v>4789</v>
      </c>
      <c r="B1291" s="65" t="s">
        <v>81</v>
      </c>
      <c r="C1291" s="65" t="s">
        <v>4790</v>
      </c>
      <c r="D1291" s="65" t="s">
        <v>125</v>
      </c>
      <c r="E1291" s="65" t="s">
        <v>2690</v>
      </c>
      <c r="F1291" s="65" t="b">
        <f>TRUE()</f>
        <v>1</v>
      </c>
      <c r="G1291" s="65" t="s">
        <v>165</v>
      </c>
      <c r="H1291" s="65" t="s">
        <v>3620</v>
      </c>
      <c r="I1291" s="66">
        <v>46210.053072384297</v>
      </c>
      <c r="J1291" s="66">
        <v>46210.283009039398</v>
      </c>
      <c r="K1291" s="65">
        <v>0.2</v>
      </c>
      <c r="L1291" s="65" t="s">
        <v>183</v>
      </c>
      <c r="M1291" s="65" t="s">
        <v>183</v>
      </c>
      <c r="N1291" s="65" t="b">
        <f>FALSE()</f>
        <v>0</v>
      </c>
      <c r="O1291" s="65"/>
      <c r="P1291" s="65"/>
      <c r="Q1291" s="65" t="s">
        <v>236</v>
      </c>
      <c r="R1291" s="65" t="s">
        <v>236</v>
      </c>
      <c r="S1291" s="65"/>
      <c r="T1291" s="65" t="b">
        <f>FALSE()</f>
        <v>0</v>
      </c>
      <c r="U1291" s="65" t="b">
        <f>FALSE()</f>
        <v>0</v>
      </c>
      <c r="V1291" s="65">
        <v>389</v>
      </c>
      <c r="W1291" s="65" t="s">
        <v>4791</v>
      </c>
      <c r="X1291" s="65">
        <v>5</v>
      </c>
      <c r="Y1291" s="68">
        <v>8.75</v>
      </c>
      <c r="Z1291" s="65" t="b">
        <f>FALSE()</f>
        <v>0</v>
      </c>
      <c r="AA1291" s="65" t="b">
        <f>TRUE()</f>
        <v>1</v>
      </c>
      <c r="AB1291" s="65" t="b">
        <f>FALSE()</f>
        <v>0</v>
      </c>
      <c r="AC1291" s="65" t="b">
        <f>FALSE()</f>
        <v>0</v>
      </c>
      <c r="AD1291" s="65" t="b">
        <f>FALSE()</f>
        <v>0</v>
      </c>
      <c r="AE1291" s="65">
        <v>1</v>
      </c>
      <c r="AF1291" s="69">
        <v>14.3</v>
      </c>
      <c r="AG1291" s="65" t="s">
        <v>74</v>
      </c>
      <c r="AH1291" s="65" t="s">
        <v>4792</v>
      </c>
      <c r="AI1291">
        <f>IF(AND(OR(Company_Explorer!$B$5="All Companies",$E1291=Company_Explorer!$B$5),OR(Company_Explorer!$B$6="All Platforms",$B1291=Company_Explorer!$B$6),OR(Company_Explorer!$B$7="All Roles",$D1291=Company_Explorer!$B$7),OR(Company_Explorer!$B$8="All Ghost Labels",$AG1291=Company_Explorer!$B$8)),1,0)</f>
        <v>0</v>
      </c>
    </row>
    <row r="1292" spans="1:35" ht="15" customHeight="1" x14ac:dyDescent="0.3">
      <c r="A1292" s="60" t="s">
        <v>4793</v>
      </c>
      <c r="B1292" s="60" t="s">
        <v>81</v>
      </c>
      <c r="C1292" s="60" t="s">
        <v>258</v>
      </c>
      <c r="D1292" s="60" t="s">
        <v>125</v>
      </c>
      <c r="E1292" s="60" t="s">
        <v>143</v>
      </c>
      <c r="F1292" s="60" t="b">
        <f>TRUE()</f>
        <v>1</v>
      </c>
      <c r="G1292" s="60" t="s">
        <v>165</v>
      </c>
      <c r="H1292" s="60" t="s">
        <v>3620</v>
      </c>
      <c r="I1292" s="61">
        <v>46210.053264838003</v>
      </c>
      <c r="J1292" s="61">
        <v>46210.2830091551</v>
      </c>
      <c r="K1292" s="60">
        <v>0.2</v>
      </c>
      <c r="L1292" s="60" t="s">
        <v>183</v>
      </c>
      <c r="M1292" s="60" t="s">
        <v>183</v>
      </c>
      <c r="N1292" s="60" t="b">
        <f>FALSE()</f>
        <v>0</v>
      </c>
      <c r="O1292" s="60"/>
      <c r="P1292" s="60"/>
      <c r="Q1292" s="60" t="s">
        <v>236</v>
      </c>
      <c r="R1292" s="60" t="s">
        <v>236</v>
      </c>
      <c r="S1292" s="60"/>
      <c r="T1292" s="60" t="b">
        <f>FALSE()</f>
        <v>0</v>
      </c>
      <c r="U1292" s="60" t="b">
        <f>FALSE()</f>
        <v>0</v>
      </c>
      <c r="V1292" s="60">
        <v>438</v>
      </c>
      <c r="W1292" s="62" t="s">
        <v>4514</v>
      </c>
      <c r="X1292" s="60">
        <v>64</v>
      </c>
      <c r="Y1292" s="63">
        <v>112</v>
      </c>
      <c r="Z1292" s="60" t="b">
        <f>FALSE()</f>
        <v>0</v>
      </c>
      <c r="AA1292" s="60" t="b">
        <f>TRUE()</f>
        <v>1</v>
      </c>
      <c r="AB1292" s="60" t="b">
        <f>FALSE()</f>
        <v>0</v>
      </c>
      <c r="AC1292" s="60" t="b">
        <f>FALSE()</f>
        <v>0</v>
      </c>
      <c r="AD1292" s="60" t="b">
        <f>TRUE()</f>
        <v>1</v>
      </c>
      <c r="AE1292" s="60">
        <v>3</v>
      </c>
      <c r="AF1292" s="64">
        <v>42.9</v>
      </c>
      <c r="AG1292" s="60" t="s">
        <v>73</v>
      </c>
      <c r="AH1292" s="60" t="s">
        <v>4794</v>
      </c>
      <c r="AI1292">
        <f>IF(AND(OR(Company_Explorer!$B$5="All Companies",$E1292=Company_Explorer!$B$5),OR(Company_Explorer!$B$6="All Platforms",$B1292=Company_Explorer!$B$6),OR(Company_Explorer!$B$7="All Roles",$D1292=Company_Explorer!$B$7),OR(Company_Explorer!$B$8="All Ghost Labels",$AG1292=Company_Explorer!$B$8)),1,0)</f>
        <v>0</v>
      </c>
    </row>
    <row r="1293" spans="1:35" ht="15" customHeight="1" x14ac:dyDescent="0.3">
      <c r="A1293" s="65" t="s">
        <v>4795</v>
      </c>
      <c r="B1293" s="65" t="s">
        <v>81</v>
      </c>
      <c r="C1293" s="65" t="s">
        <v>4796</v>
      </c>
      <c r="D1293" s="65" t="s">
        <v>125</v>
      </c>
      <c r="E1293" s="65" t="s">
        <v>4797</v>
      </c>
      <c r="F1293" s="65" t="b">
        <f>TRUE()</f>
        <v>1</v>
      </c>
      <c r="G1293" s="65" t="s">
        <v>165</v>
      </c>
      <c r="H1293" s="65" t="s">
        <v>3655</v>
      </c>
      <c r="I1293" s="66">
        <v>46210.052142812499</v>
      </c>
      <c r="J1293" s="66">
        <v>46210.283009224499</v>
      </c>
      <c r="K1293" s="65">
        <v>0.2</v>
      </c>
      <c r="L1293" s="65" t="s">
        <v>183</v>
      </c>
      <c r="M1293" s="65" t="s">
        <v>183</v>
      </c>
      <c r="N1293" s="65" t="b">
        <f>FALSE()</f>
        <v>0</v>
      </c>
      <c r="O1293" s="65"/>
      <c r="P1293" s="65"/>
      <c r="Q1293" s="65" t="s">
        <v>236</v>
      </c>
      <c r="R1293" s="65" t="s">
        <v>236</v>
      </c>
      <c r="S1293" s="65"/>
      <c r="T1293" s="65" t="b">
        <f>FALSE()</f>
        <v>0</v>
      </c>
      <c r="U1293" s="65" t="b">
        <f>FALSE()</f>
        <v>0</v>
      </c>
      <c r="V1293" s="65">
        <v>902</v>
      </c>
      <c r="W1293" s="67" t="s">
        <v>4798</v>
      </c>
      <c r="X1293" s="65">
        <v>1</v>
      </c>
      <c r="Y1293" s="68">
        <v>1.75</v>
      </c>
      <c r="Z1293" s="65" t="b">
        <f>FALSE()</f>
        <v>0</v>
      </c>
      <c r="AA1293" s="65" t="b">
        <f>TRUE()</f>
        <v>1</v>
      </c>
      <c r="AB1293" s="65" t="b">
        <f>FALSE()</f>
        <v>0</v>
      </c>
      <c r="AC1293" s="65" t="b">
        <f>FALSE()</f>
        <v>0</v>
      </c>
      <c r="AD1293" s="65" t="b">
        <f>FALSE()</f>
        <v>0</v>
      </c>
      <c r="AE1293" s="65">
        <v>1</v>
      </c>
      <c r="AF1293" s="69">
        <v>14.3</v>
      </c>
      <c r="AG1293" s="65" t="s">
        <v>74</v>
      </c>
      <c r="AH1293" s="65" t="s">
        <v>4799</v>
      </c>
      <c r="AI1293">
        <f>IF(AND(OR(Company_Explorer!$B$5="All Companies",$E1293=Company_Explorer!$B$5),OR(Company_Explorer!$B$6="All Platforms",$B1293=Company_Explorer!$B$6),OR(Company_Explorer!$B$7="All Roles",$D1293=Company_Explorer!$B$7),OR(Company_Explorer!$B$8="All Ghost Labels",$AG1293=Company_Explorer!$B$8)),1,0)</f>
        <v>0</v>
      </c>
    </row>
    <row r="1294" spans="1:35" ht="15" customHeight="1" x14ac:dyDescent="0.3">
      <c r="A1294" s="60" t="s">
        <v>4800</v>
      </c>
      <c r="B1294" s="60" t="s">
        <v>81</v>
      </c>
      <c r="C1294" s="60" t="s">
        <v>4750</v>
      </c>
      <c r="D1294" s="60" t="s">
        <v>125</v>
      </c>
      <c r="E1294" s="60" t="s">
        <v>142</v>
      </c>
      <c r="F1294" s="60" t="b">
        <f>TRUE()</f>
        <v>1</v>
      </c>
      <c r="G1294" s="60" t="s">
        <v>165</v>
      </c>
      <c r="H1294" s="60" t="s">
        <v>3655</v>
      </c>
      <c r="I1294" s="61">
        <v>46210.013656411997</v>
      </c>
      <c r="J1294" s="61">
        <v>46210.283009849503</v>
      </c>
      <c r="K1294" s="60">
        <v>0.3</v>
      </c>
      <c r="L1294" s="60" t="s">
        <v>183</v>
      </c>
      <c r="M1294" s="60" t="s">
        <v>183</v>
      </c>
      <c r="N1294" s="60" t="b">
        <f>FALSE()</f>
        <v>0</v>
      </c>
      <c r="O1294" s="60"/>
      <c r="P1294" s="60"/>
      <c r="Q1294" s="60" t="s">
        <v>236</v>
      </c>
      <c r="R1294" s="60" t="s">
        <v>236</v>
      </c>
      <c r="S1294" s="60"/>
      <c r="T1294" s="60" t="b">
        <f>FALSE()</f>
        <v>0</v>
      </c>
      <c r="U1294" s="60" t="b">
        <f>FALSE()</f>
        <v>0</v>
      </c>
      <c r="V1294" s="60">
        <v>380</v>
      </c>
      <c r="W1294" s="62" t="s">
        <v>4751</v>
      </c>
      <c r="X1294" s="60">
        <v>81</v>
      </c>
      <c r="Y1294" s="63">
        <v>141.75</v>
      </c>
      <c r="Z1294" s="60" t="b">
        <f>FALSE()</f>
        <v>0</v>
      </c>
      <c r="AA1294" s="60" t="b">
        <f>TRUE()</f>
        <v>1</v>
      </c>
      <c r="AB1294" s="60" t="b">
        <f>FALSE()</f>
        <v>0</v>
      </c>
      <c r="AC1294" s="60" t="b">
        <f>FALSE()</f>
        <v>0</v>
      </c>
      <c r="AD1294" s="60" t="b">
        <f>TRUE()</f>
        <v>1</v>
      </c>
      <c r="AE1294" s="60">
        <v>3</v>
      </c>
      <c r="AF1294" s="64">
        <v>42.9</v>
      </c>
      <c r="AG1294" s="60" t="s">
        <v>73</v>
      </c>
      <c r="AH1294" s="60" t="s">
        <v>4801</v>
      </c>
      <c r="AI1294">
        <f>IF(AND(OR(Company_Explorer!$B$5="All Companies",$E1294=Company_Explorer!$B$5),OR(Company_Explorer!$B$6="All Platforms",$B1294=Company_Explorer!$B$6),OR(Company_Explorer!$B$7="All Roles",$D1294=Company_Explorer!$B$7),OR(Company_Explorer!$B$8="All Ghost Labels",$AG1294=Company_Explorer!$B$8)),1,0)</f>
        <v>0</v>
      </c>
    </row>
    <row r="1295" spans="1:35" ht="15" customHeight="1" x14ac:dyDescent="0.3">
      <c r="A1295" s="65" t="s">
        <v>4802</v>
      </c>
      <c r="B1295" s="65" t="s">
        <v>81</v>
      </c>
      <c r="C1295" s="65" t="s">
        <v>134</v>
      </c>
      <c r="D1295" s="65" t="s">
        <v>134</v>
      </c>
      <c r="E1295" s="65" t="s">
        <v>143</v>
      </c>
      <c r="F1295" s="65" t="b">
        <f>TRUE()</f>
        <v>1</v>
      </c>
      <c r="G1295" s="65" t="s">
        <v>165</v>
      </c>
      <c r="H1295" s="65" t="s">
        <v>3655</v>
      </c>
      <c r="I1295" s="66">
        <v>46210.053268472198</v>
      </c>
      <c r="J1295" s="66">
        <v>46210.283010405103</v>
      </c>
      <c r="K1295" s="65">
        <v>0.2</v>
      </c>
      <c r="L1295" s="65" t="s">
        <v>183</v>
      </c>
      <c r="M1295" s="65" t="s">
        <v>183</v>
      </c>
      <c r="N1295" s="65" t="b">
        <f>FALSE()</f>
        <v>0</v>
      </c>
      <c r="O1295" s="65"/>
      <c r="P1295" s="65"/>
      <c r="Q1295" s="65" t="s">
        <v>236</v>
      </c>
      <c r="R1295" s="65" t="s">
        <v>236</v>
      </c>
      <c r="S1295" s="65"/>
      <c r="T1295" s="65" t="b">
        <f>FALSE()</f>
        <v>0</v>
      </c>
      <c r="U1295" s="65" t="b">
        <f>FALSE()</f>
        <v>0</v>
      </c>
      <c r="V1295" s="65">
        <v>337</v>
      </c>
      <c r="W1295" s="67" t="s">
        <v>4774</v>
      </c>
      <c r="X1295" s="65">
        <v>64</v>
      </c>
      <c r="Y1295" s="68">
        <v>112</v>
      </c>
      <c r="Z1295" s="65" t="b">
        <f>FALSE()</f>
        <v>0</v>
      </c>
      <c r="AA1295" s="65" t="b">
        <f>TRUE()</f>
        <v>1</v>
      </c>
      <c r="AB1295" s="65" t="b">
        <f>FALSE()</f>
        <v>0</v>
      </c>
      <c r="AC1295" s="65" t="b">
        <f>FALSE()</f>
        <v>0</v>
      </c>
      <c r="AD1295" s="65" t="b">
        <f>TRUE()</f>
        <v>1</v>
      </c>
      <c r="AE1295" s="65">
        <v>3</v>
      </c>
      <c r="AF1295" s="69">
        <v>42.9</v>
      </c>
      <c r="AG1295" s="65" t="s">
        <v>73</v>
      </c>
      <c r="AH1295" s="65" t="s">
        <v>4803</v>
      </c>
      <c r="AI1295">
        <f>IF(AND(OR(Company_Explorer!$B$5="All Companies",$E1295=Company_Explorer!$B$5),OR(Company_Explorer!$B$6="All Platforms",$B1295=Company_Explorer!$B$6),OR(Company_Explorer!$B$7="All Roles",$D1295=Company_Explorer!$B$7),OR(Company_Explorer!$B$8="All Ghost Labels",$AG1295=Company_Explorer!$B$8)),1,0)</f>
        <v>0</v>
      </c>
    </row>
    <row r="1296" spans="1:35" ht="15" customHeight="1" x14ac:dyDescent="0.3">
      <c r="A1296" s="60" t="s">
        <v>4804</v>
      </c>
      <c r="B1296" s="60" t="s">
        <v>81</v>
      </c>
      <c r="C1296" s="60" t="s">
        <v>4750</v>
      </c>
      <c r="D1296" s="60" t="s">
        <v>125</v>
      </c>
      <c r="E1296" s="60" t="s">
        <v>142</v>
      </c>
      <c r="F1296" s="60" t="b">
        <f>TRUE()</f>
        <v>1</v>
      </c>
      <c r="G1296" s="60" t="s">
        <v>165</v>
      </c>
      <c r="H1296" s="60" t="s">
        <v>3636</v>
      </c>
      <c r="I1296" s="61">
        <v>46210.0135428125</v>
      </c>
      <c r="J1296" s="61">
        <v>46210.283010497697</v>
      </c>
      <c r="K1296" s="60">
        <v>0.3</v>
      </c>
      <c r="L1296" s="60" t="s">
        <v>183</v>
      </c>
      <c r="M1296" s="60" t="s">
        <v>183</v>
      </c>
      <c r="N1296" s="60" t="b">
        <f>FALSE()</f>
        <v>0</v>
      </c>
      <c r="O1296" s="60"/>
      <c r="P1296" s="60"/>
      <c r="Q1296" s="60" t="s">
        <v>236</v>
      </c>
      <c r="R1296" s="60" t="s">
        <v>236</v>
      </c>
      <c r="S1296" s="60"/>
      <c r="T1296" s="60" t="b">
        <f>FALSE()</f>
        <v>0</v>
      </c>
      <c r="U1296" s="60" t="b">
        <f>FALSE()</f>
        <v>0</v>
      </c>
      <c r="V1296" s="60">
        <v>380</v>
      </c>
      <c r="W1296" s="62" t="s">
        <v>4751</v>
      </c>
      <c r="X1296" s="60">
        <v>81</v>
      </c>
      <c r="Y1296" s="63">
        <v>141.75</v>
      </c>
      <c r="Z1296" s="60" t="b">
        <f>FALSE()</f>
        <v>0</v>
      </c>
      <c r="AA1296" s="60" t="b">
        <f>TRUE()</f>
        <v>1</v>
      </c>
      <c r="AB1296" s="60" t="b">
        <f>FALSE()</f>
        <v>0</v>
      </c>
      <c r="AC1296" s="60" t="b">
        <f>FALSE()</f>
        <v>0</v>
      </c>
      <c r="AD1296" s="60" t="b">
        <f>TRUE()</f>
        <v>1</v>
      </c>
      <c r="AE1296" s="60">
        <v>3</v>
      </c>
      <c r="AF1296" s="64">
        <v>42.9</v>
      </c>
      <c r="AG1296" s="60" t="s">
        <v>73</v>
      </c>
      <c r="AH1296" s="60" t="s">
        <v>4805</v>
      </c>
      <c r="AI1296">
        <f>IF(AND(OR(Company_Explorer!$B$5="All Companies",$E1296=Company_Explorer!$B$5),OR(Company_Explorer!$B$6="All Platforms",$B1296=Company_Explorer!$B$6),OR(Company_Explorer!$B$7="All Roles",$D1296=Company_Explorer!$B$7),OR(Company_Explorer!$B$8="All Ghost Labels",$AG1296=Company_Explorer!$B$8)),1,0)</f>
        <v>0</v>
      </c>
    </row>
    <row r="1297" spans="1:35" ht="15" customHeight="1" x14ac:dyDescent="0.3">
      <c r="A1297" s="65" t="s">
        <v>4806</v>
      </c>
      <c r="B1297" s="65" t="s">
        <v>81</v>
      </c>
      <c r="C1297" s="65" t="s">
        <v>4807</v>
      </c>
      <c r="D1297" s="65" t="s">
        <v>130</v>
      </c>
      <c r="E1297" s="65" t="s">
        <v>4808</v>
      </c>
      <c r="F1297" s="65" t="b">
        <f>TRUE()</f>
        <v>1</v>
      </c>
      <c r="G1297" s="65" t="s">
        <v>165</v>
      </c>
      <c r="H1297" s="65" t="s">
        <v>3620</v>
      </c>
      <c r="I1297" s="66">
        <v>46210.0416136227</v>
      </c>
      <c r="J1297" s="66">
        <v>46210.283010706</v>
      </c>
      <c r="K1297" s="65">
        <v>0.2</v>
      </c>
      <c r="L1297" s="65" t="s">
        <v>183</v>
      </c>
      <c r="M1297" s="65" t="s">
        <v>183</v>
      </c>
      <c r="N1297" s="65" t="b">
        <f>FALSE()</f>
        <v>0</v>
      </c>
      <c r="O1297" s="65"/>
      <c r="P1297" s="65"/>
      <c r="Q1297" s="65" t="s">
        <v>236</v>
      </c>
      <c r="R1297" s="65" t="s">
        <v>236</v>
      </c>
      <c r="S1297" s="65"/>
      <c r="T1297" s="65" t="b">
        <f>FALSE()</f>
        <v>0</v>
      </c>
      <c r="U1297" s="65" t="b">
        <f>FALSE()</f>
        <v>0</v>
      </c>
      <c r="V1297" s="65">
        <v>316</v>
      </c>
      <c r="W1297" s="67" t="s">
        <v>4809</v>
      </c>
      <c r="X1297" s="65">
        <v>1</v>
      </c>
      <c r="Y1297" s="68">
        <v>1.75</v>
      </c>
      <c r="Z1297" s="65" t="b">
        <f>FALSE()</f>
        <v>0</v>
      </c>
      <c r="AA1297" s="65" t="b">
        <f>TRUE()</f>
        <v>1</v>
      </c>
      <c r="AB1297" s="65" t="b">
        <f>FALSE()</f>
        <v>0</v>
      </c>
      <c r="AC1297" s="65" t="b">
        <f>FALSE()</f>
        <v>0</v>
      </c>
      <c r="AD1297" s="65" t="b">
        <f>FALSE()</f>
        <v>0</v>
      </c>
      <c r="AE1297" s="65">
        <v>1</v>
      </c>
      <c r="AF1297" s="69">
        <v>14.3</v>
      </c>
      <c r="AG1297" s="65" t="s">
        <v>74</v>
      </c>
      <c r="AH1297" s="65" t="s">
        <v>4810</v>
      </c>
      <c r="AI1297">
        <f>IF(AND(OR(Company_Explorer!$B$5="All Companies",$E1297=Company_Explorer!$B$5),OR(Company_Explorer!$B$6="All Platforms",$B1297=Company_Explorer!$B$6),OR(Company_Explorer!$B$7="All Roles",$D1297=Company_Explorer!$B$7),OR(Company_Explorer!$B$8="All Ghost Labels",$AG1297=Company_Explorer!$B$8)),1,0)</f>
        <v>0</v>
      </c>
    </row>
    <row r="1298" spans="1:35" ht="15" customHeight="1" x14ac:dyDescent="0.3">
      <c r="A1298" s="60" t="s">
        <v>4811</v>
      </c>
      <c r="B1298" s="60" t="s">
        <v>81</v>
      </c>
      <c r="C1298" s="60" t="s">
        <v>130</v>
      </c>
      <c r="D1298" s="60" t="s">
        <v>130</v>
      </c>
      <c r="E1298" s="60" t="s">
        <v>143</v>
      </c>
      <c r="F1298" s="60" t="b">
        <f>TRUE()</f>
        <v>1</v>
      </c>
      <c r="G1298" s="60" t="s">
        <v>165</v>
      </c>
      <c r="H1298" s="60" t="s">
        <v>3620</v>
      </c>
      <c r="I1298" s="61">
        <v>46210.053261574103</v>
      </c>
      <c r="J1298" s="61">
        <v>46210.283010752297</v>
      </c>
      <c r="K1298" s="60">
        <v>0.2</v>
      </c>
      <c r="L1298" s="60" t="s">
        <v>183</v>
      </c>
      <c r="M1298" s="60" t="s">
        <v>183</v>
      </c>
      <c r="N1298" s="60" t="b">
        <f>FALSE()</f>
        <v>0</v>
      </c>
      <c r="O1298" s="60"/>
      <c r="P1298" s="60"/>
      <c r="Q1298" s="60" t="s">
        <v>236</v>
      </c>
      <c r="R1298" s="60" t="s">
        <v>236</v>
      </c>
      <c r="S1298" s="60"/>
      <c r="T1298" s="60" t="b">
        <f>FALSE()</f>
        <v>0</v>
      </c>
      <c r="U1298" s="60" t="b">
        <f>FALSE()</f>
        <v>0</v>
      </c>
      <c r="V1298" s="60">
        <v>372</v>
      </c>
      <c r="W1298" s="62" t="s">
        <v>4449</v>
      </c>
      <c r="X1298" s="60">
        <v>64</v>
      </c>
      <c r="Y1298" s="63">
        <v>112</v>
      </c>
      <c r="Z1298" s="60" t="b">
        <f>FALSE()</f>
        <v>0</v>
      </c>
      <c r="AA1298" s="60" t="b">
        <f>TRUE()</f>
        <v>1</v>
      </c>
      <c r="AB1298" s="60" t="b">
        <f>FALSE()</f>
        <v>0</v>
      </c>
      <c r="AC1298" s="60" t="b">
        <f>FALSE()</f>
        <v>0</v>
      </c>
      <c r="AD1298" s="60" t="b">
        <f>TRUE()</f>
        <v>1</v>
      </c>
      <c r="AE1298" s="60">
        <v>3</v>
      </c>
      <c r="AF1298" s="64">
        <v>42.9</v>
      </c>
      <c r="AG1298" s="60" t="s">
        <v>73</v>
      </c>
      <c r="AH1298" s="60" t="s">
        <v>4812</v>
      </c>
      <c r="AI1298">
        <f>IF(AND(OR(Company_Explorer!$B$5="All Companies",$E1298=Company_Explorer!$B$5),OR(Company_Explorer!$B$6="All Platforms",$B1298=Company_Explorer!$B$6),OR(Company_Explorer!$B$7="All Roles",$D1298=Company_Explorer!$B$7),OR(Company_Explorer!$B$8="All Ghost Labels",$AG1298=Company_Explorer!$B$8)),1,0)</f>
        <v>0</v>
      </c>
    </row>
    <row r="1299" spans="1:35" ht="15" customHeight="1" x14ac:dyDescent="0.3">
      <c r="A1299" s="65" t="s">
        <v>4813</v>
      </c>
      <c r="B1299" s="65" t="s">
        <v>81</v>
      </c>
      <c r="C1299" s="65" t="s">
        <v>4750</v>
      </c>
      <c r="D1299" s="65" t="s">
        <v>125</v>
      </c>
      <c r="E1299" s="65" t="s">
        <v>142</v>
      </c>
      <c r="F1299" s="65" t="b">
        <f>TRUE()</f>
        <v>1</v>
      </c>
      <c r="G1299" s="65" t="s">
        <v>165</v>
      </c>
      <c r="H1299" s="65" t="s">
        <v>3655</v>
      </c>
      <c r="I1299" s="66">
        <v>46210.013658738397</v>
      </c>
      <c r="J1299" s="66">
        <v>46210.283010671301</v>
      </c>
      <c r="K1299" s="65">
        <v>0.3</v>
      </c>
      <c r="L1299" s="65" t="s">
        <v>183</v>
      </c>
      <c r="M1299" s="65" t="s">
        <v>183</v>
      </c>
      <c r="N1299" s="65" t="b">
        <f>FALSE()</f>
        <v>0</v>
      </c>
      <c r="O1299" s="65"/>
      <c r="P1299" s="65"/>
      <c r="Q1299" s="65" t="s">
        <v>236</v>
      </c>
      <c r="R1299" s="65" t="s">
        <v>236</v>
      </c>
      <c r="S1299" s="65"/>
      <c r="T1299" s="65" t="b">
        <f>FALSE()</f>
        <v>0</v>
      </c>
      <c r="U1299" s="65" t="b">
        <f>FALSE()</f>
        <v>0</v>
      </c>
      <c r="V1299" s="65">
        <v>378</v>
      </c>
      <c r="W1299" s="67" t="s">
        <v>4751</v>
      </c>
      <c r="X1299" s="65">
        <v>81</v>
      </c>
      <c r="Y1299" s="68">
        <v>141.75</v>
      </c>
      <c r="Z1299" s="65" t="b">
        <f>FALSE()</f>
        <v>0</v>
      </c>
      <c r="AA1299" s="65" t="b">
        <f>TRUE()</f>
        <v>1</v>
      </c>
      <c r="AB1299" s="65" t="b">
        <f>FALSE()</f>
        <v>0</v>
      </c>
      <c r="AC1299" s="65" t="b">
        <f>FALSE()</f>
        <v>0</v>
      </c>
      <c r="AD1299" s="65" t="b">
        <f>TRUE()</f>
        <v>1</v>
      </c>
      <c r="AE1299" s="65">
        <v>3</v>
      </c>
      <c r="AF1299" s="69">
        <v>42.9</v>
      </c>
      <c r="AG1299" s="65" t="s">
        <v>73</v>
      </c>
      <c r="AH1299" s="65" t="s">
        <v>4814</v>
      </c>
      <c r="AI1299">
        <f>IF(AND(OR(Company_Explorer!$B$5="All Companies",$E1299=Company_Explorer!$B$5),OR(Company_Explorer!$B$6="All Platforms",$B1299=Company_Explorer!$B$6),OR(Company_Explorer!$B$7="All Roles",$D1299=Company_Explorer!$B$7),OR(Company_Explorer!$B$8="All Ghost Labels",$AG1299=Company_Explorer!$B$8)),1,0)</f>
        <v>0</v>
      </c>
    </row>
    <row r="1300" spans="1:35" ht="15" customHeight="1" x14ac:dyDescent="0.3">
      <c r="A1300" s="60" t="s">
        <v>4815</v>
      </c>
      <c r="B1300" s="60" t="s">
        <v>81</v>
      </c>
      <c r="C1300" s="60" t="s">
        <v>134</v>
      </c>
      <c r="D1300" s="60" t="s">
        <v>134</v>
      </c>
      <c r="E1300" s="60" t="s">
        <v>143</v>
      </c>
      <c r="F1300" s="60" t="b">
        <f>TRUE()</f>
        <v>1</v>
      </c>
      <c r="G1300" s="60" t="s">
        <v>165</v>
      </c>
      <c r="H1300" s="60" t="s">
        <v>3620</v>
      </c>
      <c r="I1300" s="61">
        <v>46210.053260671302</v>
      </c>
      <c r="J1300" s="61">
        <v>46210.2830108333</v>
      </c>
      <c r="K1300" s="60">
        <v>0.2</v>
      </c>
      <c r="L1300" s="60" t="s">
        <v>183</v>
      </c>
      <c r="M1300" s="60" t="s">
        <v>183</v>
      </c>
      <c r="N1300" s="60" t="b">
        <f>FALSE()</f>
        <v>0</v>
      </c>
      <c r="O1300" s="60"/>
      <c r="P1300" s="60"/>
      <c r="Q1300" s="60" t="s">
        <v>236</v>
      </c>
      <c r="R1300" s="60" t="s">
        <v>236</v>
      </c>
      <c r="S1300" s="60"/>
      <c r="T1300" s="60" t="b">
        <f>FALSE()</f>
        <v>0</v>
      </c>
      <c r="U1300" s="60" t="b">
        <f>FALSE()</f>
        <v>0</v>
      </c>
      <c r="V1300" s="60">
        <v>334</v>
      </c>
      <c r="W1300" s="62" t="s">
        <v>4774</v>
      </c>
      <c r="X1300" s="60">
        <v>64</v>
      </c>
      <c r="Y1300" s="63">
        <v>112</v>
      </c>
      <c r="Z1300" s="60" t="b">
        <f>FALSE()</f>
        <v>0</v>
      </c>
      <c r="AA1300" s="60" t="b">
        <f>TRUE()</f>
        <v>1</v>
      </c>
      <c r="AB1300" s="60" t="b">
        <f>FALSE()</f>
        <v>0</v>
      </c>
      <c r="AC1300" s="60" t="b">
        <f>FALSE()</f>
        <v>0</v>
      </c>
      <c r="AD1300" s="60" t="b">
        <f>TRUE()</f>
        <v>1</v>
      </c>
      <c r="AE1300" s="60">
        <v>3</v>
      </c>
      <c r="AF1300" s="64">
        <v>42.9</v>
      </c>
      <c r="AG1300" s="60" t="s">
        <v>73</v>
      </c>
      <c r="AH1300" s="60" t="s">
        <v>4816</v>
      </c>
      <c r="AI1300">
        <f>IF(AND(OR(Company_Explorer!$B$5="All Companies",$E1300=Company_Explorer!$B$5),OR(Company_Explorer!$B$6="All Platforms",$B1300=Company_Explorer!$B$6),OR(Company_Explorer!$B$7="All Roles",$D1300=Company_Explorer!$B$7),OR(Company_Explorer!$B$8="All Ghost Labels",$AG1300=Company_Explorer!$B$8)),1,0)</f>
        <v>0</v>
      </c>
    </row>
    <row r="1301" spans="1:35" ht="15" customHeight="1" x14ac:dyDescent="0.3">
      <c r="A1301" s="65" t="s">
        <v>4817</v>
      </c>
      <c r="B1301" s="65" t="s">
        <v>81</v>
      </c>
      <c r="C1301" s="65" t="s">
        <v>4746</v>
      </c>
      <c r="D1301" s="65" t="s">
        <v>125</v>
      </c>
      <c r="E1301" s="65" t="s">
        <v>142</v>
      </c>
      <c r="F1301" s="65" t="b">
        <f>TRUE()</f>
        <v>1</v>
      </c>
      <c r="G1301" s="65" t="s">
        <v>165</v>
      </c>
      <c r="H1301" s="65" t="s">
        <v>3636</v>
      </c>
      <c r="I1301" s="66">
        <v>46210.013658425902</v>
      </c>
      <c r="J1301" s="66">
        <v>46210.283010798601</v>
      </c>
      <c r="K1301" s="65">
        <v>0.3</v>
      </c>
      <c r="L1301" s="65" t="s">
        <v>183</v>
      </c>
      <c r="M1301" s="65" t="s">
        <v>183</v>
      </c>
      <c r="N1301" s="65" t="b">
        <f>FALSE()</f>
        <v>0</v>
      </c>
      <c r="O1301" s="65"/>
      <c r="P1301" s="65"/>
      <c r="Q1301" s="65" t="s">
        <v>236</v>
      </c>
      <c r="R1301" s="65" t="s">
        <v>236</v>
      </c>
      <c r="S1301" s="65"/>
      <c r="T1301" s="65" t="b">
        <f>FALSE()</f>
        <v>0</v>
      </c>
      <c r="U1301" s="65" t="b">
        <f>FALSE()</f>
        <v>0</v>
      </c>
      <c r="V1301" s="65">
        <v>725</v>
      </c>
      <c r="W1301" s="67" t="s">
        <v>4747</v>
      </c>
      <c r="X1301" s="65">
        <v>81</v>
      </c>
      <c r="Y1301" s="68">
        <v>141.75</v>
      </c>
      <c r="Z1301" s="65" t="b">
        <f>FALSE()</f>
        <v>0</v>
      </c>
      <c r="AA1301" s="65" t="b">
        <f>TRUE()</f>
        <v>1</v>
      </c>
      <c r="AB1301" s="65" t="b">
        <f>FALSE()</f>
        <v>0</v>
      </c>
      <c r="AC1301" s="65" t="b">
        <f>FALSE()</f>
        <v>0</v>
      </c>
      <c r="AD1301" s="65" t="b">
        <f>TRUE()</f>
        <v>1</v>
      </c>
      <c r="AE1301" s="65">
        <v>3</v>
      </c>
      <c r="AF1301" s="69">
        <v>42.9</v>
      </c>
      <c r="AG1301" s="65" t="s">
        <v>73</v>
      </c>
      <c r="AH1301" s="65" t="s">
        <v>4818</v>
      </c>
      <c r="AI1301">
        <f>IF(AND(OR(Company_Explorer!$B$5="All Companies",$E1301=Company_Explorer!$B$5),OR(Company_Explorer!$B$6="All Platforms",$B1301=Company_Explorer!$B$6),OR(Company_Explorer!$B$7="All Roles",$D1301=Company_Explorer!$B$7),OR(Company_Explorer!$B$8="All Ghost Labels",$AG1301=Company_Explorer!$B$8)),1,0)</f>
        <v>0</v>
      </c>
    </row>
    <row r="1302" spans="1:35" ht="15" customHeight="1" x14ac:dyDescent="0.3">
      <c r="A1302" s="60" t="s">
        <v>4819</v>
      </c>
      <c r="B1302" s="60" t="s">
        <v>81</v>
      </c>
      <c r="C1302" s="60" t="s">
        <v>4746</v>
      </c>
      <c r="D1302" s="60" t="s">
        <v>125</v>
      </c>
      <c r="E1302" s="60" t="s">
        <v>142</v>
      </c>
      <c r="F1302" s="60" t="b">
        <f>TRUE()</f>
        <v>1</v>
      </c>
      <c r="G1302" s="60" t="s">
        <v>165</v>
      </c>
      <c r="H1302" s="60" t="s">
        <v>3620</v>
      </c>
      <c r="I1302" s="61">
        <v>46210.013551608798</v>
      </c>
      <c r="J1302" s="61">
        <v>46210.283011469903</v>
      </c>
      <c r="K1302" s="60">
        <v>0.3</v>
      </c>
      <c r="L1302" s="60" t="s">
        <v>183</v>
      </c>
      <c r="M1302" s="60" t="s">
        <v>183</v>
      </c>
      <c r="N1302" s="60" t="b">
        <f>FALSE()</f>
        <v>0</v>
      </c>
      <c r="O1302" s="60"/>
      <c r="P1302" s="60"/>
      <c r="Q1302" s="60" t="s">
        <v>236</v>
      </c>
      <c r="R1302" s="60" t="s">
        <v>236</v>
      </c>
      <c r="S1302" s="60"/>
      <c r="T1302" s="60" t="b">
        <f>FALSE()</f>
        <v>0</v>
      </c>
      <c r="U1302" s="60" t="b">
        <f>FALSE()</f>
        <v>0</v>
      </c>
      <c r="V1302" s="60">
        <v>724</v>
      </c>
      <c r="W1302" s="62" t="s">
        <v>4747</v>
      </c>
      <c r="X1302" s="60">
        <v>81</v>
      </c>
      <c r="Y1302" s="63">
        <v>141.75</v>
      </c>
      <c r="Z1302" s="60" t="b">
        <f>FALSE()</f>
        <v>0</v>
      </c>
      <c r="AA1302" s="60" t="b">
        <f>TRUE()</f>
        <v>1</v>
      </c>
      <c r="AB1302" s="60" t="b">
        <f>FALSE()</f>
        <v>0</v>
      </c>
      <c r="AC1302" s="60" t="b">
        <f>FALSE()</f>
        <v>0</v>
      </c>
      <c r="AD1302" s="60" t="b">
        <f>TRUE()</f>
        <v>1</v>
      </c>
      <c r="AE1302" s="60">
        <v>3</v>
      </c>
      <c r="AF1302" s="64">
        <v>42.9</v>
      </c>
      <c r="AG1302" s="60" t="s">
        <v>73</v>
      </c>
      <c r="AH1302" s="60" t="s">
        <v>4820</v>
      </c>
      <c r="AI1302">
        <f>IF(AND(OR(Company_Explorer!$B$5="All Companies",$E1302=Company_Explorer!$B$5),OR(Company_Explorer!$B$6="All Platforms",$B1302=Company_Explorer!$B$6),OR(Company_Explorer!$B$7="All Roles",$D1302=Company_Explorer!$B$7),OR(Company_Explorer!$B$8="All Ghost Labels",$AG1302=Company_Explorer!$B$8)),1,0)</f>
        <v>0</v>
      </c>
    </row>
    <row r="1303" spans="1:35" ht="15" customHeight="1" x14ac:dyDescent="0.3">
      <c r="A1303" s="65" t="s">
        <v>4821</v>
      </c>
      <c r="B1303" s="65" t="s">
        <v>81</v>
      </c>
      <c r="C1303" s="65" t="s">
        <v>258</v>
      </c>
      <c r="D1303" s="65" t="s">
        <v>125</v>
      </c>
      <c r="E1303" s="65" t="s">
        <v>143</v>
      </c>
      <c r="F1303" s="65" t="b">
        <f>TRUE()</f>
        <v>1</v>
      </c>
      <c r="G1303" s="65" t="s">
        <v>165</v>
      </c>
      <c r="H1303" s="65" t="s">
        <v>3620</v>
      </c>
      <c r="I1303" s="66">
        <v>46210.053296851896</v>
      </c>
      <c r="J1303" s="66">
        <v>46210.283011666703</v>
      </c>
      <c r="K1303" s="65">
        <v>0.2</v>
      </c>
      <c r="L1303" s="65" t="s">
        <v>183</v>
      </c>
      <c r="M1303" s="65" t="s">
        <v>183</v>
      </c>
      <c r="N1303" s="65" t="b">
        <f>FALSE()</f>
        <v>0</v>
      </c>
      <c r="O1303" s="65"/>
      <c r="P1303" s="65"/>
      <c r="Q1303" s="65" t="s">
        <v>236</v>
      </c>
      <c r="R1303" s="65" t="s">
        <v>236</v>
      </c>
      <c r="S1303" s="65"/>
      <c r="T1303" s="65" t="b">
        <f>FALSE()</f>
        <v>0</v>
      </c>
      <c r="U1303" s="65" t="b">
        <f>FALSE()</f>
        <v>0</v>
      </c>
      <c r="V1303" s="65">
        <v>438</v>
      </c>
      <c r="W1303" s="67" t="s">
        <v>4514</v>
      </c>
      <c r="X1303" s="65">
        <v>64</v>
      </c>
      <c r="Y1303" s="68">
        <v>112</v>
      </c>
      <c r="Z1303" s="65" t="b">
        <f>FALSE()</f>
        <v>0</v>
      </c>
      <c r="AA1303" s="65" t="b">
        <f>TRUE()</f>
        <v>1</v>
      </c>
      <c r="AB1303" s="65" t="b">
        <f>FALSE()</f>
        <v>0</v>
      </c>
      <c r="AC1303" s="65" t="b">
        <f>FALSE()</f>
        <v>0</v>
      </c>
      <c r="AD1303" s="65" t="b">
        <f>TRUE()</f>
        <v>1</v>
      </c>
      <c r="AE1303" s="65">
        <v>3</v>
      </c>
      <c r="AF1303" s="69">
        <v>42.9</v>
      </c>
      <c r="AG1303" s="65" t="s">
        <v>73</v>
      </c>
      <c r="AH1303" s="65" t="s">
        <v>4822</v>
      </c>
      <c r="AI1303">
        <f>IF(AND(OR(Company_Explorer!$B$5="All Companies",$E1303=Company_Explorer!$B$5),OR(Company_Explorer!$B$6="All Platforms",$B1303=Company_Explorer!$B$6),OR(Company_Explorer!$B$7="All Roles",$D1303=Company_Explorer!$B$7),OR(Company_Explorer!$B$8="All Ghost Labels",$AG1303=Company_Explorer!$B$8)),1,0)</f>
        <v>0</v>
      </c>
    </row>
    <row r="1304" spans="1:35" ht="15" customHeight="1" x14ac:dyDescent="0.3">
      <c r="A1304" s="60" t="s">
        <v>4823</v>
      </c>
      <c r="B1304" s="60" t="s">
        <v>81</v>
      </c>
      <c r="C1304" s="60" t="s">
        <v>4824</v>
      </c>
      <c r="D1304" s="60" t="s">
        <v>126</v>
      </c>
      <c r="E1304" s="60" t="s">
        <v>4825</v>
      </c>
      <c r="F1304" s="60" t="b">
        <f>TRUE()</f>
        <v>1</v>
      </c>
      <c r="G1304" s="60" t="s">
        <v>165</v>
      </c>
      <c r="H1304" s="60" t="s">
        <v>3620</v>
      </c>
      <c r="I1304" s="61">
        <v>46210.041296516203</v>
      </c>
      <c r="J1304" s="61">
        <v>46210.2830117708</v>
      </c>
      <c r="K1304" s="60">
        <v>0.2</v>
      </c>
      <c r="L1304" s="60" t="s">
        <v>183</v>
      </c>
      <c r="M1304" s="60" t="s">
        <v>183</v>
      </c>
      <c r="N1304" s="60" t="b">
        <f>FALSE()</f>
        <v>0</v>
      </c>
      <c r="O1304" s="60"/>
      <c r="P1304" s="60"/>
      <c r="Q1304" s="60" t="s">
        <v>236</v>
      </c>
      <c r="R1304" s="60" t="s">
        <v>236</v>
      </c>
      <c r="S1304" s="60"/>
      <c r="T1304" s="60" t="b">
        <f>FALSE()</f>
        <v>0</v>
      </c>
      <c r="U1304" s="60" t="b">
        <f>FALSE()</f>
        <v>0</v>
      </c>
      <c r="V1304" s="60">
        <v>514</v>
      </c>
      <c r="W1304" s="62" t="s">
        <v>4826</v>
      </c>
      <c r="X1304" s="60">
        <v>1</v>
      </c>
      <c r="Y1304" s="63">
        <v>1.75</v>
      </c>
      <c r="Z1304" s="60" t="b">
        <f>FALSE()</f>
        <v>0</v>
      </c>
      <c r="AA1304" s="60" t="b">
        <f>TRUE()</f>
        <v>1</v>
      </c>
      <c r="AB1304" s="60" t="b">
        <f>FALSE()</f>
        <v>0</v>
      </c>
      <c r="AC1304" s="60" t="b">
        <f>FALSE()</f>
        <v>0</v>
      </c>
      <c r="AD1304" s="60" t="b">
        <f>FALSE()</f>
        <v>0</v>
      </c>
      <c r="AE1304" s="60">
        <v>1</v>
      </c>
      <c r="AF1304" s="64">
        <v>14.3</v>
      </c>
      <c r="AG1304" s="60" t="s">
        <v>74</v>
      </c>
      <c r="AH1304" s="60" t="s">
        <v>4827</v>
      </c>
      <c r="AI1304">
        <f>IF(AND(OR(Company_Explorer!$B$5="All Companies",$E1304=Company_Explorer!$B$5),OR(Company_Explorer!$B$6="All Platforms",$B1304=Company_Explorer!$B$6),OR(Company_Explorer!$B$7="All Roles",$D1304=Company_Explorer!$B$7),OR(Company_Explorer!$B$8="All Ghost Labels",$AG1304=Company_Explorer!$B$8)),1,0)</f>
        <v>0</v>
      </c>
    </row>
    <row r="1305" spans="1:35" ht="15" customHeight="1" x14ac:dyDescent="0.3">
      <c r="A1305" s="65" t="s">
        <v>4828</v>
      </c>
      <c r="B1305" s="65" t="s">
        <v>81</v>
      </c>
      <c r="C1305" s="65" t="s">
        <v>4746</v>
      </c>
      <c r="D1305" s="65" t="s">
        <v>125</v>
      </c>
      <c r="E1305" s="65" t="s">
        <v>142</v>
      </c>
      <c r="F1305" s="65" t="b">
        <f>TRUE()</f>
        <v>1</v>
      </c>
      <c r="G1305" s="65" t="s">
        <v>165</v>
      </c>
      <c r="H1305" s="65" t="s">
        <v>3672</v>
      </c>
      <c r="I1305" s="66">
        <v>46210.013542905101</v>
      </c>
      <c r="J1305" s="66">
        <v>46210.283011805601</v>
      </c>
      <c r="K1305" s="65">
        <v>0.3</v>
      </c>
      <c r="L1305" s="65" t="s">
        <v>183</v>
      </c>
      <c r="M1305" s="65" t="s">
        <v>183</v>
      </c>
      <c r="N1305" s="65" t="b">
        <f>FALSE()</f>
        <v>0</v>
      </c>
      <c r="O1305" s="65"/>
      <c r="P1305" s="65"/>
      <c r="Q1305" s="65" t="s">
        <v>236</v>
      </c>
      <c r="R1305" s="65" t="s">
        <v>236</v>
      </c>
      <c r="S1305" s="65"/>
      <c r="T1305" s="65" t="b">
        <f>FALSE()</f>
        <v>0</v>
      </c>
      <c r="U1305" s="65" t="b">
        <f>FALSE()</f>
        <v>0</v>
      </c>
      <c r="V1305" s="65">
        <v>724</v>
      </c>
      <c r="W1305" s="67" t="s">
        <v>4747</v>
      </c>
      <c r="X1305" s="65">
        <v>81</v>
      </c>
      <c r="Y1305" s="68">
        <v>141.75</v>
      </c>
      <c r="Z1305" s="65" t="b">
        <f>FALSE()</f>
        <v>0</v>
      </c>
      <c r="AA1305" s="65" t="b">
        <f>TRUE()</f>
        <v>1</v>
      </c>
      <c r="AB1305" s="65" t="b">
        <f>FALSE()</f>
        <v>0</v>
      </c>
      <c r="AC1305" s="65" t="b">
        <f>FALSE()</f>
        <v>0</v>
      </c>
      <c r="AD1305" s="65" t="b">
        <f>TRUE()</f>
        <v>1</v>
      </c>
      <c r="AE1305" s="65">
        <v>3</v>
      </c>
      <c r="AF1305" s="69">
        <v>42.9</v>
      </c>
      <c r="AG1305" s="65" t="s">
        <v>73</v>
      </c>
      <c r="AH1305" s="65" t="s">
        <v>4829</v>
      </c>
      <c r="AI1305">
        <f>IF(AND(OR(Company_Explorer!$B$5="All Companies",$E1305=Company_Explorer!$B$5),OR(Company_Explorer!$B$6="All Platforms",$B1305=Company_Explorer!$B$6),OR(Company_Explorer!$B$7="All Roles",$D1305=Company_Explorer!$B$7),OR(Company_Explorer!$B$8="All Ghost Labels",$AG1305=Company_Explorer!$B$8)),1,0)</f>
        <v>0</v>
      </c>
    </row>
    <row r="1306" spans="1:35" ht="15" customHeight="1" x14ac:dyDescent="0.3">
      <c r="A1306" s="60" t="s">
        <v>4830</v>
      </c>
      <c r="B1306" s="60" t="s">
        <v>81</v>
      </c>
      <c r="C1306" s="60" t="s">
        <v>4746</v>
      </c>
      <c r="D1306" s="60" t="s">
        <v>125</v>
      </c>
      <c r="E1306" s="60" t="s">
        <v>142</v>
      </c>
      <c r="F1306" s="60" t="b">
        <f>TRUE()</f>
        <v>1</v>
      </c>
      <c r="G1306" s="60" t="s">
        <v>165</v>
      </c>
      <c r="H1306" s="60" t="s">
        <v>3620</v>
      </c>
      <c r="I1306" s="61">
        <v>46210.0136627662</v>
      </c>
      <c r="J1306" s="61">
        <v>46210.283011909698</v>
      </c>
      <c r="K1306" s="60">
        <v>0.3</v>
      </c>
      <c r="L1306" s="60" t="s">
        <v>183</v>
      </c>
      <c r="M1306" s="60" t="s">
        <v>183</v>
      </c>
      <c r="N1306" s="60" t="b">
        <f>FALSE()</f>
        <v>0</v>
      </c>
      <c r="O1306" s="60"/>
      <c r="P1306" s="60"/>
      <c r="Q1306" s="60" t="s">
        <v>236</v>
      </c>
      <c r="R1306" s="60" t="s">
        <v>236</v>
      </c>
      <c r="S1306" s="60"/>
      <c r="T1306" s="60" t="b">
        <f>FALSE()</f>
        <v>0</v>
      </c>
      <c r="U1306" s="60" t="b">
        <f>FALSE()</f>
        <v>0</v>
      </c>
      <c r="V1306" s="60">
        <v>722</v>
      </c>
      <c r="W1306" s="62" t="s">
        <v>4747</v>
      </c>
      <c r="X1306" s="60">
        <v>81</v>
      </c>
      <c r="Y1306" s="63">
        <v>141.75</v>
      </c>
      <c r="Z1306" s="60" t="b">
        <f>FALSE()</f>
        <v>0</v>
      </c>
      <c r="AA1306" s="60" t="b">
        <f>TRUE()</f>
        <v>1</v>
      </c>
      <c r="AB1306" s="60" t="b">
        <f>FALSE()</f>
        <v>0</v>
      </c>
      <c r="AC1306" s="60" t="b">
        <f>FALSE()</f>
        <v>0</v>
      </c>
      <c r="AD1306" s="60" t="b">
        <f>TRUE()</f>
        <v>1</v>
      </c>
      <c r="AE1306" s="60">
        <v>3</v>
      </c>
      <c r="AF1306" s="64">
        <v>42.9</v>
      </c>
      <c r="AG1306" s="60" t="s">
        <v>73</v>
      </c>
      <c r="AH1306" s="60" t="s">
        <v>4831</v>
      </c>
      <c r="AI1306">
        <f>IF(AND(OR(Company_Explorer!$B$5="All Companies",$E1306=Company_Explorer!$B$5),OR(Company_Explorer!$B$6="All Platforms",$B1306=Company_Explorer!$B$6),OR(Company_Explorer!$B$7="All Roles",$D1306=Company_Explorer!$B$7),OR(Company_Explorer!$B$8="All Ghost Labels",$AG1306=Company_Explorer!$B$8)),1,0)</f>
        <v>0</v>
      </c>
    </row>
    <row r="1307" spans="1:35" ht="15" customHeight="1" x14ac:dyDescent="0.3">
      <c r="A1307" s="65" t="s">
        <v>4832</v>
      </c>
      <c r="B1307" s="65" t="s">
        <v>81</v>
      </c>
      <c r="C1307" s="65" t="s">
        <v>4833</v>
      </c>
      <c r="D1307" s="65" t="s">
        <v>125</v>
      </c>
      <c r="E1307" s="65" t="s">
        <v>4834</v>
      </c>
      <c r="F1307" s="65" t="b">
        <f>TRUE()</f>
        <v>1</v>
      </c>
      <c r="G1307" s="65" t="s">
        <v>165</v>
      </c>
      <c r="H1307" s="65" t="s">
        <v>3636</v>
      </c>
      <c r="I1307" s="66">
        <v>46210.038855057901</v>
      </c>
      <c r="J1307" s="66">
        <v>46210.2830118403</v>
      </c>
      <c r="K1307" s="65">
        <v>0.2</v>
      </c>
      <c r="L1307" s="65" t="s">
        <v>183</v>
      </c>
      <c r="M1307" s="65" t="s">
        <v>183</v>
      </c>
      <c r="N1307" s="65" t="b">
        <f>FALSE()</f>
        <v>0</v>
      </c>
      <c r="O1307" s="65"/>
      <c r="P1307" s="65"/>
      <c r="Q1307" s="65" t="s">
        <v>236</v>
      </c>
      <c r="R1307" s="65" t="s">
        <v>236</v>
      </c>
      <c r="S1307" s="65"/>
      <c r="T1307" s="65" t="b">
        <f>FALSE()</f>
        <v>0</v>
      </c>
      <c r="U1307" s="65" t="b">
        <f>FALSE()</f>
        <v>0</v>
      </c>
      <c r="V1307" s="65">
        <v>336</v>
      </c>
      <c r="W1307" s="67" t="s">
        <v>4835</v>
      </c>
      <c r="X1307" s="65">
        <v>2</v>
      </c>
      <c r="Y1307" s="68">
        <v>3.5</v>
      </c>
      <c r="Z1307" s="65" t="b">
        <f>FALSE()</f>
        <v>0</v>
      </c>
      <c r="AA1307" s="65" t="b">
        <f>TRUE()</f>
        <v>1</v>
      </c>
      <c r="AB1307" s="65" t="b">
        <f>FALSE()</f>
        <v>0</v>
      </c>
      <c r="AC1307" s="65" t="b">
        <f>FALSE()</f>
        <v>0</v>
      </c>
      <c r="AD1307" s="65" t="b">
        <f>FALSE()</f>
        <v>0</v>
      </c>
      <c r="AE1307" s="65">
        <v>1</v>
      </c>
      <c r="AF1307" s="69">
        <v>14.3</v>
      </c>
      <c r="AG1307" s="65" t="s">
        <v>74</v>
      </c>
      <c r="AH1307" s="65" t="s">
        <v>4836</v>
      </c>
      <c r="AI1307">
        <f>IF(AND(OR(Company_Explorer!$B$5="All Companies",$E1307=Company_Explorer!$B$5),OR(Company_Explorer!$B$6="All Platforms",$B1307=Company_Explorer!$B$6),OR(Company_Explorer!$B$7="All Roles",$D1307=Company_Explorer!$B$7),OR(Company_Explorer!$B$8="All Ghost Labels",$AG1307=Company_Explorer!$B$8)),1,0)</f>
        <v>0</v>
      </c>
    </row>
    <row r="1308" spans="1:35" ht="15" customHeight="1" x14ac:dyDescent="0.3">
      <c r="A1308" s="60" t="s">
        <v>4837</v>
      </c>
      <c r="B1308" s="60" t="s">
        <v>81</v>
      </c>
      <c r="C1308" s="60" t="s">
        <v>130</v>
      </c>
      <c r="D1308" s="60" t="s">
        <v>130</v>
      </c>
      <c r="E1308" s="60" t="s">
        <v>143</v>
      </c>
      <c r="F1308" s="60" t="b">
        <f>TRUE()</f>
        <v>1</v>
      </c>
      <c r="G1308" s="60" t="s">
        <v>165</v>
      </c>
      <c r="H1308" s="60" t="s">
        <v>3655</v>
      </c>
      <c r="I1308" s="61">
        <v>46210.053283125002</v>
      </c>
      <c r="J1308" s="61">
        <v>46210.283012141197</v>
      </c>
      <c r="K1308" s="60">
        <v>0.2</v>
      </c>
      <c r="L1308" s="60" t="s">
        <v>183</v>
      </c>
      <c r="M1308" s="60" t="s">
        <v>183</v>
      </c>
      <c r="N1308" s="60" t="b">
        <f>FALSE()</f>
        <v>0</v>
      </c>
      <c r="O1308" s="60"/>
      <c r="P1308" s="60"/>
      <c r="Q1308" s="60" t="s">
        <v>236</v>
      </c>
      <c r="R1308" s="60" t="s">
        <v>236</v>
      </c>
      <c r="S1308" s="60"/>
      <c r="T1308" s="60" t="b">
        <f>FALSE()</f>
        <v>0</v>
      </c>
      <c r="U1308" s="60" t="b">
        <f>FALSE()</f>
        <v>0</v>
      </c>
      <c r="V1308" s="60">
        <v>353</v>
      </c>
      <c r="W1308" s="62" t="s">
        <v>4449</v>
      </c>
      <c r="X1308" s="60">
        <v>64</v>
      </c>
      <c r="Y1308" s="63">
        <v>112</v>
      </c>
      <c r="Z1308" s="60" t="b">
        <f>FALSE()</f>
        <v>0</v>
      </c>
      <c r="AA1308" s="60" t="b">
        <f>TRUE()</f>
        <v>1</v>
      </c>
      <c r="AB1308" s="60" t="b">
        <f>FALSE()</f>
        <v>0</v>
      </c>
      <c r="AC1308" s="60" t="b">
        <f>FALSE()</f>
        <v>0</v>
      </c>
      <c r="AD1308" s="60" t="b">
        <f>TRUE()</f>
        <v>1</v>
      </c>
      <c r="AE1308" s="60">
        <v>3</v>
      </c>
      <c r="AF1308" s="64">
        <v>42.9</v>
      </c>
      <c r="AG1308" s="60" t="s">
        <v>73</v>
      </c>
      <c r="AH1308" s="60" t="s">
        <v>4838</v>
      </c>
      <c r="AI1308">
        <f>IF(AND(OR(Company_Explorer!$B$5="All Companies",$E1308=Company_Explorer!$B$5),OR(Company_Explorer!$B$6="All Platforms",$B1308=Company_Explorer!$B$6),OR(Company_Explorer!$B$7="All Roles",$D1308=Company_Explorer!$B$7),OR(Company_Explorer!$B$8="All Ghost Labels",$AG1308=Company_Explorer!$B$8)),1,0)</f>
        <v>0</v>
      </c>
    </row>
    <row r="1309" spans="1:35" ht="15" customHeight="1" x14ac:dyDescent="0.3">
      <c r="A1309" s="65" t="s">
        <v>4839</v>
      </c>
      <c r="B1309" s="65" t="s">
        <v>81</v>
      </c>
      <c r="C1309" s="65" t="s">
        <v>4840</v>
      </c>
      <c r="D1309" s="65" t="s">
        <v>125</v>
      </c>
      <c r="E1309" s="65" t="s">
        <v>4841</v>
      </c>
      <c r="F1309" s="65" t="b">
        <f>TRUE()</f>
        <v>1</v>
      </c>
      <c r="G1309" s="65" t="s">
        <v>165</v>
      </c>
      <c r="H1309" s="65" t="s">
        <v>3636</v>
      </c>
      <c r="I1309" s="66">
        <v>46210.024307939799</v>
      </c>
      <c r="J1309" s="66">
        <v>46210.283012557898</v>
      </c>
      <c r="K1309" s="65">
        <v>0.3</v>
      </c>
      <c r="L1309" s="65" t="s">
        <v>183</v>
      </c>
      <c r="M1309" s="65" t="s">
        <v>183</v>
      </c>
      <c r="N1309" s="65" t="b">
        <f>FALSE()</f>
        <v>0</v>
      </c>
      <c r="O1309" s="65"/>
      <c r="P1309" s="65"/>
      <c r="Q1309" s="65" t="s">
        <v>236</v>
      </c>
      <c r="R1309" s="65" t="s">
        <v>236</v>
      </c>
      <c r="S1309" s="65"/>
      <c r="T1309" s="65" t="b">
        <f>FALSE()</f>
        <v>0</v>
      </c>
      <c r="U1309" s="65" t="b">
        <f>FALSE()</f>
        <v>0</v>
      </c>
      <c r="V1309" s="65">
        <v>571</v>
      </c>
      <c r="W1309" s="67" t="s">
        <v>4842</v>
      </c>
      <c r="X1309" s="65">
        <v>2</v>
      </c>
      <c r="Y1309" s="68">
        <v>3.5</v>
      </c>
      <c r="Z1309" s="65" t="b">
        <f>FALSE()</f>
        <v>0</v>
      </c>
      <c r="AA1309" s="65" t="b">
        <f>TRUE()</f>
        <v>1</v>
      </c>
      <c r="AB1309" s="65" t="b">
        <f>FALSE()</f>
        <v>0</v>
      </c>
      <c r="AC1309" s="65" t="b">
        <f>FALSE()</f>
        <v>0</v>
      </c>
      <c r="AD1309" s="65" t="b">
        <f>FALSE()</f>
        <v>0</v>
      </c>
      <c r="AE1309" s="65">
        <v>1</v>
      </c>
      <c r="AF1309" s="69">
        <v>14.3</v>
      </c>
      <c r="AG1309" s="65" t="s">
        <v>74</v>
      </c>
      <c r="AH1309" s="65" t="s">
        <v>4843</v>
      </c>
      <c r="AI1309">
        <f>IF(AND(OR(Company_Explorer!$B$5="All Companies",$E1309=Company_Explorer!$B$5),OR(Company_Explorer!$B$6="All Platforms",$B1309=Company_Explorer!$B$6),OR(Company_Explorer!$B$7="All Roles",$D1309=Company_Explorer!$B$7),OR(Company_Explorer!$B$8="All Ghost Labels",$AG1309=Company_Explorer!$B$8)),1,0)</f>
        <v>0</v>
      </c>
    </row>
    <row r="1310" spans="1:35" ht="15" customHeight="1" x14ac:dyDescent="0.3">
      <c r="A1310" s="60" t="s">
        <v>4844</v>
      </c>
      <c r="B1310" s="60" t="s">
        <v>81</v>
      </c>
      <c r="C1310" s="60" t="s">
        <v>4746</v>
      </c>
      <c r="D1310" s="60" t="s">
        <v>125</v>
      </c>
      <c r="E1310" s="60" t="s">
        <v>142</v>
      </c>
      <c r="F1310" s="60" t="b">
        <f>TRUE()</f>
        <v>1</v>
      </c>
      <c r="G1310" s="60" t="s">
        <v>165</v>
      </c>
      <c r="H1310" s="60" t="s">
        <v>3636</v>
      </c>
      <c r="I1310" s="61">
        <v>46210.013519629603</v>
      </c>
      <c r="J1310" s="61">
        <v>46210.283012800901</v>
      </c>
      <c r="K1310" s="60">
        <v>0.3</v>
      </c>
      <c r="L1310" s="60" t="s">
        <v>183</v>
      </c>
      <c r="M1310" s="60" t="s">
        <v>183</v>
      </c>
      <c r="N1310" s="60" t="b">
        <f>FALSE()</f>
        <v>0</v>
      </c>
      <c r="O1310" s="60"/>
      <c r="P1310" s="60"/>
      <c r="Q1310" s="60" t="s">
        <v>236</v>
      </c>
      <c r="R1310" s="60" t="s">
        <v>236</v>
      </c>
      <c r="S1310" s="60"/>
      <c r="T1310" s="60" t="b">
        <f>FALSE()</f>
        <v>0</v>
      </c>
      <c r="U1310" s="60" t="b">
        <f>FALSE()</f>
        <v>0</v>
      </c>
      <c r="V1310" s="60">
        <v>724</v>
      </c>
      <c r="W1310" s="62" t="s">
        <v>4747</v>
      </c>
      <c r="X1310" s="60">
        <v>81</v>
      </c>
      <c r="Y1310" s="63">
        <v>141.75</v>
      </c>
      <c r="Z1310" s="60" t="b">
        <f>FALSE()</f>
        <v>0</v>
      </c>
      <c r="AA1310" s="60" t="b">
        <f>TRUE()</f>
        <v>1</v>
      </c>
      <c r="AB1310" s="60" t="b">
        <f>FALSE()</f>
        <v>0</v>
      </c>
      <c r="AC1310" s="60" t="b">
        <f>FALSE()</f>
        <v>0</v>
      </c>
      <c r="AD1310" s="60" t="b">
        <f>TRUE()</f>
        <v>1</v>
      </c>
      <c r="AE1310" s="60">
        <v>3</v>
      </c>
      <c r="AF1310" s="64">
        <v>42.9</v>
      </c>
      <c r="AG1310" s="60" t="s">
        <v>73</v>
      </c>
      <c r="AH1310" s="60" t="s">
        <v>4845</v>
      </c>
      <c r="AI1310">
        <f>IF(AND(OR(Company_Explorer!$B$5="All Companies",$E1310=Company_Explorer!$B$5),OR(Company_Explorer!$B$6="All Platforms",$B1310=Company_Explorer!$B$6),OR(Company_Explorer!$B$7="All Roles",$D1310=Company_Explorer!$B$7),OR(Company_Explorer!$B$8="All Ghost Labels",$AG1310=Company_Explorer!$B$8)),1,0)</f>
        <v>0</v>
      </c>
    </row>
    <row r="1311" spans="1:35" ht="15" customHeight="1" x14ac:dyDescent="0.3">
      <c r="A1311" s="65" t="s">
        <v>4846</v>
      </c>
      <c r="B1311" s="65" t="s">
        <v>81</v>
      </c>
      <c r="C1311" s="65" t="s">
        <v>4750</v>
      </c>
      <c r="D1311" s="65" t="s">
        <v>125</v>
      </c>
      <c r="E1311" s="65" t="s">
        <v>142</v>
      </c>
      <c r="F1311" s="65" t="b">
        <f>TRUE()</f>
        <v>1</v>
      </c>
      <c r="G1311" s="65" t="s">
        <v>165</v>
      </c>
      <c r="H1311" s="65" t="s">
        <v>3620</v>
      </c>
      <c r="I1311" s="66">
        <v>46210.013644259299</v>
      </c>
      <c r="J1311" s="66">
        <v>46210.2830129051</v>
      </c>
      <c r="K1311" s="65">
        <v>0.3</v>
      </c>
      <c r="L1311" s="65" t="s">
        <v>183</v>
      </c>
      <c r="M1311" s="65" t="s">
        <v>183</v>
      </c>
      <c r="N1311" s="65" t="b">
        <f>FALSE()</f>
        <v>0</v>
      </c>
      <c r="O1311" s="65"/>
      <c r="P1311" s="65"/>
      <c r="Q1311" s="65" t="s">
        <v>236</v>
      </c>
      <c r="R1311" s="65" t="s">
        <v>236</v>
      </c>
      <c r="S1311" s="65"/>
      <c r="T1311" s="65" t="b">
        <f>FALSE()</f>
        <v>0</v>
      </c>
      <c r="U1311" s="65" t="b">
        <f>FALSE()</f>
        <v>0</v>
      </c>
      <c r="V1311" s="65">
        <v>991</v>
      </c>
      <c r="W1311" s="67" t="s">
        <v>4751</v>
      </c>
      <c r="X1311" s="65">
        <v>81</v>
      </c>
      <c r="Y1311" s="68">
        <v>141.75</v>
      </c>
      <c r="Z1311" s="65" t="b">
        <f>FALSE()</f>
        <v>0</v>
      </c>
      <c r="AA1311" s="65" t="b">
        <f>TRUE()</f>
        <v>1</v>
      </c>
      <c r="AB1311" s="65" t="b">
        <f>FALSE()</f>
        <v>0</v>
      </c>
      <c r="AC1311" s="65" t="b">
        <f>FALSE()</f>
        <v>0</v>
      </c>
      <c r="AD1311" s="65" t="b">
        <f>TRUE()</f>
        <v>1</v>
      </c>
      <c r="AE1311" s="65">
        <v>3</v>
      </c>
      <c r="AF1311" s="69">
        <v>42.9</v>
      </c>
      <c r="AG1311" s="65" t="s">
        <v>73</v>
      </c>
      <c r="AH1311" s="65" t="s">
        <v>4847</v>
      </c>
      <c r="AI1311">
        <f>IF(AND(OR(Company_Explorer!$B$5="All Companies",$E1311=Company_Explorer!$B$5),OR(Company_Explorer!$B$6="All Platforms",$B1311=Company_Explorer!$B$6),OR(Company_Explorer!$B$7="All Roles",$D1311=Company_Explorer!$B$7),OR(Company_Explorer!$B$8="All Ghost Labels",$AG1311=Company_Explorer!$B$8)),1,0)</f>
        <v>0</v>
      </c>
    </row>
    <row r="1312" spans="1:35" ht="15" customHeight="1" x14ac:dyDescent="0.3">
      <c r="A1312" s="60" t="s">
        <v>4848</v>
      </c>
      <c r="B1312" s="60" t="s">
        <v>81</v>
      </c>
      <c r="C1312" s="60" t="s">
        <v>4849</v>
      </c>
      <c r="D1312" s="60" t="s">
        <v>125</v>
      </c>
      <c r="E1312" s="60" t="s">
        <v>4850</v>
      </c>
      <c r="F1312" s="60" t="b">
        <f>TRUE()</f>
        <v>1</v>
      </c>
      <c r="G1312" s="60" t="s">
        <v>165</v>
      </c>
      <c r="H1312" s="60" t="s">
        <v>3620</v>
      </c>
      <c r="I1312" s="61">
        <v>46210.018895509304</v>
      </c>
      <c r="J1312" s="61">
        <v>46210.283012997701</v>
      </c>
      <c r="K1312" s="60">
        <v>0.3</v>
      </c>
      <c r="L1312" s="60" t="s">
        <v>183</v>
      </c>
      <c r="M1312" s="60" t="s">
        <v>183</v>
      </c>
      <c r="N1312" s="60" t="b">
        <f>FALSE()</f>
        <v>0</v>
      </c>
      <c r="O1312" s="60"/>
      <c r="P1312" s="60"/>
      <c r="Q1312" s="60" t="s">
        <v>236</v>
      </c>
      <c r="R1312" s="60" t="s">
        <v>236</v>
      </c>
      <c r="S1312" s="60"/>
      <c r="T1312" s="60" t="b">
        <f>FALSE()</f>
        <v>0</v>
      </c>
      <c r="U1312" s="60" t="b">
        <f>FALSE()</f>
        <v>0</v>
      </c>
      <c r="V1312" s="60">
        <v>332</v>
      </c>
      <c r="W1312" s="62" t="s">
        <v>4851</v>
      </c>
      <c r="X1312" s="60">
        <v>3</v>
      </c>
      <c r="Y1312" s="63">
        <v>5.25</v>
      </c>
      <c r="Z1312" s="60" t="b">
        <f>FALSE()</f>
        <v>0</v>
      </c>
      <c r="AA1312" s="60" t="b">
        <f>TRUE()</f>
        <v>1</v>
      </c>
      <c r="AB1312" s="60" t="b">
        <f>FALSE()</f>
        <v>0</v>
      </c>
      <c r="AC1312" s="60" t="b">
        <f>FALSE()</f>
        <v>0</v>
      </c>
      <c r="AD1312" s="60" t="b">
        <f>FALSE()</f>
        <v>0</v>
      </c>
      <c r="AE1312" s="60">
        <v>1</v>
      </c>
      <c r="AF1312" s="64">
        <v>14.3</v>
      </c>
      <c r="AG1312" s="60" t="s">
        <v>74</v>
      </c>
      <c r="AH1312" s="60" t="s">
        <v>4852</v>
      </c>
      <c r="AI1312">
        <f>IF(AND(OR(Company_Explorer!$B$5="All Companies",$E1312=Company_Explorer!$B$5),OR(Company_Explorer!$B$6="All Platforms",$B1312=Company_Explorer!$B$6),OR(Company_Explorer!$B$7="All Roles",$D1312=Company_Explorer!$B$7),OR(Company_Explorer!$B$8="All Ghost Labels",$AG1312=Company_Explorer!$B$8)),1,0)</f>
        <v>0</v>
      </c>
    </row>
    <row r="1313" spans="1:35" ht="15" customHeight="1" x14ac:dyDescent="0.3">
      <c r="A1313" s="65" t="s">
        <v>4853</v>
      </c>
      <c r="B1313" s="65" t="s">
        <v>81</v>
      </c>
      <c r="C1313" s="65" t="s">
        <v>4746</v>
      </c>
      <c r="D1313" s="65" t="s">
        <v>125</v>
      </c>
      <c r="E1313" s="65" t="s">
        <v>142</v>
      </c>
      <c r="F1313" s="65" t="b">
        <f>TRUE()</f>
        <v>1</v>
      </c>
      <c r="G1313" s="65" t="s">
        <v>165</v>
      </c>
      <c r="H1313" s="65" t="s">
        <v>3636</v>
      </c>
      <c r="I1313" s="66">
        <v>46210.013500127301</v>
      </c>
      <c r="J1313" s="66">
        <v>46210.2830131597</v>
      </c>
      <c r="K1313" s="65">
        <v>0.3</v>
      </c>
      <c r="L1313" s="65" t="s">
        <v>183</v>
      </c>
      <c r="M1313" s="65" t="s">
        <v>183</v>
      </c>
      <c r="N1313" s="65" t="b">
        <f>FALSE()</f>
        <v>0</v>
      </c>
      <c r="O1313" s="65"/>
      <c r="P1313" s="65"/>
      <c r="Q1313" s="65" t="s">
        <v>236</v>
      </c>
      <c r="R1313" s="65" t="s">
        <v>236</v>
      </c>
      <c r="S1313" s="65"/>
      <c r="T1313" s="65" t="b">
        <f>FALSE()</f>
        <v>0</v>
      </c>
      <c r="U1313" s="65" t="b">
        <f>FALSE()</f>
        <v>0</v>
      </c>
      <c r="V1313" s="65">
        <v>724</v>
      </c>
      <c r="W1313" s="67" t="s">
        <v>4747</v>
      </c>
      <c r="X1313" s="65">
        <v>81</v>
      </c>
      <c r="Y1313" s="68">
        <v>141.75</v>
      </c>
      <c r="Z1313" s="65" t="b">
        <f>FALSE()</f>
        <v>0</v>
      </c>
      <c r="AA1313" s="65" t="b">
        <f>TRUE()</f>
        <v>1</v>
      </c>
      <c r="AB1313" s="65" t="b">
        <f>FALSE()</f>
        <v>0</v>
      </c>
      <c r="AC1313" s="65" t="b">
        <f>FALSE()</f>
        <v>0</v>
      </c>
      <c r="AD1313" s="65" t="b">
        <f>TRUE()</f>
        <v>1</v>
      </c>
      <c r="AE1313" s="65">
        <v>3</v>
      </c>
      <c r="AF1313" s="69">
        <v>42.9</v>
      </c>
      <c r="AG1313" s="65" t="s">
        <v>73</v>
      </c>
      <c r="AH1313" s="65" t="s">
        <v>4854</v>
      </c>
      <c r="AI1313">
        <f>IF(AND(OR(Company_Explorer!$B$5="All Companies",$E1313=Company_Explorer!$B$5),OR(Company_Explorer!$B$6="All Platforms",$B1313=Company_Explorer!$B$6),OR(Company_Explorer!$B$7="All Roles",$D1313=Company_Explorer!$B$7),OR(Company_Explorer!$B$8="All Ghost Labels",$AG1313=Company_Explorer!$B$8)),1,0)</f>
        <v>0</v>
      </c>
    </row>
    <row r="1314" spans="1:35" ht="15" customHeight="1" x14ac:dyDescent="0.3">
      <c r="A1314" s="60" t="s">
        <v>4855</v>
      </c>
      <c r="B1314" s="60" t="s">
        <v>81</v>
      </c>
      <c r="C1314" s="60" t="s">
        <v>4746</v>
      </c>
      <c r="D1314" s="60" t="s">
        <v>125</v>
      </c>
      <c r="E1314" s="60" t="s">
        <v>142</v>
      </c>
      <c r="F1314" s="60" t="b">
        <f>TRUE()</f>
        <v>1</v>
      </c>
      <c r="G1314" s="60" t="s">
        <v>165</v>
      </c>
      <c r="H1314" s="60" t="s">
        <v>3620</v>
      </c>
      <c r="I1314" s="61">
        <v>46210.013658252297</v>
      </c>
      <c r="J1314" s="61">
        <v>46210.283013240703</v>
      </c>
      <c r="K1314" s="60">
        <v>0.3</v>
      </c>
      <c r="L1314" s="60" t="s">
        <v>183</v>
      </c>
      <c r="M1314" s="60" t="s">
        <v>183</v>
      </c>
      <c r="N1314" s="60" t="b">
        <f>FALSE()</f>
        <v>0</v>
      </c>
      <c r="O1314" s="60"/>
      <c r="P1314" s="60"/>
      <c r="Q1314" s="60" t="s">
        <v>236</v>
      </c>
      <c r="R1314" s="60" t="s">
        <v>236</v>
      </c>
      <c r="S1314" s="60"/>
      <c r="T1314" s="60" t="b">
        <f>FALSE()</f>
        <v>0</v>
      </c>
      <c r="U1314" s="60" t="b">
        <f>FALSE()</f>
        <v>0</v>
      </c>
      <c r="V1314" s="60">
        <v>727</v>
      </c>
      <c r="W1314" s="62" t="s">
        <v>4747</v>
      </c>
      <c r="X1314" s="60">
        <v>81</v>
      </c>
      <c r="Y1314" s="63">
        <v>141.75</v>
      </c>
      <c r="Z1314" s="60" t="b">
        <f>FALSE()</f>
        <v>0</v>
      </c>
      <c r="AA1314" s="60" t="b">
        <f>TRUE()</f>
        <v>1</v>
      </c>
      <c r="AB1314" s="60" t="b">
        <f>FALSE()</f>
        <v>0</v>
      </c>
      <c r="AC1314" s="60" t="b">
        <f>FALSE()</f>
        <v>0</v>
      </c>
      <c r="AD1314" s="60" t="b">
        <f>TRUE()</f>
        <v>1</v>
      </c>
      <c r="AE1314" s="60">
        <v>3</v>
      </c>
      <c r="AF1314" s="64">
        <v>42.9</v>
      </c>
      <c r="AG1314" s="60" t="s">
        <v>73</v>
      </c>
      <c r="AH1314" s="60" t="s">
        <v>4856</v>
      </c>
      <c r="AI1314">
        <f>IF(AND(OR(Company_Explorer!$B$5="All Companies",$E1314=Company_Explorer!$B$5),OR(Company_Explorer!$B$6="All Platforms",$B1314=Company_Explorer!$B$6),OR(Company_Explorer!$B$7="All Roles",$D1314=Company_Explorer!$B$7),OR(Company_Explorer!$B$8="All Ghost Labels",$AG1314=Company_Explorer!$B$8)),1,0)</f>
        <v>0</v>
      </c>
    </row>
    <row r="1315" spans="1:35" ht="15" customHeight="1" x14ac:dyDescent="0.3">
      <c r="A1315" s="65" t="s">
        <v>4857</v>
      </c>
      <c r="B1315" s="65" t="s">
        <v>81</v>
      </c>
      <c r="C1315" s="65" t="s">
        <v>258</v>
      </c>
      <c r="D1315" s="65" t="s">
        <v>125</v>
      </c>
      <c r="E1315" s="65" t="s">
        <v>143</v>
      </c>
      <c r="F1315" s="65" t="b">
        <f>TRUE()</f>
        <v>1</v>
      </c>
      <c r="G1315" s="65" t="s">
        <v>165</v>
      </c>
      <c r="H1315" s="65" t="s">
        <v>3620</v>
      </c>
      <c r="I1315" s="66">
        <v>46210.0532596759</v>
      </c>
      <c r="J1315" s="66">
        <v>46210.283013298598</v>
      </c>
      <c r="K1315" s="65">
        <v>0.2</v>
      </c>
      <c r="L1315" s="65" t="s">
        <v>183</v>
      </c>
      <c r="M1315" s="65" t="s">
        <v>183</v>
      </c>
      <c r="N1315" s="65" t="b">
        <f>FALSE()</f>
        <v>0</v>
      </c>
      <c r="O1315" s="65"/>
      <c r="P1315" s="65"/>
      <c r="Q1315" s="65" t="s">
        <v>236</v>
      </c>
      <c r="R1315" s="65" t="s">
        <v>236</v>
      </c>
      <c r="S1315" s="65"/>
      <c r="T1315" s="65" t="b">
        <f>FALSE()</f>
        <v>0</v>
      </c>
      <c r="U1315" s="65" t="b">
        <f>FALSE()</f>
        <v>0</v>
      </c>
      <c r="V1315" s="65">
        <v>561</v>
      </c>
      <c r="W1315" s="67" t="s">
        <v>4514</v>
      </c>
      <c r="X1315" s="65">
        <v>64</v>
      </c>
      <c r="Y1315" s="68">
        <v>112</v>
      </c>
      <c r="Z1315" s="65" t="b">
        <f>FALSE()</f>
        <v>0</v>
      </c>
      <c r="AA1315" s="65" t="b">
        <f>TRUE()</f>
        <v>1</v>
      </c>
      <c r="AB1315" s="65" t="b">
        <f>FALSE()</f>
        <v>0</v>
      </c>
      <c r="AC1315" s="65" t="b">
        <f>FALSE()</f>
        <v>0</v>
      </c>
      <c r="AD1315" s="65" t="b">
        <f>TRUE()</f>
        <v>1</v>
      </c>
      <c r="AE1315" s="65">
        <v>3</v>
      </c>
      <c r="AF1315" s="69">
        <v>42.9</v>
      </c>
      <c r="AG1315" s="65" t="s">
        <v>73</v>
      </c>
      <c r="AH1315" s="65" t="s">
        <v>4858</v>
      </c>
      <c r="AI1315">
        <f>IF(AND(OR(Company_Explorer!$B$5="All Companies",$E1315=Company_Explorer!$B$5),OR(Company_Explorer!$B$6="All Platforms",$B1315=Company_Explorer!$B$6),OR(Company_Explorer!$B$7="All Roles",$D1315=Company_Explorer!$B$7),OR(Company_Explorer!$B$8="All Ghost Labels",$AG1315=Company_Explorer!$B$8)),1,0)</f>
        <v>0</v>
      </c>
    </row>
    <row r="1316" spans="1:35" ht="15" customHeight="1" x14ac:dyDescent="0.3">
      <c r="A1316" s="60" t="s">
        <v>4859</v>
      </c>
      <c r="B1316" s="60" t="s">
        <v>81</v>
      </c>
      <c r="C1316" s="60" t="s">
        <v>4746</v>
      </c>
      <c r="D1316" s="60" t="s">
        <v>125</v>
      </c>
      <c r="E1316" s="60" t="s">
        <v>142</v>
      </c>
      <c r="F1316" s="60" t="b">
        <f>TRUE()</f>
        <v>1</v>
      </c>
      <c r="G1316" s="60" t="s">
        <v>165</v>
      </c>
      <c r="H1316" s="60" t="s">
        <v>3655</v>
      </c>
      <c r="I1316" s="61">
        <v>46210.013590254603</v>
      </c>
      <c r="J1316" s="61">
        <v>46210.283013703702</v>
      </c>
      <c r="K1316" s="60">
        <v>0.3</v>
      </c>
      <c r="L1316" s="60" t="s">
        <v>183</v>
      </c>
      <c r="M1316" s="60" t="s">
        <v>183</v>
      </c>
      <c r="N1316" s="60" t="b">
        <f>FALSE()</f>
        <v>0</v>
      </c>
      <c r="O1316" s="60"/>
      <c r="P1316" s="60"/>
      <c r="Q1316" s="60" t="s">
        <v>236</v>
      </c>
      <c r="R1316" s="60" t="s">
        <v>236</v>
      </c>
      <c r="S1316" s="60"/>
      <c r="T1316" s="60" t="b">
        <f>FALSE()</f>
        <v>0</v>
      </c>
      <c r="U1316" s="60" t="b">
        <f>FALSE()</f>
        <v>0</v>
      </c>
      <c r="V1316" s="60">
        <v>723</v>
      </c>
      <c r="W1316" s="62" t="s">
        <v>4747</v>
      </c>
      <c r="X1316" s="60">
        <v>81</v>
      </c>
      <c r="Y1316" s="63">
        <v>141.75</v>
      </c>
      <c r="Z1316" s="60" t="b">
        <f>FALSE()</f>
        <v>0</v>
      </c>
      <c r="AA1316" s="60" t="b">
        <f>TRUE()</f>
        <v>1</v>
      </c>
      <c r="AB1316" s="60" t="b">
        <f>FALSE()</f>
        <v>0</v>
      </c>
      <c r="AC1316" s="60" t="b">
        <f>FALSE()</f>
        <v>0</v>
      </c>
      <c r="AD1316" s="60" t="b">
        <f>TRUE()</f>
        <v>1</v>
      </c>
      <c r="AE1316" s="60">
        <v>3</v>
      </c>
      <c r="AF1316" s="64">
        <v>42.9</v>
      </c>
      <c r="AG1316" s="60" t="s">
        <v>73</v>
      </c>
      <c r="AH1316" s="60" t="s">
        <v>4860</v>
      </c>
      <c r="AI1316">
        <f>IF(AND(OR(Company_Explorer!$B$5="All Companies",$E1316=Company_Explorer!$B$5),OR(Company_Explorer!$B$6="All Platforms",$B1316=Company_Explorer!$B$6),OR(Company_Explorer!$B$7="All Roles",$D1316=Company_Explorer!$B$7),OR(Company_Explorer!$B$8="All Ghost Labels",$AG1316=Company_Explorer!$B$8)),1,0)</f>
        <v>0</v>
      </c>
    </row>
    <row r="1317" spans="1:35" ht="15" customHeight="1" x14ac:dyDescent="0.3">
      <c r="A1317" s="65" t="s">
        <v>4861</v>
      </c>
      <c r="B1317" s="65" t="s">
        <v>81</v>
      </c>
      <c r="C1317" s="65" t="s">
        <v>125</v>
      </c>
      <c r="D1317" s="65" t="s">
        <v>125</v>
      </c>
      <c r="E1317" s="65" t="s">
        <v>4850</v>
      </c>
      <c r="F1317" s="65" t="b">
        <f>TRUE()</f>
        <v>1</v>
      </c>
      <c r="G1317" s="65" t="s">
        <v>165</v>
      </c>
      <c r="H1317" s="65" t="s">
        <v>3620</v>
      </c>
      <c r="I1317" s="66">
        <v>46210.018895694498</v>
      </c>
      <c r="J1317" s="66">
        <v>46210.283013773202</v>
      </c>
      <c r="K1317" s="65">
        <v>0.3</v>
      </c>
      <c r="L1317" s="65" t="s">
        <v>183</v>
      </c>
      <c r="M1317" s="65" t="s">
        <v>183</v>
      </c>
      <c r="N1317" s="65" t="b">
        <f>FALSE()</f>
        <v>0</v>
      </c>
      <c r="O1317" s="65"/>
      <c r="P1317" s="65"/>
      <c r="Q1317" s="65" t="s">
        <v>236</v>
      </c>
      <c r="R1317" s="65" t="s">
        <v>236</v>
      </c>
      <c r="S1317" s="65"/>
      <c r="T1317" s="65" t="b">
        <f>FALSE()</f>
        <v>0</v>
      </c>
      <c r="U1317" s="65" t="b">
        <f>FALSE()</f>
        <v>0</v>
      </c>
      <c r="V1317" s="65">
        <v>331</v>
      </c>
      <c r="W1317" s="67" t="s">
        <v>4851</v>
      </c>
      <c r="X1317" s="65">
        <v>3</v>
      </c>
      <c r="Y1317" s="68">
        <v>5.25</v>
      </c>
      <c r="Z1317" s="65" t="b">
        <f>FALSE()</f>
        <v>0</v>
      </c>
      <c r="AA1317" s="65" t="b">
        <f>TRUE()</f>
        <v>1</v>
      </c>
      <c r="AB1317" s="65" t="b">
        <f>FALSE()</f>
        <v>0</v>
      </c>
      <c r="AC1317" s="65" t="b">
        <f>FALSE()</f>
        <v>0</v>
      </c>
      <c r="AD1317" s="65" t="b">
        <f>FALSE()</f>
        <v>0</v>
      </c>
      <c r="AE1317" s="65">
        <v>1</v>
      </c>
      <c r="AF1317" s="69">
        <v>14.3</v>
      </c>
      <c r="AG1317" s="65" t="s">
        <v>74</v>
      </c>
      <c r="AH1317" s="65" t="s">
        <v>4862</v>
      </c>
      <c r="AI1317">
        <f>IF(AND(OR(Company_Explorer!$B$5="All Companies",$E1317=Company_Explorer!$B$5),OR(Company_Explorer!$B$6="All Platforms",$B1317=Company_Explorer!$B$6),OR(Company_Explorer!$B$7="All Roles",$D1317=Company_Explorer!$B$7),OR(Company_Explorer!$B$8="All Ghost Labels",$AG1317=Company_Explorer!$B$8)),1,0)</f>
        <v>0</v>
      </c>
    </row>
    <row r="1318" spans="1:35" ht="15" customHeight="1" x14ac:dyDescent="0.3">
      <c r="A1318" s="60" t="s">
        <v>4863</v>
      </c>
      <c r="B1318" s="60" t="s">
        <v>81</v>
      </c>
      <c r="C1318" s="60" t="s">
        <v>4864</v>
      </c>
      <c r="D1318" s="60" t="s">
        <v>125</v>
      </c>
      <c r="E1318" s="60" t="s">
        <v>4865</v>
      </c>
      <c r="F1318" s="60" t="b">
        <f>TRUE()</f>
        <v>1</v>
      </c>
      <c r="G1318" s="60" t="s">
        <v>165</v>
      </c>
      <c r="H1318" s="60" t="s">
        <v>3620</v>
      </c>
      <c r="I1318" s="61">
        <v>46210.002070659699</v>
      </c>
      <c r="J1318" s="61">
        <v>46210.283013981498</v>
      </c>
      <c r="K1318" s="60">
        <v>0.3</v>
      </c>
      <c r="L1318" s="60" t="s">
        <v>183</v>
      </c>
      <c r="M1318" s="60" t="s">
        <v>183</v>
      </c>
      <c r="N1318" s="60" t="b">
        <f>FALSE()</f>
        <v>0</v>
      </c>
      <c r="O1318" s="60"/>
      <c r="P1318" s="60"/>
      <c r="Q1318" s="60" t="s">
        <v>236</v>
      </c>
      <c r="R1318" s="60" t="s">
        <v>236</v>
      </c>
      <c r="S1318" s="60"/>
      <c r="T1318" s="60" t="b">
        <f>FALSE()</f>
        <v>0</v>
      </c>
      <c r="U1318" s="60" t="b">
        <f>FALSE()</f>
        <v>0</v>
      </c>
      <c r="V1318" s="60">
        <v>532</v>
      </c>
      <c r="W1318" s="62" t="s">
        <v>4866</v>
      </c>
      <c r="X1318" s="60">
        <v>2</v>
      </c>
      <c r="Y1318" s="63">
        <v>3.5</v>
      </c>
      <c r="Z1318" s="60" t="b">
        <f>FALSE()</f>
        <v>0</v>
      </c>
      <c r="AA1318" s="60" t="b">
        <f>TRUE()</f>
        <v>1</v>
      </c>
      <c r="AB1318" s="60" t="b">
        <f>FALSE()</f>
        <v>0</v>
      </c>
      <c r="AC1318" s="60" t="b">
        <f>FALSE()</f>
        <v>0</v>
      </c>
      <c r="AD1318" s="60" t="b">
        <f>FALSE()</f>
        <v>0</v>
      </c>
      <c r="AE1318" s="60">
        <v>1</v>
      </c>
      <c r="AF1318" s="64">
        <v>14.3</v>
      </c>
      <c r="AG1318" s="60" t="s">
        <v>74</v>
      </c>
      <c r="AH1318" s="60" t="s">
        <v>4867</v>
      </c>
      <c r="AI1318">
        <f>IF(AND(OR(Company_Explorer!$B$5="All Companies",$E1318=Company_Explorer!$B$5),OR(Company_Explorer!$B$6="All Platforms",$B1318=Company_Explorer!$B$6),OR(Company_Explorer!$B$7="All Roles",$D1318=Company_Explorer!$B$7),OR(Company_Explorer!$B$8="All Ghost Labels",$AG1318=Company_Explorer!$B$8)),1,0)</f>
        <v>0</v>
      </c>
    </row>
    <row r="1319" spans="1:35" ht="15" customHeight="1" x14ac:dyDescent="0.3">
      <c r="A1319" s="65" t="s">
        <v>4868</v>
      </c>
      <c r="B1319" s="65" t="s">
        <v>81</v>
      </c>
      <c r="C1319" s="65" t="s">
        <v>130</v>
      </c>
      <c r="D1319" s="65" t="s">
        <v>130</v>
      </c>
      <c r="E1319" s="65" t="s">
        <v>143</v>
      </c>
      <c r="F1319" s="65" t="b">
        <f>TRUE()</f>
        <v>1</v>
      </c>
      <c r="G1319" s="65" t="s">
        <v>165</v>
      </c>
      <c r="H1319" s="65" t="s">
        <v>3620</v>
      </c>
      <c r="I1319" s="66">
        <v>46210.053258472202</v>
      </c>
      <c r="J1319" s="66">
        <v>46210.283014108798</v>
      </c>
      <c r="K1319" s="65">
        <v>0.2</v>
      </c>
      <c r="L1319" s="65" t="s">
        <v>183</v>
      </c>
      <c r="M1319" s="65" t="s">
        <v>183</v>
      </c>
      <c r="N1319" s="65" t="b">
        <f>FALSE()</f>
        <v>0</v>
      </c>
      <c r="O1319" s="65"/>
      <c r="P1319" s="65"/>
      <c r="Q1319" s="65" t="s">
        <v>236</v>
      </c>
      <c r="R1319" s="65" t="s">
        <v>236</v>
      </c>
      <c r="S1319" s="65"/>
      <c r="T1319" s="65" t="b">
        <f>FALSE()</f>
        <v>0</v>
      </c>
      <c r="U1319" s="65" t="b">
        <f>FALSE()</f>
        <v>0</v>
      </c>
      <c r="V1319" s="65">
        <v>306</v>
      </c>
      <c r="W1319" s="67" t="s">
        <v>4449</v>
      </c>
      <c r="X1319" s="65">
        <v>64</v>
      </c>
      <c r="Y1319" s="68">
        <v>112</v>
      </c>
      <c r="Z1319" s="65" t="b">
        <f>FALSE()</f>
        <v>0</v>
      </c>
      <c r="AA1319" s="65" t="b">
        <f>TRUE()</f>
        <v>1</v>
      </c>
      <c r="AB1319" s="65" t="b">
        <f>FALSE()</f>
        <v>0</v>
      </c>
      <c r="AC1319" s="65" t="b">
        <f>FALSE()</f>
        <v>0</v>
      </c>
      <c r="AD1319" s="65" t="b">
        <f>TRUE()</f>
        <v>1</v>
      </c>
      <c r="AE1319" s="65">
        <v>3</v>
      </c>
      <c r="AF1319" s="69">
        <v>42.9</v>
      </c>
      <c r="AG1319" s="65" t="s">
        <v>73</v>
      </c>
      <c r="AH1319" s="65" t="s">
        <v>4869</v>
      </c>
      <c r="AI1319">
        <f>IF(AND(OR(Company_Explorer!$B$5="All Companies",$E1319=Company_Explorer!$B$5),OR(Company_Explorer!$B$6="All Platforms",$B1319=Company_Explorer!$B$6),OR(Company_Explorer!$B$7="All Roles",$D1319=Company_Explorer!$B$7),OR(Company_Explorer!$B$8="All Ghost Labels",$AG1319=Company_Explorer!$B$8)),1,0)</f>
        <v>0</v>
      </c>
    </row>
    <row r="1320" spans="1:35" ht="15" customHeight="1" x14ac:dyDescent="0.3">
      <c r="A1320" s="60" t="s">
        <v>4870</v>
      </c>
      <c r="B1320" s="60" t="s">
        <v>81</v>
      </c>
      <c r="C1320" s="60" t="s">
        <v>2096</v>
      </c>
      <c r="D1320" s="60" t="s">
        <v>125</v>
      </c>
      <c r="E1320" s="60" t="s">
        <v>4850</v>
      </c>
      <c r="F1320" s="60" t="b">
        <f>TRUE()</f>
        <v>1</v>
      </c>
      <c r="G1320" s="60" t="s">
        <v>165</v>
      </c>
      <c r="H1320" s="60" t="s">
        <v>3620</v>
      </c>
      <c r="I1320" s="61">
        <v>46210.018895544003</v>
      </c>
      <c r="J1320" s="61">
        <v>46210.283014259301</v>
      </c>
      <c r="K1320" s="60">
        <v>0.3</v>
      </c>
      <c r="L1320" s="60" t="s">
        <v>183</v>
      </c>
      <c r="M1320" s="60" t="s">
        <v>183</v>
      </c>
      <c r="N1320" s="60" t="b">
        <f>FALSE()</f>
        <v>0</v>
      </c>
      <c r="O1320" s="60"/>
      <c r="P1320" s="60"/>
      <c r="Q1320" s="60" t="s">
        <v>236</v>
      </c>
      <c r="R1320" s="60" t="s">
        <v>236</v>
      </c>
      <c r="S1320" s="60"/>
      <c r="T1320" s="60" t="b">
        <f>FALSE()</f>
        <v>0</v>
      </c>
      <c r="U1320" s="60" t="b">
        <f>FALSE()</f>
        <v>0</v>
      </c>
      <c r="V1320" s="60">
        <v>333</v>
      </c>
      <c r="W1320" s="62" t="s">
        <v>4851</v>
      </c>
      <c r="X1320" s="60">
        <v>3</v>
      </c>
      <c r="Y1320" s="63">
        <v>5.25</v>
      </c>
      <c r="Z1320" s="60" t="b">
        <f>FALSE()</f>
        <v>0</v>
      </c>
      <c r="AA1320" s="60" t="b">
        <f>TRUE()</f>
        <v>1</v>
      </c>
      <c r="AB1320" s="60" t="b">
        <f>FALSE()</f>
        <v>0</v>
      </c>
      <c r="AC1320" s="60" t="b">
        <f>FALSE()</f>
        <v>0</v>
      </c>
      <c r="AD1320" s="60" t="b">
        <f>FALSE()</f>
        <v>0</v>
      </c>
      <c r="AE1320" s="60">
        <v>1</v>
      </c>
      <c r="AF1320" s="64">
        <v>14.3</v>
      </c>
      <c r="AG1320" s="60" t="s">
        <v>74</v>
      </c>
      <c r="AH1320" s="60" t="s">
        <v>4871</v>
      </c>
      <c r="AI1320">
        <f>IF(AND(OR(Company_Explorer!$B$5="All Companies",$E1320=Company_Explorer!$B$5),OR(Company_Explorer!$B$6="All Platforms",$B1320=Company_Explorer!$B$6),OR(Company_Explorer!$B$7="All Roles",$D1320=Company_Explorer!$B$7),OR(Company_Explorer!$B$8="All Ghost Labels",$AG1320=Company_Explorer!$B$8)),1,0)</f>
        <v>0</v>
      </c>
    </row>
    <row r="1321" spans="1:35" ht="15" customHeight="1" x14ac:dyDescent="0.3">
      <c r="A1321" s="65" t="s">
        <v>4872</v>
      </c>
      <c r="B1321" s="65" t="s">
        <v>81</v>
      </c>
      <c r="C1321" s="65" t="s">
        <v>134</v>
      </c>
      <c r="D1321" s="65" t="s">
        <v>134</v>
      </c>
      <c r="E1321" s="65" t="s">
        <v>143</v>
      </c>
      <c r="F1321" s="65" t="b">
        <f>TRUE()</f>
        <v>1</v>
      </c>
      <c r="G1321" s="65" t="s">
        <v>165</v>
      </c>
      <c r="H1321" s="65" t="s">
        <v>3620</v>
      </c>
      <c r="I1321" s="66">
        <v>46210.053237858803</v>
      </c>
      <c r="J1321" s="66">
        <v>46210.283014282402</v>
      </c>
      <c r="K1321" s="65">
        <v>0.2</v>
      </c>
      <c r="L1321" s="65" t="s">
        <v>183</v>
      </c>
      <c r="M1321" s="65" t="s">
        <v>183</v>
      </c>
      <c r="N1321" s="65" t="b">
        <f>FALSE()</f>
        <v>0</v>
      </c>
      <c r="O1321" s="65"/>
      <c r="P1321" s="65"/>
      <c r="Q1321" s="65" t="s">
        <v>236</v>
      </c>
      <c r="R1321" s="65" t="s">
        <v>236</v>
      </c>
      <c r="S1321" s="65"/>
      <c r="T1321" s="65" t="b">
        <f>FALSE()</f>
        <v>0</v>
      </c>
      <c r="U1321" s="65" t="b">
        <f>FALSE()</f>
        <v>0</v>
      </c>
      <c r="V1321" s="65">
        <v>395</v>
      </c>
      <c r="W1321" s="67" t="s">
        <v>4774</v>
      </c>
      <c r="X1321" s="65">
        <v>64</v>
      </c>
      <c r="Y1321" s="68">
        <v>112</v>
      </c>
      <c r="Z1321" s="65" t="b">
        <f>FALSE()</f>
        <v>0</v>
      </c>
      <c r="AA1321" s="65" t="b">
        <f>TRUE()</f>
        <v>1</v>
      </c>
      <c r="AB1321" s="65" t="b">
        <f>FALSE()</f>
        <v>0</v>
      </c>
      <c r="AC1321" s="65" t="b">
        <f>FALSE()</f>
        <v>0</v>
      </c>
      <c r="AD1321" s="65" t="b">
        <f>TRUE()</f>
        <v>1</v>
      </c>
      <c r="AE1321" s="65">
        <v>3</v>
      </c>
      <c r="AF1321" s="69">
        <v>42.9</v>
      </c>
      <c r="AG1321" s="65" t="s">
        <v>73</v>
      </c>
      <c r="AH1321" s="65" t="s">
        <v>4873</v>
      </c>
      <c r="AI1321">
        <f>IF(AND(OR(Company_Explorer!$B$5="All Companies",$E1321=Company_Explorer!$B$5),OR(Company_Explorer!$B$6="All Platforms",$B1321=Company_Explorer!$B$6),OR(Company_Explorer!$B$7="All Roles",$D1321=Company_Explorer!$B$7),OR(Company_Explorer!$B$8="All Ghost Labels",$AG1321=Company_Explorer!$B$8)),1,0)</f>
        <v>0</v>
      </c>
    </row>
    <row r="1322" spans="1:35" ht="15" customHeight="1" x14ac:dyDescent="0.3">
      <c r="A1322" s="60" t="s">
        <v>4874</v>
      </c>
      <c r="B1322" s="60" t="s">
        <v>81</v>
      </c>
      <c r="C1322" s="60" t="s">
        <v>4864</v>
      </c>
      <c r="D1322" s="60" t="s">
        <v>125</v>
      </c>
      <c r="E1322" s="60" t="s">
        <v>4865</v>
      </c>
      <c r="F1322" s="60" t="b">
        <f>TRUE()</f>
        <v>1</v>
      </c>
      <c r="G1322" s="60" t="s">
        <v>165</v>
      </c>
      <c r="H1322" s="60" t="s">
        <v>3620</v>
      </c>
      <c r="I1322" s="61">
        <v>46210.001447812501</v>
      </c>
      <c r="J1322" s="61">
        <v>46210.283014895802</v>
      </c>
      <c r="K1322" s="60">
        <v>0.3</v>
      </c>
      <c r="L1322" s="60" t="s">
        <v>183</v>
      </c>
      <c r="M1322" s="60" t="s">
        <v>183</v>
      </c>
      <c r="N1322" s="60" t="b">
        <f>FALSE()</f>
        <v>0</v>
      </c>
      <c r="O1322" s="60"/>
      <c r="P1322" s="60"/>
      <c r="Q1322" s="60" t="s">
        <v>236</v>
      </c>
      <c r="R1322" s="60" t="s">
        <v>236</v>
      </c>
      <c r="S1322" s="60"/>
      <c r="T1322" s="60" t="b">
        <f>FALSE()</f>
        <v>0</v>
      </c>
      <c r="U1322" s="60" t="b">
        <f>FALSE()</f>
        <v>0</v>
      </c>
      <c r="V1322" s="60">
        <v>532</v>
      </c>
      <c r="W1322" s="62" t="s">
        <v>4866</v>
      </c>
      <c r="X1322" s="60">
        <v>2</v>
      </c>
      <c r="Y1322" s="63">
        <v>3.5</v>
      </c>
      <c r="Z1322" s="60" t="b">
        <f>FALSE()</f>
        <v>0</v>
      </c>
      <c r="AA1322" s="60" t="b">
        <f>TRUE()</f>
        <v>1</v>
      </c>
      <c r="AB1322" s="60" t="b">
        <f>FALSE()</f>
        <v>0</v>
      </c>
      <c r="AC1322" s="60" t="b">
        <f>FALSE()</f>
        <v>0</v>
      </c>
      <c r="AD1322" s="60" t="b">
        <f>FALSE()</f>
        <v>0</v>
      </c>
      <c r="AE1322" s="60">
        <v>1</v>
      </c>
      <c r="AF1322" s="64">
        <v>14.3</v>
      </c>
      <c r="AG1322" s="60" t="s">
        <v>74</v>
      </c>
      <c r="AH1322" s="60" t="s">
        <v>4875</v>
      </c>
      <c r="AI1322">
        <f>IF(AND(OR(Company_Explorer!$B$5="All Companies",$E1322=Company_Explorer!$B$5),OR(Company_Explorer!$B$6="All Platforms",$B1322=Company_Explorer!$B$6),OR(Company_Explorer!$B$7="All Roles",$D1322=Company_Explorer!$B$7),OR(Company_Explorer!$B$8="All Ghost Labels",$AG1322=Company_Explorer!$B$8)),1,0)</f>
        <v>0</v>
      </c>
    </row>
    <row r="1323" spans="1:35" ht="15" customHeight="1" x14ac:dyDescent="0.3">
      <c r="A1323" s="65" t="s">
        <v>4876</v>
      </c>
      <c r="B1323" s="65" t="s">
        <v>81</v>
      </c>
      <c r="C1323" s="65" t="s">
        <v>4750</v>
      </c>
      <c r="D1323" s="65" t="s">
        <v>125</v>
      </c>
      <c r="E1323" s="65" t="s">
        <v>142</v>
      </c>
      <c r="F1323" s="65" t="b">
        <f>TRUE()</f>
        <v>1</v>
      </c>
      <c r="G1323" s="65" t="s">
        <v>165</v>
      </c>
      <c r="H1323" s="65" t="s">
        <v>3655</v>
      </c>
      <c r="I1323" s="66">
        <v>46210.013597812504</v>
      </c>
      <c r="J1323" s="66">
        <v>46210.283014849498</v>
      </c>
      <c r="K1323" s="65">
        <v>0.3</v>
      </c>
      <c r="L1323" s="65" t="s">
        <v>183</v>
      </c>
      <c r="M1323" s="65" t="s">
        <v>183</v>
      </c>
      <c r="N1323" s="65" t="b">
        <f>FALSE()</f>
        <v>0</v>
      </c>
      <c r="O1323" s="65"/>
      <c r="P1323" s="65"/>
      <c r="Q1323" s="65" t="s">
        <v>236</v>
      </c>
      <c r="R1323" s="65" t="s">
        <v>236</v>
      </c>
      <c r="S1323" s="65"/>
      <c r="T1323" s="65" t="b">
        <f>FALSE()</f>
        <v>0</v>
      </c>
      <c r="U1323" s="65" t="b">
        <f>FALSE()</f>
        <v>0</v>
      </c>
      <c r="V1323" s="65">
        <v>379</v>
      </c>
      <c r="W1323" s="67" t="s">
        <v>4751</v>
      </c>
      <c r="X1323" s="65">
        <v>81</v>
      </c>
      <c r="Y1323" s="68">
        <v>141.75</v>
      </c>
      <c r="Z1323" s="65" t="b">
        <f>FALSE()</f>
        <v>0</v>
      </c>
      <c r="AA1323" s="65" t="b">
        <f>TRUE()</f>
        <v>1</v>
      </c>
      <c r="AB1323" s="65" t="b">
        <f>FALSE()</f>
        <v>0</v>
      </c>
      <c r="AC1323" s="65" t="b">
        <f>FALSE()</f>
        <v>0</v>
      </c>
      <c r="AD1323" s="65" t="b">
        <f>TRUE()</f>
        <v>1</v>
      </c>
      <c r="AE1323" s="65">
        <v>3</v>
      </c>
      <c r="AF1323" s="69">
        <v>42.9</v>
      </c>
      <c r="AG1323" s="65" t="s">
        <v>73</v>
      </c>
      <c r="AH1323" s="65" t="s">
        <v>4877</v>
      </c>
      <c r="AI1323">
        <f>IF(AND(OR(Company_Explorer!$B$5="All Companies",$E1323=Company_Explorer!$B$5),OR(Company_Explorer!$B$6="All Platforms",$B1323=Company_Explorer!$B$6),OR(Company_Explorer!$B$7="All Roles",$D1323=Company_Explorer!$B$7),OR(Company_Explorer!$B$8="All Ghost Labels",$AG1323=Company_Explorer!$B$8)),1,0)</f>
        <v>0</v>
      </c>
    </row>
    <row r="1324" spans="1:35" ht="15" customHeight="1" x14ac:dyDescent="0.3">
      <c r="A1324" s="60" t="s">
        <v>4878</v>
      </c>
      <c r="B1324" s="60" t="s">
        <v>81</v>
      </c>
      <c r="C1324" s="60" t="s">
        <v>258</v>
      </c>
      <c r="D1324" s="60" t="s">
        <v>125</v>
      </c>
      <c r="E1324" s="60" t="s">
        <v>143</v>
      </c>
      <c r="F1324" s="60" t="b">
        <f>TRUE()</f>
        <v>1</v>
      </c>
      <c r="G1324" s="60" t="s">
        <v>165</v>
      </c>
      <c r="H1324" s="60" t="s">
        <v>3636</v>
      </c>
      <c r="I1324" s="61">
        <v>46210.053273738398</v>
      </c>
      <c r="J1324" s="61">
        <v>46210.283014953697</v>
      </c>
      <c r="K1324" s="60">
        <v>0.2</v>
      </c>
      <c r="L1324" s="60" t="s">
        <v>183</v>
      </c>
      <c r="M1324" s="60" t="s">
        <v>183</v>
      </c>
      <c r="N1324" s="60" t="b">
        <f>FALSE()</f>
        <v>0</v>
      </c>
      <c r="O1324" s="60"/>
      <c r="P1324" s="60"/>
      <c r="Q1324" s="60" t="s">
        <v>236</v>
      </c>
      <c r="R1324" s="60" t="s">
        <v>236</v>
      </c>
      <c r="S1324" s="60"/>
      <c r="T1324" s="60" t="b">
        <f>FALSE()</f>
        <v>0</v>
      </c>
      <c r="U1324" s="60" t="b">
        <f>FALSE()</f>
        <v>0</v>
      </c>
      <c r="V1324" s="60">
        <v>293</v>
      </c>
      <c r="W1324" s="62" t="s">
        <v>4514</v>
      </c>
      <c r="X1324" s="60">
        <v>64</v>
      </c>
      <c r="Y1324" s="63">
        <v>112</v>
      </c>
      <c r="Z1324" s="60" t="b">
        <f>FALSE()</f>
        <v>0</v>
      </c>
      <c r="AA1324" s="60" t="b">
        <f>TRUE()</f>
        <v>1</v>
      </c>
      <c r="AB1324" s="60" t="b">
        <f>TRUE()</f>
        <v>1</v>
      </c>
      <c r="AC1324" s="60" t="b">
        <f>FALSE()</f>
        <v>0</v>
      </c>
      <c r="AD1324" s="60" t="b">
        <f>TRUE()</f>
        <v>1</v>
      </c>
      <c r="AE1324" s="60">
        <v>4</v>
      </c>
      <c r="AF1324" s="64">
        <v>57.1</v>
      </c>
      <c r="AG1324" s="60" t="s">
        <v>72</v>
      </c>
      <c r="AH1324" s="60" t="s">
        <v>4879</v>
      </c>
      <c r="AI1324">
        <f>IF(AND(OR(Company_Explorer!$B$5="All Companies",$E1324=Company_Explorer!$B$5),OR(Company_Explorer!$B$6="All Platforms",$B1324=Company_Explorer!$B$6),OR(Company_Explorer!$B$7="All Roles",$D1324=Company_Explorer!$B$7),OR(Company_Explorer!$B$8="All Ghost Labels",$AG1324=Company_Explorer!$B$8)),1,0)</f>
        <v>0</v>
      </c>
    </row>
    <row r="1325" spans="1:35" ht="15" customHeight="1" x14ac:dyDescent="0.3">
      <c r="A1325" s="65" t="s">
        <v>4880</v>
      </c>
      <c r="B1325" s="65" t="s">
        <v>81</v>
      </c>
      <c r="C1325" s="65" t="s">
        <v>4750</v>
      </c>
      <c r="D1325" s="65" t="s">
        <v>125</v>
      </c>
      <c r="E1325" s="65" t="s">
        <v>142</v>
      </c>
      <c r="F1325" s="65" t="b">
        <f>TRUE()</f>
        <v>1</v>
      </c>
      <c r="G1325" s="65" t="s">
        <v>165</v>
      </c>
      <c r="H1325" s="65" t="s">
        <v>3672</v>
      </c>
      <c r="I1325" s="66">
        <v>46210.013590798597</v>
      </c>
      <c r="J1325" s="66">
        <v>46210.283015092602</v>
      </c>
      <c r="K1325" s="65">
        <v>0.3</v>
      </c>
      <c r="L1325" s="65" t="s">
        <v>183</v>
      </c>
      <c r="M1325" s="65" t="s">
        <v>183</v>
      </c>
      <c r="N1325" s="65" t="b">
        <f>FALSE()</f>
        <v>0</v>
      </c>
      <c r="O1325" s="65"/>
      <c r="P1325" s="65"/>
      <c r="Q1325" s="65" t="s">
        <v>236</v>
      </c>
      <c r="R1325" s="65" t="s">
        <v>236</v>
      </c>
      <c r="S1325" s="65"/>
      <c r="T1325" s="65" t="b">
        <f>FALSE()</f>
        <v>0</v>
      </c>
      <c r="U1325" s="65" t="b">
        <f>FALSE()</f>
        <v>0</v>
      </c>
      <c r="V1325" s="65">
        <v>381</v>
      </c>
      <c r="W1325" s="67" t="s">
        <v>4751</v>
      </c>
      <c r="X1325" s="65">
        <v>81</v>
      </c>
      <c r="Y1325" s="68">
        <v>141.75</v>
      </c>
      <c r="Z1325" s="65" t="b">
        <f>FALSE()</f>
        <v>0</v>
      </c>
      <c r="AA1325" s="65" t="b">
        <f>TRUE()</f>
        <v>1</v>
      </c>
      <c r="AB1325" s="65" t="b">
        <f>FALSE()</f>
        <v>0</v>
      </c>
      <c r="AC1325" s="65" t="b">
        <f>FALSE()</f>
        <v>0</v>
      </c>
      <c r="AD1325" s="65" t="b">
        <f>TRUE()</f>
        <v>1</v>
      </c>
      <c r="AE1325" s="65">
        <v>3</v>
      </c>
      <c r="AF1325" s="69">
        <v>42.9</v>
      </c>
      <c r="AG1325" s="65" t="s">
        <v>73</v>
      </c>
      <c r="AH1325" s="65" t="s">
        <v>4881</v>
      </c>
      <c r="AI1325">
        <f>IF(AND(OR(Company_Explorer!$B$5="All Companies",$E1325=Company_Explorer!$B$5),OR(Company_Explorer!$B$6="All Platforms",$B1325=Company_Explorer!$B$6),OR(Company_Explorer!$B$7="All Roles",$D1325=Company_Explorer!$B$7),OR(Company_Explorer!$B$8="All Ghost Labels",$AG1325=Company_Explorer!$B$8)),1,0)</f>
        <v>0</v>
      </c>
    </row>
    <row r="1326" spans="1:35" ht="15" customHeight="1" x14ac:dyDescent="0.3">
      <c r="A1326" s="60" t="s">
        <v>4882</v>
      </c>
      <c r="B1326" s="60" t="s">
        <v>81</v>
      </c>
      <c r="C1326" s="60" t="s">
        <v>4750</v>
      </c>
      <c r="D1326" s="60" t="s">
        <v>125</v>
      </c>
      <c r="E1326" s="60" t="s">
        <v>142</v>
      </c>
      <c r="F1326" s="60" t="b">
        <f>TRUE()</f>
        <v>1</v>
      </c>
      <c r="G1326" s="60" t="s">
        <v>165</v>
      </c>
      <c r="H1326" s="60" t="s">
        <v>3636</v>
      </c>
      <c r="I1326" s="61">
        <v>46210.0141249074</v>
      </c>
      <c r="J1326" s="61">
        <v>46210.283015185203</v>
      </c>
      <c r="K1326" s="60">
        <v>0.3</v>
      </c>
      <c r="L1326" s="60" t="s">
        <v>183</v>
      </c>
      <c r="M1326" s="60" t="s">
        <v>183</v>
      </c>
      <c r="N1326" s="60" t="b">
        <f>FALSE()</f>
        <v>0</v>
      </c>
      <c r="O1326" s="60"/>
      <c r="P1326" s="60"/>
      <c r="Q1326" s="60" t="s">
        <v>236</v>
      </c>
      <c r="R1326" s="60" t="s">
        <v>236</v>
      </c>
      <c r="S1326" s="60"/>
      <c r="T1326" s="60" t="b">
        <f>FALSE()</f>
        <v>0</v>
      </c>
      <c r="U1326" s="60" t="b">
        <f>FALSE()</f>
        <v>0</v>
      </c>
      <c r="V1326" s="60">
        <v>383</v>
      </c>
      <c r="W1326" s="62" t="s">
        <v>4751</v>
      </c>
      <c r="X1326" s="60">
        <v>81</v>
      </c>
      <c r="Y1326" s="63">
        <v>141.75</v>
      </c>
      <c r="Z1326" s="60" t="b">
        <f>FALSE()</f>
        <v>0</v>
      </c>
      <c r="AA1326" s="60" t="b">
        <f>TRUE()</f>
        <v>1</v>
      </c>
      <c r="AB1326" s="60" t="b">
        <f>FALSE()</f>
        <v>0</v>
      </c>
      <c r="AC1326" s="60" t="b">
        <f>FALSE()</f>
        <v>0</v>
      </c>
      <c r="AD1326" s="60" t="b">
        <f>TRUE()</f>
        <v>1</v>
      </c>
      <c r="AE1326" s="60">
        <v>3</v>
      </c>
      <c r="AF1326" s="64">
        <v>42.9</v>
      </c>
      <c r="AG1326" s="60" t="s">
        <v>73</v>
      </c>
      <c r="AH1326" s="60" t="s">
        <v>4883</v>
      </c>
      <c r="AI1326">
        <f>IF(AND(OR(Company_Explorer!$B$5="All Companies",$E1326=Company_Explorer!$B$5),OR(Company_Explorer!$B$6="All Platforms",$B1326=Company_Explorer!$B$6),OR(Company_Explorer!$B$7="All Roles",$D1326=Company_Explorer!$B$7),OR(Company_Explorer!$B$8="All Ghost Labels",$AG1326=Company_Explorer!$B$8)),1,0)</f>
        <v>0</v>
      </c>
    </row>
    <row r="1327" spans="1:35" ht="15" customHeight="1" x14ac:dyDescent="0.3">
      <c r="A1327" s="65" t="s">
        <v>4884</v>
      </c>
      <c r="B1327" s="65" t="s">
        <v>81</v>
      </c>
      <c r="C1327" s="65" t="s">
        <v>4885</v>
      </c>
      <c r="D1327" s="65" t="s">
        <v>134</v>
      </c>
      <c r="E1327" s="65" t="s">
        <v>3013</v>
      </c>
      <c r="F1327" s="65" t="b">
        <f>TRUE()</f>
        <v>1</v>
      </c>
      <c r="G1327" s="65" t="s">
        <v>165</v>
      </c>
      <c r="H1327" s="65" t="s">
        <v>3655</v>
      </c>
      <c r="I1327" s="66">
        <v>46209.996484004601</v>
      </c>
      <c r="J1327" s="66">
        <v>46210.283015324101</v>
      </c>
      <c r="K1327" s="65">
        <v>0.3</v>
      </c>
      <c r="L1327" s="65" t="s">
        <v>183</v>
      </c>
      <c r="M1327" s="65" t="s">
        <v>183</v>
      </c>
      <c r="N1327" s="65" t="b">
        <f>FALSE()</f>
        <v>0</v>
      </c>
      <c r="O1327" s="65"/>
      <c r="P1327" s="65"/>
      <c r="Q1327" s="65" t="s">
        <v>236</v>
      </c>
      <c r="R1327" s="65" t="s">
        <v>236</v>
      </c>
      <c r="S1327" s="65"/>
      <c r="T1327" s="65" t="b">
        <f>FALSE()</f>
        <v>0</v>
      </c>
      <c r="U1327" s="65" t="b">
        <f>FALSE()</f>
        <v>0</v>
      </c>
      <c r="V1327" s="65">
        <v>989</v>
      </c>
      <c r="W1327" s="65" t="s">
        <v>3014</v>
      </c>
      <c r="X1327" s="65">
        <v>3</v>
      </c>
      <c r="Y1327" s="68">
        <v>5.25</v>
      </c>
      <c r="Z1327" s="65" t="b">
        <f>FALSE()</f>
        <v>0</v>
      </c>
      <c r="AA1327" s="65" t="b">
        <f>TRUE()</f>
        <v>1</v>
      </c>
      <c r="AB1327" s="65" t="b">
        <f>FALSE()</f>
        <v>0</v>
      </c>
      <c r="AC1327" s="65" t="b">
        <f>FALSE()</f>
        <v>0</v>
      </c>
      <c r="AD1327" s="65" t="b">
        <f>FALSE()</f>
        <v>0</v>
      </c>
      <c r="AE1327" s="65">
        <v>1</v>
      </c>
      <c r="AF1327" s="69">
        <v>14.3</v>
      </c>
      <c r="AG1327" s="65" t="s">
        <v>74</v>
      </c>
      <c r="AH1327" s="65" t="s">
        <v>4886</v>
      </c>
      <c r="AI1327">
        <f>IF(AND(OR(Company_Explorer!$B$5="All Companies",$E1327=Company_Explorer!$B$5),OR(Company_Explorer!$B$6="All Platforms",$B1327=Company_Explorer!$B$6),OR(Company_Explorer!$B$7="All Roles",$D1327=Company_Explorer!$B$7),OR(Company_Explorer!$B$8="All Ghost Labels",$AG1327=Company_Explorer!$B$8)),1,0)</f>
        <v>0</v>
      </c>
    </row>
    <row r="1328" spans="1:35" ht="15" customHeight="1" x14ac:dyDescent="0.3">
      <c r="A1328" s="60" t="s">
        <v>4887</v>
      </c>
      <c r="B1328" s="60" t="s">
        <v>81</v>
      </c>
      <c r="C1328" s="60" t="s">
        <v>4888</v>
      </c>
      <c r="D1328" s="60" t="s">
        <v>134</v>
      </c>
      <c r="E1328" s="60" t="s">
        <v>142</v>
      </c>
      <c r="F1328" s="60" t="b">
        <f>TRUE()</f>
        <v>1</v>
      </c>
      <c r="G1328" s="60" t="s">
        <v>165</v>
      </c>
      <c r="H1328" s="60" t="s">
        <v>3620</v>
      </c>
      <c r="I1328" s="61">
        <v>46210.013598113401</v>
      </c>
      <c r="J1328" s="61">
        <v>46210.283015925903</v>
      </c>
      <c r="K1328" s="60">
        <v>0.3</v>
      </c>
      <c r="L1328" s="60" t="s">
        <v>183</v>
      </c>
      <c r="M1328" s="60" t="s">
        <v>183</v>
      </c>
      <c r="N1328" s="60" t="b">
        <f>FALSE()</f>
        <v>0</v>
      </c>
      <c r="O1328" s="60"/>
      <c r="P1328" s="60"/>
      <c r="Q1328" s="60" t="s">
        <v>236</v>
      </c>
      <c r="R1328" s="60" t="s">
        <v>236</v>
      </c>
      <c r="S1328" s="60"/>
      <c r="T1328" s="60" t="b">
        <f>FALSE()</f>
        <v>0</v>
      </c>
      <c r="U1328" s="60" t="b">
        <f>FALSE()</f>
        <v>0</v>
      </c>
      <c r="V1328" s="60">
        <v>495</v>
      </c>
      <c r="W1328" s="62" t="s">
        <v>4889</v>
      </c>
      <c r="X1328" s="60">
        <v>81</v>
      </c>
      <c r="Y1328" s="63">
        <v>141.75</v>
      </c>
      <c r="Z1328" s="60" t="b">
        <f>FALSE()</f>
        <v>0</v>
      </c>
      <c r="AA1328" s="60" t="b">
        <f>TRUE()</f>
        <v>1</v>
      </c>
      <c r="AB1328" s="60" t="b">
        <f>FALSE()</f>
        <v>0</v>
      </c>
      <c r="AC1328" s="60" t="b">
        <f>FALSE()</f>
        <v>0</v>
      </c>
      <c r="AD1328" s="60" t="b">
        <f>TRUE()</f>
        <v>1</v>
      </c>
      <c r="AE1328" s="60">
        <v>3</v>
      </c>
      <c r="AF1328" s="64">
        <v>42.9</v>
      </c>
      <c r="AG1328" s="60" t="s">
        <v>73</v>
      </c>
      <c r="AH1328" s="60" t="s">
        <v>4890</v>
      </c>
      <c r="AI1328">
        <f>IF(AND(OR(Company_Explorer!$B$5="All Companies",$E1328=Company_Explorer!$B$5),OR(Company_Explorer!$B$6="All Platforms",$B1328=Company_Explorer!$B$6),OR(Company_Explorer!$B$7="All Roles",$D1328=Company_Explorer!$B$7),OR(Company_Explorer!$B$8="All Ghost Labels",$AG1328=Company_Explorer!$B$8)),1,0)</f>
        <v>0</v>
      </c>
    </row>
    <row r="1329" spans="1:35" ht="15" customHeight="1" x14ac:dyDescent="0.3">
      <c r="A1329" s="65" t="s">
        <v>4891</v>
      </c>
      <c r="B1329" s="65" t="s">
        <v>81</v>
      </c>
      <c r="C1329" s="65" t="s">
        <v>4892</v>
      </c>
      <c r="D1329" s="65" t="s">
        <v>134</v>
      </c>
      <c r="E1329" s="65" t="s">
        <v>142</v>
      </c>
      <c r="F1329" s="65" t="b">
        <f>TRUE()</f>
        <v>1</v>
      </c>
      <c r="G1329" s="65" t="s">
        <v>165</v>
      </c>
      <c r="H1329" s="65" t="s">
        <v>3672</v>
      </c>
      <c r="I1329" s="66">
        <v>46210.014109814801</v>
      </c>
      <c r="J1329" s="66">
        <v>46210.283015995403</v>
      </c>
      <c r="K1329" s="65">
        <v>0.3</v>
      </c>
      <c r="L1329" s="65" t="s">
        <v>183</v>
      </c>
      <c r="M1329" s="65" t="s">
        <v>183</v>
      </c>
      <c r="N1329" s="65" t="b">
        <f>FALSE()</f>
        <v>0</v>
      </c>
      <c r="O1329" s="65"/>
      <c r="P1329" s="65"/>
      <c r="Q1329" s="65" t="s">
        <v>236</v>
      </c>
      <c r="R1329" s="65" t="s">
        <v>236</v>
      </c>
      <c r="S1329" s="65"/>
      <c r="T1329" s="65" t="b">
        <f>FALSE()</f>
        <v>0</v>
      </c>
      <c r="U1329" s="65" t="b">
        <f>FALSE()</f>
        <v>0</v>
      </c>
      <c r="V1329" s="65">
        <v>351</v>
      </c>
      <c r="W1329" s="67" t="s">
        <v>4893</v>
      </c>
      <c r="X1329" s="65">
        <v>81</v>
      </c>
      <c r="Y1329" s="68">
        <v>141.75</v>
      </c>
      <c r="Z1329" s="65" t="b">
        <f>FALSE()</f>
        <v>0</v>
      </c>
      <c r="AA1329" s="65" t="b">
        <f>TRUE()</f>
        <v>1</v>
      </c>
      <c r="AB1329" s="65" t="b">
        <f>FALSE()</f>
        <v>0</v>
      </c>
      <c r="AC1329" s="65" t="b">
        <f>FALSE()</f>
        <v>0</v>
      </c>
      <c r="AD1329" s="65" t="b">
        <f>TRUE()</f>
        <v>1</v>
      </c>
      <c r="AE1329" s="65">
        <v>3</v>
      </c>
      <c r="AF1329" s="69">
        <v>42.9</v>
      </c>
      <c r="AG1329" s="65" t="s">
        <v>73</v>
      </c>
      <c r="AH1329" s="65" t="s">
        <v>4894</v>
      </c>
      <c r="AI1329">
        <f>IF(AND(OR(Company_Explorer!$B$5="All Companies",$E1329=Company_Explorer!$B$5),OR(Company_Explorer!$B$6="All Platforms",$B1329=Company_Explorer!$B$6),OR(Company_Explorer!$B$7="All Roles",$D1329=Company_Explorer!$B$7),OR(Company_Explorer!$B$8="All Ghost Labels",$AG1329=Company_Explorer!$B$8)),1,0)</f>
        <v>0</v>
      </c>
    </row>
    <row r="1330" spans="1:35" ht="15" customHeight="1" x14ac:dyDescent="0.3">
      <c r="A1330" s="60" t="s">
        <v>4895</v>
      </c>
      <c r="B1330" s="60" t="s">
        <v>81</v>
      </c>
      <c r="C1330" s="60" t="s">
        <v>130</v>
      </c>
      <c r="D1330" s="60" t="s">
        <v>130</v>
      </c>
      <c r="E1330" s="60" t="s">
        <v>143</v>
      </c>
      <c r="F1330" s="60" t="b">
        <f>TRUE()</f>
        <v>1</v>
      </c>
      <c r="G1330" s="60" t="s">
        <v>165</v>
      </c>
      <c r="H1330" s="60" t="s">
        <v>3655</v>
      </c>
      <c r="I1330" s="61">
        <v>46210.053241666697</v>
      </c>
      <c r="J1330" s="61">
        <v>46210.283016030102</v>
      </c>
      <c r="K1330" s="60">
        <v>0.2</v>
      </c>
      <c r="L1330" s="60" t="s">
        <v>183</v>
      </c>
      <c r="M1330" s="60" t="s">
        <v>183</v>
      </c>
      <c r="N1330" s="60" t="b">
        <f>FALSE()</f>
        <v>0</v>
      </c>
      <c r="O1330" s="60"/>
      <c r="P1330" s="60"/>
      <c r="Q1330" s="60" t="s">
        <v>236</v>
      </c>
      <c r="R1330" s="60" t="s">
        <v>236</v>
      </c>
      <c r="S1330" s="60"/>
      <c r="T1330" s="60" t="b">
        <f>FALSE()</f>
        <v>0</v>
      </c>
      <c r="U1330" s="60" t="b">
        <f>FALSE()</f>
        <v>0</v>
      </c>
      <c r="V1330" s="60">
        <v>356</v>
      </c>
      <c r="W1330" s="62" t="s">
        <v>4449</v>
      </c>
      <c r="X1330" s="60">
        <v>64</v>
      </c>
      <c r="Y1330" s="63">
        <v>112</v>
      </c>
      <c r="Z1330" s="60" t="b">
        <f>FALSE()</f>
        <v>0</v>
      </c>
      <c r="AA1330" s="60" t="b">
        <f>TRUE()</f>
        <v>1</v>
      </c>
      <c r="AB1330" s="60" t="b">
        <f>FALSE()</f>
        <v>0</v>
      </c>
      <c r="AC1330" s="60" t="b">
        <f>FALSE()</f>
        <v>0</v>
      </c>
      <c r="AD1330" s="60" t="b">
        <f>TRUE()</f>
        <v>1</v>
      </c>
      <c r="AE1330" s="60">
        <v>3</v>
      </c>
      <c r="AF1330" s="64">
        <v>42.9</v>
      </c>
      <c r="AG1330" s="60" t="s">
        <v>73</v>
      </c>
      <c r="AH1330" s="60" t="s">
        <v>4896</v>
      </c>
      <c r="AI1330">
        <f>IF(AND(OR(Company_Explorer!$B$5="All Companies",$E1330=Company_Explorer!$B$5),OR(Company_Explorer!$B$6="All Platforms",$B1330=Company_Explorer!$B$6),OR(Company_Explorer!$B$7="All Roles",$D1330=Company_Explorer!$B$7),OR(Company_Explorer!$B$8="All Ghost Labels",$AG1330=Company_Explorer!$B$8)),1,0)</f>
        <v>0</v>
      </c>
    </row>
    <row r="1331" spans="1:35" ht="15" customHeight="1" x14ac:dyDescent="0.3">
      <c r="A1331" s="65" t="s">
        <v>4897</v>
      </c>
      <c r="B1331" s="65" t="s">
        <v>81</v>
      </c>
      <c r="C1331" s="65" t="s">
        <v>4750</v>
      </c>
      <c r="D1331" s="65" t="s">
        <v>125</v>
      </c>
      <c r="E1331" s="65" t="s">
        <v>142</v>
      </c>
      <c r="F1331" s="65" t="b">
        <f>TRUE()</f>
        <v>1</v>
      </c>
      <c r="G1331" s="65" t="s">
        <v>165</v>
      </c>
      <c r="H1331" s="65" t="s">
        <v>3655</v>
      </c>
      <c r="I1331" s="66">
        <v>46210.014062685201</v>
      </c>
      <c r="J1331" s="66">
        <v>46210.283016250003</v>
      </c>
      <c r="K1331" s="65">
        <v>0.3</v>
      </c>
      <c r="L1331" s="65" t="s">
        <v>183</v>
      </c>
      <c r="M1331" s="65" t="s">
        <v>183</v>
      </c>
      <c r="N1331" s="65" t="b">
        <f>FALSE()</f>
        <v>0</v>
      </c>
      <c r="O1331" s="65"/>
      <c r="P1331" s="65"/>
      <c r="Q1331" s="65" t="s">
        <v>236</v>
      </c>
      <c r="R1331" s="65" t="s">
        <v>236</v>
      </c>
      <c r="S1331" s="65"/>
      <c r="T1331" s="65" t="b">
        <f>FALSE()</f>
        <v>0</v>
      </c>
      <c r="U1331" s="65" t="b">
        <f>FALSE()</f>
        <v>0</v>
      </c>
      <c r="V1331" s="65">
        <v>379</v>
      </c>
      <c r="W1331" s="67" t="s">
        <v>4751</v>
      </c>
      <c r="X1331" s="65">
        <v>81</v>
      </c>
      <c r="Y1331" s="68">
        <v>141.75</v>
      </c>
      <c r="Z1331" s="65" t="b">
        <f>FALSE()</f>
        <v>0</v>
      </c>
      <c r="AA1331" s="65" t="b">
        <f>TRUE()</f>
        <v>1</v>
      </c>
      <c r="AB1331" s="65" t="b">
        <f>FALSE()</f>
        <v>0</v>
      </c>
      <c r="AC1331" s="65" t="b">
        <f>FALSE()</f>
        <v>0</v>
      </c>
      <c r="AD1331" s="65" t="b">
        <f>TRUE()</f>
        <v>1</v>
      </c>
      <c r="AE1331" s="65">
        <v>3</v>
      </c>
      <c r="AF1331" s="69">
        <v>42.9</v>
      </c>
      <c r="AG1331" s="65" t="s">
        <v>73</v>
      </c>
      <c r="AH1331" s="65" t="s">
        <v>4898</v>
      </c>
      <c r="AI1331">
        <f>IF(AND(OR(Company_Explorer!$B$5="All Companies",$E1331=Company_Explorer!$B$5),OR(Company_Explorer!$B$6="All Platforms",$B1331=Company_Explorer!$B$6),OR(Company_Explorer!$B$7="All Roles",$D1331=Company_Explorer!$B$7),OR(Company_Explorer!$B$8="All Ghost Labels",$AG1331=Company_Explorer!$B$8)),1,0)</f>
        <v>0</v>
      </c>
    </row>
    <row r="1332" spans="1:35" ht="15" customHeight="1" x14ac:dyDescent="0.3">
      <c r="A1332" s="60" t="s">
        <v>4899</v>
      </c>
      <c r="B1332" s="60" t="s">
        <v>81</v>
      </c>
      <c r="C1332" s="60" t="s">
        <v>718</v>
      </c>
      <c r="D1332" s="60" t="s">
        <v>125</v>
      </c>
      <c r="E1332" s="60" t="s">
        <v>4900</v>
      </c>
      <c r="F1332" s="60" t="b">
        <f>TRUE()</f>
        <v>1</v>
      </c>
      <c r="G1332" s="60" t="s">
        <v>165</v>
      </c>
      <c r="H1332" s="60" t="s">
        <v>3620</v>
      </c>
      <c r="I1332" s="61">
        <v>46209.995266550897</v>
      </c>
      <c r="J1332" s="61">
        <v>46210.283016192101</v>
      </c>
      <c r="K1332" s="60">
        <v>0.3</v>
      </c>
      <c r="L1332" s="60" t="s">
        <v>183</v>
      </c>
      <c r="M1332" s="60" t="s">
        <v>183</v>
      </c>
      <c r="N1332" s="60" t="b">
        <f>FALSE()</f>
        <v>0</v>
      </c>
      <c r="O1332" s="60"/>
      <c r="P1332" s="60"/>
      <c r="Q1332" s="60" t="s">
        <v>236</v>
      </c>
      <c r="R1332" s="60" t="s">
        <v>236</v>
      </c>
      <c r="S1332" s="60"/>
      <c r="T1332" s="60" t="b">
        <f>FALSE()</f>
        <v>0</v>
      </c>
      <c r="U1332" s="60" t="b">
        <f>FALSE()</f>
        <v>0</v>
      </c>
      <c r="V1332" s="60">
        <v>547</v>
      </c>
      <c r="W1332" s="62" t="s">
        <v>4901</v>
      </c>
      <c r="X1332" s="60">
        <v>1</v>
      </c>
      <c r="Y1332" s="63">
        <v>1.75</v>
      </c>
      <c r="Z1332" s="60" t="b">
        <f>FALSE()</f>
        <v>0</v>
      </c>
      <c r="AA1332" s="60" t="b">
        <f>TRUE()</f>
        <v>1</v>
      </c>
      <c r="AB1332" s="60" t="b">
        <f>FALSE()</f>
        <v>0</v>
      </c>
      <c r="AC1332" s="60" t="b">
        <f>FALSE()</f>
        <v>0</v>
      </c>
      <c r="AD1332" s="60" t="b">
        <f>FALSE()</f>
        <v>0</v>
      </c>
      <c r="AE1332" s="60">
        <v>1</v>
      </c>
      <c r="AF1332" s="64">
        <v>14.3</v>
      </c>
      <c r="AG1332" s="60" t="s">
        <v>74</v>
      </c>
      <c r="AH1332" s="60" t="s">
        <v>4902</v>
      </c>
      <c r="AI1332">
        <f>IF(AND(OR(Company_Explorer!$B$5="All Companies",$E1332=Company_Explorer!$B$5),OR(Company_Explorer!$B$6="All Platforms",$B1332=Company_Explorer!$B$6),OR(Company_Explorer!$B$7="All Roles",$D1332=Company_Explorer!$B$7),OR(Company_Explorer!$B$8="All Ghost Labels",$AG1332=Company_Explorer!$B$8)),1,0)</f>
        <v>0</v>
      </c>
    </row>
    <row r="1333" spans="1:35" ht="15" customHeight="1" x14ac:dyDescent="0.3">
      <c r="A1333" s="65" t="s">
        <v>4903</v>
      </c>
      <c r="B1333" s="65" t="s">
        <v>81</v>
      </c>
      <c r="C1333" s="65" t="s">
        <v>4904</v>
      </c>
      <c r="D1333" s="65" t="s">
        <v>131</v>
      </c>
      <c r="E1333" s="65" t="s">
        <v>4905</v>
      </c>
      <c r="F1333" s="65" t="b">
        <f>TRUE()</f>
        <v>1</v>
      </c>
      <c r="G1333" s="65" t="s">
        <v>165</v>
      </c>
      <c r="H1333" s="65" t="s">
        <v>4093</v>
      </c>
      <c r="I1333" s="66">
        <v>46209.9942521181</v>
      </c>
      <c r="J1333" s="66">
        <v>46210.283016469897</v>
      </c>
      <c r="K1333" s="65">
        <v>0.3</v>
      </c>
      <c r="L1333" s="65" t="s">
        <v>183</v>
      </c>
      <c r="M1333" s="65" t="s">
        <v>183</v>
      </c>
      <c r="N1333" s="65" t="b">
        <f>FALSE()</f>
        <v>0</v>
      </c>
      <c r="O1333" s="65"/>
      <c r="P1333" s="65"/>
      <c r="Q1333" s="65" t="s">
        <v>236</v>
      </c>
      <c r="R1333" s="65" t="s">
        <v>236</v>
      </c>
      <c r="S1333" s="65"/>
      <c r="T1333" s="65" t="b">
        <f>FALSE()</f>
        <v>0</v>
      </c>
      <c r="U1333" s="65" t="b">
        <f>FALSE()</f>
        <v>0</v>
      </c>
      <c r="V1333" s="65">
        <v>139</v>
      </c>
      <c r="W1333" s="67" t="s">
        <v>4906</v>
      </c>
      <c r="X1333" s="65">
        <v>2</v>
      </c>
      <c r="Y1333" s="68">
        <v>3.5</v>
      </c>
      <c r="Z1333" s="65" t="b">
        <f>FALSE()</f>
        <v>0</v>
      </c>
      <c r="AA1333" s="65" t="b">
        <f>TRUE()</f>
        <v>1</v>
      </c>
      <c r="AB1333" s="65" t="b">
        <f>TRUE()</f>
        <v>1</v>
      </c>
      <c r="AC1333" s="65" t="b">
        <f>FALSE()</f>
        <v>0</v>
      </c>
      <c r="AD1333" s="65" t="b">
        <f>FALSE()</f>
        <v>0</v>
      </c>
      <c r="AE1333" s="65">
        <v>2</v>
      </c>
      <c r="AF1333" s="69">
        <v>28.6</v>
      </c>
      <c r="AG1333" s="65" t="s">
        <v>73</v>
      </c>
      <c r="AH1333" s="65" t="s">
        <v>4907</v>
      </c>
      <c r="AI1333">
        <f>IF(AND(OR(Company_Explorer!$B$5="All Companies",$E1333=Company_Explorer!$B$5),OR(Company_Explorer!$B$6="All Platforms",$B1333=Company_Explorer!$B$6),OR(Company_Explorer!$B$7="All Roles",$D1333=Company_Explorer!$B$7),OR(Company_Explorer!$B$8="All Ghost Labels",$AG1333=Company_Explorer!$B$8)),1,0)</f>
        <v>0</v>
      </c>
    </row>
    <row r="1334" spans="1:35" ht="15" customHeight="1" x14ac:dyDescent="0.3">
      <c r="A1334" s="60" t="s">
        <v>4908</v>
      </c>
      <c r="B1334" s="60" t="s">
        <v>81</v>
      </c>
      <c r="C1334" s="60" t="s">
        <v>4750</v>
      </c>
      <c r="D1334" s="60" t="s">
        <v>125</v>
      </c>
      <c r="E1334" s="60" t="s">
        <v>142</v>
      </c>
      <c r="F1334" s="60" t="b">
        <f>TRUE()</f>
        <v>1</v>
      </c>
      <c r="G1334" s="60" t="s">
        <v>165</v>
      </c>
      <c r="H1334" s="60" t="s">
        <v>3636</v>
      </c>
      <c r="I1334" s="61">
        <v>46210.013587210698</v>
      </c>
      <c r="J1334" s="61">
        <v>46210.283016574103</v>
      </c>
      <c r="K1334" s="60">
        <v>0.3</v>
      </c>
      <c r="L1334" s="60" t="s">
        <v>183</v>
      </c>
      <c r="M1334" s="60" t="s">
        <v>183</v>
      </c>
      <c r="N1334" s="60" t="b">
        <f>FALSE()</f>
        <v>0</v>
      </c>
      <c r="O1334" s="60"/>
      <c r="P1334" s="60"/>
      <c r="Q1334" s="60" t="s">
        <v>236</v>
      </c>
      <c r="R1334" s="60" t="s">
        <v>236</v>
      </c>
      <c r="S1334" s="60"/>
      <c r="T1334" s="60" t="b">
        <f>FALSE()</f>
        <v>0</v>
      </c>
      <c r="U1334" s="60" t="b">
        <f>FALSE()</f>
        <v>0</v>
      </c>
      <c r="V1334" s="60">
        <v>380</v>
      </c>
      <c r="W1334" s="62" t="s">
        <v>4751</v>
      </c>
      <c r="X1334" s="60">
        <v>81</v>
      </c>
      <c r="Y1334" s="63">
        <v>141.75</v>
      </c>
      <c r="Z1334" s="60" t="b">
        <f>FALSE()</f>
        <v>0</v>
      </c>
      <c r="AA1334" s="60" t="b">
        <f>TRUE()</f>
        <v>1</v>
      </c>
      <c r="AB1334" s="60" t="b">
        <f>FALSE()</f>
        <v>0</v>
      </c>
      <c r="AC1334" s="60" t="b">
        <f>FALSE()</f>
        <v>0</v>
      </c>
      <c r="AD1334" s="60" t="b">
        <f>TRUE()</f>
        <v>1</v>
      </c>
      <c r="AE1334" s="60">
        <v>3</v>
      </c>
      <c r="AF1334" s="64">
        <v>42.9</v>
      </c>
      <c r="AG1334" s="60" t="s">
        <v>73</v>
      </c>
      <c r="AH1334" s="60" t="s">
        <v>4909</v>
      </c>
      <c r="AI1334">
        <f>IF(AND(OR(Company_Explorer!$B$5="All Companies",$E1334=Company_Explorer!$B$5),OR(Company_Explorer!$B$6="All Platforms",$B1334=Company_Explorer!$B$6),OR(Company_Explorer!$B$7="All Roles",$D1334=Company_Explorer!$B$7),OR(Company_Explorer!$B$8="All Ghost Labels",$AG1334=Company_Explorer!$B$8)),1,0)</f>
        <v>0</v>
      </c>
    </row>
    <row r="1335" spans="1:35" ht="15" customHeight="1" x14ac:dyDescent="0.3">
      <c r="A1335" s="65" t="s">
        <v>4910</v>
      </c>
      <c r="B1335" s="65" t="s">
        <v>81</v>
      </c>
      <c r="C1335" s="65" t="s">
        <v>134</v>
      </c>
      <c r="D1335" s="65" t="s">
        <v>134</v>
      </c>
      <c r="E1335" s="65" t="s">
        <v>143</v>
      </c>
      <c r="F1335" s="65" t="b">
        <f>TRUE()</f>
        <v>1</v>
      </c>
      <c r="G1335" s="65" t="s">
        <v>165</v>
      </c>
      <c r="H1335" s="65" t="s">
        <v>3620</v>
      </c>
      <c r="I1335" s="66">
        <v>46210.053237997701</v>
      </c>
      <c r="J1335" s="66">
        <v>46210.283017141199</v>
      </c>
      <c r="K1335" s="65">
        <v>0.2</v>
      </c>
      <c r="L1335" s="65" t="s">
        <v>183</v>
      </c>
      <c r="M1335" s="65" t="s">
        <v>183</v>
      </c>
      <c r="N1335" s="65" t="b">
        <f>FALSE()</f>
        <v>0</v>
      </c>
      <c r="O1335" s="65"/>
      <c r="P1335" s="65"/>
      <c r="Q1335" s="65" t="s">
        <v>236</v>
      </c>
      <c r="R1335" s="65" t="s">
        <v>236</v>
      </c>
      <c r="S1335" s="65"/>
      <c r="T1335" s="65" t="b">
        <f>FALSE()</f>
        <v>0</v>
      </c>
      <c r="U1335" s="65" t="b">
        <f>FALSE()</f>
        <v>0</v>
      </c>
      <c r="V1335" s="65">
        <v>334</v>
      </c>
      <c r="W1335" s="67" t="s">
        <v>4774</v>
      </c>
      <c r="X1335" s="65">
        <v>64</v>
      </c>
      <c r="Y1335" s="68">
        <v>112</v>
      </c>
      <c r="Z1335" s="65" t="b">
        <f>FALSE()</f>
        <v>0</v>
      </c>
      <c r="AA1335" s="65" t="b">
        <f>TRUE()</f>
        <v>1</v>
      </c>
      <c r="AB1335" s="65" t="b">
        <f>FALSE()</f>
        <v>0</v>
      </c>
      <c r="AC1335" s="65" t="b">
        <f>FALSE()</f>
        <v>0</v>
      </c>
      <c r="AD1335" s="65" t="b">
        <f>TRUE()</f>
        <v>1</v>
      </c>
      <c r="AE1335" s="65">
        <v>3</v>
      </c>
      <c r="AF1335" s="69">
        <v>42.9</v>
      </c>
      <c r="AG1335" s="65" t="s">
        <v>73</v>
      </c>
      <c r="AH1335" s="65" t="s">
        <v>4911</v>
      </c>
      <c r="AI1335">
        <f>IF(AND(OR(Company_Explorer!$B$5="All Companies",$E1335=Company_Explorer!$B$5),OR(Company_Explorer!$B$6="All Platforms",$B1335=Company_Explorer!$B$6),OR(Company_Explorer!$B$7="All Roles",$D1335=Company_Explorer!$B$7),OR(Company_Explorer!$B$8="All Ghost Labels",$AG1335=Company_Explorer!$B$8)),1,0)</f>
        <v>0</v>
      </c>
    </row>
    <row r="1336" spans="1:35" ht="15" customHeight="1" x14ac:dyDescent="0.3">
      <c r="A1336" s="60" t="s">
        <v>4912</v>
      </c>
      <c r="B1336" s="60" t="s">
        <v>81</v>
      </c>
      <c r="C1336" s="60" t="s">
        <v>4393</v>
      </c>
      <c r="D1336" s="60" t="s">
        <v>125</v>
      </c>
      <c r="E1336" s="60" t="s">
        <v>4905</v>
      </c>
      <c r="F1336" s="60" t="b">
        <f>TRUE()</f>
        <v>1</v>
      </c>
      <c r="G1336" s="60" t="s">
        <v>165</v>
      </c>
      <c r="H1336" s="60" t="s">
        <v>4093</v>
      </c>
      <c r="I1336" s="61">
        <v>46209.994236134298</v>
      </c>
      <c r="J1336" s="61">
        <v>46210.2830172338</v>
      </c>
      <c r="K1336" s="60">
        <v>0.3</v>
      </c>
      <c r="L1336" s="60" t="s">
        <v>183</v>
      </c>
      <c r="M1336" s="60" t="s">
        <v>183</v>
      </c>
      <c r="N1336" s="60" t="b">
        <f>FALSE()</f>
        <v>0</v>
      </c>
      <c r="O1336" s="60"/>
      <c r="P1336" s="60"/>
      <c r="Q1336" s="60" t="s">
        <v>236</v>
      </c>
      <c r="R1336" s="60" t="s">
        <v>236</v>
      </c>
      <c r="S1336" s="60"/>
      <c r="T1336" s="60" t="b">
        <f>FALSE()</f>
        <v>0</v>
      </c>
      <c r="U1336" s="60" t="b">
        <f>FALSE()</f>
        <v>0</v>
      </c>
      <c r="V1336" s="60">
        <v>205</v>
      </c>
      <c r="W1336" s="62" t="s">
        <v>4913</v>
      </c>
      <c r="X1336" s="60">
        <v>2</v>
      </c>
      <c r="Y1336" s="63">
        <v>3.5</v>
      </c>
      <c r="Z1336" s="60" t="b">
        <f>FALSE()</f>
        <v>0</v>
      </c>
      <c r="AA1336" s="60" t="b">
        <f>TRUE()</f>
        <v>1</v>
      </c>
      <c r="AB1336" s="60" t="b">
        <f>TRUE()</f>
        <v>1</v>
      </c>
      <c r="AC1336" s="60" t="b">
        <f>FALSE()</f>
        <v>0</v>
      </c>
      <c r="AD1336" s="60" t="b">
        <f>FALSE()</f>
        <v>0</v>
      </c>
      <c r="AE1336" s="60">
        <v>2</v>
      </c>
      <c r="AF1336" s="64">
        <v>28.6</v>
      </c>
      <c r="AG1336" s="60" t="s">
        <v>73</v>
      </c>
      <c r="AH1336" s="60" t="s">
        <v>4914</v>
      </c>
      <c r="AI1336">
        <f>IF(AND(OR(Company_Explorer!$B$5="All Companies",$E1336=Company_Explorer!$B$5),OR(Company_Explorer!$B$6="All Platforms",$B1336=Company_Explorer!$B$6),OR(Company_Explorer!$B$7="All Roles",$D1336=Company_Explorer!$B$7),OR(Company_Explorer!$B$8="All Ghost Labels",$AG1336=Company_Explorer!$B$8)),1,0)</f>
        <v>0</v>
      </c>
    </row>
    <row r="1337" spans="1:35" ht="15" customHeight="1" x14ac:dyDescent="0.3">
      <c r="A1337" s="65" t="s">
        <v>4915</v>
      </c>
      <c r="B1337" s="65" t="s">
        <v>81</v>
      </c>
      <c r="C1337" s="65" t="s">
        <v>4746</v>
      </c>
      <c r="D1337" s="65" t="s">
        <v>125</v>
      </c>
      <c r="E1337" s="65" t="s">
        <v>142</v>
      </c>
      <c r="F1337" s="65" t="b">
        <f>TRUE()</f>
        <v>1</v>
      </c>
      <c r="G1337" s="65" t="s">
        <v>165</v>
      </c>
      <c r="H1337" s="65" t="s">
        <v>3636</v>
      </c>
      <c r="I1337" s="66">
        <v>46210.013610370399</v>
      </c>
      <c r="J1337" s="66">
        <v>46210.283017546302</v>
      </c>
      <c r="K1337" s="65">
        <v>0.3</v>
      </c>
      <c r="L1337" s="65" t="s">
        <v>183</v>
      </c>
      <c r="M1337" s="65" t="s">
        <v>183</v>
      </c>
      <c r="N1337" s="65" t="b">
        <f>FALSE()</f>
        <v>0</v>
      </c>
      <c r="O1337" s="65"/>
      <c r="P1337" s="65"/>
      <c r="Q1337" s="65" t="s">
        <v>236</v>
      </c>
      <c r="R1337" s="65" t="s">
        <v>236</v>
      </c>
      <c r="S1337" s="65"/>
      <c r="T1337" s="65" t="b">
        <f>FALSE()</f>
        <v>0</v>
      </c>
      <c r="U1337" s="65" t="b">
        <f>FALSE()</f>
        <v>0</v>
      </c>
      <c r="V1337" s="65">
        <v>724</v>
      </c>
      <c r="W1337" s="67" t="s">
        <v>4747</v>
      </c>
      <c r="X1337" s="65">
        <v>81</v>
      </c>
      <c r="Y1337" s="68">
        <v>141.75</v>
      </c>
      <c r="Z1337" s="65" t="b">
        <f>FALSE()</f>
        <v>0</v>
      </c>
      <c r="AA1337" s="65" t="b">
        <f>TRUE()</f>
        <v>1</v>
      </c>
      <c r="AB1337" s="65" t="b">
        <f>FALSE()</f>
        <v>0</v>
      </c>
      <c r="AC1337" s="65" t="b">
        <f>FALSE()</f>
        <v>0</v>
      </c>
      <c r="AD1337" s="65" t="b">
        <f>TRUE()</f>
        <v>1</v>
      </c>
      <c r="AE1337" s="65">
        <v>3</v>
      </c>
      <c r="AF1337" s="69">
        <v>42.9</v>
      </c>
      <c r="AG1337" s="65" t="s">
        <v>73</v>
      </c>
      <c r="AH1337" s="65" t="s">
        <v>4916</v>
      </c>
      <c r="AI1337">
        <f>IF(AND(OR(Company_Explorer!$B$5="All Companies",$E1337=Company_Explorer!$B$5),OR(Company_Explorer!$B$6="All Platforms",$B1337=Company_Explorer!$B$6),OR(Company_Explorer!$B$7="All Roles",$D1337=Company_Explorer!$B$7),OR(Company_Explorer!$B$8="All Ghost Labels",$AG1337=Company_Explorer!$B$8)),1,0)</f>
        <v>0</v>
      </c>
    </row>
    <row r="1338" spans="1:35" ht="15" customHeight="1" x14ac:dyDescent="0.3">
      <c r="A1338" s="60" t="s">
        <v>4917</v>
      </c>
      <c r="B1338" s="60" t="s">
        <v>81</v>
      </c>
      <c r="C1338" s="60" t="s">
        <v>4746</v>
      </c>
      <c r="D1338" s="60" t="s">
        <v>125</v>
      </c>
      <c r="E1338" s="60" t="s">
        <v>142</v>
      </c>
      <c r="F1338" s="60" t="b">
        <f>TRUE()</f>
        <v>1</v>
      </c>
      <c r="G1338" s="60" t="s">
        <v>165</v>
      </c>
      <c r="H1338" s="60" t="s">
        <v>3636</v>
      </c>
      <c r="I1338" s="61">
        <v>46210.014005798599</v>
      </c>
      <c r="J1338" s="61">
        <v>46210.283017581001</v>
      </c>
      <c r="K1338" s="60">
        <v>0.3</v>
      </c>
      <c r="L1338" s="60" t="s">
        <v>183</v>
      </c>
      <c r="M1338" s="60" t="s">
        <v>183</v>
      </c>
      <c r="N1338" s="60" t="b">
        <f>FALSE()</f>
        <v>0</v>
      </c>
      <c r="O1338" s="60"/>
      <c r="P1338" s="60"/>
      <c r="Q1338" s="60" t="s">
        <v>236</v>
      </c>
      <c r="R1338" s="60" t="s">
        <v>236</v>
      </c>
      <c r="S1338" s="60"/>
      <c r="T1338" s="60" t="b">
        <f>FALSE()</f>
        <v>0</v>
      </c>
      <c r="U1338" s="60" t="b">
        <f>FALSE()</f>
        <v>0</v>
      </c>
      <c r="V1338" s="60">
        <v>725</v>
      </c>
      <c r="W1338" s="62" t="s">
        <v>4747</v>
      </c>
      <c r="X1338" s="60">
        <v>81</v>
      </c>
      <c r="Y1338" s="63">
        <v>141.75</v>
      </c>
      <c r="Z1338" s="60" t="b">
        <f>FALSE()</f>
        <v>0</v>
      </c>
      <c r="AA1338" s="60" t="b">
        <f>TRUE()</f>
        <v>1</v>
      </c>
      <c r="AB1338" s="60" t="b">
        <f>FALSE()</f>
        <v>0</v>
      </c>
      <c r="AC1338" s="60" t="b">
        <f>FALSE()</f>
        <v>0</v>
      </c>
      <c r="AD1338" s="60" t="b">
        <f>TRUE()</f>
        <v>1</v>
      </c>
      <c r="AE1338" s="60">
        <v>3</v>
      </c>
      <c r="AF1338" s="64">
        <v>42.9</v>
      </c>
      <c r="AG1338" s="60" t="s">
        <v>73</v>
      </c>
      <c r="AH1338" s="60" t="s">
        <v>4918</v>
      </c>
      <c r="AI1338">
        <f>IF(AND(OR(Company_Explorer!$B$5="All Companies",$E1338=Company_Explorer!$B$5),OR(Company_Explorer!$B$6="All Platforms",$B1338=Company_Explorer!$B$6),OR(Company_Explorer!$B$7="All Roles",$D1338=Company_Explorer!$B$7),OR(Company_Explorer!$B$8="All Ghost Labels",$AG1338=Company_Explorer!$B$8)),1,0)</f>
        <v>0</v>
      </c>
    </row>
    <row r="1339" spans="1:35" ht="15" customHeight="1" x14ac:dyDescent="0.3">
      <c r="A1339" s="65" t="s">
        <v>4919</v>
      </c>
      <c r="B1339" s="65" t="s">
        <v>81</v>
      </c>
      <c r="C1339" s="65" t="s">
        <v>134</v>
      </c>
      <c r="D1339" s="65" t="s">
        <v>134</v>
      </c>
      <c r="E1339" s="65" t="s">
        <v>143</v>
      </c>
      <c r="F1339" s="65" t="b">
        <f>TRUE()</f>
        <v>1</v>
      </c>
      <c r="G1339" s="65" t="s">
        <v>165</v>
      </c>
      <c r="H1339" s="65" t="s">
        <v>3655</v>
      </c>
      <c r="I1339" s="66">
        <v>46210.053237870401</v>
      </c>
      <c r="J1339" s="66">
        <v>46210.2830174884</v>
      </c>
      <c r="K1339" s="65">
        <v>0.2</v>
      </c>
      <c r="L1339" s="65" t="s">
        <v>183</v>
      </c>
      <c r="M1339" s="65" t="s">
        <v>183</v>
      </c>
      <c r="N1339" s="65" t="b">
        <f>FALSE()</f>
        <v>0</v>
      </c>
      <c r="O1339" s="65"/>
      <c r="P1339" s="65"/>
      <c r="Q1339" s="65" t="s">
        <v>236</v>
      </c>
      <c r="R1339" s="65" t="s">
        <v>236</v>
      </c>
      <c r="S1339" s="65"/>
      <c r="T1339" s="65" t="b">
        <f>FALSE()</f>
        <v>0</v>
      </c>
      <c r="U1339" s="65" t="b">
        <f>FALSE()</f>
        <v>0</v>
      </c>
      <c r="V1339" s="65">
        <v>337</v>
      </c>
      <c r="W1339" s="67" t="s">
        <v>4774</v>
      </c>
      <c r="X1339" s="65">
        <v>64</v>
      </c>
      <c r="Y1339" s="68">
        <v>112</v>
      </c>
      <c r="Z1339" s="65" t="b">
        <f>FALSE()</f>
        <v>0</v>
      </c>
      <c r="AA1339" s="65" t="b">
        <f>TRUE()</f>
        <v>1</v>
      </c>
      <c r="AB1339" s="65" t="b">
        <f>FALSE()</f>
        <v>0</v>
      </c>
      <c r="AC1339" s="65" t="b">
        <f>FALSE()</f>
        <v>0</v>
      </c>
      <c r="AD1339" s="65" t="b">
        <f>TRUE()</f>
        <v>1</v>
      </c>
      <c r="AE1339" s="65">
        <v>3</v>
      </c>
      <c r="AF1339" s="69">
        <v>42.9</v>
      </c>
      <c r="AG1339" s="65" t="s">
        <v>73</v>
      </c>
      <c r="AH1339" s="65" t="s">
        <v>4920</v>
      </c>
      <c r="AI1339">
        <f>IF(AND(OR(Company_Explorer!$B$5="All Companies",$E1339=Company_Explorer!$B$5),OR(Company_Explorer!$B$6="All Platforms",$B1339=Company_Explorer!$B$6),OR(Company_Explorer!$B$7="All Roles",$D1339=Company_Explorer!$B$7),OR(Company_Explorer!$B$8="All Ghost Labels",$AG1339=Company_Explorer!$B$8)),1,0)</f>
        <v>0</v>
      </c>
    </row>
    <row r="1340" spans="1:35" ht="15" customHeight="1" x14ac:dyDescent="0.3">
      <c r="A1340" s="60" t="s">
        <v>4921</v>
      </c>
      <c r="B1340" s="60" t="s">
        <v>81</v>
      </c>
      <c r="C1340" s="60" t="s">
        <v>4922</v>
      </c>
      <c r="D1340" s="60" t="s">
        <v>134</v>
      </c>
      <c r="E1340" s="60" t="s">
        <v>142</v>
      </c>
      <c r="F1340" s="60" t="b">
        <f>TRUE()</f>
        <v>1</v>
      </c>
      <c r="G1340" s="60" t="s">
        <v>165</v>
      </c>
      <c r="H1340" s="60" t="s">
        <v>3620</v>
      </c>
      <c r="I1340" s="61">
        <v>46210.013844826397</v>
      </c>
      <c r="J1340" s="61">
        <v>46210.283017858797</v>
      </c>
      <c r="K1340" s="60">
        <v>0.3</v>
      </c>
      <c r="L1340" s="60" t="s">
        <v>183</v>
      </c>
      <c r="M1340" s="60" t="s">
        <v>183</v>
      </c>
      <c r="N1340" s="60" t="b">
        <f>FALSE()</f>
        <v>0</v>
      </c>
      <c r="O1340" s="60"/>
      <c r="P1340" s="60"/>
      <c r="Q1340" s="60" t="s">
        <v>236</v>
      </c>
      <c r="R1340" s="60" t="s">
        <v>236</v>
      </c>
      <c r="S1340" s="60"/>
      <c r="T1340" s="60" t="b">
        <f>FALSE()</f>
        <v>0</v>
      </c>
      <c r="U1340" s="60" t="b">
        <f>FALSE()</f>
        <v>0</v>
      </c>
      <c r="V1340" s="60">
        <v>383</v>
      </c>
      <c r="W1340" s="62" t="s">
        <v>4923</v>
      </c>
      <c r="X1340" s="60">
        <v>81</v>
      </c>
      <c r="Y1340" s="63">
        <v>141.75</v>
      </c>
      <c r="Z1340" s="60" t="b">
        <f>FALSE()</f>
        <v>0</v>
      </c>
      <c r="AA1340" s="60" t="b">
        <f>TRUE()</f>
        <v>1</v>
      </c>
      <c r="AB1340" s="60" t="b">
        <f>FALSE()</f>
        <v>0</v>
      </c>
      <c r="AC1340" s="60" t="b">
        <f>FALSE()</f>
        <v>0</v>
      </c>
      <c r="AD1340" s="60" t="b">
        <f>TRUE()</f>
        <v>1</v>
      </c>
      <c r="AE1340" s="60">
        <v>3</v>
      </c>
      <c r="AF1340" s="64">
        <v>42.9</v>
      </c>
      <c r="AG1340" s="60" t="s">
        <v>73</v>
      </c>
      <c r="AH1340" s="60" t="s">
        <v>4924</v>
      </c>
      <c r="AI1340">
        <f>IF(AND(OR(Company_Explorer!$B$5="All Companies",$E1340=Company_Explorer!$B$5),OR(Company_Explorer!$B$6="All Platforms",$B1340=Company_Explorer!$B$6),OR(Company_Explorer!$B$7="All Roles",$D1340=Company_Explorer!$B$7),OR(Company_Explorer!$B$8="All Ghost Labels",$AG1340=Company_Explorer!$B$8)),1,0)</f>
        <v>0</v>
      </c>
    </row>
    <row r="1341" spans="1:35" ht="15" customHeight="1" x14ac:dyDescent="0.3">
      <c r="A1341" s="65" t="s">
        <v>4925</v>
      </c>
      <c r="B1341" s="65" t="s">
        <v>81</v>
      </c>
      <c r="C1341" s="65" t="s">
        <v>134</v>
      </c>
      <c r="D1341" s="65" t="s">
        <v>134</v>
      </c>
      <c r="E1341" s="65" t="s">
        <v>143</v>
      </c>
      <c r="F1341" s="65" t="b">
        <f>TRUE()</f>
        <v>1</v>
      </c>
      <c r="G1341" s="65" t="s">
        <v>165</v>
      </c>
      <c r="H1341" s="65" t="s">
        <v>3620</v>
      </c>
      <c r="I1341" s="66">
        <v>46210.053237662003</v>
      </c>
      <c r="J1341" s="66">
        <v>46210.283018009301</v>
      </c>
      <c r="K1341" s="65">
        <v>0.2</v>
      </c>
      <c r="L1341" s="65" t="s">
        <v>183</v>
      </c>
      <c r="M1341" s="65" t="s">
        <v>183</v>
      </c>
      <c r="N1341" s="65" t="b">
        <f>FALSE()</f>
        <v>0</v>
      </c>
      <c r="O1341" s="65"/>
      <c r="P1341" s="65"/>
      <c r="Q1341" s="65" t="s">
        <v>236</v>
      </c>
      <c r="R1341" s="65" t="s">
        <v>236</v>
      </c>
      <c r="S1341" s="65"/>
      <c r="T1341" s="65" t="b">
        <f>FALSE()</f>
        <v>0</v>
      </c>
      <c r="U1341" s="65" t="b">
        <f>FALSE()</f>
        <v>0</v>
      </c>
      <c r="V1341" s="65">
        <v>344</v>
      </c>
      <c r="W1341" s="67" t="s">
        <v>4774</v>
      </c>
      <c r="X1341" s="65">
        <v>64</v>
      </c>
      <c r="Y1341" s="68">
        <v>112</v>
      </c>
      <c r="Z1341" s="65" t="b">
        <f>FALSE()</f>
        <v>0</v>
      </c>
      <c r="AA1341" s="65" t="b">
        <f>TRUE()</f>
        <v>1</v>
      </c>
      <c r="AB1341" s="65" t="b">
        <f>FALSE()</f>
        <v>0</v>
      </c>
      <c r="AC1341" s="65" t="b">
        <f>FALSE()</f>
        <v>0</v>
      </c>
      <c r="AD1341" s="65" t="b">
        <f>TRUE()</f>
        <v>1</v>
      </c>
      <c r="AE1341" s="65">
        <v>3</v>
      </c>
      <c r="AF1341" s="69">
        <v>42.9</v>
      </c>
      <c r="AG1341" s="65" t="s">
        <v>73</v>
      </c>
      <c r="AH1341" s="65" t="s">
        <v>4926</v>
      </c>
      <c r="AI1341">
        <f>IF(AND(OR(Company_Explorer!$B$5="All Companies",$E1341=Company_Explorer!$B$5),OR(Company_Explorer!$B$6="All Platforms",$B1341=Company_Explorer!$B$6),OR(Company_Explorer!$B$7="All Roles",$D1341=Company_Explorer!$B$7),OR(Company_Explorer!$B$8="All Ghost Labels",$AG1341=Company_Explorer!$B$8)),1,0)</f>
        <v>0</v>
      </c>
    </row>
    <row r="1342" spans="1:35" ht="15" customHeight="1" x14ac:dyDescent="0.3">
      <c r="A1342" s="60" t="s">
        <v>4927</v>
      </c>
      <c r="B1342" s="60" t="s">
        <v>81</v>
      </c>
      <c r="C1342" s="60" t="s">
        <v>4750</v>
      </c>
      <c r="D1342" s="60" t="s">
        <v>125</v>
      </c>
      <c r="E1342" s="60" t="s">
        <v>142</v>
      </c>
      <c r="F1342" s="60" t="b">
        <f>TRUE()</f>
        <v>1</v>
      </c>
      <c r="G1342" s="60" t="s">
        <v>165</v>
      </c>
      <c r="H1342" s="60" t="s">
        <v>3636</v>
      </c>
      <c r="I1342" s="61">
        <v>46210.013593657401</v>
      </c>
      <c r="J1342" s="61">
        <v>46210.283018194401</v>
      </c>
      <c r="K1342" s="60">
        <v>0.3</v>
      </c>
      <c r="L1342" s="60" t="s">
        <v>183</v>
      </c>
      <c r="M1342" s="60" t="s">
        <v>183</v>
      </c>
      <c r="N1342" s="60" t="b">
        <f>FALSE()</f>
        <v>0</v>
      </c>
      <c r="O1342" s="60"/>
      <c r="P1342" s="60"/>
      <c r="Q1342" s="60" t="s">
        <v>236</v>
      </c>
      <c r="R1342" s="60" t="s">
        <v>236</v>
      </c>
      <c r="S1342" s="60"/>
      <c r="T1342" s="60" t="b">
        <f>FALSE()</f>
        <v>0</v>
      </c>
      <c r="U1342" s="60" t="b">
        <f>FALSE()</f>
        <v>0</v>
      </c>
      <c r="V1342" s="60">
        <v>380</v>
      </c>
      <c r="W1342" s="62" t="s">
        <v>4751</v>
      </c>
      <c r="X1342" s="60">
        <v>81</v>
      </c>
      <c r="Y1342" s="63">
        <v>141.75</v>
      </c>
      <c r="Z1342" s="60" t="b">
        <f>FALSE()</f>
        <v>0</v>
      </c>
      <c r="AA1342" s="60" t="b">
        <f>TRUE()</f>
        <v>1</v>
      </c>
      <c r="AB1342" s="60" t="b">
        <f>FALSE()</f>
        <v>0</v>
      </c>
      <c r="AC1342" s="60" t="b">
        <f>FALSE()</f>
        <v>0</v>
      </c>
      <c r="AD1342" s="60" t="b">
        <f>TRUE()</f>
        <v>1</v>
      </c>
      <c r="AE1342" s="60">
        <v>3</v>
      </c>
      <c r="AF1342" s="64">
        <v>42.9</v>
      </c>
      <c r="AG1342" s="60" t="s">
        <v>73</v>
      </c>
      <c r="AH1342" s="60" t="s">
        <v>4928</v>
      </c>
      <c r="AI1342">
        <f>IF(AND(OR(Company_Explorer!$B$5="All Companies",$E1342=Company_Explorer!$B$5),OR(Company_Explorer!$B$6="All Platforms",$B1342=Company_Explorer!$B$6),OR(Company_Explorer!$B$7="All Roles",$D1342=Company_Explorer!$B$7),OR(Company_Explorer!$B$8="All Ghost Labels",$AG1342=Company_Explorer!$B$8)),1,0)</f>
        <v>0</v>
      </c>
    </row>
    <row r="1343" spans="1:35" ht="15" customHeight="1" x14ac:dyDescent="0.3">
      <c r="A1343" s="65" t="s">
        <v>4929</v>
      </c>
      <c r="B1343" s="65" t="s">
        <v>81</v>
      </c>
      <c r="C1343" s="65" t="s">
        <v>130</v>
      </c>
      <c r="D1343" s="65" t="s">
        <v>130</v>
      </c>
      <c r="E1343" s="65" t="s">
        <v>143</v>
      </c>
      <c r="F1343" s="65" t="b">
        <f>TRUE()</f>
        <v>1</v>
      </c>
      <c r="G1343" s="65" t="s">
        <v>165</v>
      </c>
      <c r="H1343" s="65" t="s">
        <v>3655</v>
      </c>
      <c r="I1343" s="66">
        <v>46210.053234803199</v>
      </c>
      <c r="J1343" s="66">
        <v>46210.283018437498</v>
      </c>
      <c r="K1343" s="65">
        <v>0.2</v>
      </c>
      <c r="L1343" s="65" t="s">
        <v>183</v>
      </c>
      <c r="M1343" s="65" t="s">
        <v>183</v>
      </c>
      <c r="N1343" s="65" t="b">
        <f>FALSE()</f>
        <v>0</v>
      </c>
      <c r="O1343" s="65"/>
      <c r="P1343" s="65"/>
      <c r="Q1343" s="65" t="s">
        <v>236</v>
      </c>
      <c r="R1343" s="65" t="s">
        <v>236</v>
      </c>
      <c r="S1343" s="65"/>
      <c r="T1343" s="65" t="b">
        <f>FALSE()</f>
        <v>0</v>
      </c>
      <c r="U1343" s="65" t="b">
        <f>FALSE()</f>
        <v>0</v>
      </c>
      <c r="V1343" s="65">
        <v>353</v>
      </c>
      <c r="W1343" s="67" t="s">
        <v>4449</v>
      </c>
      <c r="X1343" s="65">
        <v>64</v>
      </c>
      <c r="Y1343" s="68">
        <v>112</v>
      </c>
      <c r="Z1343" s="65" t="b">
        <f>FALSE()</f>
        <v>0</v>
      </c>
      <c r="AA1343" s="65" t="b">
        <f>TRUE()</f>
        <v>1</v>
      </c>
      <c r="AB1343" s="65" t="b">
        <f>FALSE()</f>
        <v>0</v>
      </c>
      <c r="AC1343" s="65" t="b">
        <f>FALSE()</f>
        <v>0</v>
      </c>
      <c r="AD1343" s="65" t="b">
        <f>TRUE()</f>
        <v>1</v>
      </c>
      <c r="AE1343" s="65">
        <v>3</v>
      </c>
      <c r="AF1343" s="69">
        <v>42.9</v>
      </c>
      <c r="AG1343" s="65" t="s">
        <v>73</v>
      </c>
      <c r="AH1343" s="65" t="s">
        <v>4930</v>
      </c>
      <c r="AI1343">
        <f>IF(AND(OR(Company_Explorer!$B$5="All Companies",$E1343=Company_Explorer!$B$5),OR(Company_Explorer!$B$6="All Platforms",$B1343=Company_Explorer!$B$6),OR(Company_Explorer!$B$7="All Roles",$D1343=Company_Explorer!$B$7),OR(Company_Explorer!$B$8="All Ghost Labels",$AG1343=Company_Explorer!$B$8)),1,0)</f>
        <v>0</v>
      </c>
    </row>
    <row r="1344" spans="1:35" ht="15" customHeight="1" x14ac:dyDescent="0.3">
      <c r="A1344" s="60" t="s">
        <v>4931</v>
      </c>
      <c r="B1344" s="60" t="s">
        <v>81</v>
      </c>
      <c r="C1344" s="60" t="s">
        <v>4746</v>
      </c>
      <c r="D1344" s="60" t="s">
        <v>125</v>
      </c>
      <c r="E1344" s="60" t="s">
        <v>142</v>
      </c>
      <c r="F1344" s="60" t="b">
        <f>TRUE()</f>
        <v>1</v>
      </c>
      <c r="G1344" s="60" t="s">
        <v>165</v>
      </c>
      <c r="H1344" s="60" t="s">
        <v>3655</v>
      </c>
      <c r="I1344" s="61">
        <v>46210.013590231501</v>
      </c>
      <c r="J1344" s="61">
        <v>46210.283018402799</v>
      </c>
      <c r="K1344" s="60">
        <v>0.3</v>
      </c>
      <c r="L1344" s="60" t="s">
        <v>183</v>
      </c>
      <c r="M1344" s="60" t="s">
        <v>183</v>
      </c>
      <c r="N1344" s="60" t="b">
        <f>FALSE()</f>
        <v>0</v>
      </c>
      <c r="O1344" s="60"/>
      <c r="P1344" s="60"/>
      <c r="Q1344" s="60" t="s">
        <v>236</v>
      </c>
      <c r="R1344" s="60" t="s">
        <v>236</v>
      </c>
      <c r="S1344" s="60"/>
      <c r="T1344" s="60" t="b">
        <f>FALSE()</f>
        <v>0</v>
      </c>
      <c r="U1344" s="60" t="b">
        <f>FALSE()</f>
        <v>0</v>
      </c>
      <c r="V1344" s="60">
        <v>723</v>
      </c>
      <c r="W1344" s="62" t="s">
        <v>4747</v>
      </c>
      <c r="X1344" s="60">
        <v>81</v>
      </c>
      <c r="Y1344" s="63">
        <v>141.75</v>
      </c>
      <c r="Z1344" s="60" t="b">
        <f>FALSE()</f>
        <v>0</v>
      </c>
      <c r="AA1344" s="60" t="b">
        <f>TRUE()</f>
        <v>1</v>
      </c>
      <c r="AB1344" s="60" t="b">
        <f>FALSE()</f>
        <v>0</v>
      </c>
      <c r="AC1344" s="60" t="b">
        <f>FALSE()</f>
        <v>0</v>
      </c>
      <c r="AD1344" s="60" t="b">
        <f>TRUE()</f>
        <v>1</v>
      </c>
      <c r="AE1344" s="60">
        <v>3</v>
      </c>
      <c r="AF1344" s="64">
        <v>42.9</v>
      </c>
      <c r="AG1344" s="60" t="s">
        <v>73</v>
      </c>
      <c r="AH1344" s="60" t="s">
        <v>4932</v>
      </c>
      <c r="AI1344">
        <f>IF(AND(OR(Company_Explorer!$B$5="All Companies",$E1344=Company_Explorer!$B$5),OR(Company_Explorer!$B$6="All Platforms",$B1344=Company_Explorer!$B$6),OR(Company_Explorer!$B$7="All Roles",$D1344=Company_Explorer!$B$7),OR(Company_Explorer!$B$8="All Ghost Labels",$AG1344=Company_Explorer!$B$8)),1,0)</f>
        <v>0</v>
      </c>
    </row>
    <row r="1345" spans="1:35" ht="15" customHeight="1" x14ac:dyDescent="0.3">
      <c r="A1345" s="65" t="s">
        <v>4933</v>
      </c>
      <c r="B1345" s="65" t="s">
        <v>81</v>
      </c>
      <c r="C1345" s="65" t="s">
        <v>4746</v>
      </c>
      <c r="D1345" s="65" t="s">
        <v>125</v>
      </c>
      <c r="E1345" s="65" t="s">
        <v>142</v>
      </c>
      <c r="F1345" s="65" t="b">
        <f>TRUE()</f>
        <v>1</v>
      </c>
      <c r="G1345" s="65" t="s">
        <v>165</v>
      </c>
      <c r="H1345" s="65" t="s">
        <v>3620</v>
      </c>
      <c r="I1345" s="66">
        <v>46210.013752280101</v>
      </c>
      <c r="J1345" s="66">
        <v>46210.283018680602</v>
      </c>
      <c r="K1345" s="65">
        <v>0.3</v>
      </c>
      <c r="L1345" s="65" t="s">
        <v>183</v>
      </c>
      <c r="M1345" s="65" t="s">
        <v>183</v>
      </c>
      <c r="N1345" s="65" t="b">
        <f>FALSE()</f>
        <v>0</v>
      </c>
      <c r="O1345" s="65"/>
      <c r="P1345" s="65"/>
      <c r="Q1345" s="65" t="s">
        <v>236</v>
      </c>
      <c r="R1345" s="65" t="s">
        <v>236</v>
      </c>
      <c r="S1345" s="65"/>
      <c r="T1345" s="65" t="b">
        <f>FALSE()</f>
        <v>0</v>
      </c>
      <c r="U1345" s="65" t="b">
        <f>FALSE()</f>
        <v>0</v>
      </c>
      <c r="V1345" s="65">
        <v>722</v>
      </c>
      <c r="W1345" s="67" t="s">
        <v>4747</v>
      </c>
      <c r="X1345" s="65">
        <v>81</v>
      </c>
      <c r="Y1345" s="68">
        <v>141.75</v>
      </c>
      <c r="Z1345" s="65" t="b">
        <f>FALSE()</f>
        <v>0</v>
      </c>
      <c r="AA1345" s="65" t="b">
        <f>TRUE()</f>
        <v>1</v>
      </c>
      <c r="AB1345" s="65" t="b">
        <f>FALSE()</f>
        <v>0</v>
      </c>
      <c r="AC1345" s="65" t="b">
        <f>FALSE()</f>
        <v>0</v>
      </c>
      <c r="AD1345" s="65" t="b">
        <f>TRUE()</f>
        <v>1</v>
      </c>
      <c r="AE1345" s="65">
        <v>3</v>
      </c>
      <c r="AF1345" s="69">
        <v>42.9</v>
      </c>
      <c r="AG1345" s="65" t="s">
        <v>73</v>
      </c>
      <c r="AH1345" s="65" t="s">
        <v>4934</v>
      </c>
      <c r="AI1345">
        <f>IF(AND(OR(Company_Explorer!$B$5="All Companies",$E1345=Company_Explorer!$B$5),OR(Company_Explorer!$B$6="All Platforms",$B1345=Company_Explorer!$B$6),OR(Company_Explorer!$B$7="All Roles",$D1345=Company_Explorer!$B$7),OR(Company_Explorer!$B$8="All Ghost Labels",$AG1345=Company_Explorer!$B$8)),1,0)</f>
        <v>0</v>
      </c>
    </row>
    <row r="1346" spans="1:35" ht="15" customHeight="1" x14ac:dyDescent="0.3">
      <c r="A1346" s="60" t="s">
        <v>4935</v>
      </c>
      <c r="B1346" s="60" t="s">
        <v>81</v>
      </c>
      <c r="C1346" s="60" t="s">
        <v>258</v>
      </c>
      <c r="D1346" s="60" t="s">
        <v>125</v>
      </c>
      <c r="E1346" s="60" t="s">
        <v>143</v>
      </c>
      <c r="F1346" s="60" t="b">
        <f>TRUE()</f>
        <v>1</v>
      </c>
      <c r="G1346" s="60" t="s">
        <v>165</v>
      </c>
      <c r="H1346" s="60" t="s">
        <v>3620</v>
      </c>
      <c r="I1346" s="61">
        <v>46210.053223044</v>
      </c>
      <c r="J1346" s="61">
        <v>46210.283018715301</v>
      </c>
      <c r="K1346" s="60">
        <v>0.2</v>
      </c>
      <c r="L1346" s="60" t="s">
        <v>183</v>
      </c>
      <c r="M1346" s="60" t="s">
        <v>183</v>
      </c>
      <c r="N1346" s="60" t="b">
        <f>FALSE()</f>
        <v>0</v>
      </c>
      <c r="O1346" s="60"/>
      <c r="P1346" s="60"/>
      <c r="Q1346" s="60" t="s">
        <v>236</v>
      </c>
      <c r="R1346" s="60" t="s">
        <v>236</v>
      </c>
      <c r="S1346" s="60"/>
      <c r="T1346" s="60" t="b">
        <f>FALSE()</f>
        <v>0</v>
      </c>
      <c r="U1346" s="60" t="b">
        <f>FALSE()</f>
        <v>0</v>
      </c>
      <c r="V1346" s="60">
        <v>332</v>
      </c>
      <c r="W1346" s="62" t="s">
        <v>4514</v>
      </c>
      <c r="X1346" s="60">
        <v>64</v>
      </c>
      <c r="Y1346" s="63">
        <v>112</v>
      </c>
      <c r="Z1346" s="60" t="b">
        <f>FALSE()</f>
        <v>0</v>
      </c>
      <c r="AA1346" s="60" t="b">
        <f>TRUE()</f>
        <v>1</v>
      </c>
      <c r="AB1346" s="60" t="b">
        <f>FALSE()</f>
        <v>0</v>
      </c>
      <c r="AC1346" s="60" t="b">
        <f>FALSE()</f>
        <v>0</v>
      </c>
      <c r="AD1346" s="60" t="b">
        <f>TRUE()</f>
        <v>1</v>
      </c>
      <c r="AE1346" s="60">
        <v>3</v>
      </c>
      <c r="AF1346" s="64">
        <v>42.9</v>
      </c>
      <c r="AG1346" s="60" t="s">
        <v>73</v>
      </c>
      <c r="AH1346" s="60" t="s">
        <v>4936</v>
      </c>
      <c r="AI1346">
        <f>IF(AND(OR(Company_Explorer!$B$5="All Companies",$E1346=Company_Explorer!$B$5),OR(Company_Explorer!$B$6="All Platforms",$B1346=Company_Explorer!$B$6),OR(Company_Explorer!$B$7="All Roles",$D1346=Company_Explorer!$B$7),OR(Company_Explorer!$B$8="All Ghost Labels",$AG1346=Company_Explorer!$B$8)),1,0)</f>
        <v>0</v>
      </c>
    </row>
    <row r="1347" spans="1:35" ht="15" customHeight="1" x14ac:dyDescent="0.3">
      <c r="A1347" s="65" t="s">
        <v>4937</v>
      </c>
      <c r="B1347" s="65" t="s">
        <v>81</v>
      </c>
      <c r="C1347" s="65" t="s">
        <v>4750</v>
      </c>
      <c r="D1347" s="65" t="s">
        <v>125</v>
      </c>
      <c r="E1347" s="65" t="s">
        <v>142</v>
      </c>
      <c r="F1347" s="65" t="b">
        <f>TRUE()</f>
        <v>1</v>
      </c>
      <c r="G1347" s="65" t="s">
        <v>165</v>
      </c>
      <c r="H1347" s="65" t="s">
        <v>3636</v>
      </c>
      <c r="I1347" s="66">
        <v>46210.013588159702</v>
      </c>
      <c r="J1347" s="66">
        <v>46210.283019756898</v>
      </c>
      <c r="K1347" s="65">
        <v>0.3</v>
      </c>
      <c r="L1347" s="65" t="s">
        <v>183</v>
      </c>
      <c r="M1347" s="65" t="s">
        <v>183</v>
      </c>
      <c r="N1347" s="65" t="b">
        <f>FALSE()</f>
        <v>0</v>
      </c>
      <c r="O1347" s="65"/>
      <c r="P1347" s="65"/>
      <c r="Q1347" s="65" t="s">
        <v>236</v>
      </c>
      <c r="R1347" s="65" t="s">
        <v>236</v>
      </c>
      <c r="S1347" s="65"/>
      <c r="T1347" s="65" t="b">
        <f>FALSE()</f>
        <v>0</v>
      </c>
      <c r="U1347" s="65" t="b">
        <f>FALSE()</f>
        <v>0</v>
      </c>
      <c r="V1347" s="65">
        <v>380</v>
      </c>
      <c r="W1347" s="67" t="s">
        <v>4751</v>
      </c>
      <c r="X1347" s="65">
        <v>81</v>
      </c>
      <c r="Y1347" s="68">
        <v>141.75</v>
      </c>
      <c r="Z1347" s="65" t="b">
        <f>FALSE()</f>
        <v>0</v>
      </c>
      <c r="AA1347" s="65" t="b">
        <f>TRUE()</f>
        <v>1</v>
      </c>
      <c r="AB1347" s="65" t="b">
        <f>FALSE()</f>
        <v>0</v>
      </c>
      <c r="AC1347" s="65" t="b">
        <f>FALSE()</f>
        <v>0</v>
      </c>
      <c r="AD1347" s="65" t="b">
        <f>TRUE()</f>
        <v>1</v>
      </c>
      <c r="AE1347" s="65">
        <v>3</v>
      </c>
      <c r="AF1347" s="69">
        <v>42.9</v>
      </c>
      <c r="AG1347" s="65" t="s">
        <v>73</v>
      </c>
      <c r="AH1347" s="65" t="s">
        <v>4938</v>
      </c>
      <c r="AI1347">
        <f>IF(AND(OR(Company_Explorer!$B$5="All Companies",$E1347=Company_Explorer!$B$5),OR(Company_Explorer!$B$6="All Platforms",$B1347=Company_Explorer!$B$6),OR(Company_Explorer!$B$7="All Roles",$D1347=Company_Explorer!$B$7),OR(Company_Explorer!$B$8="All Ghost Labels",$AG1347=Company_Explorer!$B$8)),1,0)</f>
        <v>0</v>
      </c>
    </row>
    <row r="1348" spans="1:35" ht="15" customHeight="1" x14ac:dyDescent="0.3">
      <c r="A1348" s="60" t="s">
        <v>4939</v>
      </c>
      <c r="B1348" s="60" t="s">
        <v>81</v>
      </c>
      <c r="C1348" s="60" t="s">
        <v>4750</v>
      </c>
      <c r="D1348" s="60" t="s">
        <v>125</v>
      </c>
      <c r="E1348" s="60" t="s">
        <v>142</v>
      </c>
      <c r="F1348" s="60" t="b">
        <f>TRUE()</f>
        <v>1</v>
      </c>
      <c r="G1348" s="60" t="s">
        <v>165</v>
      </c>
      <c r="H1348" s="60" t="s">
        <v>3620</v>
      </c>
      <c r="I1348" s="61">
        <v>46210.0136824074</v>
      </c>
      <c r="J1348" s="61">
        <v>46210.283019826398</v>
      </c>
      <c r="K1348" s="60">
        <v>0.3</v>
      </c>
      <c r="L1348" s="60" t="s">
        <v>183</v>
      </c>
      <c r="M1348" s="60" t="s">
        <v>183</v>
      </c>
      <c r="N1348" s="60" t="b">
        <f>FALSE()</f>
        <v>0</v>
      </c>
      <c r="O1348" s="60"/>
      <c r="P1348" s="60"/>
      <c r="Q1348" s="60" t="s">
        <v>236</v>
      </c>
      <c r="R1348" s="60" t="s">
        <v>236</v>
      </c>
      <c r="S1348" s="60"/>
      <c r="T1348" s="60" t="b">
        <f>FALSE()</f>
        <v>0</v>
      </c>
      <c r="U1348" s="60" t="b">
        <f>FALSE()</f>
        <v>0</v>
      </c>
      <c r="V1348" s="60">
        <v>378</v>
      </c>
      <c r="W1348" s="62" t="s">
        <v>4751</v>
      </c>
      <c r="X1348" s="60">
        <v>81</v>
      </c>
      <c r="Y1348" s="63">
        <v>141.75</v>
      </c>
      <c r="Z1348" s="60" t="b">
        <f>FALSE()</f>
        <v>0</v>
      </c>
      <c r="AA1348" s="60" t="b">
        <f>TRUE()</f>
        <v>1</v>
      </c>
      <c r="AB1348" s="60" t="b">
        <f>FALSE()</f>
        <v>0</v>
      </c>
      <c r="AC1348" s="60" t="b">
        <f>FALSE()</f>
        <v>0</v>
      </c>
      <c r="AD1348" s="60" t="b">
        <f>TRUE()</f>
        <v>1</v>
      </c>
      <c r="AE1348" s="60">
        <v>3</v>
      </c>
      <c r="AF1348" s="64">
        <v>42.9</v>
      </c>
      <c r="AG1348" s="60" t="s">
        <v>73</v>
      </c>
      <c r="AH1348" s="60" t="s">
        <v>4940</v>
      </c>
      <c r="AI1348">
        <f>IF(AND(OR(Company_Explorer!$B$5="All Companies",$E1348=Company_Explorer!$B$5),OR(Company_Explorer!$B$6="All Platforms",$B1348=Company_Explorer!$B$6),OR(Company_Explorer!$B$7="All Roles",$D1348=Company_Explorer!$B$7),OR(Company_Explorer!$B$8="All Ghost Labels",$AG1348=Company_Explorer!$B$8)),1,0)</f>
        <v>0</v>
      </c>
    </row>
    <row r="1349" spans="1:35" ht="15" customHeight="1" x14ac:dyDescent="0.3">
      <c r="A1349" s="65" t="s">
        <v>4941</v>
      </c>
      <c r="B1349" s="65" t="s">
        <v>81</v>
      </c>
      <c r="C1349" s="65" t="s">
        <v>258</v>
      </c>
      <c r="D1349" s="65" t="s">
        <v>125</v>
      </c>
      <c r="E1349" s="65" t="s">
        <v>143</v>
      </c>
      <c r="F1349" s="65" t="b">
        <f>TRUE()</f>
        <v>1</v>
      </c>
      <c r="G1349" s="65" t="s">
        <v>165</v>
      </c>
      <c r="H1349" s="65" t="s">
        <v>3620</v>
      </c>
      <c r="I1349" s="66">
        <v>46210.053228101897</v>
      </c>
      <c r="J1349" s="66">
        <v>46210.283019791699</v>
      </c>
      <c r="K1349" s="65">
        <v>0.2</v>
      </c>
      <c r="L1349" s="65" t="s">
        <v>183</v>
      </c>
      <c r="M1349" s="65" t="s">
        <v>183</v>
      </c>
      <c r="N1349" s="65" t="b">
        <f>FALSE()</f>
        <v>0</v>
      </c>
      <c r="O1349" s="65"/>
      <c r="P1349" s="65"/>
      <c r="Q1349" s="65" t="s">
        <v>236</v>
      </c>
      <c r="R1349" s="65" t="s">
        <v>236</v>
      </c>
      <c r="S1349" s="65"/>
      <c r="T1349" s="65" t="b">
        <f>FALSE()</f>
        <v>0</v>
      </c>
      <c r="U1349" s="65" t="b">
        <f>FALSE()</f>
        <v>0</v>
      </c>
      <c r="V1349" s="65">
        <v>355</v>
      </c>
      <c r="W1349" s="67" t="s">
        <v>4514</v>
      </c>
      <c r="X1349" s="65">
        <v>64</v>
      </c>
      <c r="Y1349" s="68">
        <v>112</v>
      </c>
      <c r="Z1349" s="65" t="b">
        <f>FALSE()</f>
        <v>0</v>
      </c>
      <c r="AA1349" s="65" t="b">
        <f>TRUE()</f>
        <v>1</v>
      </c>
      <c r="AB1349" s="65" t="b">
        <f>FALSE()</f>
        <v>0</v>
      </c>
      <c r="AC1349" s="65" t="b">
        <f>FALSE()</f>
        <v>0</v>
      </c>
      <c r="AD1349" s="65" t="b">
        <f>TRUE()</f>
        <v>1</v>
      </c>
      <c r="AE1349" s="65">
        <v>3</v>
      </c>
      <c r="AF1349" s="69">
        <v>42.9</v>
      </c>
      <c r="AG1349" s="65" t="s">
        <v>73</v>
      </c>
      <c r="AH1349" s="65" t="s">
        <v>4942</v>
      </c>
      <c r="AI1349">
        <f>IF(AND(OR(Company_Explorer!$B$5="All Companies",$E1349=Company_Explorer!$B$5),OR(Company_Explorer!$B$6="All Platforms",$B1349=Company_Explorer!$B$6),OR(Company_Explorer!$B$7="All Roles",$D1349=Company_Explorer!$B$7),OR(Company_Explorer!$B$8="All Ghost Labels",$AG1349=Company_Explorer!$B$8)),1,0)</f>
        <v>0</v>
      </c>
    </row>
    <row r="1350" spans="1:35" ht="15" customHeight="1" x14ac:dyDescent="0.3">
      <c r="A1350" s="60" t="s">
        <v>4943</v>
      </c>
      <c r="B1350" s="60" t="s">
        <v>81</v>
      </c>
      <c r="C1350" s="60" t="s">
        <v>4746</v>
      </c>
      <c r="D1350" s="60" t="s">
        <v>125</v>
      </c>
      <c r="E1350" s="60" t="s">
        <v>142</v>
      </c>
      <c r="F1350" s="60" t="b">
        <f>TRUE()</f>
        <v>1</v>
      </c>
      <c r="G1350" s="60" t="s">
        <v>165</v>
      </c>
      <c r="H1350" s="60" t="s">
        <v>3636</v>
      </c>
      <c r="I1350" s="61">
        <v>46210.013593298601</v>
      </c>
      <c r="J1350" s="61">
        <v>46210.283019652801</v>
      </c>
      <c r="K1350" s="60">
        <v>0.3</v>
      </c>
      <c r="L1350" s="60" t="s">
        <v>183</v>
      </c>
      <c r="M1350" s="60" t="s">
        <v>183</v>
      </c>
      <c r="N1350" s="60" t="b">
        <f>FALSE()</f>
        <v>0</v>
      </c>
      <c r="O1350" s="60"/>
      <c r="P1350" s="60"/>
      <c r="Q1350" s="60" t="s">
        <v>236</v>
      </c>
      <c r="R1350" s="60" t="s">
        <v>236</v>
      </c>
      <c r="S1350" s="60"/>
      <c r="T1350" s="60" t="b">
        <f>FALSE()</f>
        <v>0</v>
      </c>
      <c r="U1350" s="60" t="b">
        <f>FALSE()</f>
        <v>0</v>
      </c>
      <c r="V1350" s="60">
        <v>724</v>
      </c>
      <c r="W1350" s="62" t="s">
        <v>4747</v>
      </c>
      <c r="X1350" s="60">
        <v>81</v>
      </c>
      <c r="Y1350" s="63">
        <v>141.75</v>
      </c>
      <c r="Z1350" s="60" t="b">
        <f>FALSE()</f>
        <v>0</v>
      </c>
      <c r="AA1350" s="60" t="b">
        <f>TRUE()</f>
        <v>1</v>
      </c>
      <c r="AB1350" s="60" t="b">
        <f>FALSE()</f>
        <v>0</v>
      </c>
      <c r="AC1350" s="60" t="b">
        <f>FALSE()</f>
        <v>0</v>
      </c>
      <c r="AD1350" s="60" t="b">
        <f>TRUE()</f>
        <v>1</v>
      </c>
      <c r="AE1350" s="60">
        <v>3</v>
      </c>
      <c r="AF1350" s="64">
        <v>42.9</v>
      </c>
      <c r="AG1350" s="60" t="s">
        <v>73</v>
      </c>
      <c r="AH1350" s="60" t="s">
        <v>4944</v>
      </c>
      <c r="AI1350">
        <f>IF(AND(OR(Company_Explorer!$B$5="All Companies",$E1350=Company_Explorer!$B$5),OR(Company_Explorer!$B$6="All Platforms",$B1350=Company_Explorer!$B$6),OR(Company_Explorer!$B$7="All Roles",$D1350=Company_Explorer!$B$7),OR(Company_Explorer!$B$8="All Ghost Labels",$AG1350=Company_Explorer!$B$8)),1,0)</f>
        <v>0</v>
      </c>
    </row>
    <row r="1351" spans="1:35" ht="15" customHeight="1" x14ac:dyDescent="0.3">
      <c r="A1351" s="65" t="s">
        <v>4945</v>
      </c>
      <c r="B1351" s="65" t="s">
        <v>81</v>
      </c>
      <c r="C1351" s="65" t="s">
        <v>4750</v>
      </c>
      <c r="D1351" s="65" t="s">
        <v>125</v>
      </c>
      <c r="E1351" s="65" t="s">
        <v>142</v>
      </c>
      <c r="F1351" s="65" t="b">
        <f>TRUE()</f>
        <v>1</v>
      </c>
      <c r="G1351" s="65" t="s">
        <v>165</v>
      </c>
      <c r="H1351" s="65" t="s">
        <v>3655</v>
      </c>
      <c r="I1351" s="66">
        <v>46210.013597546298</v>
      </c>
      <c r="J1351" s="66">
        <v>46210.283019895804</v>
      </c>
      <c r="K1351" s="65">
        <v>0.3</v>
      </c>
      <c r="L1351" s="65" t="s">
        <v>183</v>
      </c>
      <c r="M1351" s="65" t="s">
        <v>183</v>
      </c>
      <c r="N1351" s="65" t="b">
        <f>FALSE()</f>
        <v>0</v>
      </c>
      <c r="O1351" s="65"/>
      <c r="P1351" s="65"/>
      <c r="Q1351" s="65" t="s">
        <v>236</v>
      </c>
      <c r="R1351" s="65" t="s">
        <v>236</v>
      </c>
      <c r="S1351" s="65"/>
      <c r="T1351" s="65" t="b">
        <f>FALSE()</f>
        <v>0</v>
      </c>
      <c r="U1351" s="65" t="b">
        <f>FALSE()</f>
        <v>0</v>
      </c>
      <c r="V1351" s="65">
        <v>379</v>
      </c>
      <c r="W1351" s="67" t="s">
        <v>4751</v>
      </c>
      <c r="X1351" s="65">
        <v>81</v>
      </c>
      <c r="Y1351" s="68">
        <v>141.75</v>
      </c>
      <c r="Z1351" s="65" t="b">
        <f>FALSE()</f>
        <v>0</v>
      </c>
      <c r="AA1351" s="65" t="b">
        <f>TRUE()</f>
        <v>1</v>
      </c>
      <c r="AB1351" s="65" t="b">
        <f>FALSE()</f>
        <v>0</v>
      </c>
      <c r="AC1351" s="65" t="b">
        <f>FALSE()</f>
        <v>0</v>
      </c>
      <c r="AD1351" s="65" t="b">
        <f>TRUE()</f>
        <v>1</v>
      </c>
      <c r="AE1351" s="65">
        <v>3</v>
      </c>
      <c r="AF1351" s="69">
        <v>42.9</v>
      </c>
      <c r="AG1351" s="65" t="s">
        <v>73</v>
      </c>
      <c r="AH1351" s="65" t="s">
        <v>4946</v>
      </c>
      <c r="AI1351">
        <f>IF(AND(OR(Company_Explorer!$B$5="All Companies",$E1351=Company_Explorer!$B$5),OR(Company_Explorer!$B$6="All Platforms",$B1351=Company_Explorer!$B$6),OR(Company_Explorer!$B$7="All Roles",$D1351=Company_Explorer!$B$7),OR(Company_Explorer!$B$8="All Ghost Labels",$AG1351=Company_Explorer!$B$8)),1,0)</f>
        <v>0</v>
      </c>
    </row>
    <row r="1352" spans="1:35" ht="15" customHeight="1" x14ac:dyDescent="0.3">
      <c r="A1352" s="60" t="s">
        <v>4947</v>
      </c>
      <c r="B1352" s="60" t="s">
        <v>81</v>
      </c>
      <c r="C1352" s="60" t="s">
        <v>4750</v>
      </c>
      <c r="D1352" s="60" t="s">
        <v>125</v>
      </c>
      <c r="E1352" s="60" t="s">
        <v>142</v>
      </c>
      <c r="F1352" s="60" t="b">
        <f>TRUE()</f>
        <v>1</v>
      </c>
      <c r="G1352" s="60" t="s">
        <v>165</v>
      </c>
      <c r="H1352" s="60" t="s">
        <v>3636</v>
      </c>
      <c r="I1352" s="61">
        <v>46210.013725937497</v>
      </c>
      <c r="J1352" s="61">
        <v>46210.283019733797</v>
      </c>
      <c r="K1352" s="60">
        <v>0.3</v>
      </c>
      <c r="L1352" s="60" t="s">
        <v>183</v>
      </c>
      <c r="M1352" s="60" t="s">
        <v>183</v>
      </c>
      <c r="N1352" s="60" t="b">
        <f>FALSE()</f>
        <v>0</v>
      </c>
      <c r="O1352" s="60"/>
      <c r="P1352" s="60"/>
      <c r="Q1352" s="60" t="s">
        <v>236</v>
      </c>
      <c r="R1352" s="60" t="s">
        <v>236</v>
      </c>
      <c r="S1352" s="60"/>
      <c r="T1352" s="60" t="b">
        <f>FALSE()</f>
        <v>0</v>
      </c>
      <c r="U1352" s="60" t="b">
        <f>FALSE()</f>
        <v>0</v>
      </c>
      <c r="V1352" s="60">
        <v>379</v>
      </c>
      <c r="W1352" s="62" t="s">
        <v>4751</v>
      </c>
      <c r="X1352" s="60">
        <v>81</v>
      </c>
      <c r="Y1352" s="63">
        <v>141.75</v>
      </c>
      <c r="Z1352" s="60" t="b">
        <f>FALSE()</f>
        <v>0</v>
      </c>
      <c r="AA1352" s="60" t="b">
        <f>TRUE()</f>
        <v>1</v>
      </c>
      <c r="AB1352" s="60" t="b">
        <f>FALSE()</f>
        <v>0</v>
      </c>
      <c r="AC1352" s="60" t="b">
        <f>FALSE()</f>
        <v>0</v>
      </c>
      <c r="AD1352" s="60" t="b">
        <f>TRUE()</f>
        <v>1</v>
      </c>
      <c r="AE1352" s="60">
        <v>3</v>
      </c>
      <c r="AF1352" s="64">
        <v>42.9</v>
      </c>
      <c r="AG1352" s="60" t="s">
        <v>73</v>
      </c>
      <c r="AH1352" s="60" t="s">
        <v>4948</v>
      </c>
      <c r="AI1352">
        <f>IF(AND(OR(Company_Explorer!$B$5="All Companies",$E1352=Company_Explorer!$B$5),OR(Company_Explorer!$B$6="All Platforms",$B1352=Company_Explorer!$B$6),OR(Company_Explorer!$B$7="All Roles",$D1352=Company_Explorer!$B$7),OR(Company_Explorer!$B$8="All Ghost Labels",$AG1352=Company_Explorer!$B$8)),1,0)</f>
        <v>0</v>
      </c>
    </row>
    <row r="1353" spans="1:35" ht="15" customHeight="1" x14ac:dyDescent="0.3">
      <c r="A1353" s="65" t="s">
        <v>4949</v>
      </c>
      <c r="B1353" s="65" t="s">
        <v>81</v>
      </c>
      <c r="C1353" s="65" t="s">
        <v>4750</v>
      </c>
      <c r="D1353" s="65" t="s">
        <v>125</v>
      </c>
      <c r="E1353" s="65" t="s">
        <v>142</v>
      </c>
      <c r="F1353" s="65" t="b">
        <f>TRUE()</f>
        <v>1</v>
      </c>
      <c r="G1353" s="65" t="s">
        <v>165</v>
      </c>
      <c r="H1353" s="65" t="s">
        <v>3655</v>
      </c>
      <c r="I1353" s="66">
        <v>46210.013712071799</v>
      </c>
      <c r="J1353" s="66">
        <v>46210.283020208299</v>
      </c>
      <c r="K1353" s="65">
        <v>0.3</v>
      </c>
      <c r="L1353" s="65" t="s">
        <v>183</v>
      </c>
      <c r="M1353" s="65" t="s">
        <v>183</v>
      </c>
      <c r="N1353" s="65" t="b">
        <f>FALSE()</f>
        <v>0</v>
      </c>
      <c r="O1353" s="65"/>
      <c r="P1353" s="65"/>
      <c r="Q1353" s="65" t="s">
        <v>236</v>
      </c>
      <c r="R1353" s="65" t="s">
        <v>236</v>
      </c>
      <c r="S1353" s="65"/>
      <c r="T1353" s="65" t="b">
        <f>FALSE()</f>
        <v>0</v>
      </c>
      <c r="U1353" s="65" t="b">
        <f>FALSE()</f>
        <v>0</v>
      </c>
      <c r="V1353" s="65">
        <v>381</v>
      </c>
      <c r="W1353" s="67" t="s">
        <v>4751</v>
      </c>
      <c r="X1353" s="65">
        <v>81</v>
      </c>
      <c r="Y1353" s="68">
        <v>141.75</v>
      </c>
      <c r="Z1353" s="65" t="b">
        <f>FALSE()</f>
        <v>0</v>
      </c>
      <c r="AA1353" s="65" t="b">
        <f>TRUE()</f>
        <v>1</v>
      </c>
      <c r="AB1353" s="65" t="b">
        <f>FALSE()</f>
        <v>0</v>
      </c>
      <c r="AC1353" s="65" t="b">
        <f>FALSE()</f>
        <v>0</v>
      </c>
      <c r="AD1353" s="65" t="b">
        <f>TRUE()</f>
        <v>1</v>
      </c>
      <c r="AE1353" s="65">
        <v>3</v>
      </c>
      <c r="AF1353" s="69">
        <v>42.9</v>
      </c>
      <c r="AG1353" s="65" t="s">
        <v>73</v>
      </c>
      <c r="AH1353" s="65" t="s">
        <v>4950</v>
      </c>
      <c r="AI1353">
        <f>IF(AND(OR(Company_Explorer!$B$5="All Companies",$E1353=Company_Explorer!$B$5),OR(Company_Explorer!$B$6="All Platforms",$B1353=Company_Explorer!$B$6),OR(Company_Explorer!$B$7="All Roles",$D1353=Company_Explorer!$B$7),OR(Company_Explorer!$B$8="All Ghost Labels",$AG1353=Company_Explorer!$B$8)),1,0)</f>
        <v>0</v>
      </c>
    </row>
    <row r="1354" spans="1:35" ht="15" customHeight="1" x14ac:dyDescent="0.3">
      <c r="A1354" s="60" t="s">
        <v>4951</v>
      </c>
      <c r="B1354" s="60" t="s">
        <v>81</v>
      </c>
      <c r="C1354" s="60" t="s">
        <v>258</v>
      </c>
      <c r="D1354" s="60" t="s">
        <v>125</v>
      </c>
      <c r="E1354" s="60" t="s">
        <v>143</v>
      </c>
      <c r="F1354" s="60" t="b">
        <f>TRUE()</f>
        <v>1</v>
      </c>
      <c r="G1354" s="60" t="s">
        <v>165</v>
      </c>
      <c r="H1354" s="60" t="s">
        <v>3655</v>
      </c>
      <c r="I1354" s="61">
        <v>46210.053215370397</v>
      </c>
      <c r="J1354" s="61">
        <v>46210.283020775503</v>
      </c>
      <c r="K1354" s="60">
        <v>0.2</v>
      </c>
      <c r="L1354" s="60" t="s">
        <v>183</v>
      </c>
      <c r="M1354" s="60" t="s">
        <v>183</v>
      </c>
      <c r="N1354" s="60" t="b">
        <f>FALSE()</f>
        <v>0</v>
      </c>
      <c r="O1354" s="60"/>
      <c r="P1354" s="60"/>
      <c r="Q1354" s="60" t="s">
        <v>236</v>
      </c>
      <c r="R1354" s="60" t="s">
        <v>236</v>
      </c>
      <c r="S1354" s="60"/>
      <c r="T1354" s="60" t="b">
        <f>FALSE()</f>
        <v>0</v>
      </c>
      <c r="U1354" s="60" t="b">
        <f>FALSE()</f>
        <v>0</v>
      </c>
      <c r="V1354" s="60">
        <v>333</v>
      </c>
      <c r="W1354" s="62" t="s">
        <v>4514</v>
      </c>
      <c r="X1354" s="60">
        <v>64</v>
      </c>
      <c r="Y1354" s="63">
        <v>112</v>
      </c>
      <c r="Z1354" s="60" t="b">
        <f>FALSE()</f>
        <v>0</v>
      </c>
      <c r="AA1354" s="60" t="b">
        <f>TRUE()</f>
        <v>1</v>
      </c>
      <c r="AB1354" s="60" t="b">
        <f>FALSE()</f>
        <v>0</v>
      </c>
      <c r="AC1354" s="60" t="b">
        <f>FALSE()</f>
        <v>0</v>
      </c>
      <c r="AD1354" s="60" t="b">
        <f>TRUE()</f>
        <v>1</v>
      </c>
      <c r="AE1354" s="60">
        <v>3</v>
      </c>
      <c r="AF1354" s="64">
        <v>42.9</v>
      </c>
      <c r="AG1354" s="60" t="s">
        <v>73</v>
      </c>
      <c r="AH1354" s="60" t="s">
        <v>4952</v>
      </c>
      <c r="AI1354">
        <f>IF(AND(OR(Company_Explorer!$B$5="All Companies",$E1354=Company_Explorer!$B$5),OR(Company_Explorer!$B$6="All Platforms",$B1354=Company_Explorer!$B$6),OR(Company_Explorer!$B$7="All Roles",$D1354=Company_Explorer!$B$7),OR(Company_Explorer!$B$8="All Ghost Labels",$AG1354=Company_Explorer!$B$8)),1,0)</f>
        <v>0</v>
      </c>
    </row>
    <row r="1355" spans="1:35" ht="15" customHeight="1" x14ac:dyDescent="0.3">
      <c r="A1355" s="65" t="s">
        <v>4953</v>
      </c>
      <c r="B1355" s="65" t="s">
        <v>81</v>
      </c>
      <c r="C1355" s="65" t="s">
        <v>4746</v>
      </c>
      <c r="D1355" s="65" t="s">
        <v>125</v>
      </c>
      <c r="E1355" s="65" t="s">
        <v>142</v>
      </c>
      <c r="F1355" s="65" t="b">
        <f>TRUE()</f>
        <v>1</v>
      </c>
      <c r="G1355" s="65" t="s">
        <v>165</v>
      </c>
      <c r="H1355" s="65" t="s">
        <v>3655</v>
      </c>
      <c r="I1355" s="66">
        <v>46210.013689432897</v>
      </c>
      <c r="J1355" s="66">
        <v>46210.2830210764</v>
      </c>
      <c r="K1355" s="65">
        <v>0.3</v>
      </c>
      <c r="L1355" s="65" t="s">
        <v>183</v>
      </c>
      <c r="M1355" s="65" t="s">
        <v>183</v>
      </c>
      <c r="N1355" s="65" t="b">
        <f>FALSE()</f>
        <v>0</v>
      </c>
      <c r="O1355" s="65"/>
      <c r="P1355" s="65"/>
      <c r="Q1355" s="65" t="s">
        <v>236</v>
      </c>
      <c r="R1355" s="65" t="s">
        <v>236</v>
      </c>
      <c r="S1355" s="65"/>
      <c r="T1355" s="65" t="b">
        <f>FALSE()</f>
        <v>0</v>
      </c>
      <c r="U1355" s="65" t="b">
        <f>FALSE()</f>
        <v>0</v>
      </c>
      <c r="V1355" s="65">
        <v>723</v>
      </c>
      <c r="W1355" s="67" t="s">
        <v>4747</v>
      </c>
      <c r="X1355" s="65">
        <v>81</v>
      </c>
      <c r="Y1355" s="68">
        <v>141.75</v>
      </c>
      <c r="Z1355" s="65" t="b">
        <f>FALSE()</f>
        <v>0</v>
      </c>
      <c r="AA1355" s="65" t="b">
        <f>TRUE()</f>
        <v>1</v>
      </c>
      <c r="AB1355" s="65" t="b">
        <f>FALSE()</f>
        <v>0</v>
      </c>
      <c r="AC1355" s="65" t="b">
        <f>FALSE()</f>
        <v>0</v>
      </c>
      <c r="AD1355" s="65" t="b">
        <f>TRUE()</f>
        <v>1</v>
      </c>
      <c r="AE1355" s="65">
        <v>3</v>
      </c>
      <c r="AF1355" s="69">
        <v>42.9</v>
      </c>
      <c r="AG1355" s="65" t="s">
        <v>73</v>
      </c>
      <c r="AH1355" s="65" t="s">
        <v>4954</v>
      </c>
      <c r="AI1355">
        <f>IF(AND(OR(Company_Explorer!$B$5="All Companies",$E1355=Company_Explorer!$B$5),OR(Company_Explorer!$B$6="All Platforms",$B1355=Company_Explorer!$B$6),OR(Company_Explorer!$B$7="All Roles",$D1355=Company_Explorer!$B$7),OR(Company_Explorer!$B$8="All Ghost Labels",$AG1355=Company_Explorer!$B$8)),1,0)</f>
        <v>0</v>
      </c>
    </row>
    <row r="1356" spans="1:35" ht="15" customHeight="1" x14ac:dyDescent="0.3">
      <c r="A1356" s="60" t="s">
        <v>4955</v>
      </c>
      <c r="B1356" s="60" t="s">
        <v>81</v>
      </c>
      <c r="C1356" s="60" t="s">
        <v>4746</v>
      </c>
      <c r="D1356" s="60" t="s">
        <v>125</v>
      </c>
      <c r="E1356" s="60" t="s">
        <v>142</v>
      </c>
      <c r="F1356" s="60" t="b">
        <f>TRUE()</f>
        <v>1</v>
      </c>
      <c r="G1356" s="60" t="s">
        <v>165</v>
      </c>
      <c r="H1356" s="60" t="s">
        <v>3636</v>
      </c>
      <c r="I1356" s="61">
        <v>46210.013680138902</v>
      </c>
      <c r="J1356" s="61">
        <v>46210.283021099502</v>
      </c>
      <c r="K1356" s="60">
        <v>0.3</v>
      </c>
      <c r="L1356" s="60" t="s">
        <v>183</v>
      </c>
      <c r="M1356" s="60" t="s">
        <v>183</v>
      </c>
      <c r="N1356" s="60" t="b">
        <f>FALSE()</f>
        <v>0</v>
      </c>
      <c r="O1356" s="60"/>
      <c r="P1356" s="60"/>
      <c r="Q1356" s="60" t="s">
        <v>236</v>
      </c>
      <c r="R1356" s="60" t="s">
        <v>236</v>
      </c>
      <c r="S1356" s="60"/>
      <c r="T1356" s="60" t="b">
        <f>FALSE()</f>
        <v>0</v>
      </c>
      <c r="U1356" s="60" t="b">
        <f>FALSE()</f>
        <v>0</v>
      </c>
      <c r="V1356" s="60">
        <v>725</v>
      </c>
      <c r="W1356" s="62" t="s">
        <v>4747</v>
      </c>
      <c r="X1356" s="60">
        <v>81</v>
      </c>
      <c r="Y1356" s="63">
        <v>141.75</v>
      </c>
      <c r="Z1356" s="60" t="b">
        <f>FALSE()</f>
        <v>0</v>
      </c>
      <c r="AA1356" s="60" t="b">
        <f>TRUE()</f>
        <v>1</v>
      </c>
      <c r="AB1356" s="60" t="b">
        <f>FALSE()</f>
        <v>0</v>
      </c>
      <c r="AC1356" s="60" t="b">
        <f>FALSE()</f>
        <v>0</v>
      </c>
      <c r="AD1356" s="60" t="b">
        <f>TRUE()</f>
        <v>1</v>
      </c>
      <c r="AE1356" s="60">
        <v>3</v>
      </c>
      <c r="AF1356" s="64">
        <v>42.9</v>
      </c>
      <c r="AG1356" s="60" t="s">
        <v>73</v>
      </c>
      <c r="AH1356" s="60" t="s">
        <v>4956</v>
      </c>
      <c r="AI1356">
        <f>IF(AND(OR(Company_Explorer!$B$5="All Companies",$E1356=Company_Explorer!$B$5),OR(Company_Explorer!$B$6="All Platforms",$B1356=Company_Explorer!$B$6),OR(Company_Explorer!$B$7="All Roles",$D1356=Company_Explorer!$B$7),OR(Company_Explorer!$B$8="All Ghost Labels",$AG1356=Company_Explorer!$B$8)),1,0)</f>
        <v>0</v>
      </c>
    </row>
    <row r="1357" spans="1:35" ht="15" customHeight="1" x14ac:dyDescent="0.3">
      <c r="A1357" s="65" t="s">
        <v>4957</v>
      </c>
      <c r="B1357" s="65" t="s">
        <v>81</v>
      </c>
      <c r="C1357" s="65" t="s">
        <v>4750</v>
      </c>
      <c r="D1357" s="65" t="s">
        <v>125</v>
      </c>
      <c r="E1357" s="65" t="s">
        <v>142</v>
      </c>
      <c r="F1357" s="65" t="b">
        <f>TRUE()</f>
        <v>1</v>
      </c>
      <c r="G1357" s="65" t="s">
        <v>165</v>
      </c>
      <c r="H1357" s="65" t="s">
        <v>3636</v>
      </c>
      <c r="I1357" s="66">
        <v>46210.013569826398</v>
      </c>
      <c r="J1357" s="66">
        <v>46210.283020891198</v>
      </c>
      <c r="K1357" s="65">
        <v>0.3</v>
      </c>
      <c r="L1357" s="65" t="s">
        <v>183</v>
      </c>
      <c r="M1357" s="65" t="s">
        <v>183</v>
      </c>
      <c r="N1357" s="65" t="b">
        <f>FALSE()</f>
        <v>0</v>
      </c>
      <c r="O1357" s="65"/>
      <c r="P1357" s="65"/>
      <c r="Q1357" s="65" t="s">
        <v>236</v>
      </c>
      <c r="R1357" s="65" t="s">
        <v>236</v>
      </c>
      <c r="S1357" s="65"/>
      <c r="T1357" s="65" t="b">
        <f>FALSE()</f>
        <v>0</v>
      </c>
      <c r="U1357" s="65" t="b">
        <f>FALSE()</f>
        <v>0</v>
      </c>
      <c r="V1357" s="65">
        <v>380</v>
      </c>
      <c r="W1357" s="67" t="s">
        <v>4751</v>
      </c>
      <c r="X1357" s="65">
        <v>81</v>
      </c>
      <c r="Y1357" s="68">
        <v>141.75</v>
      </c>
      <c r="Z1357" s="65" t="b">
        <f>FALSE()</f>
        <v>0</v>
      </c>
      <c r="AA1357" s="65" t="b">
        <f>TRUE()</f>
        <v>1</v>
      </c>
      <c r="AB1357" s="65" t="b">
        <f>FALSE()</f>
        <v>0</v>
      </c>
      <c r="AC1357" s="65" t="b">
        <f>FALSE()</f>
        <v>0</v>
      </c>
      <c r="AD1357" s="65" t="b">
        <f>TRUE()</f>
        <v>1</v>
      </c>
      <c r="AE1357" s="65">
        <v>3</v>
      </c>
      <c r="AF1357" s="69">
        <v>42.9</v>
      </c>
      <c r="AG1357" s="65" t="s">
        <v>73</v>
      </c>
      <c r="AH1357" s="65" t="s">
        <v>4958</v>
      </c>
      <c r="AI1357">
        <f>IF(AND(OR(Company_Explorer!$B$5="All Companies",$E1357=Company_Explorer!$B$5),OR(Company_Explorer!$B$6="All Platforms",$B1357=Company_Explorer!$B$6),OR(Company_Explorer!$B$7="All Roles",$D1357=Company_Explorer!$B$7),OR(Company_Explorer!$B$8="All Ghost Labels",$AG1357=Company_Explorer!$B$8)),1,0)</f>
        <v>0</v>
      </c>
    </row>
    <row r="1358" spans="1:35" ht="15" customHeight="1" x14ac:dyDescent="0.3">
      <c r="A1358" s="60" t="s">
        <v>4959</v>
      </c>
      <c r="B1358" s="60" t="s">
        <v>81</v>
      </c>
      <c r="C1358" s="60" t="s">
        <v>134</v>
      </c>
      <c r="D1358" s="60" t="s">
        <v>134</v>
      </c>
      <c r="E1358" s="60" t="s">
        <v>143</v>
      </c>
      <c r="F1358" s="60" t="b">
        <f>TRUE()</f>
        <v>1</v>
      </c>
      <c r="G1358" s="60" t="s">
        <v>165</v>
      </c>
      <c r="H1358" s="60" t="s">
        <v>3620</v>
      </c>
      <c r="I1358" s="61">
        <v>46210.053218275498</v>
      </c>
      <c r="J1358" s="61">
        <v>46210.283021319497</v>
      </c>
      <c r="K1358" s="60">
        <v>0.2</v>
      </c>
      <c r="L1358" s="60" t="s">
        <v>183</v>
      </c>
      <c r="M1358" s="60" t="s">
        <v>183</v>
      </c>
      <c r="N1358" s="60" t="b">
        <f>FALSE()</f>
        <v>0</v>
      </c>
      <c r="O1358" s="60"/>
      <c r="P1358" s="60"/>
      <c r="Q1358" s="60" t="s">
        <v>236</v>
      </c>
      <c r="R1358" s="60" t="s">
        <v>236</v>
      </c>
      <c r="S1358" s="60"/>
      <c r="T1358" s="60" t="b">
        <f>FALSE()</f>
        <v>0</v>
      </c>
      <c r="U1358" s="60" t="b">
        <f>FALSE()</f>
        <v>0</v>
      </c>
      <c r="V1358" s="60">
        <v>395</v>
      </c>
      <c r="W1358" s="62" t="s">
        <v>4774</v>
      </c>
      <c r="X1358" s="60">
        <v>64</v>
      </c>
      <c r="Y1358" s="63">
        <v>112</v>
      </c>
      <c r="Z1358" s="60" t="b">
        <f>FALSE()</f>
        <v>0</v>
      </c>
      <c r="AA1358" s="60" t="b">
        <f>TRUE()</f>
        <v>1</v>
      </c>
      <c r="AB1358" s="60" t="b">
        <f>FALSE()</f>
        <v>0</v>
      </c>
      <c r="AC1358" s="60" t="b">
        <f>FALSE()</f>
        <v>0</v>
      </c>
      <c r="AD1358" s="60" t="b">
        <f>TRUE()</f>
        <v>1</v>
      </c>
      <c r="AE1358" s="60">
        <v>3</v>
      </c>
      <c r="AF1358" s="64">
        <v>42.9</v>
      </c>
      <c r="AG1358" s="60" t="s">
        <v>73</v>
      </c>
      <c r="AH1358" s="60" t="s">
        <v>4960</v>
      </c>
      <c r="AI1358">
        <f>IF(AND(OR(Company_Explorer!$B$5="All Companies",$E1358=Company_Explorer!$B$5),OR(Company_Explorer!$B$6="All Platforms",$B1358=Company_Explorer!$B$6),OR(Company_Explorer!$B$7="All Roles",$D1358=Company_Explorer!$B$7),OR(Company_Explorer!$B$8="All Ghost Labels",$AG1358=Company_Explorer!$B$8)),1,0)</f>
        <v>0</v>
      </c>
    </row>
    <row r="1359" spans="1:35" ht="15" customHeight="1" x14ac:dyDescent="0.3">
      <c r="A1359" s="65" t="s">
        <v>4961</v>
      </c>
      <c r="B1359" s="65" t="s">
        <v>81</v>
      </c>
      <c r="C1359" s="65" t="s">
        <v>4746</v>
      </c>
      <c r="D1359" s="65" t="s">
        <v>125</v>
      </c>
      <c r="E1359" s="65" t="s">
        <v>142</v>
      </c>
      <c r="F1359" s="65" t="b">
        <f>TRUE()</f>
        <v>1</v>
      </c>
      <c r="G1359" s="65" t="s">
        <v>165</v>
      </c>
      <c r="H1359" s="65" t="s">
        <v>3672</v>
      </c>
      <c r="I1359" s="66">
        <v>46210.013574710698</v>
      </c>
      <c r="J1359" s="66">
        <v>46210.283021504598</v>
      </c>
      <c r="K1359" s="65">
        <v>0.3</v>
      </c>
      <c r="L1359" s="65" t="s">
        <v>183</v>
      </c>
      <c r="M1359" s="65" t="s">
        <v>183</v>
      </c>
      <c r="N1359" s="65" t="b">
        <f>FALSE()</f>
        <v>0</v>
      </c>
      <c r="O1359" s="65"/>
      <c r="P1359" s="65"/>
      <c r="Q1359" s="65" t="s">
        <v>236</v>
      </c>
      <c r="R1359" s="65" t="s">
        <v>236</v>
      </c>
      <c r="S1359" s="65"/>
      <c r="T1359" s="65" t="b">
        <f>FALSE()</f>
        <v>0</v>
      </c>
      <c r="U1359" s="65" t="b">
        <f>FALSE()</f>
        <v>0</v>
      </c>
      <c r="V1359" s="65">
        <v>723</v>
      </c>
      <c r="W1359" s="67" t="s">
        <v>4747</v>
      </c>
      <c r="X1359" s="65">
        <v>81</v>
      </c>
      <c r="Y1359" s="68">
        <v>141.75</v>
      </c>
      <c r="Z1359" s="65" t="b">
        <f>FALSE()</f>
        <v>0</v>
      </c>
      <c r="AA1359" s="65" t="b">
        <f>TRUE()</f>
        <v>1</v>
      </c>
      <c r="AB1359" s="65" t="b">
        <f>FALSE()</f>
        <v>0</v>
      </c>
      <c r="AC1359" s="65" t="b">
        <f>FALSE()</f>
        <v>0</v>
      </c>
      <c r="AD1359" s="65" t="b">
        <f>TRUE()</f>
        <v>1</v>
      </c>
      <c r="AE1359" s="65">
        <v>3</v>
      </c>
      <c r="AF1359" s="69">
        <v>42.9</v>
      </c>
      <c r="AG1359" s="65" t="s">
        <v>73</v>
      </c>
      <c r="AH1359" s="65" t="s">
        <v>4962</v>
      </c>
      <c r="AI1359">
        <f>IF(AND(OR(Company_Explorer!$B$5="All Companies",$E1359=Company_Explorer!$B$5),OR(Company_Explorer!$B$6="All Platforms",$B1359=Company_Explorer!$B$6),OR(Company_Explorer!$B$7="All Roles",$D1359=Company_Explorer!$B$7),OR(Company_Explorer!$B$8="All Ghost Labels",$AG1359=Company_Explorer!$B$8)),1,0)</f>
        <v>0</v>
      </c>
    </row>
    <row r="1360" spans="1:35" ht="15" customHeight="1" x14ac:dyDescent="0.3">
      <c r="A1360" s="60" t="s">
        <v>4963</v>
      </c>
      <c r="B1360" s="60" t="s">
        <v>81</v>
      </c>
      <c r="C1360" s="60" t="s">
        <v>130</v>
      </c>
      <c r="D1360" s="60" t="s">
        <v>130</v>
      </c>
      <c r="E1360" s="60" t="s">
        <v>143</v>
      </c>
      <c r="F1360" s="60" t="b">
        <f>TRUE()</f>
        <v>1</v>
      </c>
      <c r="G1360" s="60" t="s">
        <v>165</v>
      </c>
      <c r="H1360" s="60" t="s">
        <v>3655</v>
      </c>
      <c r="I1360" s="61">
        <v>46210.053217974499</v>
      </c>
      <c r="J1360" s="61">
        <v>46210.283021249998</v>
      </c>
      <c r="K1360" s="60">
        <v>0.2</v>
      </c>
      <c r="L1360" s="60" t="s">
        <v>183</v>
      </c>
      <c r="M1360" s="60" t="s">
        <v>183</v>
      </c>
      <c r="N1360" s="60" t="b">
        <f>FALSE()</f>
        <v>0</v>
      </c>
      <c r="O1360" s="60"/>
      <c r="P1360" s="60"/>
      <c r="Q1360" s="60" t="s">
        <v>236</v>
      </c>
      <c r="R1360" s="60" t="s">
        <v>236</v>
      </c>
      <c r="S1360" s="60"/>
      <c r="T1360" s="60" t="b">
        <f>FALSE()</f>
        <v>0</v>
      </c>
      <c r="U1360" s="60" t="b">
        <f>FALSE()</f>
        <v>0</v>
      </c>
      <c r="V1360" s="60">
        <v>348</v>
      </c>
      <c r="W1360" s="62" t="s">
        <v>4449</v>
      </c>
      <c r="X1360" s="60">
        <v>64</v>
      </c>
      <c r="Y1360" s="63">
        <v>112</v>
      </c>
      <c r="Z1360" s="60" t="b">
        <f>FALSE()</f>
        <v>0</v>
      </c>
      <c r="AA1360" s="60" t="b">
        <f>TRUE()</f>
        <v>1</v>
      </c>
      <c r="AB1360" s="60" t="b">
        <f>FALSE()</f>
        <v>0</v>
      </c>
      <c r="AC1360" s="60" t="b">
        <f>FALSE()</f>
        <v>0</v>
      </c>
      <c r="AD1360" s="60" t="b">
        <f>TRUE()</f>
        <v>1</v>
      </c>
      <c r="AE1360" s="60">
        <v>3</v>
      </c>
      <c r="AF1360" s="64">
        <v>42.9</v>
      </c>
      <c r="AG1360" s="60" t="s">
        <v>73</v>
      </c>
      <c r="AH1360" s="60" t="s">
        <v>4964</v>
      </c>
      <c r="AI1360">
        <f>IF(AND(OR(Company_Explorer!$B$5="All Companies",$E1360=Company_Explorer!$B$5),OR(Company_Explorer!$B$6="All Platforms",$B1360=Company_Explorer!$B$6),OR(Company_Explorer!$B$7="All Roles",$D1360=Company_Explorer!$B$7),OR(Company_Explorer!$B$8="All Ghost Labels",$AG1360=Company_Explorer!$B$8)),1,0)</f>
        <v>0</v>
      </c>
    </row>
    <row r="1361" spans="1:35" ht="15" customHeight="1" x14ac:dyDescent="0.3">
      <c r="A1361" s="65" t="s">
        <v>4965</v>
      </c>
      <c r="B1361" s="65" t="s">
        <v>81</v>
      </c>
      <c r="C1361" s="65" t="s">
        <v>4750</v>
      </c>
      <c r="D1361" s="65" t="s">
        <v>125</v>
      </c>
      <c r="E1361" s="65" t="s">
        <v>142</v>
      </c>
      <c r="F1361" s="65" t="b">
        <f>TRUE()</f>
        <v>1</v>
      </c>
      <c r="G1361" s="65" t="s">
        <v>165</v>
      </c>
      <c r="H1361" s="65" t="s">
        <v>3620</v>
      </c>
      <c r="I1361" s="66">
        <v>46210.013679953699</v>
      </c>
      <c r="J1361" s="66">
        <v>46210.283022002302</v>
      </c>
      <c r="K1361" s="65">
        <v>0.3</v>
      </c>
      <c r="L1361" s="65" t="s">
        <v>183</v>
      </c>
      <c r="M1361" s="65" t="s">
        <v>183</v>
      </c>
      <c r="N1361" s="65" t="b">
        <f>FALSE()</f>
        <v>0</v>
      </c>
      <c r="O1361" s="65"/>
      <c r="P1361" s="65"/>
      <c r="Q1361" s="65" t="s">
        <v>236</v>
      </c>
      <c r="R1361" s="65" t="s">
        <v>236</v>
      </c>
      <c r="S1361" s="65"/>
      <c r="T1361" s="65" t="b">
        <f>FALSE()</f>
        <v>0</v>
      </c>
      <c r="U1361" s="65" t="b">
        <f>FALSE()</f>
        <v>0</v>
      </c>
      <c r="V1361" s="65">
        <v>380</v>
      </c>
      <c r="W1361" s="67" t="s">
        <v>4751</v>
      </c>
      <c r="X1361" s="65">
        <v>81</v>
      </c>
      <c r="Y1361" s="68">
        <v>141.75</v>
      </c>
      <c r="Z1361" s="65" t="b">
        <f>FALSE()</f>
        <v>0</v>
      </c>
      <c r="AA1361" s="65" t="b">
        <f>TRUE()</f>
        <v>1</v>
      </c>
      <c r="AB1361" s="65" t="b">
        <f>FALSE()</f>
        <v>0</v>
      </c>
      <c r="AC1361" s="65" t="b">
        <f>FALSE()</f>
        <v>0</v>
      </c>
      <c r="AD1361" s="65" t="b">
        <f>TRUE()</f>
        <v>1</v>
      </c>
      <c r="AE1361" s="65">
        <v>3</v>
      </c>
      <c r="AF1361" s="69">
        <v>42.9</v>
      </c>
      <c r="AG1361" s="65" t="s">
        <v>73</v>
      </c>
      <c r="AH1361" s="65" t="s">
        <v>4966</v>
      </c>
      <c r="AI1361">
        <f>IF(AND(OR(Company_Explorer!$B$5="All Companies",$E1361=Company_Explorer!$B$5),OR(Company_Explorer!$B$6="All Platforms",$B1361=Company_Explorer!$B$6),OR(Company_Explorer!$B$7="All Roles",$D1361=Company_Explorer!$B$7),OR(Company_Explorer!$B$8="All Ghost Labels",$AG1361=Company_Explorer!$B$8)),1,0)</f>
        <v>0</v>
      </c>
    </row>
    <row r="1362" spans="1:35" ht="15" customHeight="1" x14ac:dyDescent="0.3">
      <c r="A1362" s="60" t="s">
        <v>4967</v>
      </c>
      <c r="B1362" s="60" t="s">
        <v>81</v>
      </c>
      <c r="C1362" s="60" t="s">
        <v>4750</v>
      </c>
      <c r="D1362" s="60" t="s">
        <v>125</v>
      </c>
      <c r="E1362" s="60" t="s">
        <v>142</v>
      </c>
      <c r="F1362" s="60" t="b">
        <f>TRUE()</f>
        <v>1</v>
      </c>
      <c r="G1362" s="60" t="s">
        <v>165</v>
      </c>
      <c r="H1362" s="60" t="s">
        <v>3636</v>
      </c>
      <c r="I1362" s="61">
        <v>46210.013587199101</v>
      </c>
      <c r="J1362" s="61">
        <v>46210.283022071802</v>
      </c>
      <c r="K1362" s="60">
        <v>0.3</v>
      </c>
      <c r="L1362" s="60" t="s">
        <v>183</v>
      </c>
      <c r="M1362" s="60" t="s">
        <v>183</v>
      </c>
      <c r="N1362" s="60" t="b">
        <f>FALSE()</f>
        <v>0</v>
      </c>
      <c r="O1362" s="60"/>
      <c r="P1362" s="60"/>
      <c r="Q1362" s="60" t="s">
        <v>236</v>
      </c>
      <c r="R1362" s="60" t="s">
        <v>236</v>
      </c>
      <c r="S1362" s="60"/>
      <c r="T1362" s="60" t="b">
        <f>FALSE()</f>
        <v>0</v>
      </c>
      <c r="U1362" s="60" t="b">
        <f>FALSE()</f>
        <v>0</v>
      </c>
      <c r="V1362" s="60">
        <v>380</v>
      </c>
      <c r="W1362" s="62" t="s">
        <v>4751</v>
      </c>
      <c r="X1362" s="60">
        <v>81</v>
      </c>
      <c r="Y1362" s="63">
        <v>141.75</v>
      </c>
      <c r="Z1362" s="60" t="b">
        <f>FALSE()</f>
        <v>0</v>
      </c>
      <c r="AA1362" s="60" t="b">
        <f>TRUE()</f>
        <v>1</v>
      </c>
      <c r="AB1362" s="60" t="b">
        <f>FALSE()</f>
        <v>0</v>
      </c>
      <c r="AC1362" s="60" t="b">
        <f>FALSE()</f>
        <v>0</v>
      </c>
      <c r="AD1362" s="60" t="b">
        <f>TRUE()</f>
        <v>1</v>
      </c>
      <c r="AE1362" s="60">
        <v>3</v>
      </c>
      <c r="AF1362" s="64">
        <v>42.9</v>
      </c>
      <c r="AG1362" s="60" t="s">
        <v>73</v>
      </c>
      <c r="AH1362" s="60" t="s">
        <v>4968</v>
      </c>
      <c r="AI1362">
        <f>IF(AND(OR(Company_Explorer!$B$5="All Companies",$E1362=Company_Explorer!$B$5),OR(Company_Explorer!$B$6="All Platforms",$B1362=Company_Explorer!$B$6),OR(Company_Explorer!$B$7="All Roles",$D1362=Company_Explorer!$B$7),OR(Company_Explorer!$B$8="All Ghost Labels",$AG1362=Company_Explorer!$B$8)),1,0)</f>
        <v>0</v>
      </c>
    </row>
    <row r="1363" spans="1:35" ht="15" customHeight="1" x14ac:dyDescent="0.3">
      <c r="A1363" s="65" t="s">
        <v>4969</v>
      </c>
      <c r="B1363" s="65" t="s">
        <v>81</v>
      </c>
      <c r="C1363" s="65" t="s">
        <v>258</v>
      </c>
      <c r="D1363" s="65" t="s">
        <v>125</v>
      </c>
      <c r="E1363" s="65" t="s">
        <v>143</v>
      </c>
      <c r="F1363" s="65" t="b">
        <f>TRUE()</f>
        <v>1</v>
      </c>
      <c r="G1363" s="65" t="s">
        <v>165</v>
      </c>
      <c r="H1363" s="65" t="s">
        <v>3620</v>
      </c>
      <c r="I1363" s="66">
        <v>46210.053221504597</v>
      </c>
      <c r="J1363" s="66">
        <v>46210.283021770803</v>
      </c>
      <c r="K1363" s="65">
        <v>0.2</v>
      </c>
      <c r="L1363" s="65" t="s">
        <v>183</v>
      </c>
      <c r="M1363" s="65" t="s">
        <v>183</v>
      </c>
      <c r="N1363" s="65" t="b">
        <f>FALSE()</f>
        <v>0</v>
      </c>
      <c r="O1363" s="65"/>
      <c r="P1363" s="65"/>
      <c r="Q1363" s="65" t="s">
        <v>236</v>
      </c>
      <c r="R1363" s="65" t="s">
        <v>236</v>
      </c>
      <c r="S1363" s="65"/>
      <c r="T1363" s="65" t="b">
        <f>FALSE()</f>
        <v>0</v>
      </c>
      <c r="U1363" s="65" t="b">
        <f>FALSE()</f>
        <v>0</v>
      </c>
      <c r="V1363" s="65">
        <v>438</v>
      </c>
      <c r="W1363" s="67" t="s">
        <v>4514</v>
      </c>
      <c r="X1363" s="65">
        <v>64</v>
      </c>
      <c r="Y1363" s="68">
        <v>112</v>
      </c>
      <c r="Z1363" s="65" t="b">
        <f>FALSE()</f>
        <v>0</v>
      </c>
      <c r="AA1363" s="65" t="b">
        <f>TRUE()</f>
        <v>1</v>
      </c>
      <c r="AB1363" s="65" t="b">
        <f>FALSE()</f>
        <v>0</v>
      </c>
      <c r="AC1363" s="65" t="b">
        <f>FALSE()</f>
        <v>0</v>
      </c>
      <c r="AD1363" s="65" t="b">
        <f>TRUE()</f>
        <v>1</v>
      </c>
      <c r="AE1363" s="65">
        <v>3</v>
      </c>
      <c r="AF1363" s="69">
        <v>42.9</v>
      </c>
      <c r="AG1363" s="65" t="s">
        <v>73</v>
      </c>
      <c r="AH1363" s="65" t="s">
        <v>4970</v>
      </c>
      <c r="AI1363">
        <f>IF(AND(OR(Company_Explorer!$B$5="All Companies",$E1363=Company_Explorer!$B$5),OR(Company_Explorer!$B$6="All Platforms",$B1363=Company_Explorer!$B$6),OR(Company_Explorer!$B$7="All Roles",$D1363=Company_Explorer!$B$7),OR(Company_Explorer!$B$8="All Ghost Labels",$AG1363=Company_Explorer!$B$8)),1,0)</f>
        <v>0</v>
      </c>
    </row>
    <row r="1364" spans="1:35" ht="15" customHeight="1" x14ac:dyDescent="0.3">
      <c r="A1364" s="60" t="s">
        <v>4971</v>
      </c>
      <c r="B1364" s="60" t="s">
        <v>81</v>
      </c>
      <c r="C1364" s="60" t="s">
        <v>4972</v>
      </c>
      <c r="D1364" s="60" t="s">
        <v>126</v>
      </c>
      <c r="E1364" s="60" t="s">
        <v>143</v>
      </c>
      <c r="F1364" s="60" t="b">
        <f>TRUE()</f>
        <v>1</v>
      </c>
      <c r="G1364" s="60" t="s">
        <v>165</v>
      </c>
      <c r="H1364" s="60" t="s">
        <v>3620</v>
      </c>
      <c r="I1364" s="61">
        <v>46210.0532188773</v>
      </c>
      <c r="J1364" s="61">
        <v>46210.283022442098</v>
      </c>
      <c r="K1364" s="60">
        <v>0.2</v>
      </c>
      <c r="L1364" s="60" t="s">
        <v>183</v>
      </c>
      <c r="M1364" s="60" t="s">
        <v>183</v>
      </c>
      <c r="N1364" s="60" t="b">
        <f>FALSE()</f>
        <v>0</v>
      </c>
      <c r="O1364" s="60"/>
      <c r="P1364" s="60"/>
      <c r="Q1364" s="60" t="s">
        <v>236</v>
      </c>
      <c r="R1364" s="60" t="s">
        <v>236</v>
      </c>
      <c r="S1364" s="60"/>
      <c r="T1364" s="60" t="b">
        <f>FALSE()</f>
        <v>0</v>
      </c>
      <c r="U1364" s="60" t="b">
        <f>FALSE()</f>
        <v>0</v>
      </c>
      <c r="V1364" s="60">
        <v>325</v>
      </c>
      <c r="W1364" s="62" t="s">
        <v>4973</v>
      </c>
      <c r="X1364" s="60">
        <v>64</v>
      </c>
      <c r="Y1364" s="63">
        <v>112</v>
      </c>
      <c r="Z1364" s="60" t="b">
        <f>FALSE()</f>
        <v>0</v>
      </c>
      <c r="AA1364" s="60" t="b">
        <f>TRUE()</f>
        <v>1</v>
      </c>
      <c r="AB1364" s="60" t="b">
        <f>FALSE()</f>
        <v>0</v>
      </c>
      <c r="AC1364" s="60" t="b">
        <f>FALSE()</f>
        <v>0</v>
      </c>
      <c r="AD1364" s="60" t="b">
        <f>TRUE()</f>
        <v>1</v>
      </c>
      <c r="AE1364" s="60">
        <v>3</v>
      </c>
      <c r="AF1364" s="64">
        <v>42.9</v>
      </c>
      <c r="AG1364" s="60" t="s">
        <v>73</v>
      </c>
      <c r="AH1364" s="60" t="s">
        <v>4974</v>
      </c>
      <c r="AI1364">
        <f>IF(AND(OR(Company_Explorer!$B$5="All Companies",$E1364=Company_Explorer!$B$5),OR(Company_Explorer!$B$6="All Platforms",$B1364=Company_Explorer!$B$6),OR(Company_Explorer!$B$7="All Roles",$D1364=Company_Explorer!$B$7),OR(Company_Explorer!$B$8="All Ghost Labels",$AG1364=Company_Explorer!$B$8)),1,0)</f>
        <v>0</v>
      </c>
    </row>
    <row r="1365" spans="1:35" ht="15" customHeight="1" x14ac:dyDescent="0.3">
      <c r="A1365" s="65" t="s">
        <v>4975</v>
      </c>
      <c r="B1365" s="65" t="s">
        <v>81</v>
      </c>
      <c r="C1365" s="65" t="s">
        <v>4750</v>
      </c>
      <c r="D1365" s="65" t="s">
        <v>125</v>
      </c>
      <c r="E1365" s="65" t="s">
        <v>142</v>
      </c>
      <c r="F1365" s="65" t="b">
        <f>TRUE()</f>
        <v>1</v>
      </c>
      <c r="G1365" s="65" t="s">
        <v>165</v>
      </c>
      <c r="H1365" s="65" t="s">
        <v>3636</v>
      </c>
      <c r="I1365" s="66">
        <v>46210.013683101897</v>
      </c>
      <c r="J1365" s="66">
        <v>46210.283022418997</v>
      </c>
      <c r="K1365" s="65">
        <v>0.3</v>
      </c>
      <c r="L1365" s="65" t="s">
        <v>183</v>
      </c>
      <c r="M1365" s="65" t="s">
        <v>183</v>
      </c>
      <c r="N1365" s="65" t="b">
        <f>FALSE()</f>
        <v>0</v>
      </c>
      <c r="O1365" s="65"/>
      <c r="P1365" s="65"/>
      <c r="Q1365" s="65" t="s">
        <v>236</v>
      </c>
      <c r="R1365" s="65" t="s">
        <v>236</v>
      </c>
      <c r="S1365" s="65"/>
      <c r="T1365" s="65" t="b">
        <f>FALSE()</f>
        <v>0</v>
      </c>
      <c r="U1365" s="65" t="b">
        <f>FALSE()</f>
        <v>0</v>
      </c>
      <c r="V1365" s="65">
        <v>381</v>
      </c>
      <c r="W1365" s="67" t="s">
        <v>4751</v>
      </c>
      <c r="X1365" s="65">
        <v>81</v>
      </c>
      <c r="Y1365" s="68">
        <v>141.75</v>
      </c>
      <c r="Z1365" s="65" t="b">
        <f>FALSE()</f>
        <v>0</v>
      </c>
      <c r="AA1365" s="65" t="b">
        <f>TRUE()</f>
        <v>1</v>
      </c>
      <c r="AB1365" s="65" t="b">
        <f>FALSE()</f>
        <v>0</v>
      </c>
      <c r="AC1365" s="65" t="b">
        <f>FALSE()</f>
        <v>0</v>
      </c>
      <c r="AD1365" s="65" t="b">
        <f>TRUE()</f>
        <v>1</v>
      </c>
      <c r="AE1365" s="65">
        <v>3</v>
      </c>
      <c r="AF1365" s="69">
        <v>42.9</v>
      </c>
      <c r="AG1365" s="65" t="s">
        <v>73</v>
      </c>
      <c r="AH1365" s="65" t="s">
        <v>4976</v>
      </c>
      <c r="AI1365">
        <f>IF(AND(OR(Company_Explorer!$B$5="All Companies",$E1365=Company_Explorer!$B$5),OR(Company_Explorer!$B$6="All Platforms",$B1365=Company_Explorer!$B$6),OR(Company_Explorer!$B$7="All Roles",$D1365=Company_Explorer!$B$7),OR(Company_Explorer!$B$8="All Ghost Labels",$AG1365=Company_Explorer!$B$8)),1,0)</f>
        <v>0</v>
      </c>
    </row>
    <row r="1366" spans="1:35" ht="15" customHeight="1" x14ac:dyDescent="0.3">
      <c r="A1366" s="60" t="s">
        <v>4977</v>
      </c>
      <c r="B1366" s="60" t="s">
        <v>81</v>
      </c>
      <c r="C1366" s="60" t="s">
        <v>4750</v>
      </c>
      <c r="D1366" s="60" t="s">
        <v>125</v>
      </c>
      <c r="E1366" s="60" t="s">
        <v>142</v>
      </c>
      <c r="F1366" s="60" t="b">
        <f>TRUE()</f>
        <v>1</v>
      </c>
      <c r="G1366" s="60" t="s">
        <v>165</v>
      </c>
      <c r="H1366" s="60" t="s">
        <v>3636</v>
      </c>
      <c r="I1366" s="61">
        <v>46210.013587129601</v>
      </c>
      <c r="J1366" s="61">
        <v>46210.283022488402</v>
      </c>
      <c r="K1366" s="60">
        <v>0.3</v>
      </c>
      <c r="L1366" s="60" t="s">
        <v>183</v>
      </c>
      <c r="M1366" s="60" t="s">
        <v>183</v>
      </c>
      <c r="N1366" s="60" t="b">
        <f>FALSE()</f>
        <v>0</v>
      </c>
      <c r="O1366" s="60"/>
      <c r="P1366" s="60"/>
      <c r="Q1366" s="60" t="s">
        <v>236</v>
      </c>
      <c r="R1366" s="60" t="s">
        <v>236</v>
      </c>
      <c r="S1366" s="60"/>
      <c r="T1366" s="60" t="b">
        <f>FALSE()</f>
        <v>0</v>
      </c>
      <c r="U1366" s="60" t="b">
        <f>FALSE()</f>
        <v>0</v>
      </c>
      <c r="V1366" s="60">
        <v>380</v>
      </c>
      <c r="W1366" s="62" t="s">
        <v>4751</v>
      </c>
      <c r="X1366" s="60">
        <v>81</v>
      </c>
      <c r="Y1366" s="63">
        <v>141.75</v>
      </c>
      <c r="Z1366" s="60" t="b">
        <f>FALSE()</f>
        <v>0</v>
      </c>
      <c r="AA1366" s="60" t="b">
        <f>TRUE()</f>
        <v>1</v>
      </c>
      <c r="AB1366" s="60" t="b">
        <f>FALSE()</f>
        <v>0</v>
      </c>
      <c r="AC1366" s="60" t="b">
        <f>FALSE()</f>
        <v>0</v>
      </c>
      <c r="AD1366" s="60" t="b">
        <f>TRUE()</f>
        <v>1</v>
      </c>
      <c r="AE1366" s="60">
        <v>3</v>
      </c>
      <c r="AF1366" s="64">
        <v>42.9</v>
      </c>
      <c r="AG1366" s="60" t="s">
        <v>73</v>
      </c>
      <c r="AH1366" s="60" t="s">
        <v>4978</v>
      </c>
      <c r="AI1366">
        <f>IF(AND(OR(Company_Explorer!$B$5="All Companies",$E1366=Company_Explorer!$B$5),OR(Company_Explorer!$B$6="All Platforms",$B1366=Company_Explorer!$B$6),OR(Company_Explorer!$B$7="All Roles",$D1366=Company_Explorer!$B$7),OR(Company_Explorer!$B$8="All Ghost Labels",$AG1366=Company_Explorer!$B$8)),1,0)</f>
        <v>0</v>
      </c>
    </row>
    <row r="1367" spans="1:35" ht="15" customHeight="1" x14ac:dyDescent="0.3">
      <c r="A1367" s="65" t="s">
        <v>4979</v>
      </c>
      <c r="B1367" s="65" t="s">
        <v>81</v>
      </c>
      <c r="C1367" s="65" t="s">
        <v>4750</v>
      </c>
      <c r="D1367" s="65" t="s">
        <v>125</v>
      </c>
      <c r="E1367" s="65" t="s">
        <v>142</v>
      </c>
      <c r="F1367" s="65" t="b">
        <f>TRUE()</f>
        <v>1</v>
      </c>
      <c r="G1367" s="65" t="s">
        <v>165</v>
      </c>
      <c r="H1367" s="65" t="s">
        <v>3636</v>
      </c>
      <c r="I1367" s="66">
        <v>46210.0135659144</v>
      </c>
      <c r="J1367" s="66">
        <v>46210.283023101903</v>
      </c>
      <c r="K1367" s="65">
        <v>0.3</v>
      </c>
      <c r="L1367" s="65" t="s">
        <v>183</v>
      </c>
      <c r="M1367" s="65" t="s">
        <v>183</v>
      </c>
      <c r="N1367" s="65" t="b">
        <f>FALSE()</f>
        <v>0</v>
      </c>
      <c r="O1367" s="65"/>
      <c r="P1367" s="65"/>
      <c r="Q1367" s="65" t="s">
        <v>236</v>
      </c>
      <c r="R1367" s="65" t="s">
        <v>236</v>
      </c>
      <c r="S1367" s="65"/>
      <c r="T1367" s="65" t="b">
        <f>FALSE()</f>
        <v>0</v>
      </c>
      <c r="U1367" s="65" t="b">
        <f>FALSE()</f>
        <v>0</v>
      </c>
      <c r="V1367" s="65">
        <v>380</v>
      </c>
      <c r="W1367" s="67" t="s">
        <v>4751</v>
      </c>
      <c r="X1367" s="65">
        <v>81</v>
      </c>
      <c r="Y1367" s="68">
        <v>141.75</v>
      </c>
      <c r="Z1367" s="65" t="b">
        <f>FALSE()</f>
        <v>0</v>
      </c>
      <c r="AA1367" s="65" t="b">
        <f>TRUE()</f>
        <v>1</v>
      </c>
      <c r="AB1367" s="65" t="b">
        <f>FALSE()</f>
        <v>0</v>
      </c>
      <c r="AC1367" s="65" t="b">
        <f>FALSE()</f>
        <v>0</v>
      </c>
      <c r="AD1367" s="65" t="b">
        <f>TRUE()</f>
        <v>1</v>
      </c>
      <c r="AE1367" s="65">
        <v>3</v>
      </c>
      <c r="AF1367" s="69">
        <v>42.9</v>
      </c>
      <c r="AG1367" s="65" t="s">
        <v>73</v>
      </c>
      <c r="AH1367" s="65" t="s">
        <v>4980</v>
      </c>
      <c r="AI1367">
        <f>IF(AND(OR(Company_Explorer!$B$5="All Companies",$E1367=Company_Explorer!$B$5),OR(Company_Explorer!$B$6="All Platforms",$B1367=Company_Explorer!$B$6),OR(Company_Explorer!$B$7="All Roles",$D1367=Company_Explorer!$B$7),OR(Company_Explorer!$B$8="All Ghost Labels",$AG1367=Company_Explorer!$B$8)),1,0)</f>
        <v>0</v>
      </c>
    </row>
    <row r="1368" spans="1:35" ht="15" customHeight="1" x14ac:dyDescent="0.3">
      <c r="A1368" s="60" t="s">
        <v>4981</v>
      </c>
      <c r="B1368" s="60" t="s">
        <v>81</v>
      </c>
      <c r="C1368" s="60" t="s">
        <v>4746</v>
      </c>
      <c r="D1368" s="60" t="s">
        <v>125</v>
      </c>
      <c r="E1368" s="60" t="s">
        <v>142</v>
      </c>
      <c r="F1368" s="60" t="b">
        <f>TRUE()</f>
        <v>1</v>
      </c>
      <c r="G1368" s="60" t="s">
        <v>165</v>
      </c>
      <c r="H1368" s="60" t="s">
        <v>3672</v>
      </c>
      <c r="I1368" s="61">
        <v>46210.013587106499</v>
      </c>
      <c r="J1368" s="61">
        <v>46210.283023252297</v>
      </c>
      <c r="K1368" s="60">
        <v>0.3</v>
      </c>
      <c r="L1368" s="60" t="s">
        <v>183</v>
      </c>
      <c r="M1368" s="60" t="s">
        <v>183</v>
      </c>
      <c r="N1368" s="60" t="b">
        <f>FALSE()</f>
        <v>0</v>
      </c>
      <c r="O1368" s="60"/>
      <c r="P1368" s="60"/>
      <c r="Q1368" s="60" t="s">
        <v>236</v>
      </c>
      <c r="R1368" s="60" t="s">
        <v>236</v>
      </c>
      <c r="S1368" s="60"/>
      <c r="T1368" s="60" t="b">
        <f>FALSE()</f>
        <v>0</v>
      </c>
      <c r="U1368" s="60" t="b">
        <f>FALSE()</f>
        <v>0</v>
      </c>
      <c r="V1368" s="60">
        <v>723</v>
      </c>
      <c r="W1368" s="62" t="s">
        <v>4747</v>
      </c>
      <c r="X1368" s="60">
        <v>81</v>
      </c>
      <c r="Y1368" s="63">
        <v>141.75</v>
      </c>
      <c r="Z1368" s="60" t="b">
        <f>FALSE()</f>
        <v>0</v>
      </c>
      <c r="AA1368" s="60" t="b">
        <f>TRUE()</f>
        <v>1</v>
      </c>
      <c r="AB1368" s="60" t="b">
        <f>FALSE()</f>
        <v>0</v>
      </c>
      <c r="AC1368" s="60" t="b">
        <f>FALSE()</f>
        <v>0</v>
      </c>
      <c r="AD1368" s="60" t="b">
        <f>TRUE()</f>
        <v>1</v>
      </c>
      <c r="AE1368" s="60">
        <v>3</v>
      </c>
      <c r="AF1368" s="64">
        <v>42.9</v>
      </c>
      <c r="AG1368" s="60" t="s">
        <v>73</v>
      </c>
      <c r="AH1368" s="60" t="s">
        <v>4982</v>
      </c>
      <c r="AI1368">
        <f>IF(AND(OR(Company_Explorer!$B$5="All Companies",$E1368=Company_Explorer!$B$5),OR(Company_Explorer!$B$6="All Platforms",$B1368=Company_Explorer!$B$6),OR(Company_Explorer!$B$7="All Roles",$D1368=Company_Explorer!$B$7),OR(Company_Explorer!$B$8="All Ghost Labels",$AG1368=Company_Explorer!$B$8)),1,0)</f>
        <v>0</v>
      </c>
    </row>
    <row r="1369" spans="1:35" ht="15" customHeight="1" x14ac:dyDescent="0.3">
      <c r="A1369" s="65" t="s">
        <v>4983</v>
      </c>
      <c r="B1369" s="65" t="s">
        <v>81</v>
      </c>
      <c r="C1369" s="65" t="s">
        <v>258</v>
      </c>
      <c r="D1369" s="65" t="s">
        <v>125</v>
      </c>
      <c r="E1369" s="65" t="s">
        <v>143</v>
      </c>
      <c r="F1369" s="65" t="b">
        <f>TRUE()</f>
        <v>1</v>
      </c>
      <c r="G1369" s="65" t="s">
        <v>165</v>
      </c>
      <c r="H1369" s="65" t="s">
        <v>3620</v>
      </c>
      <c r="I1369" s="66">
        <v>46210.0532219097</v>
      </c>
      <c r="J1369" s="66">
        <v>46210.283023067102</v>
      </c>
      <c r="K1369" s="65">
        <v>0.2</v>
      </c>
      <c r="L1369" s="65" t="s">
        <v>183</v>
      </c>
      <c r="M1369" s="65" t="s">
        <v>183</v>
      </c>
      <c r="N1369" s="65" t="b">
        <f>FALSE()</f>
        <v>0</v>
      </c>
      <c r="O1369" s="65"/>
      <c r="P1369" s="65"/>
      <c r="Q1369" s="65" t="s">
        <v>236</v>
      </c>
      <c r="R1369" s="65" t="s">
        <v>236</v>
      </c>
      <c r="S1369" s="65"/>
      <c r="T1369" s="65" t="b">
        <f>FALSE()</f>
        <v>0</v>
      </c>
      <c r="U1369" s="65" t="b">
        <f>FALSE()</f>
        <v>0</v>
      </c>
      <c r="V1369" s="65">
        <v>438</v>
      </c>
      <c r="W1369" s="67" t="s">
        <v>4514</v>
      </c>
      <c r="X1369" s="65">
        <v>64</v>
      </c>
      <c r="Y1369" s="68">
        <v>112</v>
      </c>
      <c r="Z1369" s="65" t="b">
        <f>FALSE()</f>
        <v>0</v>
      </c>
      <c r="AA1369" s="65" t="b">
        <f>TRUE()</f>
        <v>1</v>
      </c>
      <c r="AB1369" s="65" t="b">
        <f>FALSE()</f>
        <v>0</v>
      </c>
      <c r="AC1369" s="65" t="b">
        <f>FALSE()</f>
        <v>0</v>
      </c>
      <c r="AD1369" s="65" t="b">
        <f>TRUE()</f>
        <v>1</v>
      </c>
      <c r="AE1369" s="65">
        <v>3</v>
      </c>
      <c r="AF1369" s="69">
        <v>42.9</v>
      </c>
      <c r="AG1369" s="65" t="s">
        <v>73</v>
      </c>
      <c r="AH1369" s="65" t="s">
        <v>4984</v>
      </c>
      <c r="AI1369">
        <f>IF(AND(OR(Company_Explorer!$B$5="All Companies",$E1369=Company_Explorer!$B$5),OR(Company_Explorer!$B$6="All Platforms",$B1369=Company_Explorer!$B$6),OR(Company_Explorer!$B$7="All Roles",$D1369=Company_Explorer!$B$7),OR(Company_Explorer!$B$8="All Ghost Labels",$AG1369=Company_Explorer!$B$8)),1,0)</f>
        <v>0</v>
      </c>
    </row>
    <row r="1370" spans="1:35" ht="15" customHeight="1" x14ac:dyDescent="0.3">
      <c r="A1370" s="60" t="s">
        <v>4985</v>
      </c>
      <c r="B1370" s="60" t="s">
        <v>81</v>
      </c>
      <c r="C1370" s="60" t="s">
        <v>4750</v>
      </c>
      <c r="D1370" s="60" t="s">
        <v>125</v>
      </c>
      <c r="E1370" s="60" t="s">
        <v>142</v>
      </c>
      <c r="F1370" s="60" t="b">
        <f>TRUE()</f>
        <v>1</v>
      </c>
      <c r="G1370" s="60" t="s">
        <v>165</v>
      </c>
      <c r="H1370" s="60" t="s">
        <v>3636</v>
      </c>
      <c r="I1370" s="61">
        <v>46210.013589583301</v>
      </c>
      <c r="J1370" s="61">
        <v>46210.283023506898</v>
      </c>
      <c r="K1370" s="60">
        <v>0.3</v>
      </c>
      <c r="L1370" s="60" t="s">
        <v>183</v>
      </c>
      <c r="M1370" s="60" t="s">
        <v>183</v>
      </c>
      <c r="N1370" s="60" t="b">
        <f>FALSE()</f>
        <v>0</v>
      </c>
      <c r="O1370" s="60"/>
      <c r="P1370" s="60"/>
      <c r="Q1370" s="60" t="s">
        <v>236</v>
      </c>
      <c r="R1370" s="60" t="s">
        <v>236</v>
      </c>
      <c r="S1370" s="60"/>
      <c r="T1370" s="60" t="b">
        <f>FALSE()</f>
        <v>0</v>
      </c>
      <c r="U1370" s="60" t="b">
        <f>FALSE()</f>
        <v>0</v>
      </c>
      <c r="V1370" s="60">
        <v>380</v>
      </c>
      <c r="W1370" s="62" t="s">
        <v>4751</v>
      </c>
      <c r="X1370" s="60">
        <v>81</v>
      </c>
      <c r="Y1370" s="63">
        <v>141.75</v>
      </c>
      <c r="Z1370" s="60" t="b">
        <f>FALSE()</f>
        <v>0</v>
      </c>
      <c r="AA1370" s="60" t="b">
        <f>TRUE()</f>
        <v>1</v>
      </c>
      <c r="AB1370" s="60" t="b">
        <f>FALSE()</f>
        <v>0</v>
      </c>
      <c r="AC1370" s="60" t="b">
        <f>FALSE()</f>
        <v>0</v>
      </c>
      <c r="AD1370" s="60" t="b">
        <f>TRUE()</f>
        <v>1</v>
      </c>
      <c r="AE1370" s="60">
        <v>3</v>
      </c>
      <c r="AF1370" s="64">
        <v>42.9</v>
      </c>
      <c r="AG1370" s="60" t="s">
        <v>73</v>
      </c>
      <c r="AH1370" s="60" t="s">
        <v>4986</v>
      </c>
      <c r="AI1370">
        <f>IF(AND(OR(Company_Explorer!$B$5="All Companies",$E1370=Company_Explorer!$B$5),OR(Company_Explorer!$B$6="All Platforms",$B1370=Company_Explorer!$B$6),OR(Company_Explorer!$B$7="All Roles",$D1370=Company_Explorer!$B$7),OR(Company_Explorer!$B$8="All Ghost Labels",$AG1370=Company_Explorer!$B$8)),1,0)</f>
        <v>0</v>
      </c>
    </row>
    <row r="1371" spans="1:35" ht="15" customHeight="1" x14ac:dyDescent="0.3">
      <c r="A1371" s="65" t="s">
        <v>4987</v>
      </c>
      <c r="B1371" s="65" t="s">
        <v>81</v>
      </c>
      <c r="C1371" s="65" t="s">
        <v>4988</v>
      </c>
      <c r="D1371" s="65" t="s">
        <v>127</v>
      </c>
      <c r="E1371" s="65" t="s">
        <v>4989</v>
      </c>
      <c r="F1371" s="65" t="b">
        <f>TRUE()</f>
        <v>1</v>
      </c>
      <c r="G1371" s="65" t="s">
        <v>165</v>
      </c>
      <c r="H1371" s="65" t="s">
        <v>3672</v>
      </c>
      <c r="I1371" s="66">
        <v>46209.503179074098</v>
      </c>
      <c r="J1371" s="66">
        <v>46210.283023796299</v>
      </c>
      <c r="K1371" s="65">
        <v>0.8</v>
      </c>
      <c r="L1371" s="65" t="s">
        <v>183</v>
      </c>
      <c r="M1371" s="65" t="s">
        <v>183</v>
      </c>
      <c r="N1371" s="65" t="b">
        <f>FALSE()</f>
        <v>0</v>
      </c>
      <c r="O1371" s="65"/>
      <c r="P1371" s="65"/>
      <c r="Q1371" s="65" t="s">
        <v>236</v>
      </c>
      <c r="R1371" s="65" t="s">
        <v>236</v>
      </c>
      <c r="S1371" s="65"/>
      <c r="T1371" s="65" t="b">
        <f>FALSE()</f>
        <v>0</v>
      </c>
      <c r="U1371" s="65" t="b">
        <f>FALSE()</f>
        <v>0</v>
      </c>
      <c r="V1371" s="65">
        <v>152</v>
      </c>
      <c r="W1371" s="67" t="s">
        <v>4990</v>
      </c>
      <c r="X1371" s="65">
        <v>1</v>
      </c>
      <c r="Y1371" s="68">
        <v>1.75</v>
      </c>
      <c r="Z1371" s="65" t="b">
        <f>FALSE()</f>
        <v>0</v>
      </c>
      <c r="AA1371" s="65" t="b">
        <f>TRUE()</f>
        <v>1</v>
      </c>
      <c r="AB1371" s="65" t="b">
        <f>TRUE()</f>
        <v>1</v>
      </c>
      <c r="AC1371" s="65" t="b">
        <f>TRUE()</f>
        <v>1</v>
      </c>
      <c r="AD1371" s="65" t="b">
        <f>FALSE()</f>
        <v>0</v>
      </c>
      <c r="AE1371" s="65">
        <v>3</v>
      </c>
      <c r="AF1371" s="69">
        <v>42.9</v>
      </c>
      <c r="AG1371" s="65" t="s">
        <v>73</v>
      </c>
      <c r="AH1371" s="65" t="s">
        <v>4991</v>
      </c>
      <c r="AI1371">
        <f>IF(AND(OR(Company_Explorer!$B$5="All Companies",$E1371=Company_Explorer!$B$5),OR(Company_Explorer!$B$6="All Platforms",$B1371=Company_Explorer!$B$6),OR(Company_Explorer!$B$7="All Roles",$D1371=Company_Explorer!$B$7),OR(Company_Explorer!$B$8="All Ghost Labels",$AG1371=Company_Explorer!$B$8)),1,0)</f>
        <v>0</v>
      </c>
    </row>
    <row r="1372" spans="1:35" ht="15" customHeight="1" x14ac:dyDescent="0.3">
      <c r="A1372" s="60" t="s">
        <v>4992</v>
      </c>
      <c r="B1372" s="60" t="s">
        <v>81</v>
      </c>
      <c r="C1372" s="60" t="s">
        <v>258</v>
      </c>
      <c r="D1372" s="60" t="s">
        <v>125</v>
      </c>
      <c r="E1372" s="60" t="s">
        <v>143</v>
      </c>
      <c r="F1372" s="60" t="b">
        <f>TRUE()</f>
        <v>1</v>
      </c>
      <c r="G1372" s="60" t="s">
        <v>165</v>
      </c>
      <c r="H1372" s="60" t="s">
        <v>3620</v>
      </c>
      <c r="I1372" s="61">
        <v>46210.053216226901</v>
      </c>
      <c r="J1372" s="61">
        <v>46210.283023333301</v>
      </c>
      <c r="K1372" s="60">
        <v>0.2</v>
      </c>
      <c r="L1372" s="60" t="s">
        <v>183</v>
      </c>
      <c r="M1372" s="60" t="s">
        <v>183</v>
      </c>
      <c r="N1372" s="60" t="b">
        <f>FALSE()</f>
        <v>0</v>
      </c>
      <c r="O1372" s="60"/>
      <c r="P1372" s="60"/>
      <c r="Q1372" s="60" t="s">
        <v>236</v>
      </c>
      <c r="R1372" s="60" t="s">
        <v>236</v>
      </c>
      <c r="S1372" s="60"/>
      <c r="T1372" s="60" t="b">
        <f>FALSE()</f>
        <v>0</v>
      </c>
      <c r="U1372" s="60" t="b">
        <f>FALSE()</f>
        <v>0</v>
      </c>
      <c r="V1372" s="60">
        <v>298</v>
      </c>
      <c r="W1372" s="62" t="s">
        <v>4514</v>
      </c>
      <c r="X1372" s="60">
        <v>64</v>
      </c>
      <c r="Y1372" s="63">
        <v>112</v>
      </c>
      <c r="Z1372" s="60" t="b">
        <f>FALSE()</f>
        <v>0</v>
      </c>
      <c r="AA1372" s="60" t="b">
        <f>TRUE()</f>
        <v>1</v>
      </c>
      <c r="AB1372" s="60" t="b">
        <f>TRUE()</f>
        <v>1</v>
      </c>
      <c r="AC1372" s="60" t="b">
        <f>FALSE()</f>
        <v>0</v>
      </c>
      <c r="AD1372" s="60" t="b">
        <f>TRUE()</f>
        <v>1</v>
      </c>
      <c r="AE1372" s="60">
        <v>4</v>
      </c>
      <c r="AF1372" s="64">
        <v>57.1</v>
      </c>
      <c r="AG1372" s="60" t="s">
        <v>72</v>
      </c>
      <c r="AH1372" s="60" t="s">
        <v>4993</v>
      </c>
      <c r="AI1372">
        <f>IF(AND(OR(Company_Explorer!$B$5="All Companies",$E1372=Company_Explorer!$B$5),OR(Company_Explorer!$B$6="All Platforms",$B1372=Company_Explorer!$B$6),OR(Company_Explorer!$B$7="All Roles",$D1372=Company_Explorer!$B$7),OR(Company_Explorer!$B$8="All Ghost Labels",$AG1372=Company_Explorer!$B$8)),1,0)</f>
        <v>0</v>
      </c>
    </row>
    <row r="1373" spans="1:35" ht="15" customHeight="1" x14ac:dyDescent="0.3">
      <c r="A1373" s="65" t="s">
        <v>4994</v>
      </c>
      <c r="B1373" s="65" t="s">
        <v>81</v>
      </c>
      <c r="C1373" s="65" t="s">
        <v>127</v>
      </c>
      <c r="D1373" s="65" t="s">
        <v>127</v>
      </c>
      <c r="E1373" s="65" t="s">
        <v>4995</v>
      </c>
      <c r="F1373" s="65" t="b">
        <f>TRUE()</f>
        <v>1</v>
      </c>
      <c r="G1373" s="65" t="s">
        <v>165</v>
      </c>
      <c r="H1373" s="65" t="s">
        <v>3655</v>
      </c>
      <c r="I1373" s="66">
        <v>46209.4932081597</v>
      </c>
      <c r="J1373" s="66">
        <v>46210.283024166703</v>
      </c>
      <c r="K1373" s="65">
        <v>0.8</v>
      </c>
      <c r="L1373" s="65" t="s">
        <v>183</v>
      </c>
      <c r="M1373" s="65" t="s">
        <v>183</v>
      </c>
      <c r="N1373" s="65" t="b">
        <f>TRUE()</f>
        <v>1</v>
      </c>
      <c r="O1373" s="71">
        <v>600000</v>
      </c>
      <c r="P1373" s="71">
        <v>1000000</v>
      </c>
      <c r="Q1373" s="65" t="s">
        <v>3663</v>
      </c>
      <c r="R1373" s="65" t="s">
        <v>3961</v>
      </c>
      <c r="S1373" s="71">
        <v>800000</v>
      </c>
      <c r="T1373" s="65" t="b">
        <f>TRUE()</f>
        <v>1</v>
      </c>
      <c r="U1373" s="65" t="b">
        <f>FALSE()</f>
        <v>0</v>
      </c>
      <c r="V1373" s="65">
        <v>502</v>
      </c>
      <c r="W1373" s="67" t="s">
        <v>4996</v>
      </c>
      <c r="X1373" s="65">
        <v>1</v>
      </c>
      <c r="Y1373" s="68">
        <v>1.75</v>
      </c>
      <c r="Z1373" s="65" t="b">
        <f>FALSE()</f>
        <v>0</v>
      </c>
      <c r="AA1373" s="65" t="b">
        <f>FALSE()</f>
        <v>0</v>
      </c>
      <c r="AB1373" s="65" t="b">
        <f>FALSE()</f>
        <v>0</v>
      </c>
      <c r="AC1373" s="65" t="b">
        <f>TRUE()</f>
        <v>1</v>
      </c>
      <c r="AD1373" s="65" t="b">
        <f>FALSE()</f>
        <v>0</v>
      </c>
      <c r="AE1373" s="65">
        <v>1</v>
      </c>
      <c r="AF1373" s="69">
        <v>14.3</v>
      </c>
      <c r="AG1373" s="65" t="s">
        <v>74</v>
      </c>
      <c r="AH1373" s="65" t="s">
        <v>4997</v>
      </c>
      <c r="AI1373">
        <f>IF(AND(OR(Company_Explorer!$B$5="All Companies",$E1373=Company_Explorer!$B$5),OR(Company_Explorer!$B$6="All Platforms",$B1373=Company_Explorer!$B$6),OR(Company_Explorer!$B$7="All Roles",$D1373=Company_Explorer!$B$7),OR(Company_Explorer!$B$8="All Ghost Labels",$AG1373=Company_Explorer!$B$8)),1,0)</f>
        <v>0</v>
      </c>
    </row>
    <row r="1374" spans="1:35" ht="15" customHeight="1" x14ac:dyDescent="0.3">
      <c r="A1374" s="60" t="s">
        <v>4998</v>
      </c>
      <c r="B1374" s="60" t="s">
        <v>81</v>
      </c>
      <c r="C1374" s="60" t="s">
        <v>4999</v>
      </c>
      <c r="D1374" s="60" t="s">
        <v>126</v>
      </c>
      <c r="E1374" s="60" t="s">
        <v>5000</v>
      </c>
      <c r="F1374" s="60" t="b">
        <f>TRUE()</f>
        <v>1</v>
      </c>
      <c r="G1374" s="60" t="s">
        <v>165</v>
      </c>
      <c r="H1374" s="60" t="s">
        <v>3655</v>
      </c>
      <c r="I1374" s="61">
        <v>46209.206619965298</v>
      </c>
      <c r="J1374" s="61">
        <v>46210.283024224504</v>
      </c>
      <c r="K1374" s="60">
        <v>1.1000000000000001</v>
      </c>
      <c r="L1374" s="60" t="s">
        <v>183</v>
      </c>
      <c r="M1374" s="60" t="s">
        <v>183</v>
      </c>
      <c r="N1374" s="60" t="b">
        <f>TRUE()</f>
        <v>1</v>
      </c>
      <c r="O1374" s="70">
        <v>35000</v>
      </c>
      <c r="P1374" s="70">
        <v>45000</v>
      </c>
      <c r="Q1374" s="60" t="s">
        <v>3663</v>
      </c>
      <c r="R1374" s="60" t="s">
        <v>3664</v>
      </c>
      <c r="S1374" s="70">
        <v>480000</v>
      </c>
      <c r="T1374" s="60" t="b">
        <f>TRUE()</f>
        <v>1</v>
      </c>
      <c r="U1374" s="60" t="b">
        <f>FALSE()</f>
        <v>0</v>
      </c>
      <c r="V1374" s="60">
        <v>484</v>
      </c>
      <c r="W1374" s="62" t="s">
        <v>5001</v>
      </c>
      <c r="X1374" s="60">
        <v>1</v>
      </c>
      <c r="Y1374" s="63">
        <v>1.75</v>
      </c>
      <c r="Z1374" s="60" t="b">
        <f>FALSE()</f>
        <v>0</v>
      </c>
      <c r="AA1374" s="60" t="b">
        <f>FALSE()</f>
        <v>0</v>
      </c>
      <c r="AB1374" s="60" t="b">
        <f>FALSE()</f>
        <v>0</v>
      </c>
      <c r="AC1374" s="60" t="b">
        <f>TRUE()</f>
        <v>1</v>
      </c>
      <c r="AD1374" s="60" t="b">
        <f>FALSE()</f>
        <v>0</v>
      </c>
      <c r="AE1374" s="60">
        <v>1</v>
      </c>
      <c r="AF1374" s="64">
        <v>14.3</v>
      </c>
      <c r="AG1374" s="60" t="s">
        <v>74</v>
      </c>
      <c r="AH1374" s="60" t="s">
        <v>5002</v>
      </c>
      <c r="AI1374">
        <f>IF(AND(OR(Company_Explorer!$B$5="All Companies",$E1374=Company_Explorer!$B$5),OR(Company_Explorer!$B$6="All Platforms",$B1374=Company_Explorer!$B$6),OR(Company_Explorer!$B$7="All Roles",$D1374=Company_Explorer!$B$7),OR(Company_Explorer!$B$8="All Ghost Labels",$AG1374=Company_Explorer!$B$8)),1,0)</f>
        <v>0</v>
      </c>
    </row>
    <row r="1375" spans="1:35" ht="15" customHeight="1" x14ac:dyDescent="0.3">
      <c r="A1375" s="65" t="s">
        <v>5003</v>
      </c>
      <c r="B1375" s="65" t="s">
        <v>81</v>
      </c>
      <c r="C1375" s="65" t="s">
        <v>5004</v>
      </c>
      <c r="D1375" s="65" t="s">
        <v>127</v>
      </c>
      <c r="E1375" s="65" t="s">
        <v>3815</v>
      </c>
      <c r="F1375" s="65" t="b">
        <f>TRUE()</f>
        <v>1</v>
      </c>
      <c r="G1375" s="65" t="s">
        <v>165</v>
      </c>
      <c r="H1375" s="65" t="s">
        <v>3636</v>
      </c>
      <c r="I1375" s="66">
        <v>46209.340846736101</v>
      </c>
      <c r="J1375" s="66">
        <v>46210.283024294004</v>
      </c>
      <c r="K1375" s="65">
        <v>0.9</v>
      </c>
      <c r="L1375" s="65" t="s">
        <v>183</v>
      </c>
      <c r="M1375" s="65" t="s">
        <v>183</v>
      </c>
      <c r="N1375" s="65" t="b">
        <f>FALSE()</f>
        <v>0</v>
      </c>
      <c r="O1375" s="65"/>
      <c r="P1375" s="65"/>
      <c r="Q1375" s="65" t="s">
        <v>236</v>
      </c>
      <c r="R1375" s="65" t="s">
        <v>236</v>
      </c>
      <c r="S1375" s="65"/>
      <c r="T1375" s="65" t="b">
        <f>FALSE()</f>
        <v>0</v>
      </c>
      <c r="U1375" s="65" t="b">
        <f>FALSE()</f>
        <v>0</v>
      </c>
      <c r="V1375" s="65">
        <v>846</v>
      </c>
      <c r="W1375" s="65" t="s">
        <v>3816</v>
      </c>
      <c r="X1375" s="65">
        <v>2</v>
      </c>
      <c r="Y1375" s="68">
        <v>3.5</v>
      </c>
      <c r="Z1375" s="65" t="b">
        <f>FALSE()</f>
        <v>0</v>
      </c>
      <c r="AA1375" s="65" t="b">
        <f>TRUE()</f>
        <v>1</v>
      </c>
      <c r="AB1375" s="65" t="b">
        <f>FALSE()</f>
        <v>0</v>
      </c>
      <c r="AC1375" s="65" t="b">
        <f>TRUE()</f>
        <v>1</v>
      </c>
      <c r="AD1375" s="65" t="b">
        <f>FALSE()</f>
        <v>0</v>
      </c>
      <c r="AE1375" s="65">
        <v>2</v>
      </c>
      <c r="AF1375" s="69">
        <v>28.6</v>
      </c>
      <c r="AG1375" s="65" t="s">
        <v>73</v>
      </c>
      <c r="AH1375" s="65" t="s">
        <v>5005</v>
      </c>
      <c r="AI1375">
        <f>IF(AND(OR(Company_Explorer!$B$5="All Companies",$E1375=Company_Explorer!$B$5),OR(Company_Explorer!$B$6="All Platforms",$B1375=Company_Explorer!$B$6),OR(Company_Explorer!$B$7="All Roles",$D1375=Company_Explorer!$B$7),OR(Company_Explorer!$B$8="All Ghost Labels",$AG1375=Company_Explorer!$B$8)),1,0)</f>
        <v>0</v>
      </c>
    </row>
    <row r="1376" spans="1:35" ht="15" customHeight="1" x14ac:dyDescent="0.3">
      <c r="A1376" s="60" t="s">
        <v>5006</v>
      </c>
      <c r="B1376" s="60" t="s">
        <v>81</v>
      </c>
      <c r="C1376" s="60" t="s">
        <v>5007</v>
      </c>
      <c r="D1376" s="60" t="s">
        <v>133</v>
      </c>
      <c r="E1376" s="60" t="s">
        <v>153</v>
      </c>
      <c r="F1376" s="60" t="b">
        <f>TRUE()</f>
        <v>1</v>
      </c>
      <c r="G1376" s="60" t="s">
        <v>165</v>
      </c>
      <c r="H1376" s="60" t="s">
        <v>3636</v>
      </c>
      <c r="I1376" s="61">
        <v>46209.544956423597</v>
      </c>
      <c r="J1376" s="61">
        <v>46210.283024710698</v>
      </c>
      <c r="K1376" s="60">
        <v>0.7</v>
      </c>
      <c r="L1376" s="60" t="s">
        <v>183</v>
      </c>
      <c r="M1376" s="60" t="s">
        <v>183</v>
      </c>
      <c r="N1376" s="60" t="b">
        <f>FALSE()</f>
        <v>0</v>
      </c>
      <c r="O1376" s="60"/>
      <c r="P1376" s="60"/>
      <c r="Q1376" s="60" t="s">
        <v>236</v>
      </c>
      <c r="R1376" s="60" t="s">
        <v>236</v>
      </c>
      <c r="S1376" s="60"/>
      <c r="T1376" s="60" t="b">
        <f>FALSE()</f>
        <v>0</v>
      </c>
      <c r="U1376" s="60" t="b">
        <f>FALSE()</f>
        <v>0</v>
      </c>
      <c r="V1376" s="60">
        <v>1457</v>
      </c>
      <c r="W1376" s="62" t="s">
        <v>5008</v>
      </c>
      <c r="X1376" s="60">
        <v>12</v>
      </c>
      <c r="Y1376" s="63">
        <v>21</v>
      </c>
      <c r="Z1376" s="60" t="b">
        <f>FALSE()</f>
        <v>0</v>
      </c>
      <c r="AA1376" s="60" t="b">
        <f>TRUE()</f>
        <v>1</v>
      </c>
      <c r="AB1376" s="60" t="b">
        <f>FALSE()</f>
        <v>0</v>
      </c>
      <c r="AC1376" s="60" t="b">
        <f>FALSE()</f>
        <v>0</v>
      </c>
      <c r="AD1376" s="60" t="b">
        <f>FALSE()</f>
        <v>0</v>
      </c>
      <c r="AE1376" s="60">
        <v>1</v>
      </c>
      <c r="AF1376" s="64">
        <v>14.3</v>
      </c>
      <c r="AG1376" s="60" t="s">
        <v>74</v>
      </c>
      <c r="AH1376" s="60" t="s">
        <v>5009</v>
      </c>
      <c r="AI1376">
        <f>IF(AND(OR(Company_Explorer!$B$5="All Companies",$E1376=Company_Explorer!$B$5),OR(Company_Explorer!$B$6="All Platforms",$B1376=Company_Explorer!$B$6),OR(Company_Explorer!$B$7="All Roles",$D1376=Company_Explorer!$B$7),OR(Company_Explorer!$B$8="All Ghost Labels",$AG1376=Company_Explorer!$B$8)),1,0)</f>
        <v>0</v>
      </c>
    </row>
    <row r="1377" spans="1:35" ht="15" customHeight="1" x14ac:dyDescent="0.3">
      <c r="A1377" s="65" t="s">
        <v>5010</v>
      </c>
      <c r="B1377" s="65" t="s">
        <v>81</v>
      </c>
      <c r="C1377" s="65" t="s">
        <v>5011</v>
      </c>
      <c r="D1377" s="65" t="s">
        <v>126</v>
      </c>
      <c r="E1377" s="65" t="s">
        <v>5012</v>
      </c>
      <c r="F1377" s="65" t="b">
        <f>TRUE()</f>
        <v>1</v>
      </c>
      <c r="G1377" s="65" t="s">
        <v>165</v>
      </c>
      <c r="H1377" s="65" t="s">
        <v>3672</v>
      </c>
      <c r="I1377" s="66">
        <v>46209.335268599498</v>
      </c>
      <c r="J1377" s="66">
        <v>46210.283024942102</v>
      </c>
      <c r="K1377" s="65">
        <v>0.9</v>
      </c>
      <c r="L1377" s="65" t="s">
        <v>183</v>
      </c>
      <c r="M1377" s="65" t="s">
        <v>183</v>
      </c>
      <c r="N1377" s="65" t="b">
        <f>TRUE()</f>
        <v>1</v>
      </c>
      <c r="O1377" s="71">
        <v>12000</v>
      </c>
      <c r="P1377" s="71">
        <v>25000</v>
      </c>
      <c r="Q1377" s="65" t="s">
        <v>3663</v>
      </c>
      <c r="R1377" s="65" t="s">
        <v>3664</v>
      </c>
      <c r="S1377" s="71">
        <v>222000</v>
      </c>
      <c r="T1377" s="65" t="b">
        <f>TRUE()</f>
        <v>1</v>
      </c>
      <c r="U1377" s="65" t="b">
        <f>FALSE()</f>
        <v>0</v>
      </c>
      <c r="V1377" s="65">
        <v>241</v>
      </c>
      <c r="W1377" s="67" t="s">
        <v>5013</v>
      </c>
      <c r="X1377" s="65">
        <v>1</v>
      </c>
      <c r="Y1377" s="68">
        <v>1.75</v>
      </c>
      <c r="Z1377" s="65" t="b">
        <f>FALSE()</f>
        <v>0</v>
      </c>
      <c r="AA1377" s="65" t="b">
        <f>FALSE()</f>
        <v>0</v>
      </c>
      <c r="AB1377" s="65" t="b">
        <f>TRUE()</f>
        <v>1</v>
      </c>
      <c r="AC1377" s="65" t="b">
        <f>TRUE()</f>
        <v>1</v>
      </c>
      <c r="AD1377" s="65" t="b">
        <f>FALSE()</f>
        <v>0</v>
      </c>
      <c r="AE1377" s="65">
        <v>2</v>
      </c>
      <c r="AF1377" s="69">
        <v>28.6</v>
      </c>
      <c r="AG1377" s="65" t="s">
        <v>73</v>
      </c>
      <c r="AH1377" s="65" t="s">
        <v>5014</v>
      </c>
      <c r="AI1377">
        <f>IF(AND(OR(Company_Explorer!$B$5="All Companies",$E1377=Company_Explorer!$B$5),OR(Company_Explorer!$B$6="All Platforms",$B1377=Company_Explorer!$B$6),OR(Company_Explorer!$B$7="All Roles",$D1377=Company_Explorer!$B$7),OR(Company_Explorer!$B$8="All Ghost Labels",$AG1377=Company_Explorer!$B$8)),1,0)</f>
        <v>0</v>
      </c>
    </row>
    <row r="1378" spans="1:35" ht="15" customHeight="1" x14ac:dyDescent="0.3">
      <c r="A1378" s="60" t="s">
        <v>5015</v>
      </c>
      <c r="B1378" s="60" t="s">
        <v>81</v>
      </c>
      <c r="C1378" s="60" t="s">
        <v>5016</v>
      </c>
      <c r="D1378" s="60" t="s">
        <v>126</v>
      </c>
      <c r="E1378" s="60" t="s">
        <v>3826</v>
      </c>
      <c r="F1378" s="60" t="b">
        <f>TRUE()</f>
        <v>1</v>
      </c>
      <c r="G1378" s="60" t="s">
        <v>165</v>
      </c>
      <c r="H1378" s="60" t="s">
        <v>3620</v>
      </c>
      <c r="I1378" s="61">
        <v>46209.330402963002</v>
      </c>
      <c r="J1378" s="61">
        <v>46210.283025289398</v>
      </c>
      <c r="K1378" s="60">
        <v>1</v>
      </c>
      <c r="L1378" s="60" t="s">
        <v>183</v>
      </c>
      <c r="M1378" s="60" t="s">
        <v>183</v>
      </c>
      <c r="N1378" s="60" t="b">
        <f>FALSE()</f>
        <v>0</v>
      </c>
      <c r="O1378" s="60"/>
      <c r="P1378" s="60"/>
      <c r="Q1378" s="60" t="s">
        <v>236</v>
      </c>
      <c r="R1378" s="60" t="s">
        <v>236</v>
      </c>
      <c r="S1378" s="60"/>
      <c r="T1378" s="60" t="b">
        <f>FALSE()</f>
        <v>0</v>
      </c>
      <c r="U1378" s="60" t="b">
        <f>FALSE()</f>
        <v>0</v>
      </c>
      <c r="V1378" s="60">
        <v>811</v>
      </c>
      <c r="W1378" s="62" t="s">
        <v>5017</v>
      </c>
      <c r="X1378" s="60">
        <v>2</v>
      </c>
      <c r="Y1378" s="63">
        <v>3.5</v>
      </c>
      <c r="Z1378" s="60" t="b">
        <f>FALSE()</f>
        <v>0</v>
      </c>
      <c r="AA1378" s="60" t="b">
        <f>TRUE()</f>
        <v>1</v>
      </c>
      <c r="AB1378" s="60" t="b">
        <f>FALSE()</f>
        <v>0</v>
      </c>
      <c r="AC1378" s="60" t="b">
        <f>TRUE()</f>
        <v>1</v>
      </c>
      <c r="AD1378" s="60" t="b">
        <f>FALSE()</f>
        <v>0</v>
      </c>
      <c r="AE1378" s="60">
        <v>2</v>
      </c>
      <c r="AF1378" s="64">
        <v>28.6</v>
      </c>
      <c r="AG1378" s="60" t="s">
        <v>73</v>
      </c>
      <c r="AH1378" s="60" t="s">
        <v>5018</v>
      </c>
      <c r="AI1378">
        <f>IF(AND(OR(Company_Explorer!$B$5="All Companies",$E1378=Company_Explorer!$B$5),OR(Company_Explorer!$B$6="All Platforms",$B1378=Company_Explorer!$B$6),OR(Company_Explorer!$B$7="All Roles",$D1378=Company_Explorer!$B$7),OR(Company_Explorer!$B$8="All Ghost Labels",$AG1378=Company_Explorer!$B$8)),1,0)</f>
        <v>0</v>
      </c>
    </row>
    <row r="1379" spans="1:35" ht="15" customHeight="1" x14ac:dyDescent="0.3">
      <c r="A1379" s="65" t="s">
        <v>5019</v>
      </c>
      <c r="B1379" s="65" t="s">
        <v>81</v>
      </c>
      <c r="C1379" s="65" t="s">
        <v>5020</v>
      </c>
      <c r="D1379" s="65" t="s">
        <v>126</v>
      </c>
      <c r="E1379" s="65" t="s">
        <v>159</v>
      </c>
      <c r="F1379" s="65" t="b">
        <f>TRUE()</f>
        <v>1</v>
      </c>
      <c r="G1379" s="65" t="s">
        <v>165</v>
      </c>
      <c r="H1379" s="65" t="s">
        <v>3620</v>
      </c>
      <c r="I1379" s="66">
        <v>46209.544600011599</v>
      </c>
      <c r="J1379" s="66">
        <v>46210.283025347198</v>
      </c>
      <c r="K1379" s="65">
        <v>0.7</v>
      </c>
      <c r="L1379" s="65" t="s">
        <v>183</v>
      </c>
      <c r="M1379" s="65" t="s">
        <v>183</v>
      </c>
      <c r="N1379" s="65" t="b">
        <f>FALSE()</f>
        <v>0</v>
      </c>
      <c r="O1379" s="65"/>
      <c r="P1379" s="65"/>
      <c r="Q1379" s="65" t="s">
        <v>236</v>
      </c>
      <c r="R1379" s="65" t="s">
        <v>236</v>
      </c>
      <c r="S1379" s="65"/>
      <c r="T1379" s="65" t="b">
        <f>FALSE()</f>
        <v>0</v>
      </c>
      <c r="U1379" s="65" t="b">
        <f>FALSE()</f>
        <v>0</v>
      </c>
      <c r="V1379" s="65">
        <v>834</v>
      </c>
      <c r="W1379" s="67" t="s">
        <v>5021</v>
      </c>
      <c r="X1379" s="65">
        <v>3</v>
      </c>
      <c r="Y1379" s="68">
        <v>5.25</v>
      </c>
      <c r="Z1379" s="65" t="b">
        <f>FALSE()</f>
        <v>0</v>
      </c>
      <c r="AA1379" s="65" t="b">
        <f>TRUE()</f>
        <v>1</v>
      </c>
      <c r="AB1379" s="65" t="b">
        <f>FALSE()</f>
        <v>0</v>
      </c>
      <c r="AC1379" s="65" t="b">
        <f>FALSE()</f>
        <v>0</v>
      </c>
      <c r="AD1379" s="65" t="b">
        <f>FALSE()</f>
        <v>0</v>
      </c>
      <c r="AE1379" s="65">
        <v>1</v>
      </c>
      <c r="AF1379" s="69">
        <v>14.3</v>
      </c>
      <c r="AG1379" s="65" t="s">
        <v>74</v>
      </c>
      <c r="AH1379" s="65" t="s">
        <v>5022</v>
      </c>
      <c r="AI1379">
        <f>IF(AND(OR(Company_Explorer!$B$5="All Companies",$E1379=Company_Explorer!$B$5),OR(Company_Explorer!$B$6="All Platforms",$B1379=Company_Explorer!$B$6),OR(Company_Explorer!$B$7="All Roles",$D1379=Company_Explorer!$B$7),OR(Company_Explorer!$B$8="All Ghost Labels",$AG1379=Company_Explorer!$B$8)),1,0)</f>
        <v>0</v>
      </c>
    </row>
    <row r="1380" spans="1:35" ht="15" customHeight="1" x14ac:dyDescent="0.3">
      <c r="A1380" s="60" t="s">
        <v>5023</v>
      </c>
      <c r="B1380" s="60" t="s">
        <v>81</v>
      </c>
      <c r="C1380" s="60" t="s">
        <v>5024</v>
      </c>
      <c r="D1380" s="60" t="s">
        <v>126</v>
      </c>
      <c r="E1380" s="60" t="s">
        <v>159</v>
      </c>
      <c r="F1380" s="60" t="b">
        <f>TRUE()</f>
        <v>1</v>
      </c>
      <c r="G1380" s="60" t="s">
        <v>165</v>
      </c>
      <c r="H1380" s="60" t="s">
        <v>3620</v>
      </c>
      <c r="I1380" s="61">
        <v>46209.544515624999</v>
      </c>
      <c r="J1380" s="61">
        <v>46210.283025370401</v>
      </c>
      <c r="K1380" s="60">
        <v>0.7</v>
      </c>
      <c r="L1380" s="60" t="s">
        <v>183</v>
      </c>
      <c r="M1380" s="60" t="s">
        <v>183</v>
      </c>
      <c r="N1380" s="60" t="b">
        <f>FALSE()</f>
        <v>0</v>
      </c>
      <c r="O1380" s="60"/>
      <c r="P1380" s="60"/>
      <c r="Q1380" s="60" t="s">
        <v>236</v>
      </c>
      <c r="R1380" s="60" t="s">
        <v>236</v>
      </c>
      <c r="S1380" s="60"/>
      <c r="T1380" s="60" t="b">
        <f>FALSE()</f>
        <v>0</v>
      </c>
      <c r="U1380" s="60" t="b">
        <f>FALSE()</f>
        <v>0</v>
      </c>
      <c r="V1380" s="60">
        <v>776</v>
      </c>
      <c r="W1380" s="62" t="s">
        <v>5021</v>
      </c>
      <c r="X1380" s="60">
        <v>3</v>
      </c>
      <c r="Y1380" s="63">
        <v>5.25</v>
      </c>
      <c r="Z1380" s="60" t="b">
        <f>FALSE()</f>
        <v>0</v>
      </c>
      <c r="AA1380" s="60" t="b">
        <f>TRUE()</f>
        <v>1</v>
      </c>
      <c r="AB1380" s="60" t="b">
        <f>FALSE()</f>
        <v>0</v>
      </c>
      <c r="AC1380" s="60" t="b">
        <f>FALSE()</f>
        <v>0</v>
      </c>
      <c r="AD1380" s="60" t="b">
        <f>FALSE()</f>
        <v>0</v>
      </c>
      <c r="AE1380" s="60">
        <v>1</v>
      </c>
      <c r="AF1380" s="64">
        <v>14.3</v>
      </c>
      <c r="AG1380" s="60" t="s">
        <v>74</v>
      </c>
      <c r="AH1380" s="60" t="s">
        <v>5025</v>
      </c>
      <c r="AI1380">
        <f>IF(AND(OR(Company_Explorer!$B$5="All Companies",$E1380=Company_Explorer!$B$5),OR(Company_Explorer!$B$6="All Platforms",$B1380=Company_Explorer!$B$6),OR(Company_Explorer!$B$7="All Roles",$D1380=Company_Explorer!$B$7),OR(Company_Explorer!$B$8="All Ghost Labels",$AG1380=Company_Explorer!$B$8)),1,0)</f>
        <v>0</v>
      </c>
    </row>
    <row r="1381" spans="1:35" ht="15" customHeight="1" x14ac:dyDescent="0.3">
      <c r="A1381" s="65" t="s">
        <v>5026</v>
      </c>
      <c r="B1381" s="65" t="s">
        <v>81</v>
      </c>
      <c r="C1381" s="65" t="s">
        <v>5027</v>
      </c>
      <c r="D1381" s="65" t="s">
        <v>126</v>
      </c>
      <c r="E1381" s="65" t="s">
        <v>719</v>
      </c>
      <c r="F1381" s="65" t="b">
        <f>TRUE()</f>
        <v>1</v>
      </c>
      <c r="G1381" s="65" t="s">
        <v>165</v>
      </c>
      <c r="H1381" s="65" t="s">
        <v>3702</v>
      </c>
      <c r="I1381" s="66">
        <v>46209.490003807899</v>
      </c>
      <c r="J1381" s="66">
        <v>46210.283025451397</v>
      </c>
      <c r="K1381" s="65">
        <v>0.8</v>
      </c>
      <c r="L1381" s="65" t="s">
        <v>183</v>
      </c>
      <c r="M1381" s="65" t="s">
        <v>183</v>
      </c>
      <c r="N1381" s="65" t="b">
        <f>FALSE()</f>
        <v>0</v>
      </c>
      <c r="O1381" s="65"/>
      <c r="P1381" s="65"/>
      <c r="Q1381" s="65" t="s">
        <v>236</v>
      </c>
      <c r="R1381" s="65" t="s">
        <v>236</v>
      </c>
      <c r="S1381" s="65"/>
      <c r="T1381" s="65" t="b">
        <f>FALSE()</f>
        <v>0</v>
      </c>
      <c r="U1381" s="65" t="b">
        <f>FALSE()</f>
        <v>0</v>
      </c>
      <c r="V1381" s="65">
        <v>575</v>
      </c>
      <c r="W1381" s="67" t="s">
        <v>5028</v>
      </c>
      <c r="X1381" s="65">
        <v>5</v>
      </c>
      <c r="Y1381" s="68">
        <v>8.75</v>
      </c>
      <c r="Z1381" s="65" t="b">
        <f>FALSE()</f>
        <v>0</v>
      </c>
      <c r="AA1381" s="65" t="b">
        <f>TRUE()</f>
        <v>1</v>
      </c>
      <c r="AB1381" s="65" t="b">
        <f>FALSE()</f>
        <v>0</v>
      </c>
      <c r="AC1381" s="65" t="b">
        <f>TRUE()</f>
        <v>1</v>
      </c>
      <c r="AD1381" s="65" t="b">
        <f>FALSE()</f>
        <v>0</v>
      </c>
      <c r="AE1381" s="65">
        <v>2</v>
      </c>
      <c r="AF1381" s="69">
        <v>28.6</v>
      </c>
      <c r="AG1381" s="65" t="s">
        <v>73</v>
      </c>
      <c r="AH1381" s="65" t="s">
        <v>5029</v>
      </c>
      <c r="AI1381">
        <f>IF(AND(OR(Company_Explorer!$B$5="All Companies",$E1381=Company_Explorer!$B$5),OR(Company_Explorer!$B$6="All Platforms",$B1381=Company_Explorer!$B$6),OR(Company_Explorer!$B$7="All Roles",$D1381=Company_Explorer!$B$7),OR(Company_Explorer!$B$8="All Ghost Labels",$AG1381=Company_Explorer!$B$8)),1,0)</f>
        <v>0</v>
      </c>
    </row>
    <row r="1382" spans="1:35" ht="15" customHeight="1" x14ac:dyDescent="0.3">
      <c r="A1382" s="60" t="s">
        <v>5030</v>
      </c>
      <c r="B1382" s="60" t="s">
        <v>81</v>
      </c>
      <c r="C1382" s="60" t="s">
        <v>5031</v>
      </c>
      <c r="D1382" s="60" t="s">
        <v>125</v>
      </c>
      <c r="E1382" s="60" t="s">
        <v>4610</v>
      </c>
      <c r="F1382" s="60" t="b">
        <f>TRUE()</f>
        <v>1</v>
      </c>
      <c r="G1382" s="60" t="s">
        <v>165</v>
      </c>
      <c r="H1382" s="60" t="s">
        <v>4661</v>
      </c>
      <c r="I1382" s="61">
        <v>46209.488647083301</v>
      </c>
      <c r="J1382" s="61">
        <v>46210.283025798599</v>
      </c>
      <c r="K1382" s="60">
        <v>0.8</v>
      </c>
      <c r="L1382" s="60" t="s">
        <v>183</v>
      </c>
      <c r="M1382" s="60" t="s">
        <v>183</v>
      </c>
      <c r="N1382" s="60" t="b">
        <f>FALSE()</f>
        <v>0</v>
      </c>
      <c r="O1382" s="60"/>
      <c r="P1382" s="60"/>
      <c r="Q1382" s="60" t="s">
        <v>236</v>
      </c>
      <c r="R1382" s="60" t="s">
        <v>236</v>
      </c>
      <c r="S1382" s="60"/>
      <c r="T1382" s="60" t="b">
        <f>FALSE()</f>
        <v>0</v>
      </c>
      <c r="U1382" s="60" t="b">
        <f>FALSE()</f>
        <v>0</v>
      </c>
      <c r="V1382" s="60">
        <v>730</v>
      </c>
      <c r="W1382" s="62" t="s">
        <v>5032</v>
      </c>
      <c r="X1382" s="60">
        <v>12</v>
      </c>
      <c r="Y1382" s="63">
        <v>21</v>
      </c>
      <c r="Z1382" s="60" t="b">
        <f>FALSE()</f>
        <v>0</v>
      </c>
      <c r="AA1382" s="60" t="b">
        <f>TRUE()</f>
        <v>1</v>
      </c>
      <c r="AB1382" s="60" t="b">
        <f>FALSE()</f>
        <v>0</v>
      </c>
      <c r="AC1382" s="60" t="b">
        <f>TRUE()</f>
        <v>1</v>
      </c>
      <c r="AD1382" s="60" t="b">
        <f>FALSE()</f>
        <v>0</v>
      </c>
      <c r="AE1382" s="60">
        <v>2</v>
      </c>
      <c r="AF1382" s="64">
        <v>28.6</v>
      </c>
      <c r="AG1382" s="60" t="s">
        <v>73</v>
      </c>
      <c r="AH1382" s="60" t="s">
        <v>5033</v>
      </c>
      <c r="AI1382">
        <f>IF(AND(OR(Company_Explorer!$B$5="All Companies",$E1382=Company_Explorer!$B$5),OR(Company_Explorer!$B$6="All Platforms",$B1382=Company_Explorer!$B$6),OR(Company_Explorer!$B$7="All Roles",$D1382=Company_Explorer!$B$7),OR(Company_Explorer!$B$8="All Ghost Labels",$AG1382=Company_Explorer!$B$8)),1,0)</f>
        <v>0</v>
      </c>
    </row>
    <row r="1383" spans="1:35" ht="15" customHeight="1" x14ac:dyDescent="0.3">
      <c r="A1383" s="65" t="s">
        <v>5034</v>
      </c>
      <c r="B1383" s="65" t="s">
        <v>81</v>
      </c>
      <c r="C1383" s="65" t="s">
        <v>5035</v>
      </c>
      <c r="D1383" s="65" t="s">
        <v>126</v>
      </c>
      <c r="E1383" s="65" t="s">
        <v>156</v>
      </c>
      <c r="F1383" s="65" t="b">
        <f>TRUE()</f>
        <v>1</v>
      </c>
      <c r="G1383" s="65" t="s">
        <v>165</v>
      </c>
      <c r="H1383" s="65" t="s">
        <v>3655</v>
      </c>
      <c r="I1383" s="66">
        <v>46209.195891655101</v>
      </c>
      <c r="J1383" s="66">
        <v>46210.283025868099</v>
      </c>
      <c r="K1383" s="65">
        <v>1.1000000000000001</v>
      </c>
      <c r="L1383" s="65" t="s">
        <v>183</v>
      </c>
      <c r="M1383" s="65" t="s">
        <v>183</v>
      </c>
      <c r="N1383" s="65" t="b">
        <f>FALSE()</f>
        <v>0</v>
      </c>
      <c r="O1383" s="65"/>
      <c r="P1383" s="65"/>
      <c r="Q1383" s="65" t="s">
        <v>236</v>
      </c>
      <c r="R1383" s="65" t="s">
        <v>236</v>
      </c>
      <c r="S1383" s="65"/>
      <c r="T1383" s="65" t="b">
        <f>FALSE()</f>
        <v>0</v>
      </c>
      <c r="U1383" s="65" t="b">
        <f>FALSE()</f>
        <v>0</v>
      </c>
      <c r="V1383" s="65">
        <v>617</v>
      </c>
      <c r="W1383" s="67" t="s">
        <v>5036</v>
      </c>
      <c r="X1383" s="65">
        <v>14</v>
      </c>
      <c r="Y1383" s="68">
        <v>24.5</v>
      </c>
      <c r="Z1383" s="65" t="b">
        <f>FALSE()</f>
        <v>0</v>
      </c>
      <c r="AA1383" s="65" t="b">
        <f>TRUE()</f>
        <v>1</v>
      </c>
      <c r="AB1383" s="65" t="b">
        <f>FALSE()</f>
        <v>0</v>
      </c>
      <c r="AC1383" s="65" t="b">
        <f>TRUE()</f>
        <v>1</v>
      </c>
      <c r="AD1383" s="65" t="b">
        <f>FALSE()</f>
        <v>0</v>
      </c>
      <c r="AE1383" s="65">
        <v>2</v>
      </c>
      <c r="AF1383" s="69">
        <v>28.6</v>
      </c>
      <c r="AG1383" s="65" t="s">
        <v>73</v>
      </c>
      <c r="AH1383" s="65" t="s">
        <v>5037</v>
      </c>
      <c r="AI1383">
        <f>IF(AND(OR(Company_Explorer!$B$5="All Companies",$E1383=Company_Explorer!$B$5),OR(Company_Explorer!$B$6="All Platforms",$B1383=Company_Explorer!$B$6),OR(Company_Explorer!$B$7="All Roles",$D1383=Company_Explorer!$B$7),OR(Company_Explorer!$B$8="All Ghost Labels",$AG1383=Company_Explorer!$B$8)),1,0)</f>
        <v>0</v>
      </c>
    </row>
    <row r="1384" spans="1:35" ht="15" customHeight="1" x14ac:dyDescent="0.3">
      <c r="A1384" s="60" t="s">
        <v>5038</v>
      </c>
      <c r="B1384" s="60" t="s">
        <v>81</v>
      </c>
      <c r="C1384" s="60" t="s">
        <v>5039</v>
      </c>
      <c r="D1384" s="60" t="s">
        <v>125</v>
      </c>
      <c r="E1384" s="60" t="s">
        <v>2758</v>
      </c>
      <c r="F1384" s="60" t="b">
        <f>TRUE()</f>
        <v>1</v>
      </c>
      <c r="G1384" s="60" t="s">
        <v>165</v>
      </c>
      <c r="H1384" s="60" t="s">
        <v>3630</v>
      </c>
      <c r="I1384" s="61">
        <v>46209.918041076402</v>
      </c>
      <c r="J1384" s="61">
        <v>46210.283027789403</v>
      </c>
      <c r="K1384" s="60">
        <v>0.4</v>
      </c>
      <c r="L1384" s="60" t="s">
        <v>183</v>
      </c>
      <c r="M1384" s="60" t="s">
        <v>183</v>
      </c>
      <c r="N1384" s="60" t="b">
        <f>FALSE()</f>
        <v>0</v>
      </c>
      <c r="O1384" s="60"/>
      <c r="P1384" s="60"/>
      <c r="Q1384" s="60" t="s">
        <v>236</v>
      </c>
      <c r="R1384" s="60" t="s">
        <v>236</v>
      </c>
      <c r="S1384" s="60"/>
      <c r="T1384" s="60" t="b">
        <f>FALSE()</f>
        <v>0</v>
      </c>
      <c r="U1384" s="60" t="b">
        <f>FALSE()</f>
        <v>0</v>
      </c>
      <c r="V1384" s="60">
        <v>352</v>
      </c>
      <c r="W1384" s="62" t="s">
        <v>5040</v>
      </c>
      <c r="X1384" s="60">
        <v>11</v>
      </c>
      <c r="Y1384" s="63">
        <v>19.25</v>
      </c>
      <c r="Z1384" s="60" t="b">
        <f>FALSE()</f>
        <v>0</v>
      </c>
      <c r="AA1384" s="60" t="b">
        <f>TRUE()</f>
        <v>1</v>
      </c>
      <c r="AB1384" s="60" t="b">
        <f>FALSE()</f>
        <v>0</v>
      </c>
      <c r="AC1384" s="60" t="b">
        <f>FALSE()</f>
        <v>0</v>
      </c>
      <c r="AD1384" s="60" t="b">
        <f>FALSE()</f>
        <v>0</v>
      </c>
      <c r="AE1384" s="60">
        <v>1</v>
      </c>
      <c r="AF1384" s="64">
        <v>14.3</v>
      </c>
      <c r="AG1384" s="60" t="s">
        <v>74</v>
      </c>
      <c r="AH1384" s="60" t="s">
        <v>5041</v>
      </c>
      <c r="AI1384">
        <f>IF(AND(OR(Company_Explorer!$B$5="All Companies",$E1384=Company_Explorer!$B$5),OR(Company_Explorer!$B$6="All Platforms",$B1384=Company_Explorer!$B$6),OR(Company_Explorer!$B$7="All Roles",$D1384=Company_Explorer!$B$7),OR(Company_Explorer!$B$8="All Ghost Labels",$AG1384=Company_Explorer!$B$8)),1,0)</f>
        <v>0</v>
      </c>
    </row>
    <row r="1385" spans="1:35" ht="15" customHeight="1" x14ac:dyDescent="0.3">
      <c r="A1385" s="65" t="s">
        <v>5042</v>
      </c>
      <c r="B1385" s="65" t="s">
        <v>81</v>
      </c>
      <c r="C1385" s="65" t="s">
        <v>5043</v>
      </c>
      <c r="D1385" s="65" t="s">
        <v>126</v>
      </c>
      <c r="E1385" s="65" t="s">
        <v>5044</v>
      </c>
      <c r="F1385" s="65" t="b">
        <f>TRUE()</f>
        <v>1</v>
      </c>
      <c r="G1385" s="65" t="s">
        <v>165</v>
      </c>
      <c r="H1385" s="65" t="s">
        <v>3655</v>
      </c>
      <c r="I1385" s="66">
        <v>46209.911559085704</v>
      </c>
      <c r="J1385" s="66">
        <v>46210.283027881997</v>
      </c>
      <c r="K1385" s="65">
        <v>0.4</v>
      </c>
      <c r="L1385" s="65" t="s">
        <v>183</v>
      </c>
      <c r="M1385" s="65" t="s">
        <v>183</v>
      </c>
      <c r="N1385" s="65" t="b">
        <f>FALSE()</f>
        <v>0</v>
      </c>
      <c r="O1385" s="65"/>
      <c r="P1385" s="65"/>
      <c r="Q1385" s="65" t="s">
        <v>236</v>
      </c>
      <c r="R1385" s="65" t="s">
        <v>236</v>
      </c>
      <c r="S1385" s="65"/>
      <c r="T1385" s="65" t="b">
        <f>FALSE()</f>
        <v>0</v>
      </c>
      <c r="U1385" s="65" t="b">
        <f>FALSE()</f>
        <v>0</v>
      </c>
      <c r="V1385" s="65">
        <v>480</v>
      </c>
      <c r="W1385" s="67" t="s">
        <v>5045</v>
      </c>
      <c r="X1385" s="65">
        <v>2</v>
      </c>
      <c r="Y1385" s="68">
        <v>3.5</v>
      </c>
      <c r="Z1385" s="65" t="b">
        <f>FALSE()</f>
        <v>0</v>
      </c>
      <c r="AA1385" s="65" t="b">
        <f>TRUE()</f>
        <v>1</v>
      </c>
      <c r="AB1385" s="65" t="b">
        <f>FALSE()</f>
        <v>0</v>
      </c>
      <c r="AC1385" s="65" t="b">
        <f>FALSE()</f>
        <v>0</v>
      </c>
      <c r="AD1385" s="65" t="b">
        <f>FALSE()</f>
        <v>0</v>
      </c>
      <c r="AE1385" s="65">
        <v>1</v>
      </c>
      <c r="AF1385" s="69">
        <v>14.3</v>
      </c>
      <c r="AG1385" s="65" t="s">
        <v>74</v>
      </c>
      <c r="AH1385" s="65" t="s">
        <v>5046</v>
      </c>
      <c r="AI1385">
        <f>IF(AND(OR(Company_Explorer!$B$5="All Companies",$E1385=Company_Explorer!$B$5),OR(Company_Explorer!$B$6="All Platforms",$B1385=Company_Explorer!$B$6),OR(Company_Explorer!$B$7="All Roles",$D1385=Company_Explorer!$B$7),OR(Company_Explorer!$B$8="All Ghost Labels",$AG1385=Company_Explorer!$B$8)),1,0)</f>
        <v>0</v>
      </c>
    </row>
    <row r="1386" spans="1:35" ht="15" customHeight="1" x14ac:dyDescent="0.3">
      <c r="A1386" s="60" t="s">
        <v>5047</v>
      </c>
      <c r="B1386" s="60" t="s">
        <v>81</v>
      </c>
      <c r="C1386" s="60" t="s">
        <v>5048</v>
      </c>
      <c r="D1386" s="60" t="s">
        <v>125</v>
      </c>
      <c r="E1386" s="60" t="s">
        <v>2758</v>
      </c>
      <c r="F1386" s="60" t="b">
        <f>TRUE()</f>
        <v>1</v>
      </c>
      <c r="G1386" s="60" t="s">
        <v>165</v>
      </c>
      <c r="H1386" s="60" t="s">
        <v>3620</v>
      </c>
      <c r="I1386" s="61">
        <v>46209.918111180603</v>
      </c>
      <c r="J1386" s="61">
        <v>46210.283027916703</v>
      </c>
      <c r="K1386" s="60">
        <v>0.4</v>
      </c>
      <c r="L1386" s="60" t="s">
        <v>183</v>
      </c>
      <c r="M1386" s="60" t="s">
        <v>183</v>
      </c>
      <c r="N1386" s="60" t="b">
        <f>FALSE()</f>
        <v>0</v>
      </c>
      <c r="O1386" s="60"/>
      <c r="P1386" s="60"/>
      <c r="Q1386" s="60" t="s">
        <v>236</v>
      </c>
      <c r="R1386" s="60" t="s">
        <v>236</v>
      </c>
      <c r="S1386" s="60"/>
      <c r="T1386" s="60" t="b">
        <f>FALSE()</f>
        <v>0</v>
      </c>
      <c r="U1386" s="60" t="b">
        <f>FALSE()</f>
        <v>0</v>
      </c>
      <c r="V1386" s="60">
        <v>746</v>
      </c>
      <c r="W1386" s="62" t="s">
        <v>5049</v>
      </c>
      <c r="X1386" s="60">
        <v>11</v>
      </c>
      <c r="Y1386" s="63">
        <v>19.25</v>
      </c>
      <c r="Z1386" s="60" t="b">
        <f>FALSE()</f>
        <v>0</v>
      </c>
      <c r="AA1386" s="60" t="b">
        <f>TRUE()</f>
        <v>1</v>
      </c>
      <c r="AB1386" s="60" t="b">
        <f>FALSE()</f>
        <v>0</v>
      </c>
      <c r="AC1386" s="60" t="b">
        <f>FALSE()</f>
        <v>0</v>
      </c>
      <c r="AD1386" s="60" t="b">
        <f>FALSE()</f>
        <v>0</v>
      </c>
      <c r="AE1386" s="60">
        <v>1</v>
      </c>
      <c r="AF1386" s="64">
        <v>14.3</v>
      </c>
      <c r="AG1386" s="60" t="s">
        <v>74</v>
      </c>
      <c r="AH1386" s="60" t="s">
        <v>5050</v>
      </c>
      <c r="AI1386">
        <f>IF(AND(OR(Company_Explorer!$B$5="All Companies",$E1386=Company_Explorer!$B$5),OR(Company_Explorer!$B$6="All Platforms",$B1386=Company_Explorer!$B$6),OR(Company_Explorer!$B$7="All Roles",$D1386=Company_Explorer!$B$7),OR(Company_Explorer!$B$8="All Ghost Labels",$AG1386=Company_Explorer!$B$8)),1,0)</f>
        <v>0</v>
      </c>
    </row>
    <row r="1387" spans="1:35" ht="15" customHeight="1" x14ac:dyDescent="0.3">
      <c r="A1387" s="65" t="s">
        <v>5051</v>
      </c>
      <c r="B1387" s="65" t="s">
        <v>81</v>
      </c>
      <c r="C1387" s="65" t="s">
        <v>5052</v>
      </c>
      <c r="D1387" s="65" t="s">
        <v>126</v>
      </c>
      <c r="E1387" s="65" t="s">
        <v>5053</v>
      </c>
      <c r="F1387" s="65" t="b">
        <f>TRUE()</f>
        <v>1</v>
      </c>
      <c r="G1387" s="65" t="s">
        <v>165</v>
      </c>
      <c r="H1387" s="65" t="s">
        <v>3655</v>
      </c>
      <c r="I1387" s="66">
        <v>46210.240996469904</v>
      </c>
      <c r="J1387" s="66">
        <v>46210.283027928199</v>
      </c>
      <c r="K1387" s="65">
        <v>0</v>
      </c>
      <c r="L1387" s="65" t="s">
        <v>183</v>
      </c>
      <c r="M1387" s="65" t="s">
        <v>183</v>
      </c>
      <c r="N1387" s="65" t="b">
        <f>TRUE()</f>
        <v>1</v>
      </c>
      <c r="O1387" s="71">
        <v>772253.6875</v>
      </c>
      <c r="P1387" s="71">
        <v>968409.3125</v>
      </c>
      <c r="Q1387" s="65" t="s">
        <v>3663</v>
      </c>
      <c r="R1387" s="65" t="s">
        <v>3961</v>
      </c>
      <c r="S1387" s="71">
        <v>870332</v>
      </c>
      <c r="T1387" s="65" t="b">
        <f>TRUE()</f>
        <v>1</v>
      </c>
      <c r="U1387" s="65" t="b">
        <f>FALSE()</f>
        <v>0</v>
      </c>
      <c r="V1387" s="65">
        <v>197</v>
      </c>
      <c r="W1387" s="67" t="s">
        <v>5054</v>
      </c>
      <c r="X1387" s="65">
        <v>1</v>
      </c>
      <c r="Y1387" s="68">
        <v>1.75</v>
      </c>
      <c r="Z1387" s="65" t="b">
        <f>FALSE()</f>
        <v>0</v>
      </c>
      <c r="AA1387" s="65" t="b">
        <f>FALSE()</f>
        <v>0</v>
      </c>
      <c r="AB1387" s="65" t="b">
        <f>TRUE()</f>
        <v>1</v>
      </c>
      <c r="AC1387" s="65" t="b">
        <f>FALSE()</f>
        <v>0</v>
      </c>
      <c r="AD1387" s="65" t="b">
        <f>FALSE()</f>
        <v>0</v>
      </c>
      <c r="AE1387" s="65">
        <v>1</v>
      </c>
      <c r="AF1387" s="69">
        <v>14.3</v>
      </c>
      <c r="AG1387" s="65" t="s">
        <v>74</v>
      </c>
      <c r="AH1387" s="65" t="s">
        <v>5055</v>
      </c>
      <c r="AI1387">
        <f>IF(AND(OR(Company_Explorer!$B$5="All Companies",$E1387=Company_Explorer!$B$5),OR(Company_Explorer!$B$6="All Platforms",$B1387=Company_Explorer!$B$6),OR(Company_Explorer!$B$7="All Roles",$D1387=Company_Explorer!$B$7),OR(Company_Explorer!$B$8="All Ghost Labels",$AG1387=Company_Explorer!$B$8)),1,0)</f>
        <v>0</v>
      </c>
    </row>
    <row r="1388" spans="1:35" ht="15" customHeight="1" x14ac:dyDescent="0.3">
      <c r="A1388" s="60" t="s">
        <v>5056</v>
      </c>
      <c r="B1388" s="60" t="s">
        <v>81</v>
      </c>
      <c r="C1388" s="60" t="s">
        <v>5057</v>
      </c>
      <c r="D1388" s="60" t="s">
        <v>125</v>
      </c>
      <c r="E1388" s="60" t="s">
        <v>5058</v>
      </c>
      <c r="F1388" s="60" t="b">
        <f>TRUE()</f>
        <v>1</v>
      </c>
      <c r="G1388" s="60" t="s">
        <v>165</v>
      </c>
      <c r="H1388" s="60" t="s">
        <v>3678</v>
      </c>
      <c r="I1388" s="61">
        <v>46209.917216921298</v>
      </c>
      <c r="J1388" s="61">
        <v>46210.283027847203</v>
      </c>
      <c r="K1388" s="60">
        <v>0.4</v>
      </c>
      <c r="L1388" s="60" t="s">
        <v>183</v>
      </c>
      <c r="M1388" s="60" t="s">
        <v>183</v>
      </c>
      <c r="N1388" s="60" t="b">
        <f>FALSE()</f>
        <v>0</v>
      </c>
      <c r="O1388" s="60"/>
      <c r="P1388" s="60"/>
      <c r="Q1388" s="60" t="s">
        <v>236</v>
      </c>
      <c r="R1388" s="60" t="s">
        <v>236</v>
      </c>
      <c r="S1388" s="60"/>
      <c r="T1388" s="60" t="b">
        <f>FALSE()</f>
        <v>0</v>
      </c>
      <c r="U1388" s="60" t="b">
        <f>FALSE()</f>
        <v>0</v>
      </c>
      <c r="V1388" s="60">
        <v>926</v>
      </c>
      <c r="W1388" s="62" t="s">
        <v>5059</v>
      </c>
      <c r="X1388" s="60">
        <v>12</v>
      </c>
      <c r="Y1388" s="63">
        <v>21</v>
      </c>
      <c r="Z1388" s="60" t="b">
        <f>FALSE()</f>
        <v>0</v>
      </c>
      <c r="AA1388" s="60" t="b">
        <f>TRUE()</f>
        <v>1</v>
      </c>
      <c r="AB1388" s="60" t="b">
        <f>FALSE()</f>
        <v>0</v>
      </c>
      <c r="AC1388" s="60" t="b">
        <f>FALSE()</f>
        <v>0</v>
      </c>
      <c r="AD1388" s="60" t="b">
        <f>FALSE()</f>
        <v>0</v>
      </c>
      <c r="AE1388" s="60">
        <v>1</v>
      </c>
      <c r="AF1388" s="64">
        <v>14.3</v>
      </c>
      <c r="AG1388" s="60" t="s">
        <v>74</v>
      </c>
      <c r="AH1388" s="60" t="s">
        <v>5060</v>
      </c>
      <c r="AI1388">
        <f>IF(AND(OR(Company_Explorer!$B$5="All Companies",$E1388=Company_Explorer!$B$5),OR(Company_Explorer!$B$6="All Platforms",$B1388=Company_Explorer!$B$6),OR(Company_Explorer!$B$7="All Roles",$D1388=Company_Explorer!$B$7),OR(Company_Explorer!$B$8="All Ghost Labels",$AG1388=Company_Explorer!$B$8)),1,0)</f>
        <v>0</v>
      </c>
    </row>
    <row r="1389" spans="1:35" ht="15" customHeight="1" x14ac:dyDescent="0.3">
      <c r="A1389" s="65" t="s">
        <v>5061</v>
      </c>
      <c r="B1389" s="65" t="s">
        <v>81</v>
      </c>
      <c r="C1389" s="65" t="s">
        <v>5062</v>
      </c>
      <c r="D1389" s="65" t="s">
        <v>125</v>
      </c>
      <c r="E1389" s="65" t="s">
        <v>146</v>
      </c>
      <c r="F1389" s="65" t="b">
        <f>TRUE()</f>
        <v>1</v>
      </c>
      <c r="G1389" s="65" t="s">
        <v>165</v>
      </c>
      <c r="H1389" s="65" t="s">
        <v>3672</v>
      </c>
      <c r="I1389" s="66">
        <v>46209.910866388898</v>
      </c>
      <c r="J1389" s="66">
        <v>46210.283028877297</v>
      </c>
      <c r="K1389" s="65">
        <v>0.4</v>
      </c>
      <c r="L1389" s="65" t="s">
        <v>183</v>
      </c>
      <c r="M1389" s="65" t="s">
        <v>183</v>
      </c>
      <c r="N1389" s="65" t="b">
        <f>FALSE()</f>
        <v>0</v>
      </c>
      <c r="O1389" s="65"/>
      <c r="P1389" s="65"/>
      <c r="Q1389" s="65" t="s">
        <v>236</v>
      </c>
      <c r="R1389" s="65" t="s">
        <v>236</v>
      </c>
      <c r="S1389" s="65"/>
      <c r="T1389" s="65" t="b">
        <f>FALSE()</f>
        <v>0</v>
      </c>
      <c r="U1389" s="65" t="b">
        <f>FALSE()</f>
        <v>0</v>
      </c>
      <c r="V1389" s="65">
        <v>599</v>
      </c>
      <c r="W1389" s="67" t="s">
        <v>5063</v>
      </c>
      <c r="X1389" s="65">
        <v>33</v>
      </c>
      <c r="Y1389" s="68">
        <v>57.75</v>
      </c>
      <c r="Z1389" s="65" t="b">
        <f>FALSE()</f>
        <v>0</v>
      </c>
      <c r="AA1389" s="65" t="b">
        <f>TRUE()</f>
        <v>1</v>
      </c>
      <c r="AB1389" s="65" t="b">
        <f>FALSE()</f>
        <v>0</v>
      </c>
      <c r="AC1389" s="65" t="b">
        <f>FALSE()</f>
        <v>0</v>
      </c>
      <c r="AD1389" s="65" t="b">
        <f>FALSE()</f>
        <v>0</v>
      </c>
      <c r="AE1389" s="65">
        <v>1</v>
      </c>
      <c r="AF1389" s="69">
        <v>14.3</v>
      </c>
      <c r="AG1389" s="65" t="s">
        <v>74</v>
      </c>
      <c r="AH1389" s="65" t="s">
        <v>5064</v>
      </c>
      <c r="AI1389">
        <f>IF(AND(OR(Company_Explorer!$B$5="All Companies",$E1389=Company_Explorer!$B$5),OR(Company_Explorer!$B$6="All Platforms",$B1389=Company_Explorer!$B$6),OR(Company_Explorer!$B$7="All Roles",$D1389=Company_Explorer!$B$7),OR(Company_Explorer!$B$8="All Ghost Labels",$AG1389=Company_Explorer!$B$8)),1,0)</f>
        <v>0</v>
      </c>
    </row>
    <row r="1390" spans="1:35" ht="15" customHeight="1" x14ac:dyDescent="0.3">
      <c r="A1390" s="60" t="s">
        <v>5065</v>
      </c>
      <c r="B1390" s="60" t="s">
        <v>81</v>
      </c>
      <c r="C1390" s="60" t="s">
        <v>5066</v>
      </c>
      <c r="D1390" s="60" t="s">
        <v>125</v>
      </c>
      <c r="E1390" s="60" t="s">
        <v>3701</v>
      </c>
      <c r="F1390" s="60" t="b">
        <f>TRUE()</f>
        <v>1</v>
      </c>
      <c r="G1390" s="60" t="s">
        <v>165</v>
      </c>
      <c r="H1390" s="60" t="s">
        <v>3655</v>
      </c>
      <c r="I1390" s="61">
        <v>46209.908269664404</v>
      </c>
      <c r="J1390" s="61">
        <v>46210.283027974503</v>
      </c>
      <c r="K1390" s="60">
        <v>0.4</v>
      </c>
      <c r="L1390" s="60" t="s">
        <v>183</v>
      </c>
      <c r="M1390" s="60" t="s">
        <v>183</v>
      </c>
      <c r="N1390" s="60" t="b">
        <f>FALSE()</f>
        <v>0</v>
      </c>
      <c r="O1390" s="60"/>
      <c r="P1390" s="60"/>
      <c r="Q1390" s="60" t="s">
        <v>236</v>
      </c>
      <c r="R1390" s="60" t="s">
        <v>236</v>
      </c>
      <c r="S1390" s="60"/>
      <c r="T1390" s="60" t="b">
        <f>FALSE()</f>
        <v>0</v>
      </c>
      <c r="U1390" s="60" t="b">
        <f>FALSE()</f>
        <v>0</v>
      </c>
      <c r="V1390" s="60">
        <v>685</v>
      </c>
      <c r="W1390" s="62" t="s">
        <v>5067</v>
      </c>
      <c r="X1390" s="60">
        <v>6</v>
      </c>
      <c r="Y1390" s="63">
        <v>10.5</v>
      </c>
      <c r="Z1390" s="60" t="b">
        <f>FALSE()</f>
        <v>0</v>
      </c>
      <c r="AA1390" s="60" t="b">
        <f>TRUE()</f>
        <v>1</v>
      </c>
      <c r="AB1390" s="60" t="b">
        <f>FALSE()</f>
        <v>0</v>
      </c>
      <c r="AC1390" s="60" t="b">
        <f>FALSE()</f>
        <v>0</v>
      </c>
      <c r="AD1390" s="60" t="b">
        <f>FALSE()</f>
        <v>0</v>
      </c>
      <c r="AE1390" s="60">
        <v>1</v>
      </c>
      <c r="AF1390" s="64">
        <v>14.3</v>
      </c>
      <c r="AG1390" s="60" t="s">
        <v>74</v>
      </c>
      <c r="AH1390" s="60" t="s">
        <v>5068</v>
      </c>
      <c r="AI1390">
        <f>IF(AND(OR(Company_Explorer!$B$5="All Companies",$E1390=Company_Explorer!$B$5),OR(Company_Explorer!$B$6="All Platforms",$B1390=Company_Explorer!$B$6),OR(Company_Explorer!$B$7="All Roles",$D1390=Company_Explorer!$B$7),OR(Company_Explorer!$B$8="All Ghost Labels",$AG1390=Company_Explorer!$B$8)),1,0)</f>
        <v>0</v>
      </c>
    </row>
    <row r="1391" spans="1:35" ht="15" customHeight="1" x14ac:dyDescent="0.3">
      <c r="A1391" s="65" t="s">
        <v>5069</v>
      </c>
      <c r="B1391" s="65" t="s">
        <v>81</v>
      </c>
      <c r="C1391" s="65" t="s">
        <v>1775</v>
      </c>
      <c r="D1391" s="65" t="s">
        <v>126</v>
      </c>
      <c r="E1391" s="65" t="s">
        <v>146</v>
      </c>
      <c r="F1391" s="65" t="b">
        <f>TRUE()</f>
        <v>1</v>
      </c>
      <c r="G1391" s="65" t="s">
        <v>165</v>
      </c>
      <c r="H1391" s="65" t="s">
        <v>3620</v>
      </c>
      <c r="I1391" s="66">
        <v>46209.910898194401</v>
      </c>
      <c r="J1391" s="66">
        <v>46210.283028946797</v>
      </c>
      <c r="K1391" s="65">
        <v>0.4</v>
      </c>
      <c r="L1391" s="65" t="s">
        <v>183</v>
      </c>
      <c r="M1391" s="65" t="s">
        <v>183</v>
      </c>
      <c r="N1391" s="65" t="b">
        <f>FALSE()</f>
        <v>0</v>
      </c>
      <c r="O1391" s="65"/>
      <c r="P1391" s="65"/>
      <c r="Q1391" s="65" t="s">
        <v>236</v>
      </c>
      <c r="R1391" s="65" t="s">
        <v>236</v>
      </c>
      <c r="S1391" s="65"/>
      <c r="T1391" s="65" t="b">
        <f>FALSE()</f>
        <v>0</v>
      </c>
      <c r="U1391" s="65" t="b">
        <f>FALSE()</f>
        <v>0</v>
      </c>
      <c r="V1391" s="65">
        <v>748</v>
      </c>
      <c r="W1391" s="67" t="s">
        <v>5070</v>
      </c>
      <c r="X1391" s="65">
        <v>33</v>
      </c>
      <c r="Y1391" s="68">
        <v>57.75</v>
      </c>
      <c r="Z1391" s="65" t="b">
        <f>FALSE()</f>
        <v>0</v>
      </c>
      <c r="AA1391" s="65" t="b">
        <f>TRUE()</f>
        <v>1</v>
      </c>
      <c r="AB1391" s="65" t="b">
        <f>FALSE()</f>
        <v>0</v>
      </c>
      <c r="AC1391" s="65" t="b">
        <f>FALSE()</f>
        <v>0</v>
      </c>
      <c r="AD1391" s="65" t="b">
        <f>FALSE()</f>
        <v>0</v>
      </c>
      <c r="AE1391" s="65">
        <v>1</v>
      </c>
      <c r="AF1391" s="69">
        <v>14.3</v>
      </c>
      <c r="AG1391" s="65" t="s">
        <v>74</v>
      </c>
      <c r="AH1391" s="65" t="s">
        <v>5071</v>
      </c>
      <c r="AI1391">
        <f>IF(AND(OR(Company_Explorer!$B$5="All Companies",$E1391=Company_Explorer!$B$5),OR(Company_Explorer!$B$6="All Platforms",$B1391=Company_Explorer!$B$6),OR(Company_Explorer!$B$7="All Roles",$D1391=Company_Explorer!$B$7),OR(Company_Explorer!$B$8="All Ghost Labels",$AG1391=Company_Explorer!$B$8)),1,0)</f>
        <v>0</v>
      </c>
    </row>
    <row r="1392" spans="1:35" ht="15" customHeight="1" x14ac:dyDescent="0.3">
      <c r="A1392" s="60" t="s">
        <v>5072</v>
      </c>
      <c r="B1392" s="60" t="s">
        <v>81</v>
      </c>
      <c r="C1392" s="60" t="s">
        <v>5073</v>
      </c>
      <c r="D1392" s="60" t="s">
        <v>125</v>
      </c>
      <c r="E1392" s="60" t="s">
        <v>5058</v>
      </c>
      <c r="F1392" s="60" t="b">
        <f>TRUE()</f>
        <v>1</v>
      </c>
      <c r="G1392" s="60" t="s">
        <v>165</v>
      </c>
      <c r="H1392" s="60" t="s">
        <v>3655</v>
      </c>
      <c r="I1392" s="61">
        <v>46209.8999874074</v>
      </c>
      <c r="J1392" s="61">
        <v>46210.283030208302</v>
      </c>
      <c r="K1392" s="60">
        <v>0.4</v>
      </c>
      <c r="L1392" s="60" t="s">
        <v>183</v>
      </c>
      <c r="M1392" s="60" t="s">
        <v>183</v>
      </c>
      <c r="N1392" s="60" t="b">
        <f>FALSE()</f>
        <v>0</v>
      </c>
      <c r="O1392" s="60"/>
      <c r="P1392" s="60"/>
      <c r="Q1392" s="60" t="s">
        <v>236</v>
      </c>
      <c r="R1392" s="60" t="s">
        <v>236</v>
      </c>
      <c r="S1392" s="60"/>
      <c r="T1392" s="60" t="b">
        <f>FALSE()</f>
        <v>0</v>
      </c>
      <c r="U1392" s="60" t="b">
        <f>FALSE()</f>
        <v>0</v>
      </c>
      <c r="V1392" s="60">
        <v>108</v>
      </c>
      <c r="W1392" s="62" t="s">
        <v>5074</v>
      </c>
      <c r="X1392" s="60">
        <v>12</v>
      </c>
      <c r="Y1392" s="63">
        <v>21</v>
      </c>
      <c r="Z1392" s="60" t="b">
        <f>FALSE()</f>
        <v>0</v>
      </c>
      <c r="AA1392" s="60" t="b">
        <f>TRUE()</f>
        <v>1</v>
      </c>
      <c r="AB1392" s="60" t="b">
        <f>TRUE()</f>
        <v>1</v>
      </c>
      <c r="AC1392" s="60" t="b">
        <f>FALSE()</f>
        <v>0</v>
      </c>
      <c r="AD1392" s="60" t="b">
        <f>FALSE()</f>
        <v>0</v>
      </c>
      <c r="AE1392" s="60">
        <v>2</v>
      </c>
      <c r="AF1392" s="64">
        <v>28.6</v>
      </c>
      <c r="AG1392" s="60" t="s">
        <v>73</v>
      </c>
      <c r="AH1392" s="60" t="s">
        <v>5075</v>
      </c>
      <c r="AI1392">
        <f>IF(AND(OR(Company_Explorer!$B$5="All Companies",$E1392=Company_Explorer!$B$5),OR(Company_Explorer!$B$6="All Platforms",$B1392=Company_Explorer!$B$6),OR(Company_Explorer!$B$7="All Roles",$D1392=Company_Explorer!$B$7),OR(Company_Explorer!$B$8="All Ghost Labels",$AG1392=Company_Explorer!$B$8)),1,0)</f>
        <v>0</v>
      </c>
    </row>
    <row r="1393" spans="1:35" ht="15" customHeight="1" x14ac:dyDescent="0.3">
      <c r="A1393" s="65" t="s">
        <v>5076</v>
      </c>
      <c r="B1393" s="65" t="s">
        <v>81</v>
      </c>
      <c r="C1393" s="65" t="s">
        <v>5077</v>
      </c>
      <c r="D1393" s="65" t="s">
        <v>130</v>
      </c>
      <c r="E1393" s="65" t="s">
        <v>5058</v>
      </c>
      <c r="F1393" s="65" t="b">
        <f>TRUE()</f>
        <v>1</v>
      </c>
      <c r="G1393" s="65" t="s">
        <v>165</v>
      </c>
      <c r="H1393" s="65" t="s">
        <v>3672</v>
      </c>
      <c r="I1393" s="66">
        <v>46209.900105266199</v>
      </c>
      <c r="J1393" s="66">
        <v>46210.283030196799</v>
      </c>
      <c r="K1393" s="65">
        <v>0.4</v>
      </c>
      <c r="L1393" s="65" t="s">
        <v>183</v>
      </c>
      <c r="M1393" s="65" t="s">
        <v>183</v>
      </c>
      <c r="N1393" s="65" t="b">
        <f>FALSE()</f>
        <v>0</v>
      </c>
      <c r="O1393" s="65"/>
      <c r="P1393" s="65"/>
      <c r="Q1393" s="65" t="s">
        <v>236</v>
      </c>
      <c r="R1393" s="65" t="s">
        <v>236</v>
      </c>
      <c r="S1393" s="65"/>
      <c r="T1393" s="65" t="b">
        <f>FALSE()</f>
        <v>0</v>
      </c>
      <c r="U1393" s="65" t="b">
        <f>FALSE()</f>
        <v>0</v>
      </c>
      <c r="V1393" s="65">
        <v>122</v>
      </c>
      <c r="W1393" s="67" t="s">
        <v>5078</v>
      </c>
      <c r="X1393" s="65">
        <v>12</v>
      </c>
      <c r="Y1393" s="68">
        <v>21</v>
      </c>
      <c r="Z1393" s="65" t="b">
        <f>FALSE()</f>
        <v>0</v>
      </c>
      <c r="AA1393" s="65" t="b">
        <f>TRUE()</f>
        <v>1</v>
      </c>
      <c r="AB1393" s="65" t="b">
        <f>TRUE()</f>
        <v>1</v>
      </c>
      <c r="AC1393" s="65" t="b">
        <f>FALSE()</f>
        <v>0</v>
      </c>
      <c r="AD1393" s="65" t="b">
        <f>FALSE()</f>
        <v>0</v>
      </c>
      <c r="AE1393" s="65">
        <v>2</v>
      </c>
      <c r="AF1393" s="69">
        <v>28.6</v>
      </c>
      <c r="AG1393" s="65" t="s">
        <v>73</v>
      </c>
      <c r="AH1393" s="65" t="s">
        <v>5079</v>
      </c>
      <c r="AI1393">
        <f>IF(AND(OR(Company_Explorer!$B$5="All Companies",$E1393=Company_Explorer!$B$5),OR(Company_Explorer!$B$6="All Platforms",$B1393=Company_Explorer!$B$6),OR(Company_Explorer!$B$7="All Roles",$D1393=Company_Explorer!$B$7),OR(Company_Explorer!$B$8="All Ghost Labels",$AG1393=Company_Explorer!$B$8)),1,0)</f>
        <v>0</v>
      </c>
    </row>
    <row r="1394" spans="1:35" ht="15" customHeight="1" x14ac:dyDescent="0.3">
      <c r="A1394" s="60" t="s">
        <v>5080</v>
      </c>
      <c r="B1394" s="60" t="s">
        <v>81</v>
      </c>
      <c r="C1394" s="60" t="s">
        <v>5081</v>
      </c>
      <c r="D1394" s="60" t="s">
        <v>126</v>
      </c>
      <c r="E1394" s="60" t="s">
        <v>3966</v>
      </c>
      <c r="F1394" s="60" t="b">
        <f>TRUE()</f>
        <v>1</v>
      </c>
      <c r="G1394" s="60" t="s">
        <v>165</v>
      </c>
      <c r="H1394" s="60" t="s">
        <v>3636</v>
      </c>
      <c r="I1394" s="61">
        <v>46210.216158830997</v>
      </c>
      <c r="J1394" s="61">
        <v>46210.283031180603</v>
      </c>
      <c r="K1394" s="60">
        <v>0.1</v>
      </c>
      <c r="L1394" s="60" t="s">
        <v>183</v>
      </c>
      <c r="M1394" s="60" t="s">
        <v>183</v>
      </c>
      <c r="N1394" s="60" t="b">
        <f>FALSE()</f>
        <v>0</v>
      </c>
      <c r="O1394" s="60"/>
      <c r="P1394" s="60"/>
      <c r="Q1394" s="60" t="s">
        <v>236</v>
      </c>
      <c r="R1394" s="60" t="s">
        <v>236</v>
      </c>
      <c r="S1394" s="60"/>
      <c r="T1394" s="60" t="b">
        <f>FALSE()</f>
        <v>0</v>
      </c>
      <c r="U1394" s="60" t="b">
        <f>FALSE()</f>
        <v>0</v>
      </c>
      <c r="V1394" s="60">
        <v>785</v>
      </c>
      <c r="W1394" s="62" t="s">
        <v>3967</v>
      </c>
      <c r="X1394" s="60">
        <v>2</v>
      </c>
      <c r="Y1394" s="63">
        <v>3.5</v>
      </c>
      <c r="Z1394" s="60" t="b">
        <f>FALSE()</f>
        <v>0</v>
      </c>
      <c r="AA1394" s="60" t="b">
        <f>TRUE()</f>
        <v>1</v>
      </c>
      <c r="AB1394" s="60" t="b">
        <f>FALSE()</f>
        <v>0</v>
      </c>
      <c r="AC1394" s="60" t="b">
        <f>FALSE()</f>
        <v>0</v>
      </c>
      <c r="AD1394" s="60" t="b">
        <f>FALSE()</f>
        <v>0</v>
      </c>
      <c r="AE1394" s="60">
        <v>1</v>
      </c>
      <c r="AF1394" s="64">
        <v>14.3</v>
      </c>
      <c r="AG1394" s="60" t="s">
        <v>74</v>
      </c>
      <c r="AH1394" s="60" t="s">
        <v>5082</v>
      </c>
      <c r="AI1394">
        <f>IF(AND(OR(Company_Explorer!$B$5="All Companies",$E1394=Company_Explorer!$B$5),OR(Company_Explorer!$B$6="All Platforms",$B1394=Company_Explorer!$B$6),OR(Company_Explorer!$B$7="All Roles",$D1394=Company_Explorer!$B$7),OR(Company_Explorer!$B$8="All Ghost Labels",$AG1394=Company_Explorer!$B$8)),1,0)</f>
        <v>0</v>
      </c>
    </row>
    <row r="1395" spans="1:35" ht="15" customHeight="1" x14ac:dyDescent="0.3">
      <c r="A1395" s="65" t="s">
        <v>5083</v>
      </c>
      <c r="B1395" s="65" t="s">
        <v>81</v>
      </c>
      <c r="C1395" s="65" t="s">
        <v>5084</v>
      </c>
      <c r="D1395" s="65" t="s">
        <v>126</v>
      </c>
      <c r="E1395" s="65" t="s">
        <v>4055</v>
      </c>
      <c r="F1395" s="65" t="b">
        <f>TRUE()</f>
        <v>1</v>
      </c>
      <c r="G1395" s="65" t="s">
        <v>165</v>
      </c>
      <c r="H1395" s="65" t="s">
        <v>3655</v>
      </c>
      <c r="I1395" s="66">
        <v>46210.215228402798</v>
      </c>
      <c r="J1395" s="66">
        <v>46210.283031296298</v>
      </c>
      <c r="K1395" s="65">
        <v>0.1</v>
      </c>
      <c r="L1395" s="65" t="s">
        <v>183</v>
      </c>
      <c r="M1395" s="65" t="s">
        <v>183</v>
      </c>
      <c r="N1395" s="65" t="b">
        <f>TRUE()</f>
        <v>1</v>
      </c>
      <c r="O1395" s="71">
        <v>332027.25</v>
      </c>
      <c r="P1395" s="71">
        <v>2600000</v>
      </c>
      <c r="Q1395" s="65" t="s">
        <v>3663</v>
      </c>
      <c r="R1395" s="65" t="s">
        <v>3961</v>
      </c>
      <c r="S1395" s="71">
        <v>1466014</v>
      </c>
      <c r="T1395" s="65" t="b">
        <f>TRUE()</f>
        <v>1</v>
      </c>
      <c r="U1395" s="65" t="b">
        <f>FALSE()</f>
        <v>0</v>
      </c>
      <c r="V1395" s="65">
        <v>370</v>
      </c>
      <c r="W1395" s="67" t="s">
        <v>5085</v>
      </c>
      <c r="X1395" s="65">
        <v>5</v>
      </c>
      <c r="Y1395" s="68">
        <v>8.75</v>
      </c>
      <c r="Z1395" s="65" t="b">
        <f>FALSE()</f>
        <v>0</v>
      </c>
      <c r="AA1395" s="65" t="b">
        <f>FALSE()</f>
        <v>0</v>
      </c>
      <c r="AB1395" s="65" t="b">
        <f>FALSE()</f>
        <v>0</v>
      </c>
      <c r="AC1395" s="65" t="b">
        <f>FALSE()</f>
        <v>0</v>
      </c>
      <c r="AD1395" s="65" t="b">
        <f>FALSE()</f>
        <v>0</v>
      </c>
      <c r="AE1395" s="65">
        <v>0</v>
      </c>
      <c r="AF1395" s="69">
        <v>0</v>
      </c>
      <c r="AG1395" s="65" t="s">
        <v>74</v>
      </c>
      <c r="AH1395" s="65" t="s">
        <v>5086</v>
      </c>
      <c r="AI1395">
        <f>IF(AND(OR(Company_Explorer!$B$5="All Companies",$E1395=Company_Explorer!$B$5),OR(Company_Explorer!$B$6="All Platforms",$B1395=Company_Explorer!$B$6),OR(Company_Explorer!$B$7="All Roles",$D1395=Company_Explorer!$B$7),OR(Company_Explorer!$B$8="All Ghost Labels",$AG1395=Company_Explorer!$B$8)),1,0)</f>
        <v>0</v>
      </c>
    </row>
    <row r="1396" spans="1:35" ht="15" customHeight="1" x14ac:dyDescent="0.3">
      <c r="A1396" s="60" t="s">
        <v>5087</v>
      </c>
      <c r="B1396" s="60" t="s">
        <v>81</v>
      </c>
      <c r="C1396" s="60" t="s">
        <v>5088</v>
      </c>
      <c r="D1396" s="60" t="s">
        <v>131</v>
      </c>
      <c r="E1396" s="60" t="s">
        <v>5089</v>
      </c>
      <c r="F1396" s="60" t="b">
        <f>TRUE()</f>
        <v>1</v>
      </c>
      <c r="G1396" s="60" t="s">
        <v>165</v>
      </c>
      <c r="H1396" s="60" t="s">
        <v>5090</v>
      </c>
      <c r="I1396" s="61">
        <v>46210.238771527802</v>
      </c>
      <c r="J1396" s="61">
        <v>46210.283030231498</v>
      </c>
      <c r="K1396" s="60">
        <v>0</v>
      </c>
      <c r="L1396" s="60" t="s">
        <v>183</v>
      </c>
      <c r="M1396" s="60" t="s">
        <v>183</v>
      </c>
      <c r="N1396" s="60" t="b">
        <f>TRUE()</f>
        <v>1</v>
      </c>
      <c r="O1396" s="70">
        <v>1600000</v>
      </c>
      <c r="P1396" s="70">
        <v>2000000</v>
      </c>
      <c r="Q1396" s="60" t="s">
        <v>3663</v>
      </c>
      <c r="R1396" s="60" t="s">
        <v>3961</v>
      </c>
      <c r="S1396" s="70">
        <v>1800000</v>
      </c>
      <c r="T1396" s="60" t="b">
        <f>TRUE()</f>
        <v>1</v>
      </c>
      <c r="U1396" s="60" t="b">
        <f>FALSE()</f>
        <v>0</v>
      </c>
      <c r="V1396" s="60">
        <v>335</v>
      </c>
      <c r="W1396" s="62" t="s">
        <v>5091</v>
      </c>
      <c r="X1396" s="60">
        <v>1</v>
      </c>
      <c r="Y1396" s="63">
        <v>1.75</v>
      </c>
      <c r="Z1396" s="60" t="b">
        <f>FALSE()</f>
        <v>0</v>
      </c>
      <c r="AA1396" s="60" t="b">
        <f>FALSE()</f>
        <v>0</v>
      </c>
      <c r="AB1396" s="60" t="b">
        <f>FALSE()</f>
        <v>0</v>
      </c>
      <c r="AC1396" s="60" t="b">
        <f>FALSE()</f>
        <v>0</v>
      </c>
      <c r="AD1396" s="60" t="b">
        <f>FALSE()</f>
        <v>0</v>
      </c>
      <c r="AE1396" s="60">
        <v>0</v>
      </c>
      <c r="AF1396" s="64">
        <v>0</v>
      </c>
      <c r="AG1396" s="60" t="s">
        <v>74</v>
      </c>
      <c r="AH1396" s="60" t="s">
        <v>5092</v>
      </c>
      <c r="AI1396">
        <f>IF(AND(OR(Company_Explorer!$B$5="All Companies",$E1396=Company_Explorer!$B$5),OR(Company_Explorer!$B$6="All Platforms",$B1396=Company_Explorer!$B$6),OR(Company_Explorer!$B$7="All Roles",$D1396=Company_Explorer!$B$7),OR(Company_Explorer!$B$8="All Ghost Labels",$AG1396=Company_Explorer!$B$8)),1,0)</f>
        <v>0</v>
      </c>
    </row>
    <row r="1397" spans="1:35" ht="15" customHeight="1" x14ac:dyDescent="0.3">
      <c r="A1397" s="65" t="s">
        <v>5093</v>
      </c>
      <c r="B1397" s="65" t="s">
        <v>81</v>
      </c>
      <c r="C1397" s="65" t="s">
        <v>5094</v>
      </c>
      <c r="D1397" s="65" t="s">
        <v>135</v>
      </c>
      <c r="E1397" s="65" t="s">
        <v>4565</v>
      </c>
      <c r="F1397" s="65" t="b">
        <f>TRUE()</f>
        <v>1</v>
      </c>
      <c r="G1397" s="65" t="s">
        <v>165</v>
      </c>
      <c r="H1397" s="65" t="s">
        <v>3672</v>
      </c>
      <c r="I1397" s="66">
        <v>46210.212065821797</v>
      </c>
      <c r="J1397" s="66">
        <v>46210.283032500003</v>
      </c>
      <c r="K1397" s="65">
        <v>0.1</v>
      </c>
      <c r="L1397" s="65" t="s">
        <v>183</v>
      </c>
      <c r="M1397" s="65" t="s">
        <v>183</v>
      </c>
      <c r="N1397" s="65" t="b">
        <f>TRUE()</f>
        <v>1</v>
      </c>
      <c r="O1397" s="71">
        <v>700000</v>
      </c>
      <c r="P1397" s="71">
        <v>1000000</v>
      </c>
      <c r="Q1397" s="65" t="s">
        <v>3663</v>
      </c>
      <c r="R1397" s="65" t="s">
        <v>3961</v>
      </c>
      <c r="S1397" s="71">
        <v>850000</v>
      </c>
      <c r="T1397" s="65" t="b">
        <f>TRUE()</f>
        <v>1</v>
      </c>
      <c r="U1397" s="65" t="b">
        <f>FALSE()</f>
        <v>0</v>
      </c>
      <c r="V1397" s="65">
        <v>346</v>
      </c>
      <c r="W1397" s="67" t="s">
        <v>5095</v>
      </c>
      <c r="X1397" s="65">
        <v>2</v>
      </c>
      <c r="Y1397" s="68">
        <v>3.5</v>
      </c>
      <c r="Z1397" s="65" t="b">
        <f>FALSE()</f>
        <v>0</v>
      </c>
      <c r="AA1397" s="65" t="b">
        <f>FALSE()</f>
        <v>0</v>
      </c>
      <c r="AB1397" s="65" t="b">
        <f>FALSE()</f>
        <v>0</v>
      </c>
      <c r="AC1397" s="65" t="b">
        <f>FALSE()</f>
        <v>0</v>
      </c>
      <c r="AD1397" s="65" t="b">
        <f>FALSE()</f>
        <v>0</v>
      </c>
      <c r="AE1397" s="65">
        <v>0</v>
      </c>
      <c r="AF1397" s="69">
        <v>0</v>
      </c>
      <c r="AG1397" s="65" t="s">
        <v>74</v>
      </c>
      <c r="AH1397" s="65" t="s">
        <v>5096</v>
      </c>
      <c r="AI1397">
        <f>IF(AND(OR(Company_Explorer!$B$5="All Companies",$E1397=Company_Explorer!$B$5),OR(Company_Explorer!$B$6="All Platforms",$B1397=Company_Explorer!$B$6),OR(Company_Explorer!$B$7="All Roles",$D1397=Company_Explorer!$B$7),OR(Company_Explorer!$B$8="All Ghost Labels",$AG1397=Company_Explorer!$B$8)),1,0)</f>
        <v>0</v>
      </c>
    </row>
    <row r="1398" spans="1:35" ht="15" customHeight="1" x14ac:dyDescent="0.3">
      <c r="A1398" s="60" t="s">
        <v>5097</v>
      </c>
      <c r="B1398" s="60" t="s">
        <v>81</v>
      </c>
      <c r="C1398" s="60" t="s">
        <v>5098</v>
      </c>
      <c r="D1398" s="60" t="s">
        <v>126</v>
      </c>
      <c r="E1398" s="60" t="s">
        <v>5058</v>
      </c>
      <c r="F1398" s="60" t="b">
        <f>TRUE()</f>
        <v>1</v>
      </c>
      <c r="G1398" s="60" t="s">
        <v>165</v>
      </c>
      <c r="H1398" s="60" t="s">
        <v>3672</v>
      </c>
      <c r="I1398" s="61">
        <v>46209.8998629282</v>
      </c>
      <c r="J1398" s="61">
        <v>46210.283033599502</v>
      </c>
      <c r="K1398" s="60">
        <v>0.4</v>
      </c>
      <c r="L1398" s="60" t="s">
        <v>183</v>
      </c>
      <c r="M1398" s="60" t="s">
        <v>183</v>
      </c>
      <c r="N1398" s="60" t="b">
        <f>FALSE()</f>
        <v>0</v>
      </c>
      <c r="O1398" s="60"/>
      <c r="P1398" s="60"/>
      <c r="Q1398" s="60" t="s">
        <v>236</v>
      </c>
      <c r="R1398" s="60" t="s">
        <v>236</v>
      </c>
      <c r="S1398" s="60"/>
      <c r="T1398" s="60" t="b">
        <f>FALSE()</f>
        <v>0</v>
      </c>
      <c r="U1398" s="60" t="b">
        <f>FALSE()</f>
        <v>0</v>
      </c>
      <c r="V1398" s="60">
        <v>225</v>
      </c>
      <c r="W1398" s="62" t="s">
        <v>5099</v>
      </c>
      <c r="X1398" s="60">
        <v>12</v>
      </c>
      <c r="Y1398" s="63">
        <v>21</v>
      </c>
      <c r="Z1398" s="60" t="b">
        <f>FALSE()</f>
        <v>0</v>
      </c>
      <c r="AA1398" s="60" t="b">
        <f>TRUE()</f>
        <v>1</v>
      </c>
      <c r="AB1398" s="60" t="b">
        <f>TRUE()</f>
        <v>1</v>
      </c>
      <c r="AC1398" s="60" t="b">
        <f>FALSE()</f>
        <v>0</v>
      </c>
      <c r="AD1398" s="60" t="b">
        <f>FALSE()</f>
        <v>0</v>
      </c>
      <c r="AE1398" s="60">
        <v>2</v>
      </c>
      <c r="AF1398" s="64">
        <v>28.6</v>
      </c>
      <c r="AG1398" s="60" t="s">
        <v>73</v>
      </c>
      <c r="AH1398" s="60" t="s">
        <v>5100</v>
      </c>
      <c r="AI1398">
        <f>IF(AND(OR(Company_Explorer!$B$5="All Companies",$E1398=Company_Explorer!$B$5),OR(Company_Explorer!$B$6="All Platforms",$B1398=Company_Explorer!$B$6),OR(Company_Explorer!$B$7="All Roles",$D1398=Company_Explorer!$B$7),OR(Company_Explorer!$B$8="All Ghost Labels",$AG1398=Company_Explorer!$B$8)),1,0)</f>
        <v>0</v>
      </c>
    </row>
    <row r="1399" spans="1:35" ht="15" customHeight="1" x14ac:dyDescent="0.3">
      <c r="A1399" s="65" t="s">
        <v>5101</v>
      </c>
      <c r="B1399" s="65" t="s">
        <v>81</v>
      </c>
      <c r="C1399" s="65" t="s">
        <v>5102</v>
      </c>
      <c r="D1399" s="65" t="s">
        <v>125</v>
      </c>
      <c r="E1399" s="65" t="s">
        <v>156</v>
      </c>
      <c r="F1399" s="65" t="b">
        <f>TRUE()</f>
        <v>1</v>
      </c>
      <c r="G1399" s="65" t="s">
        <v>165</v>
      </c>
      <c r="H1399" s="65" t="s">
        <v>3620</v>
      </c>
      <c r="I1399" s="66">
        <v>46209.898586411997</v>
      </c>
      <c r="J1399" s="66">
        <v>46210.283033622698</v>
      </c>
      <c r="K1399" s="65">
        <v>0.4</v>
      </c>
      <c r="L1399" s="65" t="s">
        <v>183</v>
      </c>
      <c r="M1399" s="65" t="s">
        <v>183</v>
      </c>
      <c r="N1399" s="65" t="b">
        <f>FALSE()</f>
        <v>0</v>
      </c>
      <c r="O1399" s="65"/>
      <c r="P1399" s="65"/>
      <c r="Q1399" s="65" t="s">
        <v>236</v>
      </c>
      <c r="R1399" s="65" t="s">
        <v>236</v>
      </c>
      <c r="S1399" s="65"/>
      <c r="T1399" s="65" t="b">
        <f>FALSE()</f>
        <v>0</v>
      </c>
      <c r="U1399" s="65" t="b">
        <f>FALSE()</f>
        <v>0</v>
      </c>
      <c r="V1399" s="65">
        <v>492</v>
      </c>
      <c r="W1399" s="67" t="s">
        <v>5103</v>
      </c>
      <c r="X1399" s="65">
        <v>14</v>
      </c>
      <c r="Y1399" s="68">
        <v>24.5</v>
      </c>
      <c r="Z1399" s="65" t="b">
        <f>FALSE()</f>
        <v>0</v>
      </c>
      <c r="AA1399" s="65" t="b">
        <f>TRUE()</f>
        <v>1</v>
      </c>
      <c r="AB1399" s="65" t="b">
        <f>FALSE()</f>
        <v>0</v>
      </c>
      <c r="AC1399" s="65" t="b">
        <f>FALSE()</f>
        <v>0</v>
      </c>
      <c r="AD1399" s="65" t="b">
        <f>FALSE()</f>
        <v>0</v>
      </c>
      <c r="AE1399" s="65">
        <v>1</v>
      </c>
      <c r="AF1399" s="69">
        <v>14.3</v>
      </c>
      <c r="AG1399" s="65" t="s">
        <v>74</v>
      </c>
      <c r="AH1399" s="65" t="s">
        <v>5104</v>
      </c>
      <c r="AI1399">
        <f>IF(AND(OR(Company_Explorer!$B$5="All Companies",$E1399=Company_Explorer!$B$5),OR(Company_Explorer!$B$6="All Platforms",$B1399=Company_Explorer!$B$6),OR(Company_Explorer!$B$7="All Roles",$D1399=Company_Explorer!$B$7),OR(Company_Explorer!$B$8="All Ghost Labels",$AG1399=Company_Explorer!$B$8)),1,0)</f>
        <v>0</v>
      </c>
    </row>
    <row r="1400" spans="1:35" ht="15" customHeight="1" x14ac:dyDescent="0.3">
      <c r="A1400" s="60" t="s">
        <v>5105</v>
      </c>
      <c r="B1400" s="60" t="s">
        <v>81</v>
      </c>
      <c r="C1400" s="60" t="s">
        <v>5106</v>
      </c>
      <c r="D1400" s="60" t="s">
        <v>125</v>
      </c>
      <c r="E1400" s="60" t="s">
        <v>5107</v>
      </c>
      <c r="F1400" s="60" t="b">
        <f>TRUE()</f>
        <v>1</v>
      </c>
      <c r="G1400" s="60" t="s">
        <v>165</v>
      </c>
      <c r="H1400" s="60" t="s">
        <v>3620</v>
      </c>
      <c r="I1400" s="61">
        <v>46209.880993518498</v>
      </c>
      <c r="J1400" s="61">
        <v>46210.283033703701</v>
      </c>
      <c r="K1400" s="60">
        <v>0.4</v>
      </c>
      <c r="L1400" s="60" t="s">
        <v>183</v>
      </c>
      <c r="M1400" s="60" t="s">
        <v>183</v>
      </c>
      <c r="N1400" s="60" t="b">
        <f>FALSE()</f>
        <v>0</v>
      </c>
      <c r="O1400" s="60"/>
      <c r="P1400" s="60"/>
      <c r="Q1400" s="60" t="s">
        <v>236</v>
      </c>
      <c r="R1400" s="60" t="s">
        <v>236</v>
      </c>
      <c r="S1400" s="60"/>
      <c r="T1400" s="60" t="b">
        <f>FALSE()</f>
        <v>0</v>
      </c>
      <c r="U1400" s="60" t="b">
        <f>FALSE()</f>
        <v>0</v>
      </c>
      <c r="V1400" s="60">
        <v>1059</v>
      </c>
      <c r="W1400" s="62" t="s">
        <v>5108</v>
      </c>
      <c r="X1400" s="60">
        <v>2</v>
      </c>
      <c r="Y1400" s="63">
        <v>3.5</v>
      </c>
      <c r="Z1400" s="60" t="b">
        <f>FALSE()</f>
        <v>0</v>
      </c>
      <c r="AA1400" s="60" t="b">
        <f>TRUE()</f>
        <v>1</v>
      </c>
      <c r="AB1400" s="60" t="b">
        <f>FALSE()</f>
        <v>0</v>
      </c>
      <c r="AC1400" s="60" t="b">
        <f>FALSE()</f>
        <v>0</v>
      </c>
      <c r="AD1400" s="60" t="b">
        <f>FALSE()</f>
        <v>0</v>
      </c>
      <c r="AE1400" s="60">
        <v>1</v>
      </c>
      <c r="AF1400" s="64">
        <v>14.3</v>
      </c>
      <c r="AG1400" s="60" t="s">
        <v>74</v>
      </c>
      <c r="AH1400" s="60" t="s">
        <v>5109</v>
      </c>
      <c r="AI1400">
        <f>IF(AND(OR(Company_Explorer!$B$5="All Companies",$E1400=Company_Explorer!$B$5),OR(Company_Explorer!$B$6="All Platforms",$B1400=Company_Explorer!$B$6),OR(Company_Explorer!$B$7="All Roles",$D1400=Company_Explorer!$B$7),OR(Company_Explorer!$B$8="All Ghost Labels",$AG1400=Company_Explorer!$B$8)),1,0)</f>
        <v>0</v>
      </c>
    </row>
    <row r="1401" spans="1:35" ht="15" customHeight="1" x14ac:dyDescent="0.3">
      <c r="A1401" s="65" t="s">
        <v>5110</v>
      </c>
      <c r="B1401" s="65" t="s">
        <v>81</v>
      </c>
      <c r="C1401" s="65" t="s">
        <v>5111</v>
      </c>
      <c r="D1401" s="65" t="s">
        <v>126</v>
      </c>
      <c r="E1401" s="65" t="s">
        <v>5058</v>
      </c>
      <c r="F1401" s="65" t="b">
        <f>TRUE()</f>
        <v>1</v>
      </c>
      <c r="G1401" s="65" t="s">
        <v>165</v>
      </c>
      <c r="H1401" s="65" t="s">
        <v>3620</v>
      </c>
      <c r="I1401" s="66">
        <v>46210.1502251852</v>
      </c>
      <c r="J1401" s="66">
        <v>46210.283034664397</v>
      </c>
      <c r="K1401" s="65">
        <v>0.1</v>
      </c>
      <c r="L1401" s="65" t="s">
        <v>183</v>
      </c>
      <c r="M1401" s="65" t="s">
        <v>183</v>
      </c>
      <c r="N1401" s="65" t="b">
        <f>FALSE()</f>
        <v>0</v>
      </c>
      <c r="O1401" s="65"/>
      <c r="P1401" s="65"/>
      <c r="Q1401" s="65" t="s">
        <v>236</v>
      </c>
      <c r="R1401" s="65" t="s">
        <v>236</v>
      </c>
      <c r="S1401" s="65"/>
      <c r="T1401" s="65" t="b">
        <f>FALSE()</f>
        <v>0</v>
      </c>
      <c r="U1401" s="65" t="b">
        <f>FALSE()</f>
        <v>0</v>
      </c>
      <c r="V1401" s="65">
        <v>163</v>
      </c>
      <c r="W1401" s="67" t="s">
        <v>5112</v>
      </c>
      <c r="X1401" s="65">
        <v>12</v>
      </c>
      <c r="Y1401" s="68">
        <v>21</v>
      </c>
      <c r="Z1401" s="65" t="b">
        <f>FALSE()</f>
        <v>0</v>
      </c>
      <c r="AA1401" s="65" t="b">
        <f>TRUE()</f>
        <v>1</v>
      </c>
      <c r="AB1401" s="65" t="b">
        <f>TRUE()</f>
        <v>1</v>
      </c>
      <c r="AC1401" s="65" t="b">
        <f>FALSE()</f>
        <v>0</v>
      </c>
      <c r="AD1401" s="65" t="b">
        <f>FALSE()</f>
        <v>0</v>
      </c>
      <c r="AE1401" s="65">
        <v>2</v>
      </c>
      <c r="AF1401" s="69">
        <v>28.6</v>
      </c>
      <c r="AG1401" s="65" t="s">
        <v>73</v>
      </c>
      <c r="AH1401" s="65" t="s">
        <v>5113</v>
      </c>
      <c r="AI1401">
        <f>IF(AND(OR(Company_Explorer!$B$5="All Companies",$E1401=Company_Explorer!$B$5),OR(Company_Explorer!$B$6="All Platforms",$B1401=Company_Explorer!$B$6),OR(Company_Explorer!$B$7="All Roles",$D1401=Company_Explorer!$B$7),OR(Company_Explorer!$B$8="All Ghost Labels",$AG1401=Company_Explorer!$B$8)),1,0)</f>
        <v>0</v>
      </c>
    </row>
    <row r="1402" spans="1:35" ht="15" customHeight="1" x14ac:dyDescent="0.3">
      <c r="A1402" s="60" t="s">
        <v>5114</v>
      </c>
      <c r="B1402" s="60" t="s">
        <v>81</v>
      </c>
      <c r="C1402" s="60" t="s">
        <v>5115</v>
      </c>
      <c r="D1402" s="60" t="s">
        <v>125</v>
      </c>
      <c r="E1402" s="60" t="s">
        <v>5116</v>
      </c>
      <c r="F1402" s="60" t="b">
        <f>TRUE()</f>
        <v>1</v>
      </c>
      <c r="G1402" s="60" t="s">
        <v>165</v>
      </c>
      <c r="H1402" s="60" t="s">
        <v>3620</v>
      </c>
      <c r="I1402" s="61">
        <v>46209.875342500003</v>
      </c>
      <c r="J1402" s="61">
        <v>46210.283035821798</v>
      </c>
      <c r="K1402" s="60">
        <v>0.4</v>
      </c>
      <c r="L1402" s="60" t="s">
        <v>183</v>
      </c>
      <c r="M1402" s="60" t="s">
        <v>183</v>
      </c>
      <c r="N1402" s="60" t="b">
        <f>FALSE()</f>
        <v>0</v>
      </c>
      <c r="O1402" s="60"/>
      <c r="P1402" s="60"/>
      <c r="Q1402" s="60" t="s">
        <v>236</v>
      </c>
      <c r="R1402" s="60" t="s">
        <v>236</v>
      </c>
      <c r="S1402" s="60"/>
      <c r="T1402" s="60" t="b">
        <f>FALSE()</f>
        <v>0</v>
      </c>
      <c r="U1402" s="60" t="b">
        <f>FALSE()</f>
        <v>0</v>
      </c>
      <c r="V1402" s="60">
        <v>830</v>
      </c>
      <c r="W1402" s="62" t="s">
        <v>5117</v>
      </c>
      <c r="X1402" s="60">
        <v>1</v>
      </c>
      <c r="Y1402" s="63">
        <v>1.75</v>
      </c>
      <c r="Z1402" s="60" t="b">
        <f>FALSE()</f>
        <v>0</v>
      </c>
      <c r="AA1402" s="60" t="b">
        <f>TRUE()</f>
        <v>1</v>
      </c>
      <c r="AB1402" s="60" t="b">
        <f>FALSE()</f>
        <v>0</v>
      </c>
      <c r="AC1402" s="60" t="b">
        <f>FALSE()</f>
        <v>0</v>
      </c>
      <c r="AD1402" s="60" t="b">
        <f>FALSE()</f>
        <v>0</v>
      </c>
      <c r="AE1402" s="60">
        <v>1</v>
      </c>
      <c r="AF1402" s="64">
        <v>14.3</v>
      </c>
      <c r="AG1402" s="60" t="s">
        <v>74</v>
      </c>
      <c r="AH1402" s="60" t="s">
        <v>5118</v>
      </c>
      <c r="AI1402">
        <f>IF(AND(OR(Company_Explorer!$B$5="All Companies",$E1402=Company_Explorer!$B$5),OR(Company_Explorer!$B$6="All Platforms",$B1402=Company_Explorer!$B$6),OR(Company_Explorer!$B$7="All Roles",$D1402=Company_Explorer!$B$7),OR(Company_Explorer!$B$8="All Ghost Labels",$AG1402=Company_Explorer!$B$8)),1,0)</f>
        <v>0</v>
      </c>
    </row>
    <row r="1403" spans="1:35" ht="15" customHeight="1" x14ac:dyDescent="0.3">
      <c r="A1403" s="65" t="s">
        <v>5119</v>
      </c>
      <c r="B1403" s="65" t="s">
        <v>81</v>
      </c>
      <c r="C1403" s="65" t="s">
        <v>5120</v>
      </c>
      <c r="D1403" s="65" t="s">
        <v>126</v>
      </c>
      <c r="E1403" s="65" t="s">
        <v>5058</v>
      </c>
      <c r="F1403" s="65" t="b">
        <f>TRUE()</f>
        <v>1</v>
      </c>
      <c r="G1403" s="65" t="s">
        <v>165</v>
      </c>
      <c r="H1403" s="65" t="s">
        <v>3620</v>
      </c>
      <c r="I1403" s="66">
        <v>46210.150240960698</v>
      </c>
      <c r="J1403" s="66">
        <v>46210.283035949098</v>
      </c>
      <c r="K1403" s="65">
        <v>0.1</v>
      </c>
      <c r="L1403" s="65" t="s">
        <v>183</v>
      </c>
      <c r="M1403" s="65" t="s">
        <v>183</v>
      </c>
      <c r="N1403" s="65" t="b">
        <f>FALSE()</f>
        <v>0</v>
      </c>
      <c r="O1403" s="65"/>
      <c r="P1403" s="65"/>
      <c r="Q1403" s="65" t="s">
        <v>236</v>
      </c>
      <c r="R1403" s="65" t="s">
        <v>236</v>
      </c>
      <c r="S1403" s="65"/>
      <c r="T1403" s="65" t="b">
        <f>FALSE()</f>
        <v>0</v>
      </c>
      <c r="U1403" s="65" t="b">
        <f>FALSE()</f>
        <v>0</v>
      </c>
      <c r="V1403" s="65">
        <v>263</v>
      </c>
      <c r="W1403" s="67" t="s">
        <v>5121</v>
      </c>
      <c r="X1403" s="65">
        <v>12</v>
      </c>
      <c r="Y1403" s="68">
        <v>21</v>
      </c>
      <c r="Z1403" s="65" t="b">
        <f>FALSE()</f>
        <v>0</v>
      </c>
      <c r="AA1403" s="65" t="b">
        <f>TRUE()</f>
        <v>1</v>
      </c>
      <c r="AB1403" s="65" t="b">
        <f>TRUE()</f>
        <v>1</v>
      </c>
      <c r="AC1403" s="65" t="b">
        <f>FALSE()</f>
        <v>0</v>
      </c>
      <c r="AD1403" s="65" t="b">
        <f>FALSE()</f>
        <v>0</v>
      </c>
      <c r="AE1403" s="65">
        <v>2</v>
      </c>
      <c r="AF1403" s="69">
        <v>28.6</v>
      </c>
      <c r="AG1403" s="65" t="s">
        <v>73</v>
      </c>
      <c r="AH1403" s="65" t="s">
        <v>5122</v>
      </c>
      <c r="AI1403">
        <f>IF(AND(OR(Company_Explorer!$B$5="All Companies",$E1403=Company_Explorer!$B$5),OR(Company_Explorer!$B$6="All Platforms",$B1403=Company_Explorer!$B$6),OR(Company_Explorer!$B$7="All Roles",$D1403=Company_Explorer!$B$7),OR(Company_Explorer!$B$8="All Ghost Labels",$AG1403=Company_Explorer!$B$8)),1,0)</f>
        <v>0</v>
      </c>
    </row>
    <row r="1404" spans="1:35" ht="15" customHeight="1" x14ac:dyDescent="0.3">
      <c r="A1404" s="60" t="s">
        <v>5123</v>
      </c>
      <c r="B1404" s="60" t="s">
        <v>81</v>
      </c>
      <c r="C1404" s="60" t="s">
        <v>5124</v>
      </c>
      <c r="D1404" s="60" t="s">
        <v>125</v>
      </c>
      <c r="E1404" s="60" t="s">
        <v>3461</v>
      </c>
      <c r="F1404" s="60" t="b">
        <f>TRUE()</f>
        <v>1</v>
      </c>
      <c r="G1404" s="60" t="s">
        <v>165</v>
      </c>
      <c r="H1404" s="60" t="s">
        <v>3672</v>
      </c>
      <c r="I1404" s="61">
        <v>46210.119159340298</v>
      </c>
      <c r="J1404" s="61">
        <v>46210.283035914399</v>
      </c>
      <c r="K1404" s="60">
        <v>0.2</v>
      </c>
      <c r="L1404" s="60" t="s">
        <v>183</v>
      </c>
      <c r="M1404" s="60" t="s">
        <v>183</v>
      </c>
      <c r="N1404" s="60" t="b">
        <f>FALSE()</f>
        <v>0</v>
      </c>
      <c r="O1404" s="60"/>
      <c r="P1404" s="60"/>
      <c r="Q1404" s="60" t="s">
        <v>236</v>
      </c>
      <c r="R1404" s="60" t="s">
        <v>236</v>
      </c>
      <c r="S1404" s="60"/>
      <c r="T1404" s="60" t="b">
        <f>FALSE()</f>
        <v>0</v>
      </c>
      <c r="U1404" s="60" t="b">
        <f>FALSE()</f>
        <v>0</v>
      </c>
      <c r="V1404" s="60">
        <v>20</v>
      </c>
      <c r="W1404" s="62" t="s">
        <v>5125</v>
      </c>
      <c r="X1404" s="60">
        <v>2</v>
      </c>
      <c r="Y1404" s="63">
        <v>3.5</v>
      </c>
      <c r="Z1404" s="60" t="b">
        <f>FALSE()</f>
        <v>0</v>
      </c>
      <c r="AA1404" s="60" t="b">
        <f>TRUE()</f>
        <v>1</v>
      </c>
      <c r="AB1404" s="60" t="b">
        <f>TRUE()</f>
        <v>1</v>
      </c>
      <c r="AC1404" s="60" t="b">
        <f>FALSE()</f>
        <v>0</v>
      </c>
      <c r="AD1404" s="60" t="b">
        <f>FALSE()</f>
        <v>0</v>
      </c>
      <c r="AE1404" s="60">
        <v>2</v>
      </c>
      <c r="AF1404" s="64">
        <v>28.6</v>
      </c>
      <c r="AG1404" s="60" t="s">
        <v>73</v>
      </c>
      <c r="AH1404" s="60" t="s">
        <v>5126</v>
      </c>
      <c r="AI1404">
        <f>IF(AND(OR(Company_Explorer!$B$5="All Companies",$E1404=Company_Explorer!$B$5),OR(Company_Explorer!$B$6="All Platforms",$B1404=Company_Explorer!$B$6),OR(Company_Explorer!$B$7="All Roles",$D1404=Company_Explorer!$B$7),OR(Company_Explorer!$B$8="All Ghost Labels",$AG1404=Company_Explorer!$B$8)),1,0)</f>
        <v>0</v>
      </c>
    </row>
    <row r="1405" spans="1:35" ht="15" customHeight="1" x14ac:dyDescent="0.3">
      <c r="A1405" s="65" t="s">
        <v>5127</v>
      </c>
      <c r="B1405" s="65" t="s">
        <v>81</v>
      </c>
      <c r="C1405" s="65" t="s">
        <v>5128</v>
      </c>
      <c r="D1405" s="65" t="s">
        <v>125</v>
      </c>
      <c r="E1405" s="65" t="s">
        <v>149</v>
      </c>
      <c r="F1405" s="65" t="b">
        <f>TRUE()</f>
        <v>1</v>
      </c>
      <c r="G1405" s="65" t="s">
        <v>165</v>
      </c>
      <c r="H1405" s="65" t="s">
        <v>3655</v>
      </c>
      <c r="I1405" s="66">
        <v>46209.874848333297</v>
      </c>
      <c r="J1405" s="66">
        <v>46210.283037060202</v>
      </c>
      <c r="K1405" s="65">
        <v>0.4</v>
      </c>
      <c r="L1405" s="65" t="s">
        <v>183</v>
      </c>
      <c r="M1405" s="65" t="s">
        <v>183</v>
      </c>
      <c r="N1405" s="65" t="b">
        <f>FALSE()</f>
        <v>0</v>
      </c>
      <c r="O1405" s="65"/>
      <c r="P1405" s="65"/>
      <c r="Q1405" s="65" t="s">
        <v>236</v>
      </c>
      <c r="R1405" s="65" t="s">
        <v>236</v>
      </c>
      <c r="S1405" s="65"/>
      <c r="T1405" s="65" t="b">
        <f>FALSE()</f>
        <v>0</v>
      </c>
      <c r="U1405" s="65" t="b">
        <f>FALSE()</f>
        <v>0</v>
      </c>
      <c r="V1405" s="65">
        <v>703</v>
      </c>
      <c r="W1405" s="67" t="s">
        <v>3698</v>
      </c>
      <c r="X1405" s="65">
        <v>16</v>
      </c>
      <c r="Y1405" s="68">
        <v>28</v>
      </c>
      <c r="Z1405" s="65" t="b">
        <f>FALSE()</f>
        <v>0</v>
      </c>
      <c r="AA1405" s="65" t="b">
        <f>TRUE()</f>
        <v>1</v>
      </c>
      <c r="AB1405" s="65" t="b">
        <f>FALSE()</f>
        <v>0</v>
      </c>
      <c r="AC1405" s="65" t="b">
        <f>FALSE()</f>
        <v>0</v>
      </c>
      <c r="AD1405" s="65" t="b">
        <f>FALSE()</f>
        <v>0</v>
      </c>
      <c r="AE1405" s="65">
        <v>1</v>
      </c>
      <c r="AF1405" s="69">
        <v>14.3</v>
      </c>
      <c r="AG1405" s="65" t="s">
        <v>74</v>
      </c>
      <c r="AH1405" s="65" t="s">
        <v>5129</v>
      </c>
      <c r="AI1405">
        <f>IF(AND(OR(Company_Explorer!$B$5="All Companies",$E1405=Company_Explorer!$B$5),OR(Company_Explorer!$B$6="All Platforms",$B1405=Company_Explorer!$B$6),OR(Company_Explorer!$B$7="All Roles",$D1405=Company_Explorer!$B$7),OR(Company_Explorer!$B$8="All Ghost Labels",$AG1405=Company_Explorer!$B$8)),1,0)</f>
        <v>0</v>
      </c>
    </row>
    <row r="1406" spans="1:35" ht="15" customHeight="1" x14ac:dyDescent="0.3">
      <c r="A1406" s="60" t="s">
        <v>5130</v>
      </c>
      <c r="B1406" s="60" t="s">
        <v>81</v>
      </c>
      <c r="C1406" s="60" t="s">
        <v>5131</v>
      </c>
      <c r="D1406" s="60" t="s">
        <v>125</v>
      </c>
      <c r="E1406" s="60" t="s">
        <v>149</v>
      </c>
      <c r="F1406" s="60" t="b">
        <f>TRUE()</f>
        <v>1</v>
      </c>
      <c r="G1406" s="60" t="s">
        <v>165</v>
      </c>
      <c r="H1406" s="60" t="s">
        <v>3672</v>
      </c>
      <c r="I1406" s="61">
        <v>46209.873247673597</v>
      </c>
      <c r="J1406" s="61">
        <v>46210.283037592599</v>
      </c>
      <c r="K1406" s="60">
        <v>0.4</v>
      </c>
      <c r="L1406" s="60" t="s">
        <v>183</v>
      </c>
      <c r="M1406" s="60" t="s">
        <v>183</v>
      </c>
      <c r="N1406" s="60" t="b">
        <f>FALSE()</f>
        <v>0</v>
      </c>
      <c r="O1406" s="60"/>
      <c r="P1406" s="60"/>
      <c r="Q1406" s="60" t="s">
        <v>236</v>
      </c>
      <c r="R1406" s="60" t="s">
        <v>236</v>
      </c>
      <c r="S1406" s="60"/>
      <c r="T1406" s="60" t="b">
        <f>FALSE()</f>
        <v>0</v>
      </c>
      <c r="U1406" s="60" t="b">
        <f>FALSE()</f>
        <v>0</v>
      </c>
      <c r="V1406" s="60">
        <v>474</v>
      </c>
      <c r="W1406" s="62" t="s">
        <v>3698</v>
      </c>
      <c r="X1406" s="60">
        <v>16</v>
      </c>
      <c r="Y1406" s="63">
        <v>28</v>
      </c>
      <c r="Z1406" s="60" t="b">
        <f>FALSE()</f>
        <v>0</v>
      </c>
      <c r="AA1406" s="60" t="b">
        <f>TRUE()</f>
        <v>1</v>
      </c>
      <c r="AB1406" s="60" t="b">
        <f>FALSE()</f>
        <v>0</v>
      </c>
      <c r="AC1406" s="60" t="b">
        <f>FALSE()</f>
        <v>0</v>
      </c>
      <c r="AD1406" s="60" t="b">
        <f>FALSE()</f>
        <v>0</v>
      </c>
      <c r="AE1406" s="60">
        <v>1</v>
      </c>
      <c r="AF1406" s="64">
        <v>14.3</v>
      </c>
      <c r="AG1406" s="60" t="s">
        <v>74</v>
      </c>
      <c r="AH1406" s="60" t="s">
        <v>5132</v>
      </c>
      <c r="AI1406">
        <f>IF(AND(OR(Company_Explorer!$B$5="All Companies",$E1406=Company_Explorer!$B$5),OR(Company_Explorer!$B$6="All Platforms",$B1406=Company_Explorer!$B$6),OR(Company_Explorer!$B$7="All Roles",$D1406=Company_Explorer!$B$7),OR(Company_Explorer!$B$8="All Ghost Labels",$AG1406=Company_Explorer!$B$8)),1,0)</f>
        <v>0</v>
      </c>
    </row>
    <row r="1407" spans="1:35" ht="15" customHeight="1" x14ac:dyDescent="0.3">
      <c r="A1407" s="65" t="s">
        <v>5133</v>
      </c>
      <c r="B1407" s="65" t="s">
        <v>81</v>
      </c>
      <c r="C1407" s="65" t="s">
        <v>5134</v>
      </c>
      <c r="D1407" s="65" t="s">
        <v>126</v>
      </c>
      <c r="E1407" s="65" t="s">
        <v>5135</v>
      </c>
      <c r="F1407" s="65" t="b">
        <f>TRUE()</f>
        <v>1</v>
      </c>
      <c r="G1407" s="65" t="s">
        <v>165</v>
      </c>
      <c r="H1407" s="65" t="s">
        <v>3620</v>
      </c>
      <c r="I1407" s="66">
        <v>46210.1062945718</v>
      </c>
      <c r="J1407" s="66">
        <v>46210.283038113397</v>
      </c>
      <c r="K1407" s="65">
        <v>0.2</v>
      </c>
      <c r="L1407" s="65" t="s">
        <v>183</v>
      </c>
      <c r="M1407" s="65" t="s">
        <v>183</v>
      </c>
      <c r="N1407" s="65" t="b">
        <f>FALSE()</f>
        <v>0</v>
      </c>
      <c r="O1407" s="65"/>
      <c r="P1407" s="65"/>
      <c r="Q1407" s="65" t="s">
        <v>236</v>
      </c>
      <c r="R1407" s="65" t="s">
        <v>236</v>
      </c>
      <c r="S1407" s="65"/>
      <c r="T1407" s="65" t="b">
        <f>FALSE()</f>
        <v>0</v>
      </c>
      <c r="U1407" s="65" t="b">
        <f>FALSE()</f>
        <v>0</v>
      </c>
      <c r="V1407" s="65">
        <v>92</v>
      </c>
      <c r="W1407" s="67" t="s">
        <v>5136</v>
      </c>
      <c r="X1407" s="65">
        <v>8</v>
      </c>
      <c r="Y1407" s="68">
        <v>14</v>
      </c>
      <c r="Z1407" s="65" t="b">
        <f>FALSE()</f>
        <v>0</v>
      </c>
      <c r="AA1407" s="65" t="b">
        <f>TRUE()</f>
        <v>1</v>
      </c>
      <c r="AB1407" s="65" t="b">
        <f>TRUE()</f>
        <v>1</v>
      </c>
      <c r="AC1407" s="65" t="b">
        <f>FALSE()</f>
        <v>0</v>
      </c>
      <c r="AD1407" s="65" t="b">
        <f>FALSE()</f>
        <v>0</v>
      </c>
      <c r="AE1407" s="65">
        <v>2</v>
      </c>
      <c r="AF1407" s="69">
        <v>28.6</v>
      </c>
      <c r="AG1407" s="65" t="s">
        <v>73</v>
      </c>
      <c r="AH1407" s="65" t="s">
        <v>5137</v>
      </c>
      <c r="AI1407">
        <f>IF(AND(OR(Company_Explorer!$B$5="All Companies",$E1407=Company_Explorer!$B$5),OR(Company_Explorer!$B$6="All Platforms",$B1407=Company_Explorer!$B$6),OR(Company_Explorer!$B$7="All Roles",$D1407=Company_Explorer!$B$7),OR(Company_Explorer!$B$8="All Ghost Labels",$AG1407=Company_Explorer!$B$8)),1,0)</f>
        <v>0</v>
      </c>
    </row>
    <row r="1408" spans="1:35" ht="15" customHeight="1" x14ac:dyDescent="0.3">
      <c r="A1408" s="60" t="s">
        <v>5138</v>
      </c>
      <c r="B1408" s="60" t="s">
        <v>81</v>
      </c>
      <c r="C1408" s="60" t="s">
        <v>5139</v>
      </c>
      <c r="D1408" s="60" t="s">
        <v>128</v>
      </c>
      <c r="E1408" s="60" t="s">
        <v>3914</v>
      </c>
      <c r="F1408" s="60" t="b">
        <f>TRUE()</f>
        <v>1</v>
      </c>
      <c r="G1408" s="60" t="s">
        <v>165</v>
      </c>
      <c r="H1408" s="60" t="s">
        <v>3672</v>
      </c>
      <c r="I1408" s="61">
        <v>46210.1046002199</v>
      </c>
      <c r="J1408" s="61">
        <v>46210.283039374997</v>
      </c>
      <c r="K1408" s="60">
        <v>0.2</v>
      </c>
      <c r="L1408" s="60" t="s">
        <v>183</v>
      </c>
      <c r="M1408" s="60" t="s">
        <v>183</v>
      </c>
      <c r="N1408" s="60" t="b">
        <f>FALSE()</f>
        <v>0</v>
      </c>
      <c r="O1408" s="60"/>
      <c r="P1408" s="60"/>
      <c r="Q1408" s="60" t="s">
        <v>236</v>
      </c>
      <c r="R1408" s="60" t="s">
        <v>236</v>
      </c>
      <c r="S1408" s="60"/>
      <c r="T1408" s="60" t="b">
        <f>FALSE()</f>
        <v>0</v>
      </c>
      <c r="U1408" s="60" t="b">
        <f>FALSE()</f>
        <v>0</v>
      </c>
      <c r="V1408" s="60">
        <v>422</v>
      </c>
      <c r="W1408" s="62" t="s">
        <v>5140</v>
      </c>
      <c r="X1408" s="60">
        <v>3</v>
      </c>
      <c r="Y1408" s="63">
        <v>5.25</v>
      </c>
      <c r="Z1408" s="60" t="b">
        <f>FALSE()</f>
        <v>0</v>
      </c>
      <c r="AA1408" s="60" t="b">
        <f>TRUE()</f>
        <v>1</v>
      </c>
      <c r="AB1408" s="60" t="b">
        <f>FALSE()</f>
        <v>0</v>
      </c>
      <c r="AC1408" s="60" t="b">
        <f>FALSE()</f>
        <v>0</v>
      </c>
      <c r="AD1408" s="60" t="b">
        <f>FALSE()</f>
        <v>0</v>
      </c>
      <c r="AE1408" s="60">
        <v>1</v>
      </c>
      <c r="AF1408" s="64">
        <v>14.3</v>
      </c>
      <c r="AG1408" s="60" t="s">
        <v>74</v>
      </c>
      <c r="AH1408" s="60" t="s">
        <v>5141</v>
      </c>
      <c r="AI1408">
        <f>IF(AND(OR(Company_Explorer!$B$5="All Companies",$E1408=Company_Explorer!$B$5),OR(Company_Explorer!$B$6="All Platforms",$B1408=Company_Explorer!$B$6),OR(Company_Explorer!$B$7="All Roles",$D1408=Company_Explorer!$B$7),OR(Company_Explorer!$B$8="All Ghost Labels",$AG1408=Company_Explorer!$B$8)),1,0)</f>
        <v>0</v>
      </c>
    </row>
    <row r="1409" spans="1:35" ht="15" customHeight="1" x14ac:dyDescent="0.3">
      <c r="A1409" s="65" t="s">
        <v>5142</v>
      </c>
      <c r="B1409" s="65" t="s">
        <v>81</v>
      </c>
      <c r="C1409" s="65" t="s">
        <v>5143</v>
      </c>
      <c r="D1409" s="65" t="s">
        <v>126</v>
      </c>
      <c r="E1409" s="65" t="s">
        <v>5058</v>
      </c>
      <c r="F1409" s="65" t="b">
        <f>TRUE()</f>
        <v>1</v>
      </c>
      <c r="G1409" s="65" t="s">
        <v>165</v>
      </c>
      <c r="H1409" s="65" t="s">
        <v>3678</v>
      </c>
      <c r="I1409" s="66">
        <v>46210.150243645803</v>
      </c>
      <c r="J1409" s="66">
        <v>46210.283039409704</v>
      </c>
      <c r="K1409" s="65">
        <v>0.1</v>
      </c>
      <c r="L1409" s="65" t="s">
        <v>183</v>
      </c>
      <c r="M1409" s="65" t="s">
        <v>183</v>
      </c>
      <c r="N1409" s="65" t="b">
        <f>FALSE()</f>
        <v>0</v>
      </c>
      <c r="O1409" s="65"/>
      <c r="P1409" s="65"/>
      <c r="Q1409" s="65" t="s">
        <v>236</v>
      </c>
      <c r="R1409" s="65" t="s">
        <v>236</v>
      </c>
      <c r="S1409" s="65"/>
      <c r="T1409" s="65" t="b">
        <f>FALSE()</f>
        <v>0</v>
      </c>
      <c r="U1409" s="65" t="b">
        <f>FALSE()</f>
        <v>0</v>
      </c>
      <c r="V1409" s="65">
        <v>672</v>
      </c>
      <c r="W1409" s="67" t="s">
        <v>5144</v>
      </c>
      <c r="X1409" s="65">
        <v>12</v>
      </c>
      <c r="Y1409" s="68">
        <v>21</v>
      </c>
      <c r="Z1409" s="65" t="b">
        <f>FALSE()</f>
        <v>0</v>
      </c>
      <c r="AA1409" s="65" t="b">
        <f>TRUE()</f>
        <v>1</v>
      </c>
      <c r="AB1409" s="65" t="b">
        <f>FALSE()</f>
        <v>0</v>
      </c>
      <c r="AC1409" s="65" t="b">
        <f>FALSE()</f>
        <v>0</v>
      </c>
      <c r="AD1409" s="65" t="b">
        <f>FALSE()</f>
        <v>0</v>
      </c>
      <c r="AE1409" s="65">
        <v>1</v>
      </c>
      <c r="AF1409" s="69">
        <v>14.3</v>
      </c>
      <c r="AG1409" s="65" t="s">
        <v>74</v>
      </c>
      <c r="AH1409" s="65" t="s">
        <v>5145</v>
      </c>
      <c r="AI1409">
        <f>IF(AND(OR(Company_Explorer!$B$5="All Companies",$E1409=Company_Explorer!$B$5),OR(Company_Explorer!$B$6="All Platforms",$B1409=Company_Explorer!$B$6),OR(Company_Explorer!$B$7="All Roles",$D1409=Company_Explorer!$B$7),OR(Company_Explorer!$B$8="All Ghost Labels",$AG1409=Company_Explorer!$B$8)),1,0)</f>
        <v>0</v>
      </c>
    </row>
    <row r="1410" spans="1:35" ht="15" customHeight="1" x14ac:dyDescent="0.3">
      <c r="A1410" s="60" t="s">
        <v>5146</v>
      </c>
      <c r="B1410" s="60" t="s">
        <v>81</v>
      </c>
      <c r="C1410" s="60" t="s">
        <v>5147</v>
      </c>
      <c r="D1410" s="60" t="s">
        <v>126</v>
      </c>
      <c r="E1410" s="60" t="s">
        <v>5058</v>
      </c>
      <c r="F1410" s="60" t="b">
        <f>TRUE()</f>
        <v>1</v>
      </c>
      <c r="G1410" s="60" t="s">
        <v>165</v>
      </c>
      <c r="H1410" s="60" t="s">
        <v>3702</v>
      </c>
      <c r="I1410" s="61">
        <v>46210.149968437501</v>
      </c>
      <c r="J1410" s="61">
        <v>46210.283039456001</v>
      </c>
      <c r="K1410" s="60">
        <v>0.1</v>
      </c>
      <c r="L1410" s="60" t="s">
        <v>183</v>
      </c>
      <c r="M1410" s="60" t="s">
        <v>183</v>
      </c>
      <c r="N1410" s="60" t="b">
        <f>FALSE()</f>
        <v>0</v>
      </c>
      <c r="O1410" s="60"/>
      <c r="P1410" s="60"/>
      <c r="Q1410" s="60" t="s">
        <v>236</v>
      </c>
      <c r="R1410" s="60" t="s">
        <v>236</v>
      </c>
      <c r="S1410" s="60"/>
      <c r="T1410" s="60" t="b">
        <f>FALSE()</f>
        <v>0</v>
      </c>
      <c r="U1410" s="60" t="b">
        <f>FALSE()</f>
        <v>0</v>
      </c>
      <c r="V1410" s="60">
        <v>297</v>
      </c>
      <c r="W1410" s="62" t="s">
        <v>5148</v>
      </c>
      <c r="X1410" s="60">
        <v>12</v>
      </c>
      <c r="Y1410" s="63">
        <v>21</v>
      </c>
      <c r="Z1410" s="60" t="b">
        <f>FALSE()</f>
        <v>0</v>
      </c>
      <c r="AA1410" s="60" t="b">
        <f>TRUE()</f>
        <v>1</v>
      </c>
      <c r="AB1410" s="60" t="b">
        <f>TRUE()</f>
        <v>1</v>
      </c>
      <c r="AC1410" s="60" t="b">
        <f>FALSE()</f>
        <v>0</v>
      </c>
      <c r="AD1410" s="60" t="b">
        <f>FALSE()</f>
        <v>0</v>
      </c>
      <c r="AE1410" s="60">
        <v>2</v>
      </c>
      <c r="AF1410" s="64">
        <v>28.6</v>
      </c>
      <c r="AG1410" s="60" t="s">
        <v>73</v>
      </c>
      <c r="AH1410" s="60" t="s">
        <v>5149</v>
      </c>
      <c r="AI1410">
        <f>IF(AND(OR(Company_Explorer!$B$5="All Companies",$E1410=Company_Explorer!$B$5),OR(Company_Explorer!$B$6="All Platforms",$B1410=Company_Explorer!$B$6),OR(Company_Explorer!$B$7="All Roles",$D1410=Company_Explorer!$B$7),OR(Company_Explorer!$B$8="All Ghost Labels",$AG1410=Company_Explorer!$B$8)),1,0)</f>
        <v>0</v>
      </c>
    </row>
    <row r="1411" spans="1:35" ht="15" customHeight="1" x14ac:dyDescent="0.3">
      <c r="A1411" s="65" t="s">
        <v>5150</v>
      </c>
      <c r="B1411" s="65" t="s">
        <v>81</v>
      </c>
      <c r="C1411" s="65" t="s">
        <v>5151</v>
      </c>
      <c r="D1411" s="65" t="s">
        <v>126</v>
      </c>
      <c r="E1411" s="65" t="s">
        <v>5058</v>
      </c>
      <c r="F1411" s="65" t="b">
        <f>TRUE()</f>
        <v>1</v>
      </c>
      <c r="G1411" s="65" t="s">
        <v>165</v>
      </c>
      <c r="H1411" s="65" t="s">
        <v>3620</v>
      </c>
      <c r="I1411" s="66">
        <v>46210.1502283218</v>
      </c>
      <c r="J1411" s="66">
        <v>46210.283039513903</v>
      </c>
      <c r="K1411" s="65">
        <v>0.1</v>
      </c>
      <c r="L1411" s="65" t="s">
        <v>183</v>
      </c>
      <c r="M1411" s="65" t="s">
        <v>183</v>
      </c>
      <c r="N1411" s="65" t="b">
        <f>FALSE()</f>
        <v>0</v>
      </c>
      <c r="O1411" s="65"/>
      <c r="P1411" s="65"/>
      <c r="Q1411" s="65" t="s">
        <v>236</v>
      </c>
      <c r="R1411" s="65" t="s">
        <v>236</v>
      </c>
      <c r="S1411" s="65"/>
      <c r="T1411" s="65" t="b">
        <f>FALSE()</f>
        <v>0</v>
      </c>
      <c r="U1411" s="65" t="b">
        <f>FALSE()</f>
        <v>0</v>
      </c>
      <c r="V1411" s="65">
        <v>309</v>
      </c>
      <c r="W1411" s="67" t="s">
        <v>5152</v>
      </c>
      <c r="X1411" s="65">
        <v>12</v>
      </c>
      <c r="Y1411" s="68">
        <v>21</v>
      </c>
      <c r="Z1411" s="65" t="b">
        <f>FALSE()</f>
        <v>0</v>
      </c>
      <c r="AA1411" s="65" t="b">
        <f>TRUE()</f>
        <v>1</v>
      </c>
      <c r="AB1411" s="65" t="b">
        <f>FALSE()</f>
        <v>0</v>
      </c>
      <c r="AC1411" s="65" t="b">
        <f>FALSE()</f>
        <v>0</v>
      </c>
      <c r="AD1411" s="65" t="b">
        <f>FALSE()</f>
        <v>0</v>
      </c>
      <c r="AE1411" s="65">
        <v>1</v>
      </c>
      <c r="AF1411" s="69">
        <v>14.3</v>
      </c>
      <c r="AG1411" s="65" t="s">
        <v>74</v>
      </c>
      <c r="AH1411" s="65" t="s">
        <v>5153</v>
      </c>
      <c r="AI1411">
        <f>IF(AND(OR(Company_Explorer!$B$5="All Companies",$E1411=Company_Explorer!$B$5),OR(Company_Explorer!$B$6="All Platforms",$B1411=Company_Explorer!$B$6),OR(Company_Explorer!$B$7="All Roles",$D1411=Company_Explorer!$B$7),OR(Company_Explorer!$B$8="All Ghost Labels",$AG1411=Company_Explorer!$B$8)),1,0)</f>
        <v>0</v>
      </c>
    </row>
    <row r="1412" spans="1:35" ht="15" customHeight="1" x14ac:dyDescent="0.3">
      <c r="A1412" s="60" t="s">
        <v>5154</v>
      </c>
      <c r="B1412" s="60" t="s">
        <v>81</v>
      </c>
      <c r="C1412" s="60" t="s">
        <v>852</v>
      </c>
      <c r="D1412" s="60" t="s">
        <v>135</v>
      </c>
      <c r="E1412" s="60" t="s">
        <v>5155</v>
      </c>
      <c r="F1412" s="60" t="b">
        <f>TRUE()</f>
        <v>1</v>
      </c>
      <c r="G1412" s="60" t="s">
        <v>165</v>
      </c>
      <c r="H1412" s="60" t="s">
        <v>3636</v>
      </c>
      <c r="I1412" s="61">
        <v>46210.0883571296</v>
      </c>
      <c r="J1412" s="61">
        <v>46210.283039536997</v>
      </c>
      <c r="K1412" s="60">
        <v>0.2</v>
      </c>
      <c r="L1412" s="60" t="s">
        <v>183</v>
      </c>
      <c r="M1412" s="60" t="s">
        <v>183</v>
      </c>
      <c r="N1412" s="60" t="b">
        <f>TRUE()</f>
        <v>1</v>
      </c>
      <c r="O1412" s="70">
        <v>1500000</v>
      </c>
      <c r="P1412" s="70">
        <v>1700000</v>
      </c>
      <c r="Q1412" s="60" t="s">
        <v>3663</v>
      </c>
      <c r="R1412" s="60" t="s">
        <v>3961</v>
      </c>
      <c r="S1412" s="70">
        <v>1600000</v>
      </c>
      <c r="T1412" s="60" t="b">
        <f>TRUE()</f>
        <v>1</v>
      </c>
      <c r="U1412" s="60" t="b">
        <f>FALSE()</f>
        <v>0</v>
      </c>
      <c r="V1412" s="60">
        <v>119</v>
      </c>
      <c r="W1412" s="62" t="s">
        <v>5156</v>
      </c>
      <c r="X1412" s="60">
        <v>1</v>
      </c>
      <c r="Y1412" s="63">
        <v>1.75</v>
      </c>
      <c r="Z1412" s="60" t="b">
        <f>FALSE()</f>
        <v>0</v>
      </c>
      <c r="AA1412" s="60" t="b">
        <f>FALSE()</f>
        <v>0</v>
      </c>
      <c r="AB1412" s="60" t="b">
        <f>TRUE()</f>
        <v>1</v>
      </c>
      <c r="AC1412" s="60" t="b">
        <f>FALSE()</f>
        <v>0</v>
      </c>
      <c r="AD1412" s="60" t="b">
        <f>FALSE()</f>
        <v>0</v>
      </c>
      <c r="AE1412" s="60">
        <v>1</v>
      </c>
      <c r="AF1412" s="64">
        <v>14.3</v>
      </c>
      <c r="AG1412" s="60" t="s">
        <v>74</v>
      </c>
      <c r="AH1412" s="60" t="s">
        <v>5157</v>
      </c>
      <c r="AI1412">
        <f>IF(AND(OR(Company_Explorer!$B$5="All Companies",$E1412=Company_Explorer!$B$5),OR(Company_Explorer!$B$6="All Platforms",$B1412=Company_Explorer!$B$6),OR(Company_Explorer!$B$7="All Roles",$D1412=Company_Explorer!$B$7),OR(Company_Explorer!$B$8="All Ghost Labels",$AG1412=Company_Explorer!$B$8)),1,0)</f>
        <v>0</v>
      </c>
    </row>
    <row r="1413" spans="1:35" ht="15" customHeight="1" x14ac:dyDescent="0.3">
      <c r="A1413" s="65" t="s">
        <v>5158</v>
      </c>
      <c r="B1413" s="65" t="s">
        <v>81</v>
      </c>
      <c r="C1413" s="65" t="s">
        <v>5159</v>
      </c>
      <c r="D1413" s="65" t="s">
        <v>133</v>
      </c>
      <c r="E1413" s="65" t="s">
        <v>3914</v>
      </c>
      <c r="F1413" s="65" t="b">
        <f>TRUE()</f>
        <v>1</v>
      </c>
      <c r="G1413" s="65" t="s">
        <v>165</v>
      </c>
      <c r="H1413" s="65" t="s">
        <v>3672</v>
      </c>
      <c r="I1413" s="66">
        <v>46210.104612581003</v>
      </c>
      <c r="J1413" s="66">
        <v>46210.283040428199</v>
      </c>
      <c r="K1413" s="65">
        <v>0.2</v>
      </c>
      <c r="L1413" s="65" t="s">
        <v>183</v>
      </c>
      <c r="M1413" s="65" t="s">
        <v>183</v>
      </c>
      <c r="N1413" s="65" t="b">
        <f>FALSE()</f>
        <v>0</v>
      </c>
      <c r="O1413" s="65"/>
      <c r="P1413" s="65"/>
      <c r="Q1413" s="65" t="s">
        <v>236</v>
      </c>
      <c r="R1413" s="65" t="s">
        <v>236</v>
      </c>
      <c r="S1413" s="65"/>
      <c r="T1413" s="65" t="b">
        <f>FALSE()</f>
        <v>0</v>
      </c>
      <c r="U1413" s="65" t="b">
        <f>FALSE()</f>
        <v>0</v>
      </c>
      <c r="V1413" s="65">
        <v>307</v>
      </c>
      <c r="W1413" s="67" t="s">
        <v>5160</v>
      </c>
      <c r="X1413" s="65">
        <v>3</v>
      </c>
      <c r="Y1413" s="68">
        <v>5.25</v>
      </c>
      <c r="Z1413" s="65" t="b">
        <f>FALSE()</f>
        <v>0</v>
      </c>
      <c r="AA1413" s="65" t="b">
        <f>TRUE()</f>
        <v>1</v>
      </c>
      <c r="AB1413" s="65" t="b">
        <f>FALSE()</f>
        <v>0</v>
      </c>
      <c r="AC1413" s="65" t="b">
        <f>FALSE()</f>
        <v>0</v>
      </c>
      <c r="AD1413" s="65" t="b">
        <f>FALSE()</f>
        <v>0</v>
      </c>
      <c r="AE1413" s="65">
        <v>1</v>
      </c>
      <c r="AF1413" s="69">
        <v>14.3</v>
      </c>
      <c r="AG1413" s="65" t="s">
        <v>74</v>
      </c>
      <c r="AH1413" s="65" t="s">
        <v>5161</v>
      </c>
      <c r="AI1413">
        <f>IF(AND(OR(Company_Explorer!$B$5="All Companies",$E1413=Company_Explorer!$B$5),OR(Company_Explorer!$B$6="All Platforms",$B1413=Company_Explorer!$B$6),OR(Company_Explorer!$B$7="All Roles",$D1413=Company_Explorer!$B$7),OR(Company_Explorer!$B$8="All Ghost Labels",$AG1413=Company_Explorer!$B$8)),1,0)</f>
        <v>0</v>
      </c>
    </row>
    <row r="1414" spans="1:35" ht="15" customHeight="1" x14ac:dyDescent="0.3">
      <c r="A1414" s="60" t="s">
        <v>5162</v>
      </c>
      <c r="B1414" s="60" t="s">
        <v>81</v>
      </c>
      <c r="C1414" s="60" t="s">
        <v>4237</v>
      </c>
      <c r="D1414" s="60" t="s">
        <v>126</v>
      </c>
      <c r="E1414" s="60" t="s">
        <v>5163</v>
      </c>
      <c r="F1414" s="60" t="b">
        <f>TRUE()</f>
        <v>1</v>
      </c>
      <c r="G1414" s="60" t="s">
        <v>165</v>
      </c>
      <c r="H1414" s="60" t="s">
        <v>3655</v>
      </c>
      <c r="I1414" s="61">
        <v>46210.144577361098</v>
      </c>
      <c r="J1414" s="61">
        <v>46210.283040544004</v>
      </c>
      <c r="K1414" s="60">
        <v>0.1</v>
      </c>
      <c r="L1414" s="60" t="s">
        <v>183</v>
      </c>
      <c r="M1414" s="60" t="s">
        <v>183</v>
      </c>
      <c r="N1414" s="60" t="b">
        <f>FALSE()</f>
        <v>0</v>
      </c>
      <c r="O1414" s="60"/>
      <c r="P1414" s="60"/>
      <c r="Q1414" s="60" t="s">
        <v>3663</v>
      </c>
      <c r="R1414" s="60" t="s">
        <v>3664</v>
      </c>
      <c r="S1414" s="60"/>
      <c r="T1414" s="60" t="b">
        <f>FALSE()</f>
        <v>0</v>
      </c>
      <c r="U1414" s="60" t="b">
        <f>FALSE()</f>
        <v>0</v>
      </c>
      <c r="V1414" s="60">
        <v>362</v>
      </c>
      <c r="W1414" s="60" t="s">
        <v>5164</v>
      </c>
      <c r="X1414" s="60">
        <v>1</v>
      </c>
      <c r="Y1414" s="63">
        <v>1.75</v>
      </c>
      <c r="Z1414" s="60" t="b">
        <f>FALSE()</f>
        <v>0</v>
      </c>
      <c r="AA1414" s="60" t="b">
        <f>TRUE()</f>
        <v>1</v>
      </c>
      <c r="AB1414" s="60" t="b">
        <f>FALSE()</f>
        <v>0</v>
      </c>
      <c r="AC1414" s="60" t="b">
        <f>FALSE()</f>
        <v>0</v>
      </c>
      <c r="AD1414" s="60" t="b">
        <f>FALSE()</f>
        <v>0</v>
      </c>
      <c r="AE1414" s="60">
        <v>1</v>
      </c>
      <c r="AF1414" s="64">
        <v>14.3</v>
      </c>
      <c r="AG1414" s="60" t="s">
        <v>74</v>
      </c>
      <c r="AH1414" s="60" t="s">
        <v>5165</v>
      </c>
      <c r="AI1414">
        <f>IF(AND(OR(Company_Explorer!$B$5="All Companies",$E1414=Company_Explorer!$B$5),OR(Company_Explorer!$B$6="All Platforms",$B1414=Company_Explorer!$B$6),OR(Company_Explorer!$B$7="All Roles",$D1414=Company_Explorer!$B$7),OR(Company_Explorer!$B$8="All Ghost Labels",$AG1414=Company_Explorer!$B$8)),1,0)</f>
        <v>0</v>
      </c>
    </row>
    <row r="1415" spans="1:35" ht="15" customHeight="1" x14ac:dyDescent="0.3">
      <c r="A1415" s="65" t="s">
        <v>5166</v>
      </c>
      <c r="B1415" s="65" t="s">
        <v>81</v>
      </c>
      <c r="C1415" s="65" t="s">
        <v>5167</v>
      </c>
      <c r="D1415" s="65" t="s">
        <v>133</v>
      </c>
      <c r="E1415" s="65" t="s">
        <v>5168</v>
      </c>
      <c r="F1415" s="65" t="b">
        <f>TRUE()</f>
        <v>1</v>
      </c>
      <c r="G1415" s="65" t="s">
        <v>165</v>
      </c>
      <c r="H1415" s="65" t="s">
        <v>3620</v>
      </c>
      <c r="I1415" s="66">
        <v>46210.087282303197</v>
      </c>
      <c r="J1415" s="66">
        <v>46210.283040567097</v>
      </c>
      <c r="K1415" s="65">
        <v>0.2</v>
      </c>
      <c r="L1415" s="65" t="s">
        <v>183</v>
      </c>
      <c r="M1415" s="65" t="s">
        <v>183</v>
      </c>
      <c r="N1415" s="65" t="b">
        <f>FALSE()</f>
        <v>0</v>
      </c>
      <c r="O1415" s="65"/>
      <c r="P1415" s="65"/>
      <c r="Q1415" s="65" t="s">
        <v>236</v>
      </c>
      <c r="R1415" s="65" t="s">
        <v>236</v>
      </c>
      <c r="S1415" s="65"/>
      <c r="T1415" s="65" t="b">
        <f>FALSE()</f>
        <v>0</v>
      </c>
      <c r="U1415" s="65" t="b">
        <f>FALSE()</f>
        <v>0</v>
      </c>
      <c r="V1415" s="65">
        <v>582</v>
      </c>
      <c r="W1415" s="67" t="s">
        <v>5169</v>
      </c>
      <c r="X1415" s="65">
        <v>1</v>
      </c>
      <c r="Y1415" s="68">
        <v>1.75</v>
      </c>
      <c r="Z1415" s="65" t="b">
        <f>FALSE()</f>
        <v>0</v>
      </c>
      <c r="AA1415" s="65" t="b">
        <f>TRUE()</f>
        <v>1</v>
      </c>
      <c r="AB1415" s="65" t="b">
        <f>FALSE()</f>
        <v>0</v>
      </c>
      <c r="AC1415" s="65" t="b">
        <f>FALSE()</f>
        <v>0</v>
      </c>
      <c r="AD1415" s="65" t="b">
        <f>FALSE()</f>
        <v>0</v>
      </c>
      <c r="AE1415" s="65">
        <v>1</v>
      </c>
      <c r="AF1415" s="69">
        <v>14.3</v>
      </c>
      <c r="AG1415" s="65" t="s">
        <v>74</v>
      </c>
      <c r="AH1415" s="65" t="s">
        <v>5170</v>
      </c>
      <c r="AI1415">
        <f>IF(AND(OR(Company_Explorer!$B$5="All Companies",$E1415=Company_Explorer!$B$5),OR(Company_Explorer!$B$6="All Platforms",$B1415=Company_Explorer!$B$6),OR(Company_Explorer!$B$7="All Roles",$D1415=Company_Explorer!$B$7),OR(Company_Explorer!$B$8="All Ghost Labels",$AG1415=Company_Explorer!$B$8)),1,0)</f>
        <v>0</v>
      </c>
    </row>
    <row r="1416" spans="1:35" ht="15" customHeight="1" x14ac:dyDescent="0.3">
      <c r="A1416" s="60" t="s">
        <v>5171</v>
      </c>
      <c r="B1416" s="60" t="s">
        <v>81</v>
      </c>
      <c r="C1416" s="60" t="s">
        <v>5172</v>
      </c>
      <c r="D1416" s="60" t="s">
        <v>126</v>
      </c>
      <c r="E1416" s="60" t="s">
        <v>5173</v>
      </c>
      <c r="F1416" s="60" t="b">
        <f>TRUE()</f>
        <v>1</v>
      </c>
      <c r="G1416" s="60" t="s">
        <v>165</v>
      </c>
      <c r="H1416" s="60" t="s">
        <v>3672</v>
      </c>
      <c r="I1416" s="61">
        <v>46210.107615544002</v>
      </c>
      <c r="J1416" s="61">
        <v>46210.283040590301</v>
      </c>
      <c r="K1416" s="60">
        <v>0.2</v>
      </c>
      <c r="L1416" s="60" t="s">
        <v>183</v>
      </c>
      <c r="M1416" s="60" t="s">
        <v>183</v>
      </c>
      <c r="N1416" s="60" t="b">
        <f>TRUE()</f>
        <v>1</v>
      </c>
      <c r="O1416" s="70">
        <v>30000</v>
      </c>
      <c r="P1416" s="70">
        <v>40000</v>
      </c>
      <c r="Q1416" s="60" t="s">
        <v>3663</v>
      </c>
      <c r="R1416" s="60" t="s">
        <v>3664</v>
      </c>
      <c r="S1416" s="70">
        <v>420000</v>
      </c>
      <c r="T1416" s="60" t="b">
        <f>TRUE()</f>
        <v>1</v>
      </c>
      <c r="U1416" s="60" t="b">
        <f>FALSE()</f>
        <v>0</v>
      </c>
      <c r="V1416" s="60">
        <v>137</v>
      </c>
      <c r="W1416" s="62" t="s">
        <v>5174</v>
      </c>
      <c r="X1416" s="60">
        <v>1</v>
      </c>
      <c r="Y1416" s="63">
        <v>1.75</v>
      </c>
      <c r="Z1416" s="60" t="b">
        <f>FALSE()</f>
        <v>0</v>
      </c>
      <c r="AA1416" s="60" t="b">
        <f>FALSE()</f>
        <v>0</v>
      </c>
      <c r="AB1416" s="60" t="b">
        <f>TRUE()</f>
        <v>1</v>
      </c>
      <c r="AC1416" s="60" t="b">
        <f>FALSE()</f>
        <v>0</v>
      </c>
      <c r="AD1416" s="60" t="b">
        <f>FALSE()</f>
        <v>0</v>
      </c>
      <c r="AE1416" s="60">
        <v>1</v>
      </c>
      <c r="AF1416" s="64">
        <v>14.3</v>
      </c>
      <c r="AG1416" s="60" t="s">
        <v>74</v>
      </c>
      <c r="AH1416" s="60" t="s">
        <v>5175</v>
      </c>
      <c r="AI1416">
        <f>IF(AND(OR(Company_Explorer!$B$5="All Companies",$E1416=Company_Explorer!$B$5),OR(Company_Explorer!$B$6="All Platforms",$B1416=Company_Explorer!$B$6),OR(Company_Explorer!$B$7="All Roles",$D1416=Company_Explorer!$B$7),OR(Company_Explorer!$B$8="All Ghost Labels",$AG1416=Company_Explorer!$B$8)),1,0)</f>
        <v>0</v>
      </c>
    </row>
    <row r="1417" spans="1:35" ht="15" customHeight="1" x14ac:dyDescent="0.3">
      <c r="A1417" s="65" t="s">
        <v>5176</v>
      </c>
      <c r="B1417" s="65" t="s">
        <v>81</v>
      </c>
      <c r="C1417" s="65" t="s">
        <v>5177</v>
      </c>
      <c r="D1417" s="65" t="s">
        <v>126</v>
      </c>
      <c r="E1417" s="65" t="s">
        <v>3931</v>
      </c>
      <c r="F1417" s="65" t="b">
        <f>TRUE()</f>
        <v>1</v>
      </c>
      <c r="G1417" s="65" t="s">
        <v>165</v>
      </c>
      <c r="H1417" s="65" t="s">
        <v>3620</v>
      </c>
      <c r="I1417" s="66">
        <v>46210.087125717597</v>
      </c>
      <c r="J1417" s="66">
        <v>46210.283042905103</v>
      </c>
      <c r="K1417" s="65">
        <v>0.2</v>
      </c>
      <c r="L1417" s="65" t="s">
        <v>183</v>
      </c>
      <c r="M1417" s="65" t="s">
        <v>183</v>
      </c>
      <c r="N1417" s="65" t="b">
        <f>FALSE()</f>
        <v>0</v>
      </c>
      <c r="O1417" s="65"/>
      <c r="P1417" s="65"/>
      <c r="Q1417" s="65" t="s">
        <v>236</v>
      </c>
      <c r="R1417" s="65" t="s">
        <v>236</v>
      </c>
      <c r="S1417" s="65"/>
      <c r="T1417" s="65" t="b">
        <f>FALSE()</f>
        <v>0</v>
      </c>
      <c r="U1417" s="65" t="b">
        <f>FALSE()</f>
        <v>0</v>
      </c>
      <c r="V1417" s="65">
        <v>1105</v>
      </c>
      <c r="W1417" s="65" t="s">
        <v>3932</v>
      </c>
      <c r="X1417" s="65">
        <v>3</v>
      </c>
      <c r="Y1417" s="68">
        <v>5.25</v>
      </c>
      <c r="Z1417" s="65" t="b">
        <f>FALSE()</f>
        <v>0</v>
      </c>
      <c r="AA1417" s="65" t="b">
        <f>TRUE()</f>
        <v>1</v>
      </c>
      <c r="AB1417" s="65" t="b">
        <f>FALSE()</f>
        <v>0</v>
      </c>
      <c r="AC1417" s="65" t="b">
        <f>FALSE()</f>
        <v>0</v>
      </c>
      <c r="AD1417" s="65" t="b">
        <f>FALSE()</f>
        <v>0</v>
      </c>
      <c r="AE1417" s="65">
        <v>1</v>
      </c>
      <c r="AF1417" s="69">
        <v>14.3</v>
      </c>
      <c r="AG1417" s="65" t="s">
        <v>74</v>
      </c>
      <c r="AH1417" s="65" t="s">
        <v>5178</v>
      </c>
      <c r="AI1417">
        <f>IF(AND(OR(Company_Explorer!$B$5="All Companies",$E1417=Company_Explorer!$B$5),OR(Company_Explorer!$B$6="All Platforms",$B1417=Company_Explorer!$B$6),OR(Company_Explorer!$B$7="All Roles",$D1417=Company_Explorer!$B$7),OR(Company_Explorer!$B$8="All Ghost Labels",$AG1417=Company_Explorer!$B$8)),1,0)</f>
        <v>0</v>
      </c>
    </row>
    <row r="1418" spans="1:35" ht="15" customHeight="1" x14ac:dyDescent="0.3">
      <c r="A1418" s="60" t="s">
        <v>5179</v>
      </c>
      <c r="B1418" s="60" t="s">
        <v>81</v>
      </c>
      <c r="C1418" s="60" t="s">
        <v>5180</v>
      </c>
      <c r="D1418" s="60" t="s">
        <v>134</v>
      </c>
      <c r="E1418" s="60" t="s">
        <v>3868</v>
      </c>
      <c r="F1418" s="60" t="b">
        <f>TRUE()</f>
        <v>1</v>
      </c>
      <c r="G1418" s="60" t="s">
        <v>165</v>
      </c>
      <c r="H1418" s="60" t="s">
        <v>3636</v>
      </c>
      <c r="I1418" s="61">
        <v>46210.142875891201</v>
      </c>
      <c r="J1418" s="61">
        <v>46210.283042870396</v>
      </c>
      <c r="K1418" s="60">
        <v>0.1</v>
      </c>
      <c r="L1418" s="60" t="s">
        <v>183</v>
      </c>
      <c r="M1418" s="60" t="s">
        <v>183</v>
      </c>
      <c r="N1418" s="60" t="b">
        <f>FALSE()</f>
        <v>0</v>
      </c>
      <c r="O1418" s="60"/>
      <c r="P1418" s="60"/>
      <c r="Q1418" s="60" t="s">
        <v>236</v>
      </c>
      <c r="R1418" s="60" t="s">
        <v>236</v>
      </c>
      <c r="S1418" s="60"/>
      <c r="T1418" s="60" t="b">
        <f>FALSE()</f>
        <v>0</v>
      </c>
      <c r="U1418" s="60" t="b">
        <f>FALSE()</f>
        <v>0</v>
      </c>
      <c r="V1418" s="60">
        <v>439</v>
      </c>
      <c r="W1418" s="62" t="s">
        <v>3869</v>
      </c>
      <c r="X1418" s="60">
        <v>12</v>
      </c>
      <c r="Y1418" s="63">
        <v>21</v>
      </c>
      <c r="Z1418" s="60" t="b">
        <f>FALSE()</f>
        <v>0</v>
      </c>
      <c r="AA1418" s="60" t="b">
        <f>TRUE()</f>
        <v>1</v>
      </c>
      <c r="AB1418" s="60" t="b">
        <f>FALSE()</f>
        <v>0</v>
      </c>
      <c r="AC1418" s="60" t="b">
        <f>FALSE()</f>
        <v>0</v>
      </c>
      <c r="AD1418" s="60" t="b">
        <f>FALSE()</f>
        <v>0</v>
      </c>
      <c r="AE1418" s="60">
        <v>1</v>
      </c>
      <c r="AF1418" s="64">
        <v>14.3</v>
      </c>
      <c r="AG1418" s="60" t="s">
        <v>74</v>
      </c>
      <c r="AH1418" s="60" t="s">
        <v>5181</v>
      </c>
      <c r="AI1418">
        <f>IF(AND(OR(Company_Explorer!$B$5="All Companies",$E1418=Company_Explorer!$B$5),OR(Company_Explorer!$B$6="All Platforms",$B1418=Company_Explorer!$B$6),OR(Company_Explorer!$B$7="All Roles",$D1418=Company_Explorer!$B$7),OR(Company_Explorer!$B$8="All Ghost Labels",$AG1418=Company_Explorer!$B$8)),1,0)</f>
        <v>0</v>
      </c>
    </row>
    <row r="1419" spans="1:35" ht="15" customHeight="1" x14ac:dyDescent="0.3">
      <c r="A1419" s="65" t="s">
        <v>5182</v>
      </c>
      <c r="B1419" s="65" t="s">
        <v>81</v>
      </c>
      <c r="C1419" s="65" t="s">
        <v>5183</v>
      </c>
      <c r="D1419" s="65" t="s">
        <v>126</v>
      </c>
      <c r="E1419" s="65" t="s">
        <v>3868</v>
      </c>
      <c r="F1419" s="65" t="b">
        <f>TRUE()</f>
        <v>1</v>
      </c>
      <c r="G1419" s="65" t="s">
        <v>165</v>
      </c>
      <c r="H1419" s="65" t="s">
        <v>3672</v>
      </c>
      <c r="I1419" s="66">
        <v>46210.142871747703</v>
      </c>
      <c r="J1419" s="66">
        <v>46210.283042962998</v>
      </c>
      <c r="K1419" s="65">
        <v>0.1</v>
      </c>
      <c r="L1419" s="65" t="s">
        <v>183</v>
      </c>
      <c r="M1419" s="65" t="s">
        <v>183</v>
      </c>
      <c r="N1419" s="65" t="b">
        <f>FALSE()</f>
        <v>0</v>
      </c>
      <c r="O1419" s="65"/>
      <c r="P1419" s="65"/>
      <c r="Q1419" s="65" t="s">
        <v>236</v>
      </c>
      <c r="R1419" s="65" t="s">
        <v>236</v>
      </c>
      <c r="S1419" s="65"/>
      <c r="T1419" s="65" t="b">
        <f>FALSE()</f>
        <v>0</v>
      </c>
      <c r="U1419" s="65" t="b">
        <f>FALSE()</f>
        <v>0</v>
      </c>
      <c r="V1419" s="65">
        <v>450</v>
      </c>
      <c r="W1419" s="67" t="s">
        <v>5184</v>
      </c>
      <c r="X1419" s="65">
        <v>12</v>
      </c>
      <c r="Y1419" s="68">
        <v>21</v>
      </c>
      <c r="Z1419" s="65" t="b">
        <f>FALSE()</f>
        <v>0</v>
      </c>
      <c r="AA1419" s="65" t="b">
        <f>TRUE()</f>
        <v>1</v>
      </c>
      <c r="AB1419" s="65" t="b">
        <f>FALSE()</f>
        <v>0</v>
      </c>
      <c r="AC1419" s="65" t="b">
        <f>FALSE()</f>
        <v>0</v>
      </c>
      <c r="AD1419" s="65" t="b">
        <f>FALSE()</f>
        <v>0</v>
      </c>
      <c r="AE1419" s="65">
        <v>1</v>
      </c>
      <c r="AF1419" s="69">
        <v>14.3</v>
      </c>
      <c r="AG1419" s="65" t="s">
        <v>74</v>
      </c>
      <c r="AH1419" s="65" t="s">
        <v>5185</v>
      </c>
      <c r="AI1419">
        <f>IF(AND(OR(Company_Explorer!$B$5="All Companies",$E1419=Company_Explorer!$B$5),OR(Company_Explorer!$B$6="All Platforms",$B1419=Company_Explorer!$B$6),OR(Company_Explorer!$B$7="All Roles",$D1419=Company_Explorer!$B$7),OR(Company_Explorer!$B$8="All Ghost Labels",$AG1419=Company_Explorer!$B$8)),1,0)</f>
        <v>0</v>
      </c>
    </row>
    <row r="1420" spans="1:35" ht="15" customHeight="1" x14ac:dyDescent="0.3">
      <c r="A1420" s="60" t="s">
        <v>5186</v>
      </c>
      <c r="B1420" s="60" t="s">
        <v>81</v>
      </c>
      <c r="C1420" s="60" t="s">
        <v>5187</v>
      </c>
      <c r="D1420" s="60" t="s">
        <v>126</v>
      </c>
      <c r="E1420" s="60" t="s">
        <v>5188</v>
      </c>
      <c r="F1420" s="60" t="b">
        <f>TRUE()</f>
        <v>1</v>
      </c>
      <c r="G1420" s="60" t="s">
        <v>165</v>
      </c>
      <c r="H1420" s="60" t="s">
        <v>3620</v>
      </c>
      <c r="I1420" s="61">
        <v>46210.0818905208</v>
      </c>
      <c r="J1420" s="61">
        <v>46210.283043993099</v>
      </c>
      <c r="K1420" s="60">
        <v>0.2</v>
      </c>
      <c r="L1420" s="60" t="s">
        <v>183</v>
      </c>
      <c r="M1420" s="60" t="s">
        <v>183</v>
      </c>
      <c r="N1420" s="60" t="b">
        <f>FALSE()</f>
        <v>0</v>
      </c>
      <c r="O1420" s="60"/>
      <c r="P1420" s="60"/>
      <c r="Q1420" s="60" t="s">
        <v>236</v>
      </c>
      <c r="R1420" s="60" t="s">
        <v>236</v>
      </c>
      <c r="S1420" s="60"/>
      <c r="T1420" s="60" t="b">
        <f>FALSE()</f>
        <v>0</v>
      </c>
      <c r="U1420" s="60" t="b">
        <f>FALSE()</f>
        <v>0</v>
      </c>
      <c r="V1420" s="60">
        <v>646</v>
      </c>
      <c r="W1420" s="62" t="s">
        <v>5189</v>
      </c>
      <c r="X1420" s="60">
        <v>1</v>
      </c>
      <c r="Y1420" s="63">
        <v>1.75</v>
      </c>
      <c r="Z1420" s="60" t="b">
        <f>FALSE()</f>
        <v>0</v>
      </c>
      <c r="AA1420" s="60" t="b">
        <f>TRUE()</f>
        <v>1</v>
      </c>
      <c r="AB1420" s="60" t="b">
        <f>FALSE()</f>
        <v>0</v>
      </c>
      <c r="AC1420" s="60" t="b">
        <f>FALSE()</f>
        <v>0</v>
      </c>
      <c r="AD1420" s="60" t="b">
        <f>FALSE()</f>
        <v>0</v>
      </c>
      <c r="AE1420" s="60">
        <v>1</v>
      </c>
      <c r="AF1420" s="64">
        <v>14.3</v>
      </c>
      <c r="AG1420" s="60" t="s">
        <v>74</v>
      </c>
      <c r="AH1420" s="60" t="s">
        <v>5190</v>
      </c>
      <c r="AI1420">
        <f>IF(AND(OR(Company_Explorer!$B$5="All Companies",$E1420=Company_Explorer!$B$5),OR(Company_Explorer!$B$6="All Platforms",$B1420=Company_Explorer!$B$6),OR(Company_Explorer!$B$7="All Roles",$D1420=Company_Explorer!$B$7),OR(Company_Explorer!$B$8="All Ghost Labels",$AG1420=Company_Explorer!$B$8)),1,0)</f>
        <v>0</v>
      </c>
    </row>
    <row r="1421" spans="1:35" ht="15" customHeight="1" x14ac:dyDescent="0.3">
      <c r="A1421" s="65" t="s">
        <v>5191</v>
      </c>
      <c r="B1421" s="65" t="s">
        <v>81</v>
      </c>
      <c r="C1421" s="65" t="s">
        <v>5192</v>
      </c>
      <c r="D1421" s="65" t="s">
        <v>126</v>
      </c>
      <c r="E1421" s="65" t="s">
        <v>5193</v>
      </c>
      <c r="F1421" s="65" t="b">
        <f>TRUE()</f>
        <v>1</v>
      </c>
      <c r="G1421" s="65" t="s">
        <v>165</v>
      </c>
      <c r="H1421" s="65" t="s">
        <v>3620</v>
      </c>
      <c r="I1421" s="66">
        <v>46210.065469826397</v>
      </c>
      <c r="J1421" s="66">
        <v>46210.283044108801</v>
      </c>
      <c r="K1421" s="65">
        <v>0.2</v>
      </c>
      <c r="L1421" s="65" t="s">
        <v>183</v>
      </c>
      <c r="M1421" s="65" t="s">
        <v>183</v>
      </c>
      <c r="N1421" s="65" t="b">
        <f>FALSE()</f>
        <v>0</v>
      </c>
      <c r="O1421" s="65"/>
      <c r="P1421" s="65"/>
      <c r="Q1421" s="65" t="s">
        <v>236</v>
      </c>
      <c r="R1421" s="65" t="s">
        <v>236</v>
      </c>
      <c r="S1421" s="65"/>
      <c r="T1421" s="65" t="b">
        <f>FALSE()</f>
        <v>0</v>
      </c>
      <c r="U1421" s="65" t="b">
        <f>FALSE()</f>
        <v>0</v>
      </c>
      <c r="V1421" s="65">
        <v>521</v>
      </c>
      <c r="W1421" s="67" t="s">
        <v>5194</v>
      </c>
      <c r="X1421" s="65">
        <v>3</v>
      </c>
      <c r="Y1421" s="68">
        <v>5.25</v>
      </c>
      <c r="Z1421" s="65" t="b">
        <f>FALSE()</f>
        <v>0</v>
      </c>
      <c r="AA1421" s="65" t="b">
        <f>TRUE()</f>
        <v>1</v>
      </c>
      <c r="AB1421" s="65" t="b">
        <f>FALSE()</f>
        <v>0</v>
      </c>
      <c r="AC1421" s="65" t="b">
        <f>FALSE()</f>
        <v>0</v>
      </c>
      <c r="AD1421" s="65" t="b">
        <f>FALSE()</f>
        <v>0</v>
      </c>
      <c r="AE1421" s="65">
        <v>1</v>
      </c>
      <c r="AF1421" s="69">
        <v>14.3</v>
      </c>
      <c r="AG1421" s="65" t="s">
        <v>74</v>
      </c>
      <c r="AH1421" s="65" t="s">
        <v>5195</v>
      </c>
      <c r="AI1421">
        <f>IF(AND(OR(Company_Explorer!$B$5="All Companies",$E1421=Company_Explorer!$B$5),OR(Company_Explorer!$B$6="All Platforms",$B1421=Company_Explorer!$B$6),OR(Company_Explorer!$B$7="All Roles",$D1421=Company_Explorer!$B$7),OR(Company_Explorer!$B$8="All Ghost Labels",$AG1421=Company_Explorer!$B$8)),1,0)</f>
        <v>0</v>
      </c>
    </row>
    <row r="1422" spans="1:35" ht="15" customHeight="1" x14ac:dyDescent="0.3">
      <c r="A1422" s="60" t="s">
        <v>5196</v>
      </c>
      <c r="B1422" s="60" t="s">
        <v>81</v>
      </c>
      <c r="C1422" s="60" t="s">
        <v>5197</v>
      </c>
      <c r="D1422" s="60" t="s">
        <v>132</v>
      </c>
      <c r="E1422" s="60" t="s">
        <v>4425</v>
      </c>
      <c r="F1422" s="60" t="b">
        <f>TRUE()</f>
        <v>1</v>
      </c>
      <c r="G1422" s="60" t="s">
        <v>165</v>
      </c>
      <c r="H1422" s="60" t="s">
        <v>3655</v>
      </c>
      <c r="I1422" s="61">
        <v>46210.058429143501</v>
      </c>
      <c r="J1422" s="61">
        <v>46210.283044166703</v>
      </c>
      <c r="K1422" s="60">
        <v>0.2</v>
      </c>
      <c r="L1422" s="60" t="s">
        <v>183</v>
      </c>
      <c r="M1422" s="60" t="s">
        <v>183</v>
      </c>
      <c r="N1422" s="60" t="b">
        <f>FALSE()</f>
        <v>0</v>
      </c>
      <c r="O1422" s="60"/>
      <c r="P1422" s="60"/>
      <c r="Q1422" s="60" t="s">
        <v>236</v>
      </c>
      <c r="R1422" s="60" t="s">
        <v>236</v>
      </c>
      <c r="S1422" s="60"/>
      <c r="T1422" s="60" t="b">
        <f>FALSE()</f>
        <v>0</v>
      </c>
      <c r="U1422" s="60" t="b">
        <f>FALSE()</f>
        <v>0</v>
      </c>
      <c r="V1422" s="60">
        <v>543</v>
      </c>
      <c r="W1422" s="62" t="s">
        <v>5198</v>
      </c>
      <c r="X1422" s="60">
        <v>3</v>
      </c>
      <c r="Y1422" s="63">
        <v>5.25</v>
      </c>
      <c r="Z1422" s="60" t="b">
        <f>FALSE()</f>
        <v>0</v>
      </c>
      <c r="AA1422" s="60" t="b">
        <f>TRUE()</f>
        <v>1</v>
      </c>
      <c r="AB1422" s="60" t="b">
        <f>FALSE()</f>
        <v>0</v>
      </c>
      <c r="AC1422" s="60" t="b">
        <f>FALSE()</f>
        <v>0</v>
      </c>
      <c r="AD1422" s="60" t="b">
        <f>FALSE()</f>
        <v>0</v>
      </c>
      <c r="AE1422" s="60">
        <v>1</v>
      </c>
      <c r="AF1422" s="64">
        <v>14.3</v>
      </c>
      <c r="AG1422" s="60" t="s">
        <v>74</v>
      </c>
      <c r="AH1422" s="60" t="s">
        <v>5199</v>
      </c>
      <c r="AI1422">
        <f>IF(AND(OR(Company_Explorer!$B$5="All Companies",$E1422=Company_Explorer!$B$5),OR(Company_Explorer!$B$6="All Platforms",$B1422=Company_Explorer!$B$6),OR(Company_Explorer!$B$7="All Roles",$D1422=Company_Explorer!$B$7),OR(Company_Explorer!$B$8="All Ghost Labels",$AG1422=Company_Explorer!$B$8)),1,0)</f>
        <v>0</v>
      </c>
    </row>
    <row r="1423" spans="1:35" ht="15" customHeight="1" x14ac:dyDescent="0.3">
      <c r="A1423" s="65" t="s">
        <v>5200</v>
      </c>
      <c r="B1423" s="65" t="s">
        <v>81</v>
      </c>
      <c r="C1423" s="65" t="s">
        <v>5201</v>
      </c>
      <c r="D1423" s="65" t="s">
        <v>126</v>
      </c>
      <c r="E1423" s="65" t="s">
        <v>3868</v>
      </c>
      <c r="F1423" s="65" t="b">
        <f>TRUE()</f>
        <v>1</v>
      </c>
      <c r="G1423" s="65" t="s">
        <v>165</v>
      </c>
      <c r="H1423" s="65" t="s">
        <v>3620</v>
      </c>
      <c r="I1423" s="66">
        <v>46210.142870092597</v>
      </c>
      <c r="J1423" s="66">
        <v>46210.283044236101</v>
      </c>
      <c r="K1423" s="65">
        <v>0.1</v>
      </c>
      <c r="L1423" s="65" t="s">
        <v>183</v>
      </c>
      <c r="M1423" s="65" t="s">
        <v>183</v>
      </c>
      <c r="N1423" s="65" t="b">
        <f>FALSE()</f>
        <v>0</v>
      </c>
      <c r="O1423" s="65"/>
      <c r="P1423" s="65"/>
      <c r="Q1423" s="65" t="s">
        <v>236</v>
      </c>
      <c r="R1423" s="65" t="s">
        <v>236</v>
      </c>
      <c r="S1423" s="65"/>
      <c r="T1423" s="65" t="b">
        <f>FALSE()</f>
        <v>0</v>
      </c>
      <c r="U1423" s="65" t="b">
        <f>FALSE()</f>
        <v>0</v>
      </c>
      <c r="V1423" s="65">
        <v>704</v>
      </c>
      <c r="W1423" s="67" t="s">
        <v>5202</v>
      </c>
      <c r="X1423" s="65">
        <v>12</v>
      </c>
      <c r="Y1423" s="68">
        <v>21</v>
      </c>
      <c r="Z1423" s="65" t="b">
        <f>FALSE()</f>
        <v>0</v>
      </c>
      <c r="AA1423" s="65" t="b">
        <f>TRUE()</f>
        <v>1</v>
      </c>
      <c r="AB1423" s="65" t="b">
        <f>FALSE()</f>
        <v>0</v>
      </c>
      <c r="AC1423" s="65" t="b">
        <f>FALSE()</f>
        <v>0</v>
      </c>
      <c r="AD1423" s="65" t="b">
        <f>FALSE()</f>
        <v>0</v>
      </c>
      <c r="AE1423" s="65">
        <v>1</v>
      </c>
      <c r="AF1423" s="69">
        <v>14.3</v>
      </c>
      <c r="AG1423" s="65" t="s">
        <v>74</v>
      </c>
      <c r="AH1423" s="65" t="s">
        <v>5203</v>
      </c>
      <c r="AI1423">
        <f>IF(AND(OR(Company_Explorer!$B$5="All Companies",$E1423=Company_Explorer!$B$5),OR(Company_Explorer!$B$6="All Platforms",$B1423=Company_Explorer!$B$6),OR(Company_Explorer!$B$7="All Roles",$D1423=Company_Explorer!$B$7),OR(Company_Explorer!$B$8="All Ghost Labels",$AG1423=Company_Explorer!$B$8)),1,0)</f>
        <v>0</v>
      </c>
    </row>
    <row r="1424" spans="1:35" ht="15" customHeight="1" x14ac:dyDescent="0.3">
      <c r="A1424" s="60" t="s">
        <v>5204</v>
      </c>
      <c r="B1424" s="60" t="s">
        <v>81</v>
      </c>
      <c r="C1424" s="60" t="s">
        <v>5205</v>
      </c>
      <c r="D1424" s="60" t="s">
        <v>126</v>
      </c>
      <c r="E1424" s="60" t="s">
        <v>3868</v>
      </c>
      <c r="F1424" s="60" t="b">
        <f>TRUE()</f>
        <v>1</v>
      </c>
      <c r="G1424" s="60" t="s">
        <v>165</v>
      </c>
      <c r="H1424" s="60" t="s">
        <v>4442</v>
      </c>
      <c r="I1424" s="61">
        <v>46210.1428547338</v>
      </c>
      <c r="J1424" s="61">
        <v>46210.283044282398</v>
      </c>
      <c r="K1424" s="60">
        <v>0.1</v>
      </c>
      <c r="L1424" s="60" t="s">
        <v>183</v>
      </c>
      <c r="M1424" s="60" t="s">
        <v>183</v>
      </c>
      <c r="N1424" s="60" t="b">
        <f>FALSE()</f>
        <v>0</v>
      </c>
      <c r="O1424" s="60"/>
      <c r="P1424" s="60"/>
      <c r="Q1424" s="60" t="s">
        <v>236</v>
      </c>
      <c r="R1424" s="60" t="s">
        <v>236</v>
      </c>
      <c r="S1424" s="60"/>
      <c r="T1424" s="60" t="b">
        <f>FALSE()</f>
        <v>0</v>
      </c>
      <c r="U1424" s="60" t="b">
        <f>FALSE()</f>
        <v>0</v>
      </c>
      <c r="V1424" s="60">
        <v>1208</v>
      </c>
      <c r="W1424" s="62" t="s">
        <v>5184</v>
      </c>
      <c r="X1424" s="60">
        <v>12</v>
      </c>
      <c r="Y1424" s="63">
        <v>21</v>
      </c>
      <c r="Z1424" s="60" t="b">
        <f>FALSE()</f>
        <v>0</v>
      </c>
      <c r="AA1424" s="60" t="b">
        <f>TRUE()</f>
        <v>1</v>
      </c>
      <c r="AB1424" s="60" t="b">
        <f>FALSE()</f>
        <v>0</v>
      </c>
      <c r="AC1424" s="60" t="b">
        <f>FALSE()</f>
        <v>0</v>
      </c>
      <c r="AD1424" s="60" t="b">
        <f>FALSE()</f>
        <v>0</v>
      </c>
      <c r="AE1424" s="60">
        <v>1</v>
      </c>
      <c r="AF1424" s="64">
        <v>14.3</v>
      </c>
      <c r="AG1424" s="60" t="s">
        <v>74</v>
      </c>
      <c r="AH1424" s="60" t="s">
        <v>5206</v>
      </c>
      <c r="AI1424">
        <f>IF(AND(OR(Company_Explorer!$B$5="All Companies",$E1424=Company_Explorer!$B$5),OR(Company_Explorer!$B$6="All Platforms",$B1424=Company_Explorer!$B$6),OR(Company_Explorer!$B$7="All Roles",$D1424=Company_Explorer!$B$7),OR(Company_Explorer!$B$8="All Ghost Labels",$AG1424=Company_Explorer!$B$8)),1,0)</f>
        <v>0</v>
      </c>
    </row>
    <row r="1425" spans="1:35" ht="15" customHeight="1" x14ac:dyDescent="0.3">
      <c r="A1425" s="65" t="s">
        <v>5207</v>
      </c>
      <c r="B1425" s="65" t="s">
        <v>81</v>
      </c>
      <c r="C1425" s="65" t="s">
        <v>5208</v>
      </c>
      <c r="D1425" s="65" t="s">
        <v>126</v>
      </c>
      <c r="E1425" s="65" t="s">
        <v>5193</v>
      </c>
      <c r="F1425" s="65" t="b">
        <f>TRUE()</f>
        <v>1</v>
      </c>
      <c r="G1425" s="65" t="s">
        <v>165</v>
      </c>
      <c r="H1425" s="65" t="s">
        <v>3620</v>
      </c>
      <c r="I1425" s="66">
        <v>46210.065456307901</v>
      </c>
      <c r="J1425" s="66">
        <v>46210.283044328702</v>
      </c>
      <c r="K1425" s="65">
        <v>0.2</v>
      </c>
      <c r="L1425" s="65" t="s">
        <v>183</v>
      </c>
      <c r="M1425" s="65" t="s">
        <v>183</v>
      </c>
      <c r="N1425" s="65" t="b">
        <f>FALSE()</f>
        <v>0</v>
      </c>
      <c r="O1425" s="65"/>
      <c r="P1425" s="65"/>
      <c r="Q1425" s="65" t="s">
        <v>236</v>
      </c>
      <c r="R1425" s="65" t="s">
        <v>236</v>
      </c>
      <c r="S1425" s="65"/>
      <c r="T1425" s="65" t="b">
        <f>FALSE()</f>
        <v>0</v>
      </c>
      <c r="U1425" s="65" t="b">
        <f>FALSE()</f>
        <v>0</v>
      </c>
      <c r="V1425" s="65">
        <v>293</v>
      </c>
      <c r="W1425" s="67" t="s">
        <v>5209</v>
      </c>
      <c r="X1425" s="65">
        <v>3</v>
      </c>
      <c r="Y1425" s="68">
        <v>5.25</v>
      </c>
      <c r="Z1425" s="65" t="b">
        <f>FALSE()</f>
        <v>0</v>
      </c>
      <c r="AA1425" s="65" t="b">
        <f>TRUE()</f>
        <v>1</v>
      </c>
      <c r="AB1425" s="65" t="b">
        <f>TRUE()</f>
        <v>1</v>
      </c>
      <c r="AC1425" s="65" t="b">
        <f>FALSE()</f>
        <v>0</v>
      </c>
      <c r="AD1425" s="65" t="b">
        <f>FALSE()</f>
        <v>0</v>
      </c>
      <c r="AE1425" s="65">
        <v>2</v>
      </c>
      <c r="AF1425" s="69">
        <v>28.6</v>
      </c>
      <c r="AG1425" s="65" t="s">
        <v>73</v>
      </c>
      <c r="AH1425" s="65" t="s">
        <v>5210</v>
      </c>
      <c r="AI1425">
        <f>IF(AND(OR(Company_Explorer!$B$5="All Companies",$E1425=Company_Explorer!$B$5),OR(Company_Explorer!$B$6="All Platforms",$B1425=Company_Explorer!$B$6),OR(Company_Explorer!$B$7="All Roles",$D1425=Company_Explorer!$B$7),OR(Company_Explorer!$B$8="All Ghost Labels",$AG1425=Company_Explorer!$B$8)),1,0)</f>
        <v>0</v>
      </c>
    </row>
    <row r="1426" spans="1:35" ht="15" customHeight="1" x14ac:dyDescent="0.3">
      <c r="A1426" s="60" t="s">
        <v>5211</v>
      </c>
      <c r="B1426" s="60" t="s">
        <v>81</v>
      </c>
      <c r="C1426" s="60" t="s">
        <v>5212</v>
      </c>
      <c r="D1426" s="60" t="s">
        <v>126</v>
      </c>
      <c r="E1426" s="60" t="s">
        <v>3868</v>
      </c>
      <c r="F1426" s="60" t="b">
        <f>TRUE()</f>
        <v>1</v>
      </c>
      <c r="G1426" s="60" t="s">
        <v>165</v>
      </c>
      <c r="H1426" s="60" t="s">
        <v>3655</v>
      </c>
      <c r="I1426" s="61">
        <v>46210.142871620403</v>
      </c>
      <c r="J1426" s="61">
        <v>46210.283052905099</v>
      </c>
      <c r="K1426" s="60">
        <v>0.1</v>
      </c>
      <c r="L1426" s="60" t="s">
        <v>183</v>
      </c>
      <c r="M1426" s="60" t="s">
        <v>183</v>
      </c>
      <c r="N1426" s="60" t="b">
        <f>FALSE()</f>
        <v>0</v>
      </c>
      <c r="O1426" s="60"/>
      <c r="P1426" s="60"/>
      <c r="Q1426" s="60" t="s">
        <v>236</v>
      </c>
      <c r="R1426" s="60" t="s">
        <v>236</v>
      </c>
      <c r="S1426" s="60"/>
      <c r="T1426" s="60" t="b">
        <f>FALSE()</f>
        <v>0</v>
      </c>
      <c r="U1426" s="60" t="b">
        <f>FALSE()</f>
        <v>0</v>
      </c>
      <c r="V1426" s="60">
        <v>525</v>
      </c>
      <c r="W1426" s="62" t="s">
        <v>5213</v>
      </c>
      <c r="X1426" s="60">
        <v>12</v>
      </c>
      <c r="Y1426" s="63">
        <v>21</v>
      </c>
      <c r="Z1426" s="60" t="b">
        <f>FALSE()</f>
        <v>0</v>
      </c>
      <c r="AA1426" s="60" t="b">
        <f>TRUE()</f>
        <v>1</v>
      </c>
      <c r="AB1426" s="60" t="b">
        <f>FALSE()</f>
        <v>0</v>
      </c>
      <c r="AC1426" s="60" t="b">
        <f>FALSE()</f>
        <v>0</v>
      </c>
      <c r="AD1426" s="60" t="b">
        <f>FALSE()</f>
        <v>0</v>
      </c>
      <c r="AE1426" s="60">
        <v>1</v>
      </c>
      <c r="AF1426" s="64">
        <v>14.3</v>
      </c>
      <c r="AG1426" s="60" t="s">
        <v>74</v>
      </c>
      <c r="AH1426" s="60" t="s">
        <v>5214</v>
      </c>
      <c r="AI1426">
        <f>IF(AND(OR(Company_Explorer!$B$5="All Companies",$E1426=Company_Explorer!$B$5),OR(Company_Explorer!$B$6="All Platforms",$B1426=Company_Explorer!$B$6),OR(Company_Explorer!$B$7="All Roles",$D1426=Company_Explorer!$B$7),OR(Company_Explorer!$B$8="All Ghost Labels",$AG1426=Company_Explorer!$B$8)),1,0)</f>
        <v>0</v>
      </c>
    </row>
    <row r="1427" spans="1:35" ht="15" customHeight="1" x14ac:dyDescent="0.3">
      <c r="A1427" s="65" t="s">
        <v>5215</v>
      </c>
      <c r="B1427" s="65" t="s">
        <v>81</v>
      </c>
      <c r="C1427" s="65" t="s">
        <v>5216</v>
      </c>
      <c r="D1427" s="65" t="s">
        <v>126</v>
      </c>
      <c r="E1427" s="65" t="s">
        <v>3868</v>
      </c>
      <c r="F1427" s="65" t="b">
        <f>TRUE()</f>
        <v>1</v>
      </c>
      <c r="G1427" s="65" t="s">
        <v>165</v>
      </c>
      <c r="H1427" s="65" t="s">
        <v>3655</v>
      </c>
      <c r="I1427" s="66">
        <v>46210.142853692101</v>
      </c>
      <c r="J1427" s="66">
        <v>46210.283053923602</v>
      </c>
      <c r="K1427" s="65">
        <v>0.1</v>
      </c>
      <c r="L1427" s="65" t="s">
        <v>183</v>
      </c>
      <c r="M1427" s="65" t="s">
        <v>183</v>
      </c>
      <c r="N1427" s="65" t="b">
        <f>FALSE()</f>
        <v>0</v>
      </c>
      <c r="O1427" s="65"/>
      <c r="P1427" s="65"/>
      <c r="Q1427" s="65" t="s">
        <v>236</v>
      </c>
      <c r="R1427" s="65" t="s">
        <v>236</v>
      </c>
      <c r="S1427" s="65"/>
      <c r="T1427" s="65" t="b">
        <f>FALSE()</f>
        <v>0</v>
      </c>
      <c r="U1427" s="65" t="b">
        <f>FALSE()</f>
        <v>0</v>
      </c>
      <c r="V1427" s="65">
        <v>644</v>
      </c>
      <c r="W1427" s="67" t="s">
        <v>5217</v>
      </c>
      <c r="X1427" s="65">
        <v>12</v>
      </c>
      <c r="Y1427" s="68">
        <v>21</v>
      </c>
      <c r="Z1427" s="65" t="b">
        <f>FALSE()</f>
        <v>0</v>
      </c>
      <c r="AA1427" s="65" t="b">
        <f>TRUE()</f>
        <v>1</v>
      </c>
      <c r="AB1427" s="65" t="b">
        <f>FALSE()</f>
        <v>0</v>
      </c>
      <c r="AC1427" s="65" t="b">
        <f>FALSE()</f>
        <v>0</v>
      </c>
      <c r="AD1427" s="65" t="b">
        <f>FALSE()</f>
        <v>0</v>
      </c>
      <c r="AE1427" s="65">
        <v>1</v>
      </c>
      <c r="AF1427" s="69">
        <v>14.3</v>
      </c>
      <c r="AG1427" s="65" t="s">
        <v>74</v>
      </c>
      <c r="AH1427" s="65" t="s">
        <v>5218</v>
      </c>
      <c r="AI1427">
        <f>IF(AND(OR(Company_Explorer!$B$5="All Companies",$E1427=Company_Explorer!$B$5),OR(Company_Explorer!$B$6="All Platforms",$B1427=Company_Explorer!$B$6),OR(Company_Explorer!$B$7="All Roles",$D1427=Company_Explorer!$B$7),OR(Company_Explorer!$B$8="All Ghost Labels",$AG1427=Company_Explorer!$B$8)),1,0)</f>
        <v>0</v>
      </c>
    </row>
    <row r="1428" spans="1:35" ht="15" customHeight="1" x14ac:dyDescent="0.3">
      <c r="A1428" s="60" t="s">
        <v>5219</v>
      </c>
      <c r="B1428" s="60" t="s">
        <v>81</v>
      </c>
      <c r="C1428" s="60" t="s">
        <v>5220</v>
      </c>
      <c r="D1428" s="60" t="s">
        <v>126</v>
      </c>
      <c r="E1428" s="60" t="s">
        <v>5221</v>
      </c>
      <c r="F1428" s="60" t="b">
        <f>TRUE()</f>
        <v>1</v>
      </c>
      <c r="G1428" s="60" t="s">
        <v>165</v>
      </c>
      <c r="H1428" s="60" t="s">
        <v>3672</v>
      </c>
      <c r="I1428" s="61">
        <v>46210.053658611097</v>
      </c>
      <c r="J1428" s="61">
        <v>46210.283054930602</v>
      </c>
      <c r="K1428" s="60">
        <v>0.2</v>
      </c>
      <c r="L1428" s="60" t="s">
        <v>183</v>
      </c>
      <c r="M1428" s="60" t="s">
        <v>183</v>
      </c>
      <c r="N1428" s="60" t="b">
        <f>FALSE()</f>
        <v>0</v>
      </c>
      <c r="O1428" s="60"/>
      <c r="P1428" s="60"/>
      <c r="Q1428" s="60" t="s">
        <v>236</v>
      </c>
      <c r="R1428" s="60" t="s">
        <v>236</v>
      </c>
      <c r="S1428" s="60"/>
      <c r="T1428" s="60" t="b">
        <f>FALSE()</f>
        <v>0</v>
      </c>
      <c r="U1428" s="60" t="b">
        <f>FALSE()</f>
        <v>0</v>
      </c>
      <c r="V1428" s="60">
        <v>349</v>
      </c>
      <c r="W1428" s="62" t="s">
        <v>5222</v>
      </c>
      <c r="X1428" s="60">
        <v>2</v>
      </c>
      <c r="Y1428" s="63">
        <v>3.5</v>
      </c>
      <c r="Z1428" s="60" t="b">
        <f>FALSE()</f>
        <v>0</v>
      </c>
      <c r="AA1428" s="60" t="b">
        <f>TRUE()</f>
        <v>1</v>
      </c>
      <c r="AB1428" s="60" t="b">
        <f>FALSE()</f>
        <v>0</v>
      </c>
      <c r="AC1428" s="60" t="b">
        <f>FALSE()</f>
        <v>0</v>
      </c>
      <c r="AD1428" s="60" t="b">
        <f>FALSE()</f>
        <v>0</v>
      </c>
      <c r="AE1428" s="60">
        <v>1</v>
      </c>
      <c r="AF1428" s="64">
        <v>14.3</v>
      </c>
      <c r="AG1428" s="60" t="s">
        <v>74</v>
      </c>
      <c r="AH1428" s="60" t="s">
        <v>5223</v>
      </c>
      <c r="AI1428">
        <f>IF(AND(OR(Company_Explorer!$B$5="All Companies",$E1428=Company_Explorer!$B$5),OR(Company_Explorer!$B$6="All Platforms",$B1428=Company_Explorer!$B$6),OR(Company_Explorer!$B$7="All Roles",$D1428=Company_Explorer!$B$7),OR(Company_Explorer!$B$8="All Ghost Labels",$AG1428=Company_Explorer!$B$8)),1,0)</f>
        <v>0</v>
      </c>
    </row>
    <row r="1429" spans="1:35" ht="15" customHeight="1" x14ac:dyDescent="0.3">
      <c r="A1429" s="65" t="s">
        <v>5224</v>
      </c>
      <c r="B1429" s="65" t="s">
        <v>81</v>
      </c>
      <c r="C1429" s="65" t="s">
        <v>5225</v>
      </c>
      <c r="D1429" s="65" t="s">
        <v>128</v>
      </c>
      <c r="E1429" s="65" t="s">
        <v>143</v>
      </c>
      <c r="F1429" s="65" t="b">
        <f>TRUE()</f>
        <v>1</v>
      </c>
      <c r="G1429" s="65" t="s">
        <v>165</v>
      </c>
      <c r="H1429" s="65" t="s">
        <v>3636</v>
      </c>
      <c r="I1429" s="66">
        <v>46210.053320520798</v>
      </c>
      <c r="J1429" s="66">
        <v>46210.283055983797</v>
      </c>
      <c r="K1429" s="65">
        <v>0.2</v>
      </c>
      <c r="L1429" s="65" t="s">
        <v>183</v>
      </c>
      <c r="M1429" s="65" t="s">
        <v>183</v>
      </c>
      <c r="N1429" s="65" t="b">
        <f>FALSE()</f>
        <v>0</v>
      </c>
      <c r="O1429" s="65"/>
      <c r="P1429" s="65"/>
      <c r="Q1429" s="65" t="s">
        <v>236</v>
      </c>
      <c r="R1429" s="65" t="s">
        <v>236</v>
      </c>
      <c r="S1429" s="65"/>
      <c r="T1429" s="65" t="b">
        <f>FALSE()</f>
        <v>0</v>
      </c>
      <c r="U1429" s="65" t="b">
        <f>FALSE()</f>
        <v>0</v>
      </c>
      <c r="V1429" s="65">
        <v>326</v>
      </c>
      <c r="W1429" s="67" t="s">
        <v>5226</v>
      </c>
      <c r="X1429" s="65">
        <v>64</v>
      </c>
      <c r="Y1429" s="68">
        <v>112</v>
      </c>
      <c r="Z1429" s="65" t="b">
        <f>FALSE()</f>
        <v>0</v>
      </c>
      <c r="AA1429" s="65" t="b">
        <f>TRUE()</f>
        <v>1</v>
      </c>
      <c r="AB1429" s="65" t="b">
        <f>FALSE()</f>
        <v>0</v>
      </c>
      <c r="AC1429" s="65" t="b">
        <f>FALSE()</f>
        <v>0</v>
      </c>
      <c r="AD1429" s="65" t="b">
        <f>TRUE()</f>
        <v>1</v>
      </c>
      <c r="AE1429" s="65">
        <v>3</v>
      </c>
      <c r="AF1429" s="69">
        <v>42.9</v>
      </c>
      <c r="AG1429" s="65" t="s">
        <v>73</v>
      </c>
      <c r="AH1429" s="65" t="s">
        <v>5227</v>
      </c>
      <c r="AI1429">
        <f>IF(AND(OR(Company_Explorer!$B$5="All Companies",$E1429=Company_Explorer!$B$5),OR(Company_Explorer!$B$6="All Platforms",$B1429=Company_Explorer!$B$6),OR(Company_Explorer!$B$7="All Roles",$D1429=Company_Explorer!$B$7),OR(Company_Explorer!$B$8="All Ghost Labels",$AG1429=Company_Explorer!$B$8)),1,0)</f>
        <v>0</v>
      </c>
    </row>
    <row r="1430" spans="1:35" ht="15" customHeight="1" x14ac:dyDescent="0.3">
      <c r="A1430" s="60" t="s">
        <v>5228</v>
      </c>
      <c r="B1430" s="60" t="s">
        <v>81</v>
      </c>
      <c r="C1430" s="60" t="s">
        <v>5229</v>
      </c>
      <c r="D1430" s="60" t="s">
        <v>126</v>
      </c>
      <c r="E1430" s="60" t="s">
        <v>3868</v>
      </c>
      <c r="F1430" s="60" t="b">
        <f>TRUE()</f>
        <v>1</v>
      </c>
      <c r="G1430" s="60" t="s">
        <v>165</v>
      </c>
      <c r="H1430" s="60" t="s">
        <v>3655</v>
      </c>
      <c r="I1430" s="61">
        <v>46210.142849988399</v>
      </c>
      <c r="J1430" s="61">
        <v>46210.283057141198</v>
      </c>
      <c r="K1430" s="60">
        <v>0.1</v>
      </c>
      <c r="L1430" s="60" t="s">
        <v>183</v>
      </c>
      <c r="M1430" s="60" t="s">
        <v>183</v>
      </c>
      <c r="N1430" s="60" t="b">
        <f>FALSE()</f>
        <v>0</v>
      </c>
      <c r="O1430" s="60"/>
      <c r="P1430" s="60"/>
      <c r="Q1430" s="60" t="s">
        <v>236</v>
      </c>
      <c r="R1430" s="60" t="s">
        <v>236</v>
      </c>
      <c r="S1430" s="60"/>
      <c r="T1430" s="60" t="b">
        <f>FALSE()</f>
        <v>0</v>
      </c>
      <c r="U1430" s="60" t="b">
        <f>FALSE()</f>
        <v>0</v>
      </c>
      <c r="V1430" s="60">
        <v>779</v>
      </c>
      <c r="W1430" s="62" t="s">
        <v>5184</v>
      </c>
      <c r="X1430" s="60">
        <v>12</v>
      </c>
      <c r="Y1430" s="63">
        <v>21</v>
      </c>
      <c r="Z1430" s="60" t="b">
        <f>FALSE()</f>
        <v>0</v>
      </c>
      <c r="AA1430" s="60" t="b">
        <f>TRUE()</f>
        <v>1</v>
      </c>
      <c r="AB1430" s="60" t="b">
        <f>FALSE()</f>
        <v>0</v>
      </c>
      <c r="AC1430" s="60" t="b">
        <f>FALSE()</f>
        <v>0</v>
      </c>
      <c r="AD1430" s="60" t="b">
        <f>FALSE()</f>
        <v>0</v>
      </c>
      <c r="AE1430" s="60">
        <v>1</v>
      </c>
      <c r="AF1430" s="64">
        <v>14.3</v>
      </c>
      <c r="AG1430" s="60" t="s">
        <v>74</v>
      </c>
      <c r="AH1430" s="60" t="s">
        <v>5230</v>
      </c>
      <c r="AI1430">
        <f>IF(AND(OR(Company_Explorer!$B$5="All Companies",$E1430=Company_Explorer!$B$5),OR(Company_Explorer!$B$6="All Platforms",$B1430=Company_Explorer!$B$6),OR(Company_Explorer!$B$7="All Roles",$D1430=Company_Explorer!$B$7),OR(Company_Explorer!$B$8="All Ghost Labels",$AG1430=Company_Explorer!$B$8)),1,0)</f>
        <v>0</v>
      </c>
    </row>
    <row r="1431" spans="1:35" ht="15" customHeight="1" x14ac:dyDescent="0.3">
      <c r="A1431" s="65" t="s">
        <v>5231</v>
      </c>
      <c r="B1431" s="65" t="s">
        <v>81</v>
      </c>
      <c r="C1431" s="65" t="s">
        <v>5232</v>
      </c>
      <c r="D1431" s="65" t="s">
        <v>128</v>
      </c>
      <c r="E1431" s="65" t="s">
        <v>143</v>
      </c>
      <c r="F1431" s="65" t="b">
        <f>TRUE()</f>
        <v>1</v>
      </c>
      <c r="G1431" s="65" t="s">
        <v>165</v>
      </c>
      <c r="H1431" s="65" t="s">
        <v>3620</v>
      </c>
      <c r="I1431" s="66">
        <v>46210.053281886598</v>
      </c>
      <c r="J1431" s="66">
        <v>46210.283058078698</v>
      </c>
      <c r="K1431" s="65">
        <v>0.2</v>
      </c>
      <c r="L1431" s="65" t="s">
        <v>183</v>
      </c>
      <c r="M1431" s="65" t="s">
        <v>183</v>
      </c>
      <c r="N1431" s="65" t="b">
        <f>FALSE()</f>
        <v>0</v>
      </c>
      <c r="O1431" s="65"/>
      <c r="P1431" s="65"/>
      <c r="Q1431" s="65" t="s">
        <v>236</v>
      </c>
      <c r="R1431" s="65" t="s">
        <v>236</v>
      </c>
      <c r="S1431" s="65"/>
      <c r="T1431" s="65" t="b">
        <f>FALSE()</f>
        <v>0</v>
      </c>
      <c r="U1431" s="65" t="b">
        <f>FALSE()</f>
        <v>0</v>
      </c>
      <c r="V1431" s="65">
        <v>158</v>
      </c>
      <c r="W1431" s="67" t="s">
        <v>5233</v>
      </c>
      <c r="X1431" s="65">
        <v>64</v>
      </c>
      <c r="Y1431" s="68">
        <v>112</v>
      </c>
      <c r="Z1431" s="65" t="b">
        <f>FALSE()</f>
        <v>0</v>
      </c>
      <c r="AA1431" s="65" t="b">
        <f>TRUE()</f>
        <v>1</v>
      </c>
      <c r="AB1431" s="65" t="b">
        <f>TRUE()</f>
        <v>1</v>
      </c>
      <c r="AC1431" s="65" t="b">
        <f>FALSE()</f>
        <v>0</v>
      </c>
      <c r="AD1431" s="65" t="b">
        <f>TRUE()</f>
        <v>1</v>
      </c>
      <c r="AE1431" s="65">
        <v>4</v>
      </c>
      <c r="AF1431" s="69">
        <v>57.1</v>
      </c>
      <c r="AG1431" s="65" t="s">
        <v>72</v>
      </c>
      <c r="AH1431" s="65" t="s">
        <v>5234</v>
      </c>
      <c r="AI1431">
        <f>IF(AND(OR(Company_Explorer!$B$5="All Companies",$E1431=Company_Explorer!$B$5),OR(Company_Explorer!$B$6="All Platforms",$B1431=Company_Explorer!$B$6),OR(Company_Explorer!$B$7="All Roles",$D1431=Company_Explorer!$B$7),OR(Company_Explorer!$B$8="All Ghost Labels",$AG1431=Company_Explorer!$B$8)),1,0)</f>
        <v>0</v>
      </c>
    </row>
    <row r="1432" spans="1:35" ht="15" customHeight="1" x14ac:dyDescent="0.3">
      <c r="A1432" s="60" t="s">
        <v>5235</v>
      </c>
      <c r="B1432" s="60" t="s">
        <v>81</v>
      </c>
      <c r="C1432" s="60" t="s">
        <v>5236</v>
      </c>
      <c r="D1432" s="60" t="s">
        <v>126</v>
      </c>
      <c r="E1432" s="60" t="s">
        <v>4834</v>
      </c>
      <c r="F1432" s="60" t="b">
        <f>TRUE()</f>
        <v>1</v>
      </c>
      <c r="G1432" s="60" t="s">
        <v>165</v>
      </c>
      <c r="H1432" s="60" t="s">
        <v>3636</v>
      </c>
      <c r="I1432" s="61">
        <v>46210.038857453699</v>
      </c>
      <c r="J1432" s="61">
        <v>46210.283059791698</v>
      </c>
      <c r="K1432" s="60">
        <v>0.2</v>
      </c>
      <c r="L1432" s="60" t="s">
        <v>183</v>
      </c>
      <c r="M1432" s="60" t="s">
        <v>183</v>
      </c>
      <c r="N1432" s="60" t="b">
        <f>FALSE()</f>
        <v>0</v>
      </c>
      <c r="O1432" s="60"/>
      <c r="P1432" s="60"/>
      <c r="Q1432" s="60" t="s">
        <v>236</v>
      </c>
      <c r="R1432" s="60" t="s">
        <v>236</v>
      </c>
      <c r="S1432" s="60"/>
      <c r="T1432" s="60" t="b">
        <f>FALSE()</f>
        <v>0</v>
      </c>
      <c r="U1432" s="60" t="b">
        <f>FALSE()</f>
        <v>0</v>
      </c>
      <c r="V1432" s="60">
        <v>531</v>
      </c>
      <c r="W1432" s="62" t="s">
        <v>5237</v>
      </c>
      <c r="X1432" s="60">
        <v>2</v>
      </c>
      <c r="Y1432" s="63">
        <v>3.5</v>
      </c>
      <c r="Z1432" s="60" t="b">
        <f>FALSE()</f>
        <v>0</v>
      </c>
      <c r="AA1432" s="60" t="b">
        <f>TRUE()</f>
        <v>1</v>
      </c>
      <c r="AB1432" s="60" t="b">
        <f>FALSE()</f>
        <v>0</v>
      </c>
      <c r="AC1432" s="60" t="b">
        <f>FALSE()</f>
        <v>0</v>
      </c>
      <c r="AD1432" s="60" t="b">
        <f>FALSE()</f>
        <v>0</v>
      </c>
      <c r="AE1432" s="60">
        <v>1</v>
      </c>
      <c r="AF1432" s="64">
        <v>14.3</v>
      </c>
      <c r="AG1432" s="60" t="s">
        <v>74</v>
      </c>
      <c r="AH1432" s="60" t="s">
        <v>5238</v>
      </c>
      <c r="AI1432">
        <f>IF(AND(OR(Company_Explorer!$B$5="All Companies",$E1432=Company_Explorer!$B$5),OR(Company_Explorer!$B$6="All Platforms",$B1432=Company_Explorer!$B$6),OR(Company_Explorer!$B$7="All Roles",$D1432=Company_Explorer!$B$7),OR(Company_Explorer!$B$8="All Ghost Labels",$AG1432=Company_Explorer!$B$8)),1,0)</f>
        <v>0</v>
      </c>
    </row>
    <row r="1433" spans="1:35" ht="15" customHeight="1" x14ac:dyDescent="0.3">
      <c r="A1433" s="65" t="s">
        <v>5239</v>
      </c>
      <c r="B1433" s="65" t="s">
        <v>81</v>
      </c>
      <c r="C1433" s="65" t="s">
        <v>5240</v>
      </c>
      <c r="D1433" s="65" t="s">
        <v>126</v>
      </c>
      <c r="E1433" s="65" t="s">
        <v>5241</v>
      </c>
      <c r="F1433" s="65" t="b">
        <f>TRUE()</f>
        <v>1</v>
      </c>
      <c r="G1433" s="65" t="s">
        <v>165</v>
      </c>
      <c r="H1433" s="65" t="s">
        <v>3620</v>
      </c>
      <c r="I1433" s="66">
        <v>46210.0267108681</v>
      </c>
      <c r="J1433" s="66">
        <v>46210.283060891197</v>
      </c>
      <c r="K1433" s="65">
        <v>0.3</v>
      </c>
      <c r="L1433" s="65" t="s">
        <v>183</v>
      </c>
      <c r="M1433" s="65" t="s">
        <v>183</v>
      </c>
      <c r="N1433" s="65" t="b">
        <f>TRUE()</f>
        <v>1</v>
      </c>
      <c r="O1433" s="71">
        <v>4000000</v>
      </c>
      <c r="P1433" s="71">
        <v>4500000</v>
      </c>
      <c r="Q1433" s="65" t="s">
        <v>3663</v>
      </c>
      <c r="R1433" s="65" t="s">
        <v>3961</v>
      </c>
      <c r="S1433" s="71">
        <v>4250000</v>
      </c>
      <c r="T1433" s="65" t="b">
        <f>TRUE()</f>
        <v>1</v>
      </c>
      <c r="U1433" s="65" t="b">
        <f>FALSE()</f>
        <v>0</v>
      </c>
      <c r="V1433" s="65">
        <v>552</v>
      </c>
      <c r="W1433" s="67" t="s">
        <v>5242</v>
      </c>
      <c r="X1433" s="65">
        <v>1</v>
      </c>
      <c r="Y1433" s="68">
        <v>1.75</v>
      </c>
      <c r="Z1433" s="65" t="b">
        <f>FALSE()</f>
        <v>0</v>
      </c>
      <c r="AA1433" s="65" t="b">
        <f>FALSE()</f>
        <v>0</v>
      </c>
      <c r="AB1433" s="65" t="b">
        <f>FALSE()</f>
        <v>0</v>
      </c>
      <c r="AC1433" s="65" t="b">
        <f>FALSE()</f>
        <v>0</v>
      </c>
      <c r="AD1433" s="65" t="b">
        <f>FALSE()</f>
        <v>0</v>
      </c>
      <c r="AE1433" s="65">
        <v>0</v>
      </c>
      <c r="AF1433" s="69">
        <v>0</v>
      </c>
      <c r="AG1433" s="65" t="s">
        <v>74</v>
      </c>
      <c r="AH1433" s="65" t="s">
        <v>5243</v>
      </c>
      <c r="AI1433">
        <f>IF(AND(OR(Company_Explorer!$B$5="All Companies",$E1433=Company_Explorer!$B$5),OR(Company_Explorer!$B$6="All Platforms",$B1433=Company_Explorer!$B$6),OR(Company_Explorer!$B$7="All Roles",$D1433=Company_Explorer!$B$7),OR(Company_Explorer!$B$8="All Ghost Labels",$AG1433=Company_Explorer!$B$8)),1,0)</f>
        <v>0</v>
      </c>
    </row>
    <row r="1434" spans="1:35" ht="15" customHeight="1" x14ac:dyDescent="0.3">
      <c r="A1434" s="60" t="s">
        <v>5244</v>
      </c>
      <c r="B1434" s="60" t="s">
        <v>81</v>
      </c>
      <c r="C1434" s="60" t="s">
        <v>5245</v>
      </c>
      <c r="D1434" s="60" t="s">
        <v>126</v>
      </c>
      <c r="E1434" s="60" t="s">
        <v>3868</v>
      </c>
      <c r="F1434" s="60" t="b">
        <f>TRUE()</f>
        <v>1</v>
      </c>
      <c r="G1434" s="60" t="s">
        <v>165</v>
      </c>
      <c r="H1434" s="60" t="s">
        <v>3620</v>
      </c>
      <c r="I1434" s="61">
        <v>46210.1428516667</v>
      </c>
      <c r="J1434" s="61">
        <v>46210.2830627894</v>
      </c>
      <c r="K1434" s="60">
        <v>0.1</v>
      </c>
      <c r="L1434" s="60" t="s">
        <v>183</v>
      </c>
      <c r="M1434" s="60" t="s">
        <v>183</v>
      </c>
      <c r="N1434" s="60" t="b">
        <f>FALSE()</f>
        <v>0</v>
      </c>
      <c r="O1434" s="60"/>
      <c r="P1434" s="60"/>
      <c r="Q1434" s="60" t="s">
        <v>236</v>
      </c>
      <c r="R1434" s="60" t="s">
        <v>236</v>
      </c>
      <c r="S1434" s="60"/>
      <c r="T1434" s="60" t="b">
        <f>FALSE()</f>
        <v>0</v>
      </c>
      <c r="U1434" s="60" t="b">
        <f>FALSE()</f>
        <v>0</v>
      </c>
      <c r="V1434" s="60">
        <v>445</v>
      </c>
      <c r="W1434" s="62" t="s">
        <v>5246</v>
      </c>
      <c r="X1434" s="60">
        <v>12</v>
      </c>
      <c r="Y1434" s="63">
        <v>21</v>
      </c>
      <c r="Z1434" s="60" t="b">
        <f>FALSE()</f>
        <v>0</v>
      </c>
      <c r="AA1434" s="60" t="b">
        <f>TRUE()</f>
        <v>1</v>
      </c>
      <c r="AB1434" s="60" t="b">
        <f>FALSE()</f>
        <v>0</v>
      </c>
      <c r="AC1434" s="60" t="b">
        <f>FALSE()</f>
        <v>0</v>
      </c>
      <c r="AD1434" s="60" t="b">
        <f>FALSE()</f>
        <v>0</v>
      </c>
      <c r="AE1434" s="60">
        <v>1</v>
      </c>
      <c r="AF1434" s="64">
        <v>14.3</v>
      </c>
      <c r="AG1434" s="60" t="s">
        <v>74</v>
      </c>
      <c r="AH1434" s="60" t="s">
        <v>5247</v>
      </c>
      <c r="AI1434">
        <f>IF(AND(OR(Company_Explorer!$B$5="All Companies",$E1434=Company_Explorer!$B$5),OR(Company_Explorer!$B$6="All Platforms",$B1434=Company_Explorer!$B$6),OR(Company_Explorer!$B$7="All Roles",$D1434=Company_Explorer!$B$7),OR(Company_Explorer!$B$8="All Ghost Labels",$AG1434=Company_Explorer!$B$8)),1,0)</f>
        <v>0</v>
      </c>
    </row>
    <row r="1435" spans="1:35" ht="15" customHeight="1" x14ac:dyDescent="0.3">
      <c r="A1435" s="65" t="s">
        <v>5248</v>
      </c>
      <c r="B1435" s="65" t="s">
        <v>81</v>
      </c>
      <c r="C1435" s="65" t="s">
        <v>5232</v>
      </c>
      <c r="D1435" s="65" t="s">
        <v>128</v>
      </c>
      <c r="E1435" s="65" t="s">
        <v>143</v>
      </c>
      <c r="F1435" s="65" t="b">
        <f>TRUE()</f>
        <v>1</v>
      </c>
      <c r="G1435" s="65" t="s">
        <v>165</v>
      </c>
      <c r="H1435" s="65" t="s">
        <v>3620</v>
      </c>
      <c r="I1435" s="66">
        <v>46210.053334895798</v>
      </c>
      <c r="J1435" s="66">
        <v>46210.283064919</v>
      </c>
      <c r="K1435" s="65">
        <v>0.2</v>
      </c>
      <c r="L1435" s="65" t="s">
        <v>183</v>
      </c>
      <c r="M1435" s="65" t="s">
        <v>183</v>
      </c>
      <c r="N1435" s="65" t="b">
        <f>FALSE()</f>
        <v>0</v>
      </c>
      <c r="O1435" s="65"/>
      <c r="P1435" s="65"/>
      <c r="Q1435" s="65" t="s">
        <v>236</v>
      </c>
      <c r="R1435" s="65" t="s">
        <v>236</v>
      </c>
      <c r="S1435" s="65"/>
      <c r="T1435" s="65" t="b">
        <f>FALSE()</f>
        <v>0</v>
      </c>
      <c r="U1435" s="65" t="b">
        <f>FALSE()</f>
        <v>0</v>
      </c>
      <c r="V1435" s="65">
        <v>169</v>
      </c>
      <c r="W1435" s="67" t="s">
        <v>5233</v>
      </c>
      <c r="X1435" s="65">
        <v>64</v>
      </c>
      <c r="Y1435" s="68">
        <v>112</v>
      </c>
      <c r="Z1435" s="65" t="b">
        <f>FALSE()</f>
        <v>0</v>
      </c>
      <c r="AA1435" s="65" t="b">
        <f>TRUE()</f>
        <v>1</v>
      </c>
      <c r="AB1435" s="65" t="b">
        <f>TRUE()</f>
        <v>1</v>
      </c>
      <c r="AC1435" s="65" t="b">
        <f>FALSE()</f>
        <v>0</v>
      </c>
      <c r="AD1435" s="65" t="b">
        <f>TRUE()</f>
        <v>1</v>
      </c>
      <c r="AE1435" s="65">
        <v>4</v>
      </c>
      <c r="AF1435" s="69">
        <v>57.1</v>
      </c>
      <c r="AG1435" s="65" t="s">
        <v>72</v>
      </c>
      <c r="AH1435" s="65" t="s">
        <v>5249</v>
      </c>
      <c r="AI1435">
        <f>IF(AND(OR(Company_Explorer!$B$5="All Companies",$E1435=Company_Explorer!$B$5),OR(Company_Explorer!$B$6="All Platforms",$B1435=Company_Explorer!$B$6),OR(Company_Explorer!$B$7="All Roles",$D1435=Company_Explorer!$B$7),OR(Company_Explorer!$B$8="All Ghost Labels",$AG1435=Company_Explorer!$B$8)),1,0)</f>
        <v>0</v>
      </c>
    </row>
    <row r="1436" spans="1:35" ht="15" customHeight="1" x14ac:dyDescent="0.3">
      <c r="A1436" s="60" t="s">
        <v>5250</v>
      </c>
      <c r="B1436" s="60" t="s">
        <v>81</v>
      </c>
      <c r="C1436" s="60" t="s">
        <v>5251</v>
      </c>
      <c r="D1436" s="60" t="s">
        <v>126</v>
      </c>
      <c r="E1436" s="60" t="s">
        <v>3868</v>
      </c>
      <c r="F1436" s="60" t="b">
        <f>TRUE()</f>
        <v>1</v>
      </c>
      <c r="G1436" s="60" t="s">
        <v>165</v>
      </c>
      <c r="H1436" s="60" t="s">
        <v>3655</v>
      </c>
      <c r="I1436" s="61">
        <v>46210.142847615702</v>
      </c>
      <c r="J1436" s="61">
        <v>46210.283065891199</v>
      </c>
      <c r="K1436" s="60">
        <v>0.1</v>
      </c>
      <c r="L1436" s="60" t="s">
        <v>183</v>
      </c>
      <c r="M1436" s="60" t="s">
        <v>183</v>
      </c>
      <c r="N1436" s="60" t="b">
        <f>FALSE()</f>
        <v>0</v>
      </c>
      <c r="O1436" s="60"/>
      <c r="P1436" s="60"/>
      <c r="Q1436" s="60" t="s">
        <v>236</v>
      </c>
      <c r="R1436" s="60" t="s">
        <v>236</v>
      </c>
      <c r="S1436" s="60"/>
      <c r="T1436" s="60" t="b">
        <f>FALSE()</f>
        <v>0</v>
      </c>
      <c r="U1436" s="60" t="b">
        <f>FALSE()</f>
        <v>0</v>
      </c>
      <c r="V1436" s="60">
        <v>653</v>
      </c>
      <c r="W1436" s="62" t="s">
        <v>5217</v>
      </c>
      <c r="X1436" s="60">
        <v>12</v>
      </c>
      <c r="Y1436" s="63">
        <v>21</v>
      </c>
      <c r="Z1436" s="60" t="b">
        <f>FALSE()</f>
        <v>0</v>
      </c>
      <c r="AA1436" s="60" t="b">
        <f>TRUE()</f>
        <v>1</v>
      </c>
      <c r="AB1436" s="60" t="b">
        <f>FALSE()</f>
        <v>0</v>
      </c>
      <c r="AC1436" s="60" t="b">
        <f>FALSE()</f>
        <v>0</v>
      </c>
      <c r="AD1436" s="60" t="b">
        <f>FALSE()</f>
        <v>0</v>
      </c>
      <c r="AE1436" s="60">
        <v>1</v>
      </c>
      <c r="AF1436" s="64">
        <v>14.3</v>
      </c>
      <c r="AG1436" s="60" t="s">
        <v>74</v>
      </c>
      <c r="AH1436" s="60" t="s">
        <v>5252</v>
      </c>
      <c r="AI1436">
        <f>IF(AND(OR(Company_Explorer!$B$5="All Companies",$E1436=Company_Explorer!$B$5),OR(Company_Explorer!$B$6="All Platforms",$B1436=Company_Explorer!$B$6),OR(Company_Explorer!$B$7="All Roles",$D1436=Company_Explorer!$B$7),OR(Company_Explorer!$B$8="All Ghost Labels",$AG1436=Company_Explorer!$B$8)),1,0)</f>
        <v>0</v>
      </c>
    </row>
    <row r="1437" spans="1:35" ht="15" customHeight="1" x14ac:dyDescent="0.3">
      <c r="A1437" s="65" t="s">
        <v>5253</v>
      </c>
      <c r="B1437" s="65" t="s">
        <v>81</v>
      </c>
      <c r="C1437" s="65" t="s">
        <v>5254</v>
      </c>
      <c r="D1437" s="65" t="s">
        <v>126</v>
      </c>
      <c r="E1437" s="65" t="s">
        <v>4841</v>
      </c>
      <c r="F1437" s="65" t="b">
        <f>TRUE()</f>
        <v>1</v>
      </c>
      <c r="G1437" s="65" t="s">
        <v>165</v>
      </c>
      <c r="H1437" s="65" t="s">
        <v>3620</v>
      </c>
      <c r="I1437" s="66">
        <v>46210.024320358803</v>
      </c>
      <c r="J1437" s="66">
        <v>46210.283068229197</v>
      </c>
      <c r="K1437" s="65">
        <v>0.3</v>
      </c>
      <c r="L1437" s="65" t="s">
        <v>183</v>
      </c>
      <c r="M1437" s="65" t="s">
        <v>183</v>
      </c>
      <c r="N1437" s="65" t="b">
        <f>FALSE()</f>
        <v>0</v>
      </c>
      <c r="O1437" s="65"/>
      <c r="P1437" s="65"/>
      <c r="Q1437" s="65" t="s">
        <v>236</v>
      </c>
      <c r="R1437" s="65" t="s">
        <v>236</v>
      </c>
      <c r="S1437" s="65"/>
      <c r="T1437" s="65" t="b">
        <f>FALSE()</f>
        <v>0</v>
      </c>
      <c r="U1437" s="65" t="b">
        <f>FALSE()</f>
        <v>0</v>
      </c>
      <c r="V1437" s="65">
        <v>843</v>
      </c>
      <c r="W1437" s="67" t="s">
        <v>4842</v>
      </c>
      <c r="X1437" s="65">
        <v>2</v>
      </c>
      <c r="Y1437" s="68">
        <v>3.5</v>
      </c>
      <c r="Z1437" s="65" t="b">
        <f>FALSE()</f>
        <v>0</v>
      </c>
      <c r="AA1437" s="65" t="b">
        <f>TRUE()</f>
        <v>1</v>
      </c>
      <c r="AB1437" s="65" t="b">
        <f>FALSE()</f>
        <v>0</v>
      </c>
      <c r="AC1437" s="65" t="b">
        <f>FALSE()</f>
        <v>0</v>
      </c>
      <c r="AD1437" s="65" t="b">
        <f>FALSE()</f>
        <v>0</v>
      </c>
      <c r="AE1437" s="65">
        <v>1</v>
      </c>
      <c r="AF1437" s="69">
        <v>14.3</v>
      </c>
      <c r="AG1437" s="65" t="s">
        <v>74</v>
      </c>
      <c r="AH1437" s="65" t="s">
        <v>5255</v>
      </c>
      <c r="AI1437">
        <f>IF(AND(OR(Company_Explorer!$B$5="All Companies",$E1437=Company_Explorer!$B$5),OR(Company_Explorer!$B$6="All Platforms",$B1437=Company_Explorer!$B$6),OR(Company_Explorer!$B$7="All Roles",$D1437=Company_Explorer!$B$7),OR(Company_Explorer!$B$8="All Ghost Labels",$AG1437=Company_Explorer!$B$8)),1,0)</f>
        <v>0</v>
      </c>
    </row>
    <row r="1438" spans="1:35" ht="15" customHeight="1" x14ac:dyDescent="0.3">
      <c r="A1438" s="60" t="s">
        <v>5256</v>
      </c>
      <c r="B1438" s="60" t="s">
        <v>81</v>
      </c>
      <c r="C1438" s="60" t="s">
        <v>5232</v>
      </c>
      <c r="D1438" s="60" t="s">
        <v>128</v>
      </c>
      <c r="E1438" s="60" t="s">
        <v>143</v>
      </c>
      <c r="F1438" s="60" t="b">
        <f>TRUE()</f>
        <v>1</v>
      </c>
      <c r="G1438" s="60" t="s">
        <v>165</v>
      </c>
      <c r="H1438" s="60" t="s">
        <v>3620</v>
      </c>
      <c r="I1438" s="61">
        <v>46210.053255486098</v>
      </c>
      <c r="J1438" s="61">
        <v>46210.283069583304</v>
      </c>
      <c r="K1438" s="60">
        <v>0.2</v>
      </c>
      <c r="L1438" s="60" t="s">
        <v>183</v>
      </c>
      <c r="M1438" s="60" t="s">
        <v>183</v>
      </c>
      <c r="N1438" s="60" t="b">
        <f>FALSE()</f>
        <v>0</v>
      </c>
      <c r="O1438" s="60"/>
      <c r="P1438" s="60"/>
      <c r="Q1438" s="60" t="s">
        <v>236</v>
      </c>
      <c r="R1438" s="60" t="s">
        <v>236</v>
      </c>
      <c r="S1438" s="60"/>
      <c r="T1438" s="60" t="b">
        <f>FALSE()</f>
        <v>0</v>
      </c>
      <c r="U1438" s="60" t="b">
        <f>FALSE()</f>
        <v>0</v>
      </c>
      <c r="V1438" s="60">
        <v>169</v>
      </c>
      <c r="W1438" s="62" t="s">
        <v>5233</v>
      </c>
      <c r="X1438" s="60">
        <v>64</v>
      </c>
      <c r="Y1438" s="63">
        <v>112</v>
      </c>
      <c r="Z1438" s="60" t="b">
        <f>FALSE()</f>
        <v>0</v>
      </c>
      <c r="AA1438" s="60" t="b">
        <f>TRUE()</f>
        <v>1</v>
      </c>
      <c r="AB1438" s="60" t="b">
        <f>TRUE()</f>
        <v>1</v>
      </c>
      <c r="AC1438" s="60" t="b">
        <f>FALSE()</f>
        <v>0</v>
      </c>
      <c r="AD1438" s="60" t="b">
        <f>TRUE()</f>
        <v>1</v>
      </c>
      <c r="AE1438" s="60">
        <v>4</v>
      </c>
      <c r="AF1438" s="64">
        <v>57.1</v>
      </c>
      <c r="AG1438" s="60" t="s">
        <v>72</v>
      </c>
      <c r="AH1438" s="60" t="s">
        <v>5257</v>
      </c>
      <c r="AI1438">
        <f>IF(AND(OR(Company_Explorer!$B$5="All Companies",$E1438=Company_Explorer!$B$5),OR(Company_Explorer!$B$6="All Platforms",$B1438=Company_Explorer!$B$6),OR(Company_Explorer!$B$7="All Roles",$D1438=Company_Explorer!$B$7),OR(Company_Explorer!$B$8="All Ghost Labels",$AG1438=Company_Explorer!$B$8)),1,0)</f>
        <v>0</v>
      </c>
    </row>
    <row r="1439" spans="1:35" ht="15" customHeight="1" x14ac:dyDescent="0.3">
      <c r="A1439" s="65" t="s">
        <v>5258</v>
      </c>
      <c r="B1439" s="65" t="s">
        <v>81</v>
      </c>
      <c r="C1439" s="65" t="s">
        <v>5259</v>
      </c>
      <c r="D1439" s="65" t="s">
        <v>126</v>
      </c>
      <c r="E1439" s="65" t="s">
        <v>5260</v>
      </c>
      <c r="F1439" s="65" t="b">
        <f>TRUE()</f>
        <v>1</v>
      </c>
      <c r="G1439" s="65" t="s">
        <v>165</v>
      </c>
      <c r="H1439" s="65" t="s">
        <v>165</v>
      </c>
      <c r="I1439" s="66">
        <v>46210.135915787003</v>
      </c>
      <c r="J1439" s="66">
        <v>46210.283070694401</v>
      </c>
      <c r="K1439" s="65">
        <v>0.1</v>
      </c>
      <c r="L1439" s="65" t="s">
        <v>183</v>
      </c>
      <c r="M1439" s="65" t="s">
        <v>183</v>
      </c>
      <c r="N1439" s="65" t="b">
        <f>FALSE()</f>
        <v>0</v>
      </c>
      <c r="O1439" s="65"/>
      <c r="P1439" s="65"/>
      <c r="Q1439" s="65" t="s">
        <v>236</v>
      </c>
      <c r="R1439" s="65" t="s">
        <v>236</v>
      </c>
      <c r="S1439" s="65"/>
      <c r="T1439" s="65" t="b">
        <f>FALSE()</f>
        <v>0</v>
      </c>
      <c r="U1439" s="65" t="b">
        <f>FALSE()</f>
        <v>0</v>
      </c>
      <c r="V1439" s="65">
        <v>1038</v>
      </c>
      <c r="W1439" s="67" t="s">
        <v>5261</v>
      </c>
      <c r="X1439" s="65">
        <v>1</v>
      </c>
      <c r="Y1439" s="68">
        <v>1.75</v>
      </c>
      <c r="Z1439" s="65" t="b">
        <f>FALSE()</f>
        <v>0</v>
      </c>
      <c r="AA1439" s="65" t="b">
        <f>TRUE()</f>
        <v>1</v>
      </c>
      <c r="AB1439" s="65" t="b">
        <f>FALSE()</f>
        <v>0</v>
      </c>
      <c r="AC1439" s="65" t="b">
        <f>FALSE()</f>
        <v>0</v>
      </c>
      <c r="AD1439" s="65" t="b">
        <f>FALSE()</f>
        <v>0</v>
      </c>
      <c r="AE1439" s="65">
        <v>1</v>
      </c>
      <c r="AF1439" s="69">
        <v>14.3</v>
      </c>
      <c r="AG1439" s="65" t="s">
        <v>74</v>
      </c>
      <c r="AH1439" s="65" t="s">
        <v>5262</v>
      </c>
      <c r="AI1439">
        <f>IF(AND(OR(Company_Explorer!$B$5="All Companies",$E1439=Company_Explorer!$B$5),OR(Company_Explorer!$B$6="All Platforms",$B1439=Company_Explorer!$B$6),OR(Company_Explorer!$B$7="All Roles",$D1439=Company_Explorer!$B$7),OR(Company_Explorer!$B$8="All Ghost Labels",$AG1439=Company_Explorer!$B$8)),1,0)</f>
        <v>0</v>
      </c>
    </row>
    <row r="1440" spans="1:35" ht="15" customHeight="1" x14ac:dyDescent="0.3">
      <c r="A1440" s="60" t="s">
        <v>5263</v>
      </c>
      <c r="B1440" s="60" t="s">
        <v>81</v>
      </c>
      <c r="C1440" s="60" t="s">
        <v>5264</v>
      </c>
      <c r="D1440" s="60" t="s">
        <v>126</v>
      </c>
      <c r="E1440" s="60" t="s">
        <v>5265</v>
      </c>
      <c r="F1440" s="60" t="b">
        <f>TRUE()</f>
        <v>1</v>
      </c>
      <c r="G1440" s="60" t="s">
        <v>165</v>
      </c>
      <c r="H1440" s="60" t="s">
        <v>165</v>
      </c>
      <c r="I1440" s="61">
        <v>46210.023509479201</v>
      </c>
      <c r="J1440" s="61">
        <v>46210.283072141203</v>
      </c>
      <c r="K1440" s="60">
        <v>0.3</v>
      </c>
      <c r="L1440" s="60" t="s">
        <v>183</v>
      </c>
      <c r="M1440" s="60" t="s">
        <v>183</v>
      </c>
      <c r="N1440" s="60" t="b">
        <f>FALSE()</f>
        <v>0</v>
      </c>
      <c r="O1440" s="60"/>
      <c r="P1440" s="60"/>
      <c r="Q1440" s="60" t="s">
        <v>236</v>
      </c>
      <c r="R1440" s="60" t="s">
        <v>236</v>
      </c>
      <c r="S1440" s="60"/>
      <c r="T1440" s="60" t="b">
        <f>FALSE()</f>
        <v>0</v>
      </c>
      <c r="U1440" s="60" t="b">
        <f>FALSE()</f>
        <v>0</v>
      </c>
      <c r="V1440" s="60">
        <v>659</v>
      </c>
      <c r="W1440" s="62" t="s">
        <v>5266</v>
      </c>
      <c r="X1440" s="60">
        <v>1</v>
      </c>
      <c r="Y1440" s="63">
        <v>1.75</v>
      </c>
      <c r="Z1440" s="60" t="b">
        <f>FALSE()</f>
        <v>0</v>
      </c>
      <c r="AA1440" s="60" t="b">
        <f>TRUE()</f>
        <v>1</v>
      </c>
      <c r="AB1440" s="60" t="b">
        <f>FALSE()</f>
        <v>0</v>
      </c>
      <c r="AC1440" s="60" t="b">
        <f>FALSE()</f>
        <v>0</v>
      </c>
      <c r="AD1440" s="60" t="b">
        <f>FALSE()</f>
        <v>0</v>
      </c>
      <c r="AE1440" s="60">
        <v>1</v>
      </c>
      <c r="AF1440" s="64">
        <v>14.3</v>
      </c>
      <c r="AG1440" s="60" t="s">
        <v>74</v>
      </c>
      <c r="AH1440" s="60" t="s">
        <v>5267</v>
      </c>
      <c r="AI1440">
        <f>IF(AND(OR(Company_Explorer!$B$5="All Companies",$E1440=Company_Explorer!$B$5),OR(Company_Explorer!$B$6="All Platforms",$B1440=Company_Explorer!$B$6),OR(Company_Explorer!$B$7="All Roles",$D1440=Company_Explorer!$B$7),OR(Company_Explorer!$B$8="All Ghost Labels",$AG1440=Company_Explorer!$B$8)),1,0)</f>
        <v>0</v>
      </c>
    </row>
    <row r="1441" spans="1:35" ht="15" customHeight="1" x14ac:dyDescent="0.3">
      <c r="A1441" s="65" t="s">
        <v>5268</v>
      </c>
      <c r="B1441" s="65" t="s">
        <v>81</v>
      </c>
      <c r="C1441" s="65" t="s">
        <v>5232</v>
      </c>
      <c r="D1441" s="65" t="s">
        <v>128</v>
      </c>
      <c r="E1441" s="65" t="s">
        <v>143</v>
      </c>
      <c r="F1441" s="65" t="b">
        <f>TRUE()</f>
        <v>1</v>
      </c>
      <c r="G1441" s="65" t="s">
        <v>165</v>
      </c>
      <c r="H1441" s="65" t="s">
        <v>3620</v>
      </c>
      <c r="I1441" s="66">
        <v>46210.053264189803</v>
      </c>
      <c r="J1441" s="66">
        <v>46210.283073125</v>
      </c>
      <c r="K1441" s="65">
        <v>0.2</v>
      </c>
      <c r="L1441" s="65" t="s">
        <v>183</v>
      </c>
      <c r="M1441" s="65" t="s">
        <v>183</v>
      </c>
      <c r="N1441" s="65" t="b">
        <f>FALSE()</f>
        <v>0</v>
      </c>
      <c r="O1441" s="65"/>
      <c r="P1441" s="65"/>
      <c r="Q1441" s="65" t="s">
        <v>236</v>
      </c>
      <c r="R1441" s="65" t="s">
        <v>236</v>
      </c>
      <c r="S1441" s="65"/>
      <c r="T1441" s="65" t="b">
        <f>FALSE()</f>
        <v>0</v>
      </c>
      <c r="U1441" s="65" t="b">
        <f>FALSE()</f>
        <v>0</v>
      </c>
      <c r="V1441" s="65">
        <v>158</v>
      </c>
      <c r="W1441" s="67" t="s">
        <v>5233</v>
      </c>
      <c r="X1441" s="65">
        <v>64</v>
      </c>
      <c r="Y1441" s="68">
        <v>112</v>
      </c>
      <c r="Z1441" s="65" t="b">
        <f>FALSE()</f>
        <v>0</v>
      </c>
      <c r="AA1441" s="65" t="b">
        <f>TRUE()</f>
        <v>1</v>
      </c>
      <c r="AB1441" s="65" t="b">
        <f>TRUE()</f>
        <v>1</v>
      </c>
      <c r="AC1441" s="65" t="b">
        <f>FALSE()</f>
        <v>0</v>
      </c>
      <c r="AD1441" s="65" t="b">
        <f>TRUE()</f>
        <v>1</v>
      </c>
      <c r="AE1441" s="65">
        <v>4</v>
      </c>
      <c r="AF1441" s="69">
        <v>57.1</v>
      </c>
      <c r="AG1441" s="65" t="s">
        <v>72</v>
      </c>
      <c r="AH1441" s="65" t="s">
        <v>5269</v>
      </c>
      <c r="AI1441">
        <f>IF(AND(OR(Company_Explorer!$B$5="All Companies",$E1441=Company_Explorer!$B$5),OR(Company_Explorer!$B$6="All Platforms",$B1441=Company_Explorer!$B$6),OR(Company_Explorer!$B$7="All Roles",$D1441=Company_Explorer!$B$7),OR(Company_Explorer!$B$8="All Ghost Labels",$AG1441=Company_Explorer!$B$8)),1,0)</f>
        <v>0</v>
      </c>
    </row>
    <row r="1442" spans="1:35" ht="15" customHeight="1" x14ac:dyDescent="0.3">
      <c r="A1442" s="60" t="s">
        <v>5270</v>
      </c>
      <c r="B1442" s="60" t="s">
        <v>81</v>
      </c>
      <c r="C1442" s="60" t="s">
        <v>5271</v>
      </c>
      <c r="D1442" s="60" t="s">
        <v>126</v>
      </c>
      <c r="E1442" s="60" t="s">
        <v>5272</v>
      </c>
      <c r="F1442" s="60" t="b">
        <f>TRUE()</f>
        <v>1</v>
      </c>
      <c r="G1442" s="60" t="s">
        <v>165</v>
      </c>
      <c r="H1442" s="60" t="s">
        <v>3620</v>
      </c>
      <c r="I1442" s="61">
        <v>46210.0234868634</v>
      </c>
      <c r="J1442" s="61">
        <v>46210.2830743866</v>
      </c>
      <c r="K1442" s="60">
        <v>0.3</v>
      </c>
      <c r="L1442" s="60" t="s">
        <v>183</v>
      </c>
      <c r="M1442" s="60" t="s">
        <v>183</v>
      </c>
      <c r="N1442" s="60" t="b">
        <f>FALSE()</f>
        <v>0</v>
      </c>
      <c r="O1442" s="60"/>
      <c r="P1442" s="60"/>
      <c r="Q1442" s="60" t="s">
        <v>236</v>
      </c>
      <c r="R1442" s="60" t="s">
        <v>236</v>
      </c>
      <c r="S1442" s="60"/>
      <c r="T1442" s="60" t="b">
        <f>FALSE()</f>
        <v>0</v>
      </c>
      <c r="U1442" s="60" t="b">
        <f>FALSE()</f>
        <v>0</v>
      </c>
      <c r="V1442" s="60">
        <v>826</v>
      </c>
      <c r="W1442" s="62" t="s">
        <v>5273</v>
      </c>
      <c r="X1442" s="60">
        <v>1</v>
      </c>
      <c r="Y1442" s="63">
        <v>1.75</v>
      </c>
      <c r="Z1442" s="60" t="b">
        <f>FALSE()</f>
        <v>0</v>
      </c>
      <c r="AA1442" s="60" t="b">
        <f>TRUE()</f>
        <v>1</v>
      </c>
      <c r="AB1442" s="60" t="b">
        <f>FALSE()</f>
        <v>0</v>
      </c>
      <c r="AC1442" s="60" t="b">
        <f>FALSE()</f>
        <v>0</v>
      </c>
      <c r="AD1442" s="60" t="b">
        <f>FALSE()</f>
        <v>0</v>
      </c>
      <c r="AE1442" s="60">
        <v>1</v>
      </c>
      <c r="AF1442" s="64">
        <v>14.3</v>
      </c>
      <c r="AG1442" s="60" t="s">
        <v>74</v>
      </c>
      <c r="AH1442" s="60" t="s">
        <v>5274</v>
      </c>
      <c r="AI1442">
        <f>IF(AND(OR(Company_Explorer!$B$5="All Companies",$E1442=Company_Explorer!$B$5),OR(Company_Explorer!$B$6="All Platforms",$B1442=Company_Explorer!$B$6),OR(Company_Explorer!$B$7="All Roles",$D1442=Company_Explorer!$B$7),OR(Company_Explorer!$B$8="All Ghost Labels",$AG1442=Company_Explorer!$B$8)),1,0)</f>
        <v>0</v>
      </c>
    </row>
    <row r="1443" spans="1:35" ht="15" customHeight="1" x14ac:dyDescent="0.3">
      <c r="A1443" s="65" t="s">
        <v>5275</v>
      </c>
      <c r="B1443" s="65" t="s">
        <v>81</v>
      </c>
      <c r="C1443" s="65" t="s">
        <v>5276</v>
      </c>
      <c r="D1443" s="65" t="s">
        <v>126</v>
      </c>
      <c r="E1443" s="65" t="s">
        <v>143</v>
      </c>
      <c r="F1443" s="65" t="b">
        <f>TRUE()</f>
        <v>1</v>
      </c>
      <c r="G1443" s="65" t="s">
        <v>165</v>
      </c>
      <c r="H1443" s="65" t="s">
        <v>3620</v>
      </c>
      <c r="I1443" s="66">
        <v>46210.053276585699</v>
      </c>
      <c r="J1443" s="66">
        <v>46210.283075532403</v>
      </c>
      <c r="K1443" s="65">
        <v>0.2</v>
      </c>
      <c r="L1443" s="65" t="s">
        <v>183</v>
      </c>
      <c r="M1443" s="65" t="s">
        <v>183</v>
      </c>
      <c r="N1443" s="65" t="b">
        <f>FALSE()</f>
        <v>0</v>
      </c>
      <c r="O1443" s="65"/>
      <c r="P1443" s="65"/>
      <c r="Q1443" s="65" t="s">
        <v>236</v>
      </c>
      <c r="R1443" s="65" t="s">
        <v>236</v>
      </c>
      <c r="S1443" s="65"/>
      <c r="T1443" s="65" t="b">
        <f>FALSE()</f>
        <v>0</v>
      </c>
      <c r="U1443" s="65" t="b">
        <f>FALSE()</f>
        <v>0</v>
      </c>
      <c r="V1443" s="65">
        <v>153</v>
      </c>
      <c r="W1443" s="67" t="s">
        <v>5277</v>
      </c>
      <c r="X1443" s="65">
        <v>64</v>
      </c>
      <c r="Y1443" s="68">
        <v>112</v>
      </c>
      <c r="Z1443" s="65" t="b">
        <f>FALSE()</f>
        <v>0</v>
      </c>
      <c r="AA1443" s="65" t="b">
        <f>TRUE()</f>
        <v>1</v>
      </c>
      <c r="AB1443" s="65" t="b">
        <f>TRUE()</f>
        <v>1</v>
      </c>
      <c r="AC1443" s="65" t="b">
        <f>FALSE()</f>
        <v>0</v>
      </c>
      <c r="AD1443" s="65" t="b">
        <f>TRUE()</f>
        <v>1</v>
      </c>
      <c r="AE1443" s="65">
        <v>4</v>
      </c>
      <c r="AF1443" s="69">
        <v>57.1</v>
      </c>
      <c r="AG1443" s="65" t="s">
        <v>72</v>
      </c>
      <c r="AH1443" s="65" t="s">
        <v>5278</v>
      </c>
      <c r="AI1443">
        <f>IF(AND(OR(Company_Explorer!$B$5="All Companies",$E1443=Company_Explorer!$B$5),OR(Company_Explorer!$B$6="All Platforms",$B1443=Company_Explorer!$B$6),OR(Company_Explorer!$B$7="All Roles",$D1443=Company_Explorer!$B$7),OR(Company_Explorer!$B$8="All Ghost Labels",$AG1443=Company_Explorer!$B$8)),1,0)</f>
        <v>0</v>
      </c>
    </row>
    <row r="1444" spans="1:35" ht="15" customHeight="1" x14ac:dyDescent="0.3">
      <c r="A1444" s="60" t="s">
        <v>5279</v>
      </c>
      <c r="B1444" s="60" t="s">
        <v>81</v>
      </c>
      <c r="C1444" s="60" t="s">
        <v>5280</v>
      </c>
      <c r="D1444" s="60" t="s">
        <v>126</v>
      </c>
      <c r="E1444" s="60" t="s">
        <v>5281</v>
      </c>
      <c r="F1444" s="60" t="b">
        <f>TRUE()</f>
        <v>1</v>
      </c>
      <c r="G1444" s="60" t="s">
        <v>177</v>
      </c>
      <c r="H1444" s="60" t="s">
        <v>165</v>
      </c>
      <c r="I1444" s="61">
        <v>46210.135827997699</v>
      </c>
      <c r="J1444" s="61">
        <v>46210.2830765857</v>
      </c>
      <c r="K1444" s="60">
        <v>0.1</v>
      </c>
      <c r="L1444" s="60" t="s">
        <v>183</v>
      </c>
      <c r="M1444" s="60" t="s">
        <v>183</v>
      </c>
      <c r="N1444" s="60" t="b">
        <f>FALSE()</f>
        <v>0</v>
      </c>
      <c r="O1444" s="60"/>
      <c r="P1444" s="60"/>
      <c r="Q1444" s="60" t="s">
        <v>236</v>
      </c>
      <c r="R1444" s="60" t="s">
        <v>236</v>
      </c>
      <c r="S1444" s="60"/>
      <c r="T1444" s="60" t="b">
        <f>FALSE()</f>
        <v>0</v>
      </c>
      <c r="U1444" s="60" t="b">
        <f>FALSE()</f>
        <v>0</v>
      </c>
      <c r="V1444" s="60">
        <v>678</v>
      </c>
      <c r="W1444" s="62" t="s">
        <v>5282</v>
      </c>
      <c r="X1444" s="60">
        <v>1</v>
      </c>
      <c r="Y1444" s="63">
        <v>1.75</v>
      </c>
      <c r="Z1444" s="60" t="b">
        <f>FALSE()</f>
        <v>0</v>
      </c>
      <c r="AA1444" s="60" t="b">
        <f>TRUE()</f>
        <v>1</v>
      </c>
      <c r="AB1444" s="60" t="b">
        <f>FALSE()</f>
        <v>0</v>
      </c>
      <c r="AC1444" s="60" t="b">
        <f>FALSE()</f>
        <v>0</v>
      </c>
      <c r="AD1444" s="60" t="b">
        <f>FALSE()</f>
        <v>0</v>
      </c>
      <c r="AE1444" s="60">
        <v>1</v>
      </c>
      <c r="AF1444" s="64">
        <v>14.3</v>
      </c>
      <c r="AG1444" s="60" t="s">
        <v>74</v>
      </c>
      <c r="AH1444" s="60" t="s">
        <v>5283</v>
      </c>
      <c r="AI1444">
        <f>IF(AND(OR(Company_Explorer!$B$5="All Companies",$E1444=Company_Explorer!$B$5),OR(Company_Explorer!$B$6="All Platforms",$B1444=Company_Explorer!$B$6),OR(Company_Explorer!$B$7="All Roles",$D1444=Company_Explorer!$B$7),OR(Company_Explorer!$B$8="All Ghost Labels",$AG1444=Company_Explorer!$B$8)),1,0)</f>
        <v>0</v>
      </c>
    </row>
    <row r="1445" spans="1:35" ht="15" customHeight="1" x14ac:dyDescent="0.3">
      <c r="A1445" s="65" t="s">
        <v>5284</v>
      </c>
      <c r="B1445" s="65" t="s">
        <v>81</v>
      </c>
      <c r="C1445" s="65" t="s">
        <v>5285</v>
      </c>
      <c r="D1445" s="65" t="s">
        <v>126</v>
      </c>
      <c r="E1445" s="65" t="s">
        <v>3230</v>
      </c>
      <c r="F1445" s="65" t="b">
        <f>TRUE()</f>
        <v>1</v>
      </c>
      <c r="G1445" s="65" t="s">
        <v>165</v>
      </c>
      <c r="H1445" s="65" t="s">
        <v>3636</v>
      </c>
      <c r="I1445" s="66">
        <v>46210.0221945023</v>
      </c>
      <c r="J1445" s="66">
        <v>46210.283078425899</v>
      </c>
      <c r="K1445" s="65">
        <v>0.3</v>
      </c>
      <c r="L1445" s="65" t="s">
        <v>183</v>
      </c>
      <c r="M1445" s="65" t="s">
        <v>183</v>
      </c>
      <c r="N1445" s="65" t="b">
        <f>FALSE()</f>
        <v>0</v>
      </c>
      <c r="O1445" s="65"/>
      <c r="P1445" s="65"/>
      <c r="Q1445" s="65" t="s">
        <v>236</v>
      </c>
      <c r="R1445" s="65" t="s">
        <v>236</v>
      </c>
      <c r="S1445" s="65"/>
      <c r="T1445" s="65" t="b">
        <f>FALSE()</f>
        <v>0</v>
      </c>
      <c r="U1445" s="65" t="b">
        <f>FALSE()</f>
        <v>0</v>
      </c>
      <c r="V1445" s="65">
        <v>138</v>
      </c>
      <c r="W1445" s="67" t="s">
        <v>5286</v>
      </c>
      <c r="X1445" s="65">
        <v>3</v>
      </c>
      <c r="Y1445" s="68">
        <v>5.25</v>
      </c>
      <c r="Z1445" s="65" t="b">
        <f>FALSE()</f>
        <v>0</v>
      </c>
      <c r="AA1445" s="65" t="b">
        <f>TRUE()</f>
        <v>1</v>
      </c>
      <c r="AB1445" s="65" t="b">
        <f>TRUE()</f>
        <v>1</v>
      </c>
      <c r="AC1445" s="65" t="b">
        <f>FALSE()</f>
        <v>0</v>
      </c>
      <c r="AD1445" s="65" t="b">
        <f>FALSE()</f>
        <v>0</v>
      </c>
      <c r="AE1445" s="65">
        <v>2</v>
      </c>
      <c r="AF1445" s="69">
        <v>28.6</v>
      </c>
      <c r="AG1445" s="65" t="s">
        <v>73</v>
      </c>
      <c r="AH1445" s="65" t="s">
        <v>5287</v>
      </c>
      <c r="AI1445">
        <f>IF(AND(OR(Company_Explorer!$B$5="All Companies",$E1445=Company_Explorer!$B$5),OR(Company_Explorer!$B$6="All Platforms",$B1445=Company_Explorer!$B$6),OR(Company_Explorer!$B$7="All Roles",$D1445=Company_Explorer!$B$7),OR(Company_Explorer!$B$8="All Ghost Labels",$AG1445=Company_Explorer!$B$8)),1,0)</f>
        <v>0</v>
      </c>
    </row>
    <row r="1446" spans="1:35" ht="15" customHeight="1" x14ac:dyDescent="0.3">
      <c r="A1446" s="60" t="s">
        <v>5288</v>
      </c>
      <c r="B1446" s="60" t="s">
        <v>81</v>
      </c>
      <c r="C1446" s="60" t="s">
        <v>5232</v>
      </c>
      <c r="D1446" s="60" t="s">
        <v>128</v>
      </c>
      <c r="E1446" s="60" t="s">
        <v>143</v>
      </c>
      <c r="F1446" s="60" t="b">
        <f>TRUE()</f>
        <v>1</v>
      </c>
      <c r="G1446" s="60" t="s">
        <v>165</v>
      </c>
      <c r="H1446" s="60" t="s">
        <v>3620</v>
      </c>
      <c r="I1446" s="61">
        <v>46210.053265671297</v>
      </c>
      <c r="J1446" s="61">
        <v>46210.283079814799</v>
      </c>
      <c r="K1446" s="60">
        <v>0.2</v>
      </c>
      <c r="L1446" s="60" t="s">
        <v>183</v>
      </c>
      <c r="M1446" s="60" t="s">
        <v>183</v>
      </c>
      <c r="N1446" s="60" t="b">
        <f>FALSE()</f>
        <v>0</v>
      </c>
      <c r="O1446" s="60"/>
      <c r="P1446" s="60"/>
      <c r="Q1446" s="60" t="s">
        <v>236</v>
      </c>
      <c r="R1446" s="60" t="s">
        <v>236</v>
      </c>
      <c r="S1446" s="60"/>
      <c r="T1446" s="60" t="b">
        <f>FALSE()</f>
        <v>0</v>
      </c>
      <c r="U1446" s="60" t="b">
        <f>FALSE()</f>
        <v>0</v>
      </c>
      <c r="V1446" s="60">
        <v>170</v>
      </c>
      <c r="W1446" s="62" t="s">
        <v>5233</v>
      </c>
      <c r="X1446" s="60">
        <v>64</v>
      </c>
      <c r="Y1446" s="63">
        <v>112</v>
      </c>
      <c r="Z1446" s="60" t="b">
        <f>FALSE()</f>
        <v>0</v>
      </c>
      <c r="AA1446" s="60" t="b">
        <f>TRUE()</f>
        <v>1</v>
      </c>
      <c r="AB1446" s="60" t="b">
        <f>TRUE()</f>
        <v>1</v>
      </c>
      <c r="AC1446" s="60" t="b">
        <f>FALSE()</f>
        <v>0</v>
      </c>
      <c r="AD1446" s="60" t="b">
        <f>TRUE()</f>
        <v>1</v>
      </c>
      <c r="AE1446" s="60">
        <v>4</v>
      </c>
      <c r="AF1446" s="64">
        <v>57.1</v>
      </c>
      <c r="AG1446" s="60" t="s">
        <v>72</v>
      </c>
      <c r="AH1446" s="60" t="s">
        <v>5289</v>
      </c>
      <c r="AI1446">
        <f>IF(AND(OR(Company_Explorer!$B$5="All Companies",$E1446=Company_Explorer!$B$5),OR(Company_Explorer!$B$6="All Platforms",$B1446=Company_Explorer!$B$6),OR(Company_Explorer!$B$7="All Roles",$D1446=Company_Explorer!$B$7),OR(Company_Explorer!$B$8="All Ghost Labels",$AG1446=Company_Explorer!$B$8)),1,0)</f>
        <v>0</v>
      </c>
    </row>
    <row r="1447" spans="1:35" ht="15" customHeight="1" x14ac:dyDescent="0.3">
      <c r="A1447" s="65" t="s">
        <v>5290</v>
      </c>
      <c r="B1447" s="65" t="s">
        <v>81</v>
      </c>
      <c r="C1447" s="65" t="s">
        <v>5291</v>
      </c>
      <c r="D1447" s="65" t="s">
        <v>126</v>
      </c>
      <c r="E1447" s="65" t="s">
        <v>3726</v>
      </c>
      <c r="F1447" s="65" t="b">
        <f>FALSE()</f>
        <v>0</v>
      </c>
      <c r="G1447" s="65" t="s">
        <v>177</v>
      </c>
      <c r="H1447" s="65" t="s">
        <v>165</v>
      </c>
      <c r="I1447" s="66">
        <v>46210.134162858798</v>
      </c>
      <c r="J1447" s="66">
        <v>46210.283080833302</v>
      </c>
      <c r="K1447" s="65">
        <v>0.1</v>
      </c>
      <c r="L1447" s="65" t="s">
        <v>183</v>
      </c>
      <c r="M1447" s="65" t="s">
        <v>183</v>
      </c>
      <c r="N1447" s="65" t="b">
        <f>FALSE()</f>
        <v>0</v>
      </c>
      <c r="O1447" s="65"/>
      <c r="P1447" s="65"/>
      <c r="Q1447" s="65" t="s">
        <v>236</v>
      </c>
      <c r="R1447" s="65" t="s">
        <v>236</v>
      </c>
      <c r="S1447" s="65"/>
      <c r="T1447" s="65" t="b">
        <f>FALSE()</f>
        <v>0</v>
      </c>
      <c r="U1447" s="65" t="b">
        <f>FALSE()</f>
        <v>0</v>
      </c>
      <c r="V1447" s="65">
        <v>221</v>
      </c>
      <c r="W1447" s="67" t="s">
        <v>5292</v>
      </c>
      <c r="X1447" s="65"/>
      <c r="Y1447" s="68"/>
      <c r="Z1447" s="65" t="b">
        <f>TRUE()</f>
        <v>1</v>
      </c>
      <c r="AA1447" s="65" t="b">
        <f>TRUE()</f>
        <v>1</v>
      </c>
      <c r="AB1447" s="65" t="b">
        <f>TRUE()</f>
        <v>1</v>
      </c>
      <c r="AC1447" s="65" t="b">
        <f>FALSE()</f>
        <v>0</v>
      </c>
      <c r="AD1447" s="65" t="b">
        <f>FALSE()</f>
        <v>0</v>
      </c>
      <c r="AE1447" s="65">
        <v>4</v>
      </c>
      <c r="AF1447" s="69">
        <v>57.1</v>
      </c>
      <c r="AG1447" s="65" t="s">
        <v>72</v>
      </c>
      <c r="AH1447" s="65" t="s">
        <v>5293</v>
      </c>
      <c r="AI1447">
        <f>IF(AND(OR(Company_Explorer!$B$5="All Companies",$E1447=Company_Explorer!$B$5),OR(Company_Explorer!$B$6="All Platforms",$B1447=Company_Explorer!$B$6),OR(Company_Explorer!$B$7="All Roles",$D1447=Company_Explorer!$B$7),OR(Company_Explorer!$B$8="All Ghost Labels",$AG1447=Company_Explorer!$B$8)),1,0)</f>
        <v>0</v>
      </c>
    </row>
    <row r="1448" spans="1:35" ht="15" customHeight="1" x14ac:dyDescent="0.3">
      <c r="A1448" s="60" t="s">
        <v>5294</v>
      </c>
      <c r="B1448" s="60" t="s">
        <v>81</v>
      </c>
      <c r="C1448" s="60" t="s">
        <v>5232</v>
      </c>
      <c r="D1448" s="60" t="s">
        <v>128</v>
      </c>
      <c r="E1448" s="60" t="s">
        <v>143</v>
      </c>
      <c r="F1448" s="60" t="b">
        <f>TRUE()</f>
        <v>1</v>
      </c>
      <c r="G1448" s="60" t="s">
        <v>165</v>
      </c>
      <c r="H1448" s="60" t="s">
        <v>3620</v>
      </c>
      <c r="I1448" s="61">
        <v>46210.053236597203</v>
      </c>
      <c r="J1448" s="61">
        <v>46210.2830809144</v>
      </c>
      <c r="K1448" s="60">
        <v>0.2</v>
      </c>
      <c r="L1448" s="60" t="s">
        <v>183</v>
      </c>
      <c r="M1448" s="60" t="s">
        <v>183</v>
      </c>
      <c r="N1448" s="60" t="b">
        <f>FALSE()</f>
        <v>0</v>
      </c>
      <c r="O1448" s="60"/>
      <c r="P1448" s="60"/>
      <c r="Q1448" s="60" t="s">
        <v>236</v>
      </c>
      <c r="R1448" s="60" t="s">
        <v>236</v>
      </c>
      <c r="S1448" s="60"/>
      <c r="T1448" s="60" t="b">
        <f>FALSE()</f>
        <v>0</v>
      </c>
      <c r="U1448" s="60" t="b">
        <f>FALSE()</f>
        <v>0</v>
      </c>
      <c r="V1448" s="60">
        <v>165</v>
      </c>
      <c r="W1448" s="62" t="s">
        <v>5233</v>
      </c>
      <c r="X1448" s="60">
        <v>64</v>
      </c>
      <c r="Y1448" s="63">
        <v>112</v>
      </c>
      <c r="Z1448" s="60" t="b">
        <f>FALSE()</f>
        <v>0</v>
      </c>
      <c r="AA1448" s="60" t="b">
        <f>TRUE()</f>
        <v>1</v>
      </c>
      <c r="AB1448" s="60" t="b">
        <f>TRUE()</f>
        <v>1</v>
      </c>
      <c r="AC1448" s="60" t="b">
        <f>FALSE()</f>
        <v>0</v>
      </c>
      <c r="AD1448" s="60" t="b">
        <f>TRUE()</f>
        <v>1</v>
      </c>
      <c r="AE1448" s="60">
        <v>4</v>
      </c>
      <c r="AF1448" s="64">
        <v>57.1</v>
      </c>
      <c r="AG1448" s="60" t="s">
        <v>72</v>
      </c>
      <c r="AH1448" s="60" t="s">
        <v>5295</v>
      </c>
      <c r="AI1448">
        <f>IF(AND(OR(Company_Explorer!$B$5="All Companies",$E1448=Company_Explorer!$B$5),OR(Company_Explorer!$B$6="All Platforms",$B1448=Company_Explorer!$B$6),OR(Company_Explorer!$B$7="All Roles",$D1448=Company_Explorer!$B$7),OR(Company_Explorer!$B$8="All Ghost Labels",$AG1448=Company_Explorer!$B$8)),1,0)</f>
        <v>0</v>
      </c>
    </row>
    <row r="1449" spans="1:35" ht="15" customHeight="1" x14ac:dyDescent="0.3">
      <c r="A1449" s="65" t="s">
        <v>5296</v>
      </c>
      <c r="B1449" s="65" t="s">
        <v>81</v>
      </c>
      <c r="C1449" s="65" t="s">
        <v>5232</v>
      </c>
      <c r="D1449" s="65" t="s">
        <v>128</v>
      </c>
      <c r="E1449" s="65" t="s">
        <v>143</v>
      </c>
      <c r="F1449" s="65" t="b">
        <f>TRUE()</f>
        <v>1</v>
      </c>
      <c r="G1449" s="65" t="s">
        <v>165</v>
      </c>
      <c r="H1449" s="65" t="s">
        <v>3620</v>
      </c>
      <c r="I1449" s="66">
        <v>46210.053217754597</v>
      </c>
      <c r="J1449" s="66">
        <v>46210.283080960697</v>
      </c>
      <c r="K1449" s="65">
        <v>0.2</v>
      </c>
      <c r="L1449" s="65" t="s">
        <v>183</v>
      </c>
      <c r="M1449" s="65" t="s">
        <v>183</v>
      </c>
      <c r="N1449" s="65" t="b">
        <f>FALSE()</f>
        <v>0</v>
      </c>
      <c r="O1449" s="65"/>
      <c r="P1449" s="65"/>
      <c r="Q1449" s="65" t="s">
        <v>236</v>
      </c>
      <c r="R1449" s="65" t="s">
        <v>236</v>
      </c>
      <c r="S1449" s="65"/>
      <c r="T1449" s="65" t="b">
        <f>FALSE()</f>
        <v>0</v>
      </c>
      <c r="U1449" s="65" t="b">
        <f>FALSE()</f>
        <v>0</v>
      </c>
      <c r="V1449" s="65">
        <v>158</v>
      </c>
      <c r="W1449" s="67" t="s">
        <v>5233</v>
      </c>
      <c r="X1449" s="65">
        <v>64</v>
      </c>
      <c r="Y1449" s="68">
        <v>112</v>
      </c>
      <c r="Z1449" s="65" t="b">
        <f>FALSE()</f>
        <v>0</v>
      </c>
      <c r="AA1449" s="65" t="b">
        <f>TRUE()</f>
        <v>1</v>
      </c>
      <c r="AB1449" s="65" t="b">
        <f>TRUE()</f>
        <v>1</v>
      </c>
      <c r="AC1449" s="65" t="b">
        <f>FALSE()</f>
        <v>0</v>
      </c>
      <c r="AD1449" s="65" t="b">
        <f>TRUE()</f>
        <v>1</v>
      </c>
      <c r="AE1449" s="65">
        <v>4</v>
      </c>
      <c r="AF1449" s="69">
        <v>57.1</v>
      </c>
      <c r="AG1449" s="65" t="s">
        <v>72</v>
      </c>
      <c r="AH1449" s="65" t="s">
        <v>5297</v>
      </c>
      <c r="AI1449">
        <f>IF(AND(OR(Company_Explorer!$B$5="All Companies",$E1449=Company_Explorer!$B$5),OR(Company_Explorer!$B$6="All Platforms",$B1449=Company_Explorer!$B$6),OR(Company_Explorer!$B$7="All Roles",$D1449=Company_Explorer!$B$7),OR(Company_Explorer!$B$8="All Ghost Labels",$AG1449=Company_Explorer!$B$8)),1,0)</f>
        <v>0</v>
      </c>
    </row>
    <row r="1450" spans="1:35" ht="15" customHeight="1" x14ac:dyDescent="0.3">
      <c r="A1450" s="60" t="s">
        <v>5298</v>
      </c>
      <c r="B1450" s="60" t="s">
        <v>81</v>
      </c>
      <c r="C1450" s="60" t="s">
        <v>5299</v>
      </c>
      <c r="D1450" s="60" t="s">
        <v>126</v>
      </c>
      <c r="E1450" s="60" t="s">
        <v>5300</v>
      </c>
      <c r="F1450" s="60" t="b">
        <f>TRUE()</f>
        <v>1</v>
      </c>
      <c r="G1450" s="60" t="s">
        <v>165</v>
      </c>
      <c r="H1450" s="60" t="s">
        <v>3655</v>
      </c>
      <c r="I1450" s="61">
        <v>46210.133897280102</v>
      </c>
      <c r="J1450" s="61">
        <v>46210.283080983798</v>
      </c>
      <c r="K1450" s="60">
        <v>0.1</v>
      </c>
      <c r="L1450" s="60" t="s">
        <v>183</v>
      </c>
      <c r="M1450" s="60" t="s">
        <v>183</v>
      </c>
      <c r="N1450" s="60" t="b">
        <f>TRUE()</f>
        <v>1</v>
      </c>
      <c r="O1450" s="70">
        <v>1500000</v>
      </c>
      <c r="P1450" s="70">
        <v>2000000</v>
      </c>
      <c r="Q1450" s="60" t="s">
        <v>3663</v>
      </c>
      <c r="R1450" s="60" t="s">
        <v>3961</v>
      </c>
      <c r="S1450" s="70">
        <v>1750000</v>
      </c>
      <c r="T1450" s="60" t="b">
        <f>TRUE()</f>
        <v>1</v>
      </c>
      <c r="U1450" s="60" t="b">
        <f>FALSE()</f>
        <v>0</v>
      </c>
      <c r="V1450" s="60">
        <v>616</v>
      </c>
      <c r="W1450" s="62" t="s">
        <v>5301</v>
      </c>
      <c r="X1450" s="60">
        <v>1</v>
      </c>
      <c r="Y1450" s="63">
        <v>1.75</v>
      </c>
      <c r="Z1450" s="60" t="b">
        <f>FALSE()</f>
        <v>0</v>
      </c>
      <c r="AA1450" s="60" t="b">
        <f>FALSE()</f>
        <v>0</v>
      </c>
      <c r="AB1450" s="60" t="b">
        <f>FALSE()</f>
        <v>0</v>
      </c>
      <c r="AC1450" s="60" t="b">
        <f>FALSE()</f>
        <v>0</v>
      </c>
      <c r="AD1450" s="60" t="b">
        <f>FALSE()</f>
        <v>0</v>
      </c>
      <c r="AE1450" s="60">
        <v>0</v>
      </c>
      <c r="AF1450" s="64">
        <v>0</v>
      </c>
      <c r="AG1450" s="60" t="s">
        <v>74</v>
      </c>
      <c r="AH1450" s="60" t="s">
        <v>5302</v>
      </c>
      <c r="AI1450">
        <f>IF(AND(OR(Company_Explorer!$B$5="All Companies",$E1450=Company_Explorer!$B$5),OR(Company_Explorer!$B$6="All Platforms",$B1450=Company_Explorer!$B$6),OR(Company_Explorer!$B$7="All Roles",$D1450=Company_Explorer!$B$7),OR(Company_Explorer!$B$8="All Ghost Labels",$AG1450=Company_Explorer!$B$8)),1,0)</f>
        <v>0</v>
      </c>
    </row>
    <row r="1451" spans="1:35" ht="15" customHeight="1" x14ac:dyDescent="0.3">
      <c r="A1451" s="65" t="s">
        <v>5303</v>
      </c>
      <c r="B1451" s="65" t="s">
        <v>81</v>
      </c>
      <c r="C1451" s="65" t="s">
        <v>5304</v>
      </c>
      <c r="D1451" s="65" t="s">
        <v>126</v>
      </c>
      <c r="E1451" s="65" t="s">
        <v>5305</v>
      </c>
      <c r="F1451" s="65" t="b">
        <f>TRUE()</f>
        <v>1</v>
      </c>
      <c r="G1451" s="65" t="s">
        <v>177</v>
      </c>
      <c r="H1451" s="65" t="s">
        <v>165</v>
      </c>
      <c r="I1451" s="66">
        <v>46210.014307349498</v>
      </c>
      <c r="J1451" s="66">
        <v>46210.283081006899</v>
      </c>
      <c r="K1451" s="65">
        <v>0.3</v>
      </c>
      <c r="L1451" s="65" t="s">
        <v>183</v>
      </c>
      <c r="M1451" s="65" t="s">
        <v>183</v>
      </c>
      <c r="N1451" s="65" t="b">
        <f>FALSE()</f>
        <v>0</v>
      </c>
      <c r="O1451" s="65"/>
      <c r="P1451" s="65"/>
      <c r="Q1451" s="65" t="s">
        <v>3663</v>
      </c>
      <c r="R1451" s="65" t="s">
        <v>5306</v>
      </c>
      <c r="S1451" s="65"/>
      <c r="T1451" s="65" t="b">
        <f>FALSE()</f>
        <v>0</v>
      </c>
      <c r="U1451" s="65" t="b">
        <f>FALSE()</f>
        <v>0</v>
      </c>
      <c r="V1451" s="65">
        <v>357</v>
      </c>
      <c r="W1451" s="67" t="s">
        <v>5307</v>
      </c>
      <c r="X1451" s="65">
        <v>2</v>
      </c>
      <c r="Y1451" s="68">
        <v>3.5</v>
      </c>
      <c r="Z1451" s="65" t="b">
        <f>FALSE()</f>
        <v>0</v>
      </c>
      <c r="AA1451" s="65" t="b">
        <f>TRUE()</f>
        <v>1</v>
      </c>
      <c r="AB1451" s="65" t="b">
        <f>FALSE()</f>
        <v>0</v>
      </c>
      <c r="AC1451" s="65" t="b">
        <f>FALSE()</f>
        <v>0</v>
      </c>
      <c r="AD1451" s="65" t="b">
        <f>FALSE()</f>
        <v>0</v>
      </c>
      <c r="AE1451" s="65">
        <v>1</v>
      </c>
      <c r="AF1451" s="69">
        <v>14.3</v>
      </c>
      <c r="AG1451" s="65" t="s">
        <v>74</v>
      </c>
      <c r="AH1451" s="65" t="s">
        <v>5308</v>
      </c>
      <c r="AI1451">
        <f>IF(AND(OR(Company_Explorer!$B$5="All Companies",$E1451=Company_Explorer!$B$5),OR(Company_Explorer!$B$6="All Platforms",$B1451=Company_Explorer!$B$6),OR(Company_Explorer!$B$7="All Roles",$D1451=Company_Explorer!$B$7),OR(Company_Explorer!$B$8="All Ghost Labels",$AG1451=Company_Explorer!$B$8)),1,0)</f>
        <v>0</v>
      </c>
    </row>
    <row r="1452" spans="1:35" ht="15" customHeight="1" x14ac:dyDescent="0.3">
      <c r="A1452" s="60" t="s">
        <v>5309</v>
      </c>
      <c r="B1452" s="60" t="s">
        <v>81</v>
      </c>
      <c r="C1452" s="60" t="s">
        <v>5310</v>
      </c>
      <c r="D1452" s="60" t="s">
        <v>126</v>
      </c>
      <c r="E1452" s="60" t="s">
        <v>2690</v>
      </c>
      <c r="F1452" s="60" t="b">
        <f>TRUE()</f>
        <v>1</v>
      </c>
      <c r="G1452" s="60" t="s">
        <v>165</v>
      </c>
      <c r="H1452" s="60" t="s">
        <v>3655</v>
      </c>
      <c r="I1452" s="61">
        <v>46210.053120196797</v>
      </c>
      <c r="J1452" s="61">
        <v>46210.283081064801</v>
      </c>
      <c r="K1452" s="60">
        <v>0.2</v>
      </c>
      <c r="L1452" s="60" t="s">
        <v>183</v>
      </c>
      <c r="M1452" s="60" t="s">
        <v>183</v>
      </c>
      <c r="N1452" s="60" t="b">
        <f>FALSE()</f>
        <v>0</v>
      </c>
      <c r="O1452" s="60"/>
      <c r="P1452" s="60"/>
      <c r="Q1452" s="60" t="s">
        <v>236</v>
      </c>
      <c r="R1452" s="60" t="s">
        <v>236</v>
      </c>
      <c r="S1452" s="60"/>
      <c r="T1452" s="60" t="b">
        <f>FALSE()</f>
        <v>0</v>
      </c>
      <c r="U1452" s="60" t="b">
        <f>FALSE()</f>
        <v>0</v>
      </c>
      <c r="V1452" s="60">
        <v>960</v>
      </c>
      <c r="W1452" s="62" t="s">
        <v>5311</v>
      </c>
      <c r="X1452" s="60">
        <v>5</v>
      </c>
      <c r="Y1452" s="63">
        <v>8.75</v>
      </c>
      <c r="Z1452" s="60" t="b">
        <f>FALSE()</f>
        <v>0</v>
      </c>
      <c r="AA1452" s="60" t="b">
        <f>TRUE()</f>
        <v>1</v>
      </c>
      <c r="AB1452" s="60" t="b">
        <f>FALSE()</f>
        <v>0</v>
      </c>
      <c r="AC1452" s="60" t="b">
        <f>FALSE()</f>
        <v>0</v>
      </c>
      <c r="AD1452" s="60" t="b">
        <f>FALSE()</f>
        <v>0</v>
      </c>
      <c r="AE1452" s="60">
        <v>1</v>
      </c>
      <c r="AF1452" s="64">
        <v>14.3</v>
      </c>
      <c r="AG1452" s="60" t="s">
        <v>74</v>
      </c>
      <c r="AH1452" s="60" t="s">
        <v>5312</v>
      </c>
      <c r="AI1452">
        <f>IF(AND(OR(Company_Explorer!$B$5="All Companies",$E1452=Company_Explorer!$B$5),OR(Company_Explorer!$B$6="All Platforms",$B1452=Company_Explorer!$B$6),OR(Company_Explorer!$B$7="All Roles",$D1452=Company_Explorer!$B$7),OR(Company_Explorer!$B$8="All Ghost Labels",$AG1452=Company_Explorer!$B$8)),1,0)</f>
        <v>0</v>
      </c>
    </row>
    <row r="1453" spans="1:35" ht="15" customHeight="1" x14ac:dyDescent="0.3">
      <c r="A1453" s="65" t="s">
        <v>5313</v>
      </c>
      <c r="B1453" s="65" t="s">
        <v>81</v>
      </c>
      <c r="C1453" s="65" t="s">
        <v>5314</v>
      </c>
      <c r="D1453" s="65" t="s">
        <v>126</v>
      </c>
      <c r="E1453" s="65" t="s">
        <v>5315</v>
      </c>
      <c r="F1453" s="65" t="b">
        <f>TRUE()</f>
        <v>1</v>
      </c>
      <c r="G1453" s="65" t="s">
        <v>165</v>
      </c>
      <c r="H1453" s="65" t="s">
        <v>3636</v>
      </c>
      <c r="I1453" s="66">
        <v>46210.131671909701</v>
      </c>
      <c r="J1453" s="66">
        <v>46210.283081122703</v>
      </c>
      <c r="K1453" s="65">
        <v>0.2</v>
      </c>
      <c r="L1453" s="65" t="s">
        <v>183</v>
      </c>
      <c r="M1453" s="65" t="s">
        <v>183</v>
      </c>
      <c r="N1453" s="65" t="b">
        <f>TRUE()</f>
        <v>1</v>
      </c>
      <c r="O1453" s="71">
        <v>300000</v>
      </c>
      <c r="P1453" s="71">
        <v>550000</v>
      </c>
      <c r="Q1453" s="65" t="s">
        <v>3663</v>
      </c>
      <c r="R1453" s="65" t="s">
        <v>3961</v>
      </c>
      <c r="S1453" s="71">
        <v>425000</v>
      </c>
      <c r="T1453" s="65" t="b">
        <f>TRUE()</f>
        <v>1</v>
      </c>
      <c r="U1453" s="65" t="b">
        <f>FALSE()</f>
        <v>0</v>
      </c>
      <c r="V1453" s="65">
        <v>819</v>
      </c>
      <c r="W1453" s="67" t="s">
        <v>5316</v>
      </c>
      <c r="X1453" s="65">
        <v>1</v>
      </c>
      <c r="Y1453" s="68">
        <v>1.75</v>
      </c>
      <c r="Z1453" s="65" t="b">
        <f>FALSE()</f>
        <v>0</v>
      </c>
      <c r="AA1453" s="65" t="b">
        <f>FALSE()</f>
        <v>0</v>
      </c>
      <c r="AB1453" s="65" t="b">
        <f>FALSE()</f>
        <v>0</v>
      </c>
      <c r="AC1453" s="65" t="b">
        <f>FALSE()</f>
        <v>0</v>
      </c>
      <c r="AD1453" s="65" t="b">
        <f>FALSE()</f>
        <v>0</v>
      </c>
      <c r="AE1453" s="65">
        <v>0</v>
      </c>
      <c r="AF1453" s="69">
        <v>0</v>
      </c>
      <c r="AG1453" s="65" t="s">
        <v>74</v>
      </c>
      <c r="AH1453" s="65" t="s">
        <v>5317</v>
      </c>
      <c r="AI1453">
        <f>IF(AND(OR(Company_Explorer!$B$5="All Companies",$E1453=Company_Explorer!$B$5),OR(Company_Explorer!$B$6="All Platforms",$B1453=Company_Explorer!$B$6),OR(Company_Explorer!$B$7="All Roles",$D1453=Company_Explorer!$B$7),OR(Company_Explorer!$B$8="All Ghost Labels",$AG1453=Company_Explorer!$B$8)),1,0)</f>
        <v>0</v>
      </c>
    </row>
    <row r="1454" spans="1:35" ht="15" customHeight="1" x14ac:dyDescent="0.3">
      <c r="A1454" s="60" t="s">
        <v>5318</v>
      </c>
      <c r="B1454" s="60" t="s">
        <v>81</v>
      </c>
      <c r="C1454" s="60" t="s">
        <v>5319</v>
      </c>
      <c r="D1454" s="60" t="s">
        <v>126</v>
      </c>
      <c r="E1454" s="60" t="s">
        <v>5320</v>
      </c>
      <c r="F1454" s="60" t="b">
        <f>TRUE()</f>
        <v>1</v>
      </c>
      <c r="G1454" s="60" t="s">
        <v>165</v>
      </c>
      <c r="H1454" s="60" t="s">
        <v>3636</v>
      </c>
      <c r="I1454" s="61">
        <v>46210.021378738398</v>
      </c>
      <c r="J1454" s="61">
        <v>46210.283081157402</v>
      </c>
      <c r="K1454" s="60">
        <v>0.3</v>
      </c>
      <c r="L1454" s="60" t="s">
        <v>183</v>
      </c>
      <c r="M1454" s="60" t="s">
        <v>183</v>
      </c>
      <c r="N1454" s="60" t="b">
        <f>FALSE()</f>
        <v>0</v>
      </c>
      <c r="O1454" s="60"/>
      <c r="P1454" s="60"/>
      <c r="Q1454" s="60" t="s">
        <v>236</v>
      </c>
      <c r="R1454" s="60" t="s">
        <v>236</v>
      </c>
      <c r="S1454" s="60"/>
      <c r="T1454" s="60" t="b">
        <f>FALSE()</f>
        <v>0</v>
      </c>
      <c r="U1454" s="60" t="b">
        <f>FALSE()</f>
        <v>0</v>
      </c>
      <c r="V1454" s="60">
        <v>805</v>
      </c>
      <c r="W1454" s="62" t="s">
        <v>5321</v>
      </c>
      <c r="X1454" s="60">
        <v>1</v>
      </c>
      <c r="Y1454" s="63">
        <v>1.75</v>
      </c>
      <c r="Z1454" s="60" t="b">
        <f>FALSE()</f>
        <v>0</v>
      </c>
      <c r="AA1454" s="60" t="b">
        <f>TRUE()</f>
        <v>1</v>
      </c>
      <c r="AB1454" s="60" t="b">
        <f>FALSE()</f>
        <v>0</v>
      </c>
      <c r="AC1454" s="60" t="b">
        <f>FALSE()</f>
        <v>0</v>
      </c>
      <c r="AD1454" s="60" t="b">
        <f>FALSE()</f>
        <v>0</v>
      </c>
      <c r="AE1454" s="60">
        <v>1</v>
      </c>
      <c r="AF1454" s="64">
        <v>14.3</v>
      </c>
      <c r="AG1454" s="60" t="s">
        <v>74</v>
      </c>
      <c r="AH1454" s="60" t="s">
        <v>5322</v>
      </c>
      <c r="AI1454">
        <f>IF(AND(OR(Company_Explorer!$B$5="All Companies",$E1454=Company_Explorer!$B$5),OR(Company_Explorer!$B$6="All Platforms",$B1454=Company_Explorer!$B$6),OR(Company_Explorer!$B$7="All Roles",$D1454=Company_Explorer!$B$7),OR(Company_Explorer!$B$8="All Ghost Labels",$AG1454=Company_Explorer!$B$8)),1,0)</f>
        <v>0</v>
      </c>
    </row>
    <row r="1455" spans="1:35" ht="15" customHeight="1" x14ac:dyDescent="0.3">
      <c r="A1455" s="65" t="s">
        <v>5323</v>
      </c>
      <c r="B1455" s="65" t="s">
        <v>81</v>
      </c>
      <c r="C1455" s="65" t="s">
        <v>5324</v>
      </c>
      <c r="D1455" s="65" t="s">
        <v>126</v>
      </c>
      <c r="E1455" s="65" t="s">
        <v>142</v>
      </c>
      <c r="F1455" s="65" t="b">
        <f>TRUE()</f>
        <v>1</v>
      </c>
      <c r="G1455" s="65" t="s">
        <v>165</v>
      </c>
      <c r="H1455" s="65" t="s">
        <v>3636</v>
      </c>
      <c r="I1455" s="66">
        <v>46210.013682245401</v>
      </c>
      <c r="J1455" s="66">
        <v>46210.283082222202</v>
      </c>
      <c r="K1455" s="65">
        <v>0.3</v>
      </c>
      <c r="L1455" s="65" t="s">
        <v>183</v>
      </c>
      <c r="M1455" s="65" t="s">
        <v>183</v>
      </c>
      <c r="N1455" s="65" t="b">
        <f>FALSE()</f>
        <v>0</v>
      </c>
      <c r="O1455" s="65"/>
      <c r="P1455" s="65"/>
      <c r="Q1455" s="65" t="s">
        <v>236</v>
      </c>
      <c r="R1455" s="65" t="s">
        <v>236</v>
      </c>
      <c r="S1455" s="65"/>
      <c r="T1455" s="65" t="b">
        <f>FALSE()</f>
        <v>0</v>
      </c>
      <c r="U1455" s="65" t="b">
        <f>FALSE()</f>
        <v>0</v>
      </c>
      <c r="V1455" s="65">
        <v>434</v>
      </c>
      <c r="W1455" s="67" t="s">
        <v>5325</v>
      </c>
      <c r="X1455" s="65">
        <v>81</v>
      </c>
      <c r="Y1455" s="68">
        <v>141.75</v>
      </c>
      <c r="Z1455" s="65" t="b">
        <f>FALSE()</f>
        <v>0</v>
      </c>
      <c r="AA1455" s="65" t="b">
        <f>TRUE()</f>
        <v>1</v>
      </c>
      <c r="AB1455" s="65" t="b">
        <f>FALSE()</f>
        <v>0</v>
      </c>
      <c r="AC1455" s="65" t="b">
        <f>FALSE()</f>
        <v>0</v>
      </c>
      <c r="AD1455" s="65" t="b">
        <f>TRUE()</f>
        <v>1</v>
      </c>
      <c r="AE1455" s="65">
        <v>3</v>
      </c>
      <c r="AF1455" s="69">
        <v>42.9</v>
      </c>
      <c r="AG1455" s="65" t="s">
        <v>73</v>
      </c>
      <c r="AH1455" s="65" t="s">
        <v>5326</v>
      </c>
      <c r="AI1455">
        <f>IF(AND(OR(Company_Explorer!$B$5="All Companies",$E1455=Company_Explorer!$B$5),OR(Company_Explorer!$B$6="All Platforms",$B1455=Company_Explorer!$B$6),OR(Company_Explorer!$B$7="All Roles",$D1455=Company_Explorer!$B$7),OR(Company_Explorer!$B$8="All Ghost Labels",$AG1455=Company_Explorer!$B$8)),1,0)</f>
        <v>0</v>
      </c>
    </row>
    <row r="1456" spans="1:35" ht="15" customHeight="1" x14ac:dyDescent="0.3">
      <c r="A1456" s="60" t="s">
        <v>5327</v>
      </c>
      <c r="B1456" s="60" t="s">
        <v>81</v>
      </c>
      <c r="C1456" s="60" t="s">
        <v>5328</v>
      </c>
      <c r="D1456" s="60" t="s">
        <v>126</v>
      </c>
      <c r="E1456" s="60" t="s">
        <v>142</v>
      </c>
      <c r="F1456" s="60" t="b">
        <f>TRUE()</f>
        <v>1</v>
      </c>
      <c r="G1456" s="60" t="s">
        <v>165</v>
      </c>
      <c r="H1456" s="60" t="s">
        <v>3620</v>
      </c>
      <c r="I1456" s="61">
        <v>46210.013682314799</v>
      </c>
      <c r="J1456" s="61">
        <v>46210.283082303198</v>
      </c>
      <c r="K1456" s="60">
        <v>0.3</v>
      </c>
      <c r="L1456" s="60" t="s">
        <v>183</v>
      </c>
      <c r="M1456" s="60" t="s">
        <v>183</v>
      </c>
      <c r="N1456" s="60" t="b">
        <f>FALSE()</f>
        <v>0</v>
      </c>
      <c r="O1456" s="60"/>
      <c r="P1456" s="60"/>
      <c r="Q1456" s="60" t="s">
        <v>236</v>
      </c>
      <c r="R1456" s="60" t="s">
        <v>236</v>
      </c>
      <c r="S1456" s="60"/>
      <c r="T1456" s="60" t="b">
        <f>FALSE()</f>
        <v>0</v>
      </c>
      <c r="U1456" s="60" t="b">
        <f>FALSE()</f>
        <v>0</v>
      </c>
      <c r="V1456" s="60">
        <v>934</v>
      </c>
      <c r="W1456" s="62" t="s">
        <v>5329</v>
      </c>
      <c r="X1456" s="60">
        <v>81</v>
      </c>
      <c r="Y1456" s="63">
        <v>141.75</v>
      </c>
      <c r="Z1456" s="60" t="b">
        <f>FALSE()</f>
        <v>0</v>
      </c>
      <c r="AA1456" s="60" t="b">
        <f>TRUE()</f>
        <v>1</v>
      </c>
      <c r="AB1456" s="60" t="b">
        <f>FALSE()</f>
        <v>0</v>
      </c>
      <c r="AC1456" s="60" t="b">
        <f>FALSE()</f>
        <v>0</v>
      </c>
      <c r="AD1456" s="60" t="b">
        <f>TRUE()</f>
        <v>1</v>
      </c>
      <c r="AE1456" s="60">
        <v>3</v>
      </c>
      <c r="AF1456" s="64">
        <v>42.9</v>
      </c>
      <c r="AG1456" s="60" t="s">
        <v>73</v>
      </c>
      <c r="AH1456" s="60" t="s">
        <v>5330</v>
      </c>
      <c r="AI1456">
        <f>IF(AND(OR(Company_Explorer!$B$5="All Companies",$E1456=Company_Explorer!$B$5),OR(Company_Explorer!$B$6="All Platforms",$B1456=Company_Explorer!$B$6),OR(Company_Explorer!$B$7="All Roles",$D1456=Company_Explorer!$B$7),OR(Company_Explorer!$B$8="All Ghost Labels",$AG1456=Company_Explorer!$B$8)),1,0)</f>
        <v>0</v>
      </c>
    </row>
    <row r="1457" spans="1:35" ht="15" customHeight="1" x14ac:dyDescent="0.3">
      <c r="A1457" s="65" t="s">
        <v>5331</v>
      </c>
      <c r="B1457" s="65" t="s">
        <v>81</v>
      </c>
      <c r="C1457" s="65" t="s">
        <v>5332</v>
      </c>
      <c r="D1457" s="65" t="s">
        <v>130</v>
      </c>
      <c r="E1457" s="65" t="s">
        <v>160</v>
      </c>
      <c r="F1457" s="65" t="b">
        <f>TRUE()</f>
        <v>1</v>
      </c>
      <c r="G1457" s="65" t="s">
        <v>165</v>
      </c>
      <c r="H1457" s="65" t="s">
        <v>3672</v>
      </c>
      <c r="I1457" s="66">
        <v>46210.125492835701</v>
      </c>
      <c r="J1457" s="66">
        <v>46210.283081238398</v>
      </c>
      <c r="K1457" s="65">
        <v>0.2</v>
      </c>
      <c r="L1457" s="65" t="s">
        <v>183</v>
      </c>
      <c r="M1457" s="65" t="s">
        <v>183</v>
      </c>
      <c r="N1457" s="65" t="b">
        <f>FALSE()</f>
        <v>0</v>
      </c>
      <c r="O1457" s="65"/>
      <c r="P1457" s="65"/>
      <c r="Q1457" s="65" t="s">
        <v>236</v>
      </c>
      <c r="R1457" s="65" t="s">
        <v>236</v>
      </c>
      <c r="S1457" s="65"/>
      <c r="T1457" s="65" t="b">
        <f>FALSE()</f>
        <v>0</v>
      </c>
      <c r="U1457" s="65" t="b">
        <f>FALSE()</f>
        <v>0</v>
      </c>
      <c r="V1457" s="65">
        <v>1181</v>
      </c>
      <c r="W1457" s="67" t="s">
        <v>4069</v>
      </c>
      <c r="X1457" s="65">
        <v>14</v>
      </c>
      <c r="Y1457" s="68">
        <v>24.5</v>
      </c>
      <c r="Z1457" s="65" t="b">
        <f>FALSE()</f>
        <v>0</v>
      </c>
      <c r="AA1457" s="65" t="b">
        <f>TRUE()</f>
        <v>1</v>
      </c>
      <c r="AB1457" s="65" t="b">
        <f>FALSE()</f>
        <v>0</v>
      </c>
      <c r="AC1457" s="65" t="b">
        <f>FALSE()</f>
        <v>0</v>
      </c>
      <c r="AD1457" s="65" t="b">
        <f>FALSE()</f>
        <v>0</v>
      </c>
      <c r="AE1457" s="65">
        <v>1</v>
      </c>
      <c r="AF1457" s="69">
        <v>14.3</v>
      </c>
      <c r="AG1457" s="65" t="s">
        <v>74</v>
      </c>
      <c r="AH1457" s="65" t="s">
        <v>5333</v>
      </c>
      <c r="AI1457">
        <f>IF(AND(OR(Company_Explorer!$B$5="All Companies",$E1457=Company_Explorer!$B$5),OR(Company_Explorer!$B$6="All Platforms",$B1457=Company_Explorer!$B$6),OR(Company_Explorer!$B$7="All Roles",$D1457=Company_Explorer!$B$7),OR(Company_Explorer!$B$8="All Ghost Labels",$AG1457=Company_Explorer!$B$8)),1,0)</f>
        <v>0</v>
      </c>
    </row>
    <row r="1458" spans="1:35" ht="15" customHeight="1" x14ac:dyDescent="0.3">
      <c r="A1458" s="60" t="s">
        <v>5334</v>
      </c>
      <c r="B1458" s="60" t="s">
        <v>81</v>
      </c>
      <c r="C1458" s="60" t="s">
        <v>5335</v>
      </c>
      <c r="D1458" s="60" t="s">
        <v>126</v>
      </c>
      <c r="E1458" s="60" t="s">
        <v>160</v>
      </c>
      <c r="F1458" s="60" t="b">
        <f>TRUE()</f>
        <v>1</v>
      </c>
      <c r="G1458" s="60" t="s">
        <v>165</v>
      </c>
      <c r="H1458" s="60" t="s">
        <v>3672</v>
      </c>
      <c r="I1458" s="61">
        <v>46210.125440023199</v>
      </c>
      <c r="J1458" s="61">
        <v>46210.283084525501</v>
      </c>
      <c r="K1458" s="60">
        <v>0.2</v>
      </c>
      <c r="L1458" s="60" t="s">
        <v>183</v>
      </c>
      <c r="M1458" s="60" t="s">
        <v>183</v>
      </c>
      <c r="N1458" s="60" t="b">
        <f>FALSE()</f>
        <v>0</v>
      </c>
      <c r="O1458" s="60"/>
      <c r="P1458" s="60"/>
      <c r="Q1458" s="60" t="s">
        <v>236</v>
      </c>
      <c r="R1458" s="60" t="s">
        <v>236</v>
      </c>
      <c r="S1458" s="60"/>
      <c r="T1458" s="60" t="b">
        <f>FALSE()</f>
        <v>0</v>
      </c>
      <c r="U1458" s="60" t="b">
        <f>FALSE()</f>
        <v>0</v>
      </c>
      <c r="V1458" s="60">
        <v>1126</v>
      </c>
      <c r="W1458" s="62" t="s">
        <v>4069</v>
      </c>
      <c r="X1458" s="60">
        <v>14</v>
      </c>
      <c r="Y1458" s="63">
        <v>24.5</v>
      </c>
      <c r="Z1458" s="60" t="b">
        <f>FALSE()</f>
        <v>0</v>
      </c>
      <c r="AA1458" s="60" t="b">
        <f>TRUE()</f>
        <v>1</v>
      </c>
      <c r="AB1458" s="60" t="b">
        <f>FALSE()</f>
        <v>0</v>
      </c>
      <c r="AC1458" s="60" t="b">
        <f>FALSE()</f>
        <v>0</v>
      </c>
      <c r="AD1458" s="60" t="b">
        <f>FALSE()</f>
        <v>0</v>
      </c>
      <c r="AE1458" s="60">
        <v>1</v>
      </c>
      <c r="AF1458" s="64">
        <v>14.3</v>
      </c>
      <c r="AG1458" s="60" t="s">
        <v>74</v>
      </c>
      <c r="AH1458" s="60" t="s">
        <v>5336</v>
      </c>
      <c r="AI1458">
        <f>IF(AND(OR(Company_Explorer!$B$5="All Companies",$E1458=Company_Explorer!$B$5),OR(Company_Explorer!$B$6="All Platforms",$B1458=Company_Explorer!$B$6),OR(Company_Explorer!$B$7="All Roles",$D1458=Company_Explorer!$B$7),OR(Company_Explorer!$B$8="All Ghost Labels",$AG1458=Company_Explorer!$B$8)),1,0)</f>
        <v>0</v>
      </c>
    </row>
    <row r="1459" spans="1:35" ht="15" customHeight="1" x14ac:dyDescent="0.3">
      <c r="A1459" s="65" t="s">
        <v>5337</v>
      </c>
      <c r="B1459" s="65" t="s">
        <v>81</v>
      </c>
      <c r="C1459" s="65" t="s">
        <v>5338</v>
      </c>
      <c r="D1459" s="65" t="s">
        <v>126</v>
      </c>
      <c r="E1459" s="65" t="s">
        <v>5339</v>
      </c>
      <c r="F1459" s="65" t="b">
        <f>TRUE()</f>
        <v>1</v>
      </c>
      <c r="G1459" s="65" t="s">
        <v>165</v>
      </c>
      <c r="H1459" s="65" t="s">
        <v>3702</v>
      </c>
      <c r="I1459" s="66">
        <v>46210.040743888901</v>
      </c>
      <c r="J1459" s="66">
        <v>46210.283084594899</v>
      </c>
      <c r="K1459" s="65">
        <v>0.2</v>
      </c>
      <c r="L1459" s="65" t="s">
        <v>183</v>
      </c>
      <c r="M1459" s="65" t="s">
        <v>183</v>
      </c>
      <c r="N1459" s="65" t="b">
        <f>FALSE()</f>
        <v>0</v>
      </c>
      <c r="O1459" s="65"/>
      <c r="P1459" s="65"/>
      <c r="Q1459" s="65" t="s">
        <v>236</v>
      </c>
      <c r="R1459" s="65" t="s">
        <v>236</v>
      </c>
      <c r="S1459" s="65"/>
      <c r="T1459" s="65" t="b">
        <f>FALSE()</f>
        <v>0</v>
      </c>
      <c r="U1459" s="65" t="b">
        <f>FALSE()</f>
        <v>0</v>
      </c>
      <c r="V1459" s="65">
        <v>700</v>
      </c>
      <c r="W1459" s="67" t="s">
        <v>5340</v>
      </c>
      <c r="X1459" s="65">
        <v>3</v>
      </c>
      <c r="Y1459" s="68">
        <v>5.25</v>
      </c>
      <c r="Z1459" s="65" t="b">
        <f>FALSE()</f>
        <v>0</v>
      </c>
      <c r="AA1459" s="65" t="b">
        <f>TRUE()</f>
        <v>1</v>
      </c>
      <c r="AB1459" s="65" t="b">
        <f>FALSE()</f>
        <v>0</v>
      </c>
      <c r="AC1459" s="65" t="b">
        <f>FALSE()</f>
        <v>0</v>
      </c>
      <c r="AD1459" s="65" t="b">
        <f>FALSE()</f>
        <v>0</v>
      </c>
      <c r="AE1459" s="65">
        <v>1</v>
      </c>
      <c r="AF1459" s="69">
        <v>14.3</v>
      </c>
      <c r="AG1459" s="65" t="s">
        <v>74</v>
      </c>
      <c r="AH1459" s="65" t="s">
        <v>5341</v>
      </c>
      <c r="AI1459">
        <f>IF(AND(OR(Company_Explorer!$B$5="All Companies",$E1459=Company_Explorer!$B$5),OR(Company_Explorer!$B$6="All Platforms",$B1459=Company_Explorer!$B$6),OR(Company_Explorer!$B$7="All Roles",$D1459=Company_Explorer!$B$7),OR(Company_Explorer!$B$8="All Ghost Labels",$AG1459=Company_Explorer!$B$8)),1,0)</f>
        <v>0</v>
      </c>
    </row>
    <row r="1460" spans="1:35" ht="15" customHeight="1" x14ac:dyDescent="0.3">
      <c r="A1460" s="60" t="s">
        <v>5342</v>
      </c>
      <c r="B1460" s="60" t="s">
        <v>81</v>
      </c>
      <c r="C1460" s="60" t="s">
        <v>5343</v>
      </c>
      <c r="D1460" s="60" t="s">
        <v>126</v>
      </c>
      <c r="E1460" s="60" t="s">
        <v>5344</v>
      </c>
      <c r="F1460" s="60" t="b">
        <f>TRUE()</f>
        <v>1</v>
      </c>
      <c r="G1460" s="60" t="s">
        <v>177</v>
      </c>
      <c r="H1460" s="60" t="s">
        <v>165</v>
      </c>
      <c r="I1460" s="61">
        <v>46210.044947858798</v>
      </c>
      <c r="J1460" s="61">
        <v>46210.2830845602</v>
      </c>
      <c r="K1460" s="60">
        <v>0.2</v>
      </c>
      <c r="L1460" s="60" t="s">
        <v>183</v>
      </c>
      <c r="M1460" s="60" t="s">
        <v>183</v>
      </c>
      <c r="N1460" s="60" t="b">
        <f>TRUE()</f>
        <v>1</v>
      </c>
      <c r="O1460" s="70">
        <v>25000</v>
      </c>
      <c r="P1460" s="70">
        <v>40000</v>
      </c>
      <c r="Q1460" s="60" t="s">
        <v>3663</v>
      </c>
      <c r="R1460" s="60" t="s">
        <v>3664</v>
      </c>
      <c r="S1460" s="70">
        <v>390000</v>
      </c>
      <c r="T1460" s="60" t="b">
        <f>TRUE()</f>
        <v>1</v>
      </c>
      <c r="U1460" s="60" t="b">
        <f>FALSE()</f>
        <v>0</v>
      </c>
      <c r="V1460" s="60">
        <v>577</v>
      </c>
      <c r="W1460" s="62" t="s">
        <v>5345</v>
      </c>
      <c r="X1460" s="60">
        <v>1</v>
      </c>
      <c r="Y1460" s="63">
        <v>1.75</v>
      </c>
      <c r="Z1460" s="60" t="b">
        <f>FALSE()</f>
        <v>0</v>
      </c>
      <c r="AA1460" s="60" t="b">
        <f>FALSE()</f>
        <v>0</v>
      </c>
      <c r="AB1460" s="60" t="b">
        <f>FALSE()</f>
        <v>0</v>
      </c>
      <c r="AC1460" s="60" t="b">
        <f>FALSE()</f>
        <v>0</v>
      </c>
      <c r="AD1460" s="60" t="b">
        <f>FALSE()</f>
        <v>0</v>
      </c>
      <c r="AE1460" s="60">
        <v>0</v>
      </c>
      <c r="AF1460" s="64">
        <v>0</v>
      </c>
      <c r="AG1460" s="60" t="s">
        <v>74</v>
      </c>
      <c r="AH1460" s="60" t="s">
        <v>5346</v>
      </c>
      <c r="AI1460">
        <f>IF(AND(OR(Company_Explorer!$B$5="All Companies",$E1460=Company_Explorer!$B$5),OR(Company_Explorer!$B$6="All Platforms",$B1460=Company_Explorer!$B$6),OR(Company_Explorer!$B$7="All Roles",$D1460=Company_Explorer!$B$7),OR(Company_Explorer!$B$8="All Ghost Labels",$AG1460=Company_Explorer!$B$8)),1,0)</f>
        <v>0</v>
      </c>
    </row>
    <row r="1461" spans="1:35" ht="15" customHeight="1" x14ac:dyDescent="0.3">
      <c r="A1461" s="65" t="s">
        <v>5347</v>
      </c>
      <c r="B1461" s="65" t="s">
        <v>81</v>
      </c>
      <c r="C1461" s="65" t="s">
        <v>5348</v>
      </c>
      <c r="D1461" s="65" t="s">
        <v>126</v>
      </c>
      <c r="E1461" s="65" t="s">
        <v>160</v>
      </c>
      <c r="F1461" s="65" t="b">
        <f>TRUE()</f>
        <v>1</v>
      </c>
      <c r="G1461" s="65" t="s">
        <v>165</v>
      </c>
      <c r="H1461" s="65" t="s">
        <v>3672</v>
      </c>
      <c r="I1461" s="66">
        <v>46210.125441516197</v>
      </c>
      <c r="J1461" s="66">
        <v>46210.283085613402</v>
      </c>
      <c r="K1461" s="65">
        <v>0.2</v>
      </c>
      <c r="L1461" s="65" t="s">
        <v>183</v>
      </c>
      <c r="M1461" s="65" t="s">
        <v>183</v>
      </c>
      <c r="N1461" s="65" t="b">
        <f>FALSE()</f>
        <v>0</v>
      </c>
      <c r="O1461" s="65"/>
      <c r="P1461" s="65"/>
      <c r="Q1461" s="65" t="s">
        <v>236</v>
      </c>
      <c r="R1461" s="65" t="s">
        <v>236</v>
      </c>
      <c r="S1461" s="65"/>
      <c r="T1461" s="65" t="b">
        <f>FALSE()</f>
        <v>0</v>
      </c>
      <c r="U1461" s="65" t="b">
        <f>FALSE()</f>
        <v>0</v>
      </c>
      <c r="V1461" s="65">
        <v>1260</v>
      </c>
      <c r="W1461" s="67" t="s">
        <v>4069</v>
      </c>
      <c r="X1461" s="65">
        <v>14</v>
      </c>
      <c r="Y1461" s="68">
        <v>24.5</v>
      </c>
      <c r="Z1461" s="65" t="b">
        <f>FALSE()</f>
        <v>0</v>
      </c>
      <c r="AA1461" s="65" t="b">
        <f>TRUE()</f>
        <v>1</v>
      </c>
      <c r="AB1461" s="65" t="b">
        <f>FALSE()</f>
        <v>0</v>
      </c>
      <c r="AC1461" s="65" t="b">
        <f>FALSE()</f>
        <v>0</v>
      </c>
      <c r="AD1461" s="65" t="b">
        <f>FALSE()</f>
        <v>0</v>
      </c>
      <c r="AE1461" s="65">
        <v>1</v>
      </c>
      <c r="AF1461" s="69">
        <v>14.3</v>
      </c>
      <c r="AG1461" s="65" t="s">
        <v>74</v>
      </c>
      <c r="AH1461" s="65" t="s">
        <v>5349</v>
      </c>
      <c r="AI1461">
        <f>IF(AND(OR(Company_Explorer!$B$5="All Companies",$E1461=Company_Explorer!$B$5),OR(Company_Explorer!$B$6="All Platforms",$B1461=Company_Explorer!$B$6),OR(Company_Explorer!$B$7="All Roles",$D1461=Company_Explorer!$B$7),OR(Company_Explorer!$B$8="All Ghost Labels",$AG1461=Company_Explorer!$B$8)),1,0)</f>
        <v>0</v>
      </c>
    </row>
    <row r="1462" spans="1:35" ht="15" customHeight="1" x14ac:dyDescent="0.3">
      <c r="A1462" s="60" t="s">
        <v>5350</v>
      </c>
      <c r="B1462" s="60" t="s">
        <v>81</v>
      </c>
      <c r="C1462" s="60" t="s">
        <v>5351</v>
      </c>
      <c r="D1462" s="60" t="s">
        <v>126</v>
      </c>
      <c r="E1462" s="60" t="s">
        <v>5339</v>
      </c>
      <c r="F1462" s="60" t="b">
        <f>TRUE()</f>
        <v>1</v>
      </c>
      <c r="G1462" s="60" t="s">
        <v>165</v>
      </c>
      <c r="H1462" s="60" t="s">
        <v>3702</v>
      </c>
      <c r="I1462" s="61">
        <v>46210.040733090304</v>
      </c>
      <c r="J1462" s="61">
        <v>46210.283085648203</v>
      </c>
      <c r="K1462" s="60">
        <v>0.2</v>
      </c>
      <c r="L1462" s="60" t="s">
        <v>183</v>
      </c>
      <c r="M1462" s="60" t="s">
        <v>183</v>
      </c>
      <c r="N1462" s="60" t="b">
        <f>FALSE()</f>
        <v>0</v>
      </c>
      <c r="O1462" s="60"/>
      <c r="P1462" s="60"/>
      <c r="Q1462" s="60" t="s">
        <v>236</v>
      </c>
      <c r="R1462" s="60" t="s">
        <v>236</v>
      </c>
      <c r="S1462" s="60"/>
      <c r="T1462" s="60" t="b">
        <f>FALSE()</f>
        <v>0</v>
      </c>
      <c r="U1462" s="60" t="b">
        <f>FALSE()</f>
        <v>0</v>
      </c>
      <c r="V1462" s="60">
        <v>1103</v>
      </c>
      <c r="W1462" s="62" t="s">
        <v>5340</v>
      </c>
      <c r="X1462" s="60">
        <v>3</v>
      </c>
      <c r="Y1462" s="63">
        <v>5.25</v>
      </c>
      <c r="Z1462" s="60" t="b">
        <f>FALSE()</f>
        <v>0</v>
      </c>
      <c r="AA1462" s="60" t="b">
        <f>TRUE()</f>
        <v>1</v>
      </c>
      <c r="AB1462" s="60" t="b">
        <f>FALSE()</f>
        <v>0</v>
      </c>
      <c r="AC1462" s="60" t="b">
        <f>FALSE()</f>
        <v>0</v>
      </c>
      <c r="AD1462" s="60" t="b">
        <f>FALSE()</f>
        <v>0</v>
      </c>
      <c r="AE1462" s="60">
        <v>1</v>
      </c>
      <c r="AF1462" s="64">
        <v>14.3</v>
      </c>
      <c r="AG1462" s="60" t="s">
        <v>74</v>
      </c>
      <c r="AH1462" s="60" t="s">
        <v>5352</v>
      </c>
      <c r="AI1462">
        <f>IF(AND(OR(Company_Explorer!$B$5="All Companies",$E1462=Company_Explorer!$B$5),OR(Company_Explorer!$B$6="All Platforms",$B1462=Company_Explorer!$B$6),OR(Company_Explorer!$B$7="All Roles",$D1462=Company_Explorer!$B$7),OR(Company_Explorer!$B$8="All Ghost Labels",$AG1462=Company_Explorer!$B$8)),1,0)</f>
        <v>0</v>
      </c>
    </row>
    <row r="1463" spans="1:35" ht="15" customHeight="1" x14ac:dyDescent="0.3">
      <c r="A1463" s="65" t="s">
        <v>5353</v>
      </c>
      <c r="B1463" s="65" t="s">
        <v>81</v>
      </c>
      <c r="C1463" s="65" t="s">
        <v>5354</v>
      </c>
      <c r="D1463" s="65" t="s">
        <v>126</v>
      </c>
      <c r="E1463" s="65" t="s">
        <v>142</v>
      </c>
      <c r="F1463" s="65" t="b">
        <f>TRUE()</f>
        <v>1</v>
      </c>
      <c r="G1463" s="65" t="s">
        <v>165</v>
      </c>
      <c r="H1463" s="65" t="s">
        <v>3636</v>
      </c>
      <c r="I1463" s="66">
        <v>46210.013566828697</v>
      </c>
      <c r="J1463" s="66">
        <v>46210.283085717601</v>
      </c>
      <c r="K1463" s="65">
        <v>0.3</v>
      </c>
      <c r="L1463" s="65" t="s">
        <v>183</v>
      </c>
      <c r="M1463" s="65" t="s">
        <v>183</v>
      </c>
      <c r="N1463" s="65" t="b">
        <f>FALSE()</f>
        <v>0</v>
      </c>
      <c r="O1463" s="65"/>
      <c r="P1463" s="65"/>
      <c r="Q1463" s="65" t="s">
        <v>236</v>
      </c>
      <c r="R1463" s="65" t="s">
        <v>236</v>
      </c>
      <c r="S1463" s="65"/>
      <c r="T1463" s="65" t="b">
        <f>FALSE()</f>
        <v>0</v>
      </c>
      <c r="U1463" s="65" t="b">
        <f>FALSE()</f>
        <v>0</v>
      </c>
      <c r="V1463" s="65">
        <v>682</v>
      </c>
      <c r="W1463" s="67" t="s">
        <v>5355</v>
      </c>
      <c r="X1463" s="65">
        <v>81</v>
      </c>
      <c r="Y1463" s="68">
        <v>141.75</v>
      </c>
      <c r="Z1463" s="65" t="b">
        <f>FALSE()</f>
        <v>0</v>
      </c>
      <c r="AA1463" s="65" t="b">
        <f>TRUE()</f>
        <v>1</v>
      </c>
      <c r="AB1463" s="65" t="b">
        <f>FALSE()</f>
        <v>0</v>
      </c>
      <c r="AC1463" s="65" t="b">
        <f>FALSE()</f>
        <v>0</v>
      </c>
      <c r="AD1463" s="65" t="b">
        <f>TRUE()</f>
        <v>1</v>
      </c>
      <c r="AE1463" s="65">
        <v>3</v>
      </c>
      <c r="AF1463" s="69">
        <v>42.9</v>
      </c>
      <c r="AG1463" s="65" t="s">
        <v>73</v>
      </c>
      <c r="AH1463" s="65" t="s">
        <v>5356</v>
      </c>
      <c r="AI1463">
        <f>IF(AND(OR(Company_Explorer!$B$5="All Companies",$E1463=Company_Explorer!$B$5),OR(Company_Explorer!$B$6="All Platforms",$B1463=Company_Explorer!$B$6),OR(Company_Explorer!$B$7="All Roles",$D1463=Company_Explorer!$B$7),OR(Company_Explorer!$B$8="All Ghost Labels",$AG1463=Company_Explorer!$B$8)),1,0)</f>
        <v>0</v>
      </c>
    </row>
    <row r="1464" spans="1:35" ht="15" customHeight="1" x14ac:dyDescent="0.3">
      <c r="A1464" s="60" t="s">
        <v>5357</v>
      </c>
      <c r="B1464" s="60" t="s">
        <v>81</v>
      </c>
      <c r="C1464" s="60" t="s">
        <v>5358</v>
      </c>
      <c r="D1464" s="60" t="s">
        <v>126</v>
      </c>
      <c r="E1464" s="60" t="s">
        <v>149</v>
      </c>
      <c r="F1464" s="60" t="b">
        <f>TRUE()</f>
        <v>1</v>
      </c>
      <c r="G1464" s="60" t="s">
        <v>165</v>
      </c>
      <c r="H1464" s="60" t="s">
        <v>3620</v>
      </c>
      <c r="I1464" s="61">
        <v>46210.124094455998</v>
      </c>
      <c r="J1464" s="61">
        <v>46210.283085879601</v>
      </c>
      <c r="K1464" s="60">
        <v>0.2</v>
      </c>
      <c r="L1464" s="60" t="s">
        <v>183</v>
      </c>
      <c r="M1464" s="60" t="s">
        <v>183</v>
      </c>
      <c r="N1464" s="60" t="b">
        <f>FALSE()</f>
        <v>0</v>
      </c>
      <c r="O1464" s="60"/>
      <c r="P1464" s="60"/>
      <c r="Q1464" s="60" t="s">
        <v>236</v>
      </c>
      <c r="R1464" s="60" t="s">
        <v>236</v>
      </c>
      <c r="S1464" s="60"/>
      <c r="T1464" s="60" t="b">
        <f>FALSE()</f>
        <v>0</v>
      </c>
      <c r="U1464" s="60" t="b">
        <f>FALSE()</f>
        <v>0</v>
      </c>
      <c r="V1464" s="60">
        <v>952</v>
      </c>
      <c r="W1464" s="62" t="s">
        <v>3698</v>
      </c>
      <c r="X1464" s="60">
        <v>16</v>
      </c>
      <c r="Y1464" s="63">
        <v>28</v>
      </c>
      <c r="Z1464" s="60" t="b">
        <f>FALSE()</f>
        <v>0</v>
      </c>
      <c r="AA1464" s="60" t="b">
        <f>TRUE()</f>
        <v>1</v>
      </c>
      <c r="AB1464" s="60" t="b">
        <f>FALSE()</f>
        <v>0</v>
      </c>
      <c r="AC1464" s="60" t="b">
        <f>FALSE()</f>
        <v>0</v>
      </c>
      <c r="AD1464" s="60" t="b">
        <f>FALSE()</f>
        <v>0</v>
      </c>
      <c r="AE1464" s="60">
        <v>1</v>
      </c>
      <c r="AF1464" s="64">
        <v>14.3</v>
      </c>
      <c r="AG1464" s="60" t="s">
        <v>74</v>
      </c>
      <c r="AH1464" s="60" t="s">
        <v>5359</v>
      </c>
      <c r="AI1464">
        <f>IF(AND(OR(Company_Explorer!$B$5="All Companies",$E1464=Company_Explorer!$B$5),OR(Company_Explorer!$B$6="All Platforms",$B1464=Company_Explorer!$B$6),OR(Company_Explorer!$B$7="All Roles",$D1464=Company_Explorer!$B$7),OR(Company_Explorer!$B$8="All Ghost Labels",$AG1464=Company_Explorer!$B$8)),1,0)</f>
        <v>0</v>
      </c>
    </row>
    <row r="1465" spans="1:35" ht="15" customHeight="1" x14ac:dyDescent="0.3">
      <c r="A1465" s="65" t="s">
        <v>5360</v>
      </c>
      <c r="B1465" s="65" t="s">
        <v>81</v>
      </c>
      <c r="C1465" s="65" t="s">
        <v>5354</v>
      </c>
      <c r="D1465" s="65" t="s">
        <v>126</v>
      </c>
      <c r="E1465" s="65" t="s">
        <v>142</v>
      </c>
      <c r="F1465" s="65" t="b">
        <f>TRUE()</f>
        <v>1</v>
      </c>
      <c r="G1465" s="65" t="s">
        <v>165</v>
      </c>
      <c r="H1465" s="65" t="s">
        <v>3636</v>
      </c>
      <c r="I1465" s="66">
        <v>46210.0135704282</v>
      </c>
      <c r="J1465" s="66">
        <v>46210.283085763898</v>
      </c>
      <c r="K1465" s="65">
        <v>0.3</v>
      </c>
      <c r="L1465" s="65" t="s">
        <v>183</v>
      </c>
      <c r="M1465" s="65" t="s">
        <v>183</v>
      </c>
      <c r="N1465" s="65" t="b">
        <f>FALSE()</f>
        <v>0</v>
      </c>
      <c r="O1465" s="65"/>
      <c r="P1465" s="65"/>
      <c r="Q1465" s="65" t="s">
        <v>236</v>
      </c>
      <c r="R1465" s="65" t="s">
        <v>236</v>
      </c>
      <c r="S1465" s="65"/>
      <c r="T1465" s="65" t="b">
        <f>FALSE()</f>
        <v>0</v>
      </c>
      <c r="U1465" s="65" t="b">
        <f>FALSE()</f>
        <v>0</v>
      </c>
      <c r="V1465" s="65">
        <v>682</v>
      </c>
      <c r="W1465" s="67" t="s">
        <v>5355</v>
      </c>
      <c r="X1465" s="65">
        <v>81</v>
      </c>
      <c r="Y1465" s="68">
        <v>141.75</v>
      </c>
      <c r="Z1465" s="65" t="b">
        <f>FALSE()</f>
        <v>0</v>
      </c>
      <c r="AA1465" s="65" t="b">
        <f>TRUE()</f>
        <v>1</v>
      </c>
      <c r="AB1465" s="65" t="b">
        <f>FALSE()</f>
        <v>0</v>
      </c>
      <c r="AC1465" s="65" t="b">
        <f>FALSE()</f>
        <v>0</v>
      </c>
      <c r="AD1465" s="65" t="b">
        <f>TRUE()</f>
        <v>1</v>
      </c>
      <c r="AE1465" s="65">
        <v>3</v>
      </c>
      <c r="AF1465" s="69">
        <v>42.9</v>
      </c>
      <c r="AG1465" s="65" t="s">
        <v>73</v>
      </c>
      <c r="AH1465" s="65" t="s">
        <v>5361</v>
      </c>
      <c r="AI1465">
        <f>IF(AND(OR(Company_Explorer!$B$5="All Companies",$E1465=Company_Explorer!$B$5),OR(Company_Explorer!$B$6="All Platforms",$B1465=Company_Explorer!$B$6),OR(Company_Explorer!$B$7="All Roles",$D1465=Company_Explorer!$B$7),OR(Company_Explorer!$B$8="All Ghost Labels",$AG1465=Company_Explorer!$B$8)),1,0)</f>
        <v>0</v>
      </c>
    </row>
    <row r="1466" spans="1:35" ht="15" customHeight="1" x14ac:dyDescent="0.3">
      <c r="A1466" s="60" t="s">
        <v>5362</v>
      </c>
      <c r="B1466" s="60" t="s">
        <v>81</v>
      </c>
      <c r="C1466" s="60" t="s">
        <v>5363</v>
      </c>
      <c r="D1466" s="60" t="s">
        <v>126</v>
      </c>
      <c r="E1466" s="60" t="s">
        <v>3461</v>
      </c>
      <c r="F1466" s="60" t="b">
        <f>TRUE()</f>
        <v>1</v>
      </c>
      <c r="G1466" s="60" t="s">
        <v>165</v>
      </c>
      <c r="H1466" s="60" t="s">
        <v>3672</v>
      </c>
      <c r="I1466" s="61">
        <v>46210.119159641203</v>
      </c>
      <c r="J1466" s="61">
        <v>46210.283086898198</v>
      </c>
      <c r="K1466" s="60">
        <v>0.2</v>
      </c>
      <c r="L1466" s="60" t="s">
        <v>183</v>
      </c>
      <c r="M1466" s="60" t="s">
        <v>183</v>
      </c>
      <c r="N1466" s="60" t="b">
        <f>FALSE()</f>
        <v>0</v>
      </c>
      <c r="O1466" s="60"/>
      <c r="P1466" s="60"/>
      <c r="Q1466" s="60" t="s">
        <v>236</v>
      </c>
      <c r="R1466" s="60" t="s">
        <v>236</v>
      </c>
      <c r="S1466" s="60"/>
      <c r="T1466" s="60" t="b">
        <f>FALSE()</f>
        <v>0</v>
      </c>
      <c r="U1466" s="60" t="b">
        <f>FALSE()</f>
        <v>0</v>
      </c>
      <c r="V1466" s="60">
        <v>984</v>
      </c>
      <c r="W1466" s="62" t="s">
        <v>5364</v>
      </c>
      <c r="X1466" s="60">
        <v>2</v>
      </c>
      <c r="Y1466" s="63">
        <v>3.5</v>
      </c>
      <c r="Z1466" s="60" t="b">
        <f>FALSE()</f>
        <v>0</v>
      </c>
      <c r="AA1466" s="60" t="b">
        <f>TRUE()</f>
        <v>1</v>
      </c>
      <c r="AB1466" s="60" t="b">
        <f>FALSE()</f>
        <v>0</v>
      </c>
      <c r="AC1466" s="60" t="b">
        <f>FALSE()</f>
        <v>0</v>
      </c>
      <c r="AD1466" s="60" t="b">
        <f>FALSE()</f>
        <v>0</v>
      </c>
      <c r="AE1466" s="60">
        <v>1</v>
      </c>
      <c r="AF1466" s="64">
        <v>14.3</v>
      </c>
      <c r="AG1466" s="60" t="s">
        <v>74</v>
      </c>
      <c r="AH1466" s="60" t="s">
        <v>5365</v>
      </c>
      <c r="AI1466">
        <f>IF(AND(OR(Company_Explorer!$B$5="All Companies",$E1466=Company_Explorer!$B$5),OR(Company_Explorer!$B$6="All Platforms",$B1466=Company_Explorer!$B$6),OR(Company_Explorer!$B$7="All Roles",$D1466=Company_Explorer!$B$7),OR(Company_Explorer!$B$8="All Ghost Labels",$AG1466=Company_Explorer!$B$8)),1,0)</f>
        <v>0</v>
      </c>
    </row>
    <row r="1467" spans="1:35" ht="15" customHeight="1" x14ac:dyDescent="0.3">
      <c r="A1467" s="65" t="s">
        <v>5366</v>
      </c>
      <c r="B1467" s="65" t="s">
        <v>81</v>
      </c>
      <c r="C1467" s="65" t="s">
        <v>5354</v>
      </c>
      <c r="D1467" s="65" t="s">
        <v>126</v>
      </c>
      <c r="E1467" s="65" t="s">
        <v>142</v>
      </c>
      <c r="F1467" s="65" t="b">
        <f>TRUE()</f>
        <v>1</v>
      </c>
      <c r="G1467" s="65" t="s">
        <v>165</v>
      </c>
      <c r="H1467" s="65" t="s">
        <v>3636</v>
      </c>
      <c r="I1467" s="66">
        <v>46210.013564444504</v>
      </c>
      <c r="J1467" s="66">
        <v>46210.283086955998</v>
      </c>
      <c r="K1467" s="65">
        <v>0.3</v>
      </c>
      <c r="L1467" s="65" t="s">
        <v>183</v>
      </c>
      <c r="M1467" s="65" t="s">
        <v>183</v>
      </c>
      <c r="N1467" s="65" t="b">
        <f>FALSE()</f>
        <v>0</v>
      </c>
      <c r="O1467" s="65"/>
      <c r="P1467" s="65"/>
      <c r="Q1467" s="65" t="s">
        <v>236</v>
      </c>
      <c r="R1467" s="65" t="s">
        <v>236</v>
      </c>
      <c r="S1467" s="65"/>
      <c r="T1467" s="65" t="b">
        <f>FALSE()</f>
        <v>0</v>
      </c>
      <c r="U1467" s="65" t="b">
        <f>FALSE()</f>
        <v>0</v>
      </c>
      <c r="V1467" s="65">
        <v>682</v>
      </c>
      <c r="W1467" s="67" t="s">
        <v>5355</v>
      </c>
      <c r="X1467" s="65">
        <v>81</v>
      </c>
      <c r="Y1467" s="68">
        <v>141.75</v>
      </c>
      <c r="Z1467" s="65" t="b">
        <f>FALSE()</f>
        <v>0</v>
      </c>
      <c r="AA1467" s="65" t="b">
        <f>TRUE()</f>
        <v>1</v>
      </c>
      <c r="AB1467" s="65" t="b">
        <f>FALSE()</f>
        <v>0</v>
      </c>
      <c r="AC1467" s="65" t="b">
        <f>FALSE()</f>
        <v>0</v>
      </c>
      <c r="AD1467" s="65" t="b">
        <f>TRUE()</f>
        <v>1</v>
      </c>
      <c r="AE1467" s="65">
        <v>3</v>
      </c>
      <c r="AF1467" s="69">
        <v>42.9</v>
      </c>
      <c r="AG1467" s="65" t="s">
        <v>73</v>
      </c>
      <c r="AH1467" s="65" t="s">
        <v>5367</v>
      </c>
      <c r="AI1467">
        <f>IF(AND(OR(Company_Explorer!$B$5="All Companies",$E1467=Company_Explorer!$B$5),OR(Company_Explorer!$B$6="All Platforms",$B1467=Company_Explorer!$B$6),OR(Company_Explorer!$B$7="All Roles",$D1467=Company_Explorer!$B$7),OR(Company_Explorer!$B$8="All Ghost Labels",$AG1467=Company_Explorer!$B$8)),1,0)</f>
        <v>0</v>
      </c>
    </row>
    <row r="1468" spans="1:35" ht="15" customHeight="1" x14ac:dyDescent="0.3">
      <c r="A1468" s="60" t="s">
        <v>5368</v>
      </c>
      <c r="B1468" s="60" t="s">
        <v>81</v>
      </c>
      <c r="C1468" s="60" t="s">
        <v>5369</v>
      </c>
      <c r="D1468" s="60" t="s">
        <v>126</v>
      </c>
      <c r="E1468" s="60" t="s">
        <v>5339</v>
      </c>
      <c r="F1468" s="60" t="b">
        <f>TRUE()</f>
        <v>1</v>
      </c>
      <c r="G1468" s="60" t="s">
        <v>165</v>
      </c>
      <c r="H1468" s="60" t="s">
        <v>3702</v>
      </c>
      <c r="I1468" s="61">
        <v>46210.0407350694</v>
      </c>
      <c r="J1468" s="61">
        <v>46210.283086851901</v>
      </c>
      <c r="K1468" s="60">
        <v>0.2</v>
      </c>
      <c r="L1468" s="60" t="s">
        <v>183</v>
      </c>
      <c r="M1468" s="60" t="s">
        <v>183</v>
      </c>
      <c r="N1468" s="60" t="b">
        <f>FALSE()</f>
        <v>0</v>
      </c>
      <c r="O1468" s="60"/>
      <c r="P1468" s="60"/>
      <c r="Q1468" s="60" t="s">
        <v>236</v>
      </c>
      <c r="R1468" s="60" t="s">
        <v>236</v>
      </c>
      <c r="S1468" s="60"/>
      <c r="T1468" s="60" t="b">
        <f>FALSE()</f>
        <v>0</v>
      </c>
      <c r="U1468" s="60" t="b">
        <f>FALSE()</f>
        <v>0</v>
      </c>
      <c r="V1468" s="60">
        <v>779</v>
      </c>
      <c r="W1468" s="62" t="s">
        <v>5340</v>
      </c>
      <c r="X1468" s="60">
        <v>3</v>
      </c>
      <c r="Y1468" s="63">
        <v>5.25</v>
      </c>
      <c r="Z1468" s="60" t="b">
        <f>FALSE()</f>
        <v>0</v>
      </c>
      <c r="AA1468" s="60" t="b">
        <f>TRUE()</f>
        <v>1</v>
      </c>
      <c r="AB1468" s="60" t="b">
        <f>FALSE()</f>
        <v>0</v>
      </c>
      <c r="AC1468" s="60" t="b">
        <f>FALSE()</f>
        <v>0</v>
      </c>
      <c r="AD1468" s="60" t="b">
        <f>FALSE()</f>
        <v>0</v>
      </c>
      <c r="AE1468" s="60">
        <v>1</v>
      </c>
      <c r="AF1468" s="64">
        <v>14.3</v>
      </c>
      <c r="AG1468" s="60" t="s">
        <v>74</v>
      </c>
      <c r="AH1468" s="60" t="s">
        <v>5370</v>
      </c>
      <c r="AI1468">
        <f>IF(AND(OR(Company_Explorer!$B$5="All Companies",$E1468=Company_Explorer!$B$5),OR(Company_Explorer!$B$6="All Platforms",$B1468=Company_Explorer!$B$6),OR(Company_Explorer!$B$7="All Roles",$D1468=Company_Explorer!$B$7),OR(Company_Explorer!$B$8="All Ghost Labels",$AG1468=Company_Explorer!$B$8)),1,0)</f>
        <v>0</v>
      </c>
    </row>
    <row r="1469" spans="1:35" ht="15" customHeight="1" x14ac:dyDescent="0.3">
      <c r="A1469" s="65" t="s">
        <v>5371</v>
      </c>
      <c r="B1469" s="65" t="s">
        <v>81</v>
      </c>
      <c r="C1469" s="65" t="s">
        <v>5354</v>
      </c>
      <c r="D1469" s="65" t="s">
        <v>126</v>
      </c>
      <c r="E1469" s="65" t="s">
        <v>142</v>
      </c>
      <c r="F1469" s="65" t="b">
        <f>TRUE()</f>
        <v>1</v>
      </c>
      <c r="G1469" s="65" t="s">
        <v>165</v>
      </c>
      <c r="H1469" s="65" t="s">
        <v>3636</v>
      </c>
      <c r="I1469" s="66">
        <v>46210.013545231501</v>
      </c>
      <c r="J1469" s="66">
        <v>46210.283088263903</v>
      </c>
      <c r="K1469" s="65">
        <v>0.3</v>
      </c>
      <c r="L1469" s="65" t="s">
        <v>183</v>
      </c>
      <c r="M1469" s="65" t="s">
        <v>183</v>
      </c>
      <c r="N1469" s="65" t="b">
        <f>FALSE()</f>
        <v>0</v>
      </c>
      <c r="O1469" s="65"/>
      <c r="P1469" s="65"/>
      <c r="Q1469" s="65" t="s">
        <v>236</v>
      </c>
      <c r="R1469" s="65" t="s">
        <v>236</v>
      </c>
      <c r="S1469" s="65"/>
      <c r="T1469" s="65" t="b">
        <f>FALSE()</f>
        <v>0</v>
      </c>
      <c r="U1469" s="65" t="b">
        <f>FALSE()</f>
        <v>0</v>
      </c>
      <c r="V1469" s="65">
        <v>682</v>
      </c>
      <c r="W1469" s="67" t="s">
        <v>5355</v>
      </c>
      <c r="X1469" s="65">
        <v>81</v>
      </c>
      <c r="Y1469" s="68">
        <v>141.75</v>
      </c>
      <c r="Z1469" s="65" t="b">
        <f>FALSE()</f>
        <v>0</v>
      </c>
      <c r="AA1469" s="65" t="b">
        <f>TRUE()</f>
        <v>1</v>
      </c>
      <c r="AB1469" s="65" t="b">
        <f>FALSE()</f>
        <v>0</v>
      </c>
      <c r="AC1469" s="65" t="b">
        <f>FALSE()</f>
        <v>0</v>
      </c>
      <c r="AD1469" s="65" t="b">
        <f>TRUE()</f>
        <v>1</v>
      </c>
      <c r="AE1469" s="65">
        <v>3</v>
      </c>
      <c r="AF1469" s="69">
        <v>42.9</v>
      </c>
      <c r="AG1469" s="65" t="s">
        <v>73</v>
      </c>
      <c r="AH1469" s="65" t="s">
        <v>5372</v>
      </c>
      <c r="AI1469">
        <f>IF(AND(OR(Company_Explorer!$B$5="All Companies",$E1469=Company_Explorer!$B$5),OR(Company_Explorer!$B$6="All Platforms",$B1469=Company_Explorer!$B$6),OR(Company_Explorer!$B$7="All Roles",$D1469=Company_Explorer!$B$7),OR(Company_Explorer!$B$8="All Ghost Labels",$AG1469=Company_Explorer!$B$8)),1,0)</f>
        <v>0</v>
      </c>
    </row>
    <row r="1470" spans="1:35" ht="15" customHeight="1" x14ac:dyDescent="0.3">
      <c r="A1470" s="60" t="s">
        <v>5373</v>
      </c>
      <c r="B1470" s="60" t="s">
        <v>81</v>
      </c>
      <c r="C1470" s="60" t="s">
        <v>5324</v>
      </c>
      <c r="D1470" s="60" t="s">
        <v>126</v>
      </c>
      <c r="E1470" s="60" t="s">
        <v>142</v>
      </c>
      <c r="F1470" s="60" t="b">
        <f>TRUE()</f>
        <v>1</v>
      </c>
      <c r="G1470" s="60" t="s">
        <v>165</v>
      </c>
      <c r="H1470" s="60" t="s">
        <v>3655</v>
      </c>
      <c r="I1470" s="61">
        <v>46210.014039050897</v>
      </c>
      <c r="J1470" s="61">
        <v>46210.283089224497</v>
      </c>
      <c r="K1470" s="60">
        <v>0.3</v>
      </c>
      <c r="L1470" s="60" t="s">
        <v>183</v>
      </c>
      <c r="M1470" s="60" t="s">
        <v>183</v>
      </c>
      <c r="N1470" s="60" t="b">
        <f>FALSE()</f>
        <v>0</v>
      </c>
      <c r="O1470" s="60"/>
      <c r="P1470" s="60"/>
      <c r="Q1470" s="60" t="s">
        <v>236</v>
      </c>
      <c r="R1470" s="60" t="s">
        <v>236</v>
      </c>
      <c r="S1470" s="60"/>
      <c r="T1470" s="60" t="b">
        <f>FALSE()</f>
        <v>0</v>
      </c>
      <c r="U1470" s="60" t="b">
        <f>FALSE()</f>
        <v>0</v>
      </c>
      <c r="V1470" s="60">
        <v>432</v>
      </c>
      <c r="W1470" s="62" t="s">
        <v>5325</v>
      </c>
      <c r="X1470" s="60">
        <v>81</v>
      </c>
      <c r="Y1470" s="63">
        <v>141.75</v>
      </c>
      <c r="Z1470" s="60" t="b">
        <f>FALSE()</f>
        <v>0</v>
      </c>
      <c r="AA1470" s="60" t="b">
        <f>TRUE()</f>
        <v>1</v>
      </c>
      <c r="AB1470" s="60" t="b">
        <f>FALSE()</f>
        <v>0</v>
      </c>
      <c r="AC1470" s="60" t="b">
        <f>FALSE()</f>
        <v>0</v>
      </c>
      <c r="AD1470" s="60" t="b">
        <f>TRUE()</f>
        <v>1</v>
      </c>
      <c r="AE1470" s="60">
        <v>3</v>
      </c>
      <c r="AF1470" s="64">
        <v>42.9</v>
      </c>
      <c r="AG1470" s="60" t="s">
        <v>73</v>
      </c>
      <c r="AH1470" s="60" t="s">
        <v>5374</v>
      </c>
      <c r="AI1470">
        <f>IF(AND(OR(Company_Explorer!$B$5="All Companies",$E1470=Company_Explorer!$B$5),OR(Company_Explorer!$B$6="All Platforms",$B1470=Company_Explorer!$B$6),OR(Company_Explorer!$B$7="All Roles",$D1470=Company_Explorer!$B$7),OR(Company_Explorer!$B$8="All Ghost Labels",$AG1470=Company_Explorer!$B$8)),1,0)</f>
        <v>0</v>
      </c>
    </row>
    <row r="1471" spans="1:35" ht="15" customHeight="1" x14ac:dyDescent="0.3">
      <c r="A1471" s="65" t="s">
        <v>5375</v>
      </c>
      <c r="B1471" s="65" t="s">
        <v>81</v>
      </c>
      <c r="C1471" s="65" t="s">
        <v>5354</v>
      </c>
      <c r="D1471" s="65" t="s">
        <v>126</v>
      </c>
      <c r="E1471" s="65" t="s">
        <v>142</v>
      </c>
      <c r="F1471" s="65" t="b">
        <f>TRUE()</f>
        <v>1</v>
      </c>
      <c r="G1471" s="65" t="s">
        <v>165</v>
      </c>
      <c r="H1471" s="65" t="s">
        <v>3636</v>
      </c>
      <c r="I1471" s="66">
        <v>46210.013550810203</v>
      </c>
      <c r="J1471" s="66">
        <v>46210.283089131997</v>
      </c>
      <c r="K1471" s="65">
        <v>0.3</v>
      </c>
      <c r="L1471" s="65" t="s">
        <v>183</v>
      </c>
      <c r="M1471" s="65" t="s">
        <v>183</v>
      </c>
      <c r="N1471" s="65" t="b">
        <f>FALSE()</f>
        <v>0</v>
      </c>
      <c r="O1471" s="65"/>
      <c r="P1471" s="65"/>
      <c r="Q1471" s="65" t="s">
        <v>236</v>
      </c>
      <c r="R1471" s="65" t="s">
        <v>236</v>
      </c>
      <c r="S1471" s="65"/>
      <c r="T1471" s="65" t="b">
        <f>FALSE()</f>
        <v>0</v>
      </c>
      <c r="U1471" s="65" t="b">
        <f>FALSE()</f>
        <v>0</v>
      </c>
      <c r="V1471" s="65">
        <v>682</v>
      </c>
      <c r="W1471" s="67" t="s">
        <v>5355</v>
      </c>
      <c r="X1471" s="65">
        <v>81</v>
      </c>
      <c r="Y1471" s="68">
        <v>141.75</v>
      </c>
      <c r="Z1471" s="65" t="b">
        <f>FALSE()</f>
        <v>0</v>
      </c>
      <c r="AA1471" s="65" t="b">
        <f>TRUE()</f>
        <v>1</v>
      </c>
      <c r="AB1471" s="65" t="b">
        <f>FALSE()</f>
        <v>0</v>
      </c>
      <c r="AC1471" s="65" t="b">
        <f>FALSE()</f>
        <v>0</v>
      </c>
      <c r="AD1471" s="65" t="b">
        <f>TRUE()</f>
        <v>1</v>
      </c>
      <c r="AE1471" s="65">
        <v>3</v>
      </c>
      <c r="AF1471" s="69">
        <v>42.9</v>
      </c>
      <c r="AG1471" s="65" t="s">
        <v>73</v>
      </c>
      <c r="AH1471" s="65" t="s">
        <v>5376</v>
      </c>
      <c r="AI1471">
        <f>IF(AND(OR(Company_Explorer!$B$5="All Companies",$E1471=Company_Explorer!$B$5),OR(Company_Explorer!$B$6="All Platforms",$B1471=Company_Explorer!$B$6),OR(Company_Explorer!$B$7="All Roles",$D1471=Company_Explorer!$B$7),OR(Company_Explorer!$B$8="All Ghost Labels",$AG1471=Company_Explorer!$B$8)),1,0)</f>
        <v>0</v>
      </c>
    </row>
    <row r="1472" spans="1:35" ht="15" customHeight="1" x14ac:dyDescent="0.3">
      <c r="A1472" s="60" t="s">
        <v>5377</v>
      </c>
      <c r="B1472" s="60" t="s">
        <v>81</v>
      </c>
      <c r="C1472" s="60" t="s">
        <v>5378</v>
      </c>
      <c r="D1472" s="60" t="s">
        <v>126</v>
      </c>
      <c r="E1472" s="60" t="s">
        <v>3013</v>
      </c>
      <c r="F1472" s="60" t="b">
        <f>TRUE()</f>
        <v>1</v>
      </c>
      <c r="G1472" s="60" t="s">
        <v>165</v>
      </c>
      <c r="H1472" s="60" t="s">
        <v>3620</v>
      </c>
      <c r="I1472" s="61">
        <v>46209.996714155102</v>
      </c>
      <c r="J1472" s="61">
        <v>46210.283089201403</v>
      </c>
      <c r="K1472" s="60">
        <v>0.3</v>
      </c>
      <c r="L1472" s="60" t="s">
        <v>183</v>
      </c>
      <c r="M1472" s="60" t="s">
        <v>183</v>
      </c>
      <c r="N1472" s="60" t="b">
        <f>FALSE()</f>
        <v>0</v>
      </c>
      <c r="O1472" s="60"/>
      <c r="P1472" s="60"/>
      <c r="Q1472" s="60" t="s">
        <v>236</v>
      </c>
      <c r="R1472" s="60" t="s">
        <v>236</v>
      </c>
      <c r="S1472" s="60"/>
      <c r="T1472" s="60" t="b">
        <f>FALSE()</f>
        <v>0</v>
      </c>
      <c r="U1472" s="60" t="b">
        <f>FALSE()</f>
        <v>0</v>
      </c>
      <c r="V1472" s="60">
        <v>867</v>
      </c>
      <c r="W1472" s="60" t="s">
        <v>3014</v>
      </c>
      <c r="X1472" s="60">
        <v>3</v>
      </c>
      <c r="Y1472" s="63">
        <v>5.25</v>
      </c>
      <c r="Z1472" s="60" t="b">
        <f>FALSE()</f>
        <v>0</v>
      </c>
      <c r="AA1472" s="60" t="b">
        <f>TRUE()</f>
        <v>1</v>
      </c>
      <c r="AB1472" s="60" t="b">
        <f>FALSE()</f>
        <v>0</v>
      </c>
      <c r="AC1472" s="60" t="b">
        <f>FALSE()</f>
        <v>0</v>
      </c>
      <c r="AD1472" s="60" t="b">
        <f>FALSE()</f>
        <v>0</v>
      </c>
      <c r="AE1472" s="60">
        <v>1</v>
      </c>
      <c r="AF1472" s="64">
        <v>14.3</v>
      </c>
      <c r="AG1472" s="60" t="s">
        <v>74</v>
      </c>
      <c r="AH1472" s="60" t="s">
        <v>5379</v>
      </c>
      <c r="AI1472">
        <f>IF(AND(OR(Company_Explorer!$B$5="All Companies",$E1472=Company_Explorer!$B$5),OR(Company_Explorer!$B$6="All Platforms",$B1472=Company_Explorer!$B$6),OR(Company_Explorer!$B$7="All Roles",$D1472=Company_Explorer!$B$7),OR(Company_Explorer!$B$8="All Ghost Labels",$AG1472=Company_Explorer!$B$8)),1,0)</f>
        <v>0</v>
      </c>
    </row>
    <row r="1473" spans="1:35" ht="15" customHeight="1" x14ac:dyDescent="0.3">
      <c r="A1473" s="65" t="s">
        <v>5380</v>
      </c>
      <c r="B1473" s="65" t="s">
        <v>81</v>
      </c>
      <c r="C1473" s="65" t="s">
        <v>5381</v>
      </c>
      <c r="D1473" s="65" t="s">
        <v>126</v>
      </c>
      <c r="E1473" s="65" t="s">
        <v>5305</v>
      </c>
      <c r="F1473" s="65" t="b">
        <f>TRUE()</f>
        <v>1</v>
      </c>
      <c r="G1473" s="65" t="s">
        <v>177</v>
      </c>
      <c r="H1473" s="65" t="s">
        <v>165</v>
      </c>
      <c r="I1473" s="66">
        <v>46210.113447974501</v>
      </c>
      <c r="J1473" s="66">
        <v>46210.283089282399</v>
      </c>
      <c r="K1473" s="65">
        <v>0.2</v>
      </c>
      <c r="L1473" s="65" t="s">
        <v>183</v>
      </c>
      <c r="M1473" s="65" t="s">
        <v>183</v>
      </c>
      <c r="N1473" s="65" t="b">
        <f>FALSE()</f>
        <v>0</v>
      </c>
      <c r="O1473" s="65"/>
      <c r="P1473" s="65"/>
      <c r="Q1473" s="65" t="s">
        <v>3663</v>
      </c>
      <c r="R1473" s="65" t="s">
        <v>5306</v>
      </c>
      <c r="S1473" s="65"/>
      <c r="T1473" s="65" t="b">
        <f>FALSE()</f>
        <v>0</v>
      </c>
      <c r="U1473" s="65" t="b">
        <f>FALSE()</f>
        <v>0</v>
      </c>
      <c r="V1473" s="65">
        <v>374</v>
      </c>
      <c r="W1473" s="67" t="s">
        <v>5307</v>
      </c>
      <c r="X1473" s="65">
        <v>2</v>
      </c>
      <c r="Y1473" s="68">
        <v>3.5</v>
      </c>
      <c r="Z1473" s="65" t="b">
        <f>FALSE()</f>
        <v>0</v>
      </c>
      <c r="AA1473" s="65" t="b">
        <f>TRUE()</f>
        <v>1</v>
      </c>
      <c r="AB1473" s="65" t="b">
        <f>FALSE()</f>
        <v>0</v>
      </c>
      <c r="AC1473" s="65" t="b">
        <f>FALSE()</f>
        <v>0</v>
      </c>
      <c r="AD1473" s="65" t="b">
        <f>FALSE()</f>
        <v>0</v>
      </c>
      <c r="AE1473" s="65">
        <v>1</v>
      </c>
      <c r="AF1473" s="69">
        <v>14.3</v>
      </c>
      <c r="AG1473" s="65" t="s">
        <v>74</v>
      </c>
      <c r="AH1473" s="65" t="s">
        <v>5382</v>
      </c>
      <c r="AI1473">
        <f>IF(AND(OR(Company_Explorer!$B$5="All Companies",$E1473=Company_Explorer!$B$5),OR(Company_Explorer!$B$6="All Platforms",$B1473=Company_Explorer!$B$6),OR(Company_Explorer!$B$7="All Roles",$D1473=Company_Explorer!$B$7),OR(Company_Explorer!$B$8="All Ghost Labels",$AG1473=Company_Explorer!$B$8)),1,0)</f>
        <v>0</v>
      </c>
    </row>
    <row r="1474" spans="1:35" ht="15" customHeight="1" x14ac:dyDescent="0.3">
      <c r="A1474" s="60" t="s">
        <v>5383</v>
      </c>
      <c r="B1474" s="60" t="s">
        <v>81</v>
      </c>
      <c r="C1474" s="60" t="s">
        <v>5384</v>
      </c>
      <c r="D1474" s="60" t="s">
        <v>129</v>
      </c>
      <c r="E1474" s="60" t="s">
        <v>5385</v>
      </c>
      <c r="F1474" s="60" t="b">
        <f>TRUE()</f>
        <v>1</v>
      </c>
      <c r="G1474" s="60" t="s">
        <v>165</v>
      </c>
      <c r="H1474" s="60" t="s">
        <v>3620</v>
      </c>
      <c r="I1474" s="61">
        <v>46209.867276817102</v>
      </c>
      <c r="J1474" s="61">
        <v>46210.283089166704</v>
      </c>
      <c r="K1474" s="60">
        <v>0.4</v>
      </c>
      <c r="L1474" s="60" t="s">
        <v>183</v>
      </c>
      <c r="M1474" s="60" t="s">
        <v>183</v>
      </c>
      <c r="N1474" s="60" t="b">
        <f>FALSE()</f>
        <v>0</v>
      </c>
      <c r="O1474" s="60"/>
      <c r="P1474" s="60"/>
      <c r="Q1474" s="60" t="s">
        <v>236</v>
      </c>
      <c r="R1474" s="60" t="s">
        <v>236</v>
      </c>
      <c r="S1474" s="60"/>
      <c r="T1474" s="60" t="b">
        <f>FALSE()</f>
        <v>0</v>
      </c>
      <c r="U1474" s="60" t="b">
        <f>FALSE()</f>
        <v>0</v>
      </c>
      <c r="V1474" s="60">
        <v>964</v>
      </c>
      <c r="W1474" s="62" t="s">
        <v>5386</v>
      </c>
      <c r="X1474" s="60">
        <v>1</v>
      </c>
      <c r="Y1474" s="63">
        <v>1.75</v>
      </c>
      <c r="Z1474" s="60" t="b">
        <f>FALSE()</f>
        <v>0</v>
      </c>
      <c r="AA1474" s="60" t="b">
        <f>TRUE()</f>
        <v>1</v>
      </c>
      <c r="AB1474" s="60" t="b">
        <f>FALSE()</f>
        <v>0</v>
      </c>
      <c r="AC1474" s="60" t="b">
        <f>FALSE()</f>
        <v>0</v>
      </c>
      <c r="AD1474" s="60" t="b">
        <f>FALSE()</f>
        <v>0</v>
      </c>
      <c r="AE1474" s="60">
        <v>1</v>
      </c>
      <c r="AF1474" s="64">
        <v>14.3</v>
      </c>
      <c r="AG1474" s="60" t="s">
        <v>74</v>
      </c>
      <c r="AH1474" s="60" t="s">
        <v>5387</v>
      </c>
      <c r="AI1474">
        <f>IF(AND(OR(Company_Explorer!$B$5="All Companies",$E1474=Company_Explorer!$B$5),OR(Company_Explorer!$B$6="All Platforms",$B1474=Company_Explorer!$B$6),OR(Company_Explorer!$B$7="All Roles",$D1474=Company_Explorer!$B$7),OR(Company_Explorer!$B$8="All Ghost Labels",$AG1474=Company_Explorer!$B$8)),1,0)</f>
        <v>0</v>
      </c>
    </row>
    <row r="1475" spans="1:35" ht="15" customHeight="1" x14ac:dyDescent="0.3">
      <c r="A1475" s="65" t="s">
        <v>5388</v>
      </c>
      <c r="B1475" s="65" t="s">
        <v>81</v>
      </c>
      <c r="C1475" s="65" t="s">
        <v>5389</v>
      </c>
      <c r="D1475" s="65" t="s">
        <v>126</v>
      </c>
      <c r="E1475" s="65" t="s">
        <v>4028</v>
      </c>
      <c r="F1475" s="65" t="b">
        <f>TRUE()</f>
        <v>1</v>
      </c>
      <c r="G1475" s="65" t="s">
        <v>165</v>
      </c>
      <c r="H1475" s="65" t="s">
        <v>3655</v>
      </c>
      <c r="I1475" s="66">
        <v>46210.012250983797</v>
      </c>
      <c r="J1475" s="66">
        <v>46210.283089259297</v>
      </c>
      <c r="K1475" s="65">
        <v>0.3</v>
      </c>
      <c r="L1475" s="65" t="s">
        <v>183</v>
      </c>
      <c r="M1475" s="65" t="s">
        <v>183</v>
      </c>
      <c r="N1475" s="65" t="b">
        <f>FALSE()</f>
        <v>0</v>
      </c>
      <c r="O1475" s="65"/>
      <c r="P1475" s="65"/>
      <c r="Q1475" s="65" t="s">
        <v>236</v>
      </c>
      <c r="R1475" s="65" t="s">
        <v>236</v>
      </c>
      <c r="S1475" s="65"/>
      <c r="T1475" s="65" t="b">
        <f>FALSE()</f>
        <v>0</v>
      </c>
      <c r="U1475" s="65" t="b">
        <f>FALSE()</f>
        <v>0</v>
      </c>
      <c r="V1475" s="65">
        <v>958</v>
      </c>
      <c r="W1475" s="67" t="s">
        <v>5390</v>
      </c>
      <c r="X1475" s="65">
        <v>6</v>
      </c>
      <c r="Y1475" s="68">
        <v>10.5</v>
      </c>
      <c r="Z1475" s="65" t="b">
        <f>FALSE()</f>
        <v>0</v>
      </c>
      <c r="AA1475" s="65" t="b">
        <f>TRUE()</f>
        <v>1</v>
      </c>
      <c r="AB1475" s="65" t="b">
        <f>FALSE()</f>
        <v>0</v>
      </c>
      <c r="AC1475" s="65" t="b">
        <f>FALSE()</f>
        <v>0</v>
      </c>
      <c r="AD1475" s="65" t="b">
        <f>FALSE()</f>
        <v>0</v>
      </c>
      <c r="AE1475" s="65">
        <v>1</v>
      </c>
      <c r="AF1475" s="69">
        <v>14.3</v>
      </c>
      <c r="AG1475" s="65" t="s">
        <v>74</v>
      </c>
      <c r="AH1475" s="65" t="s">
        <v>5391</v>
      </c>
      <c r="AI1475">
        <f>IF(AND(OR(Company_Explorer!$B$5="All Companies",$E1475=Company_Explorer!$B$5),OR(Company_Explorer!$B$6="All Platforms",$B1475=Company_Explorer!$B$6),OR(Company_Explorer!$B$7="All Roles",$D1475=Company_Explorer!$B$7),OR(Company_Explorer!$B$8="All Ghost Labels",$AG1475=Company_Explorer!$B$8)),1,0)</f>
        <v>0</v>
      </c>
    </row>
    <row r="1476" spans="1:35" ht="15" customHeight="1" x14ac:dyDescent="0.3">
      <c r="A1476" s="60" t="s">
        <v>5392</v>
      </c>
      <c r="B1476" s="60" t="s">
        <v>81</v>
      </c>
      <c r="C1476" s="60" t="s">
        <v>5393</v>
      </c>
      <c r="D1476" s="60" t="s">
        <v>126</v>
      </c>
      <c r="E1476" s="60" t="s">
        <v>5394</v>
      </c>
      <c r="F1476" s="60" t="b">
        <f>TRUE()</f>
        <v>1</v>
      </c>
      <c r="G1476" s="60" t="s">
        <v>165</v>
      </c>
      <c r="H1476" s="60" t="s">
        <v>3620</v>
      </c>
      <c r="I1476" s="61">
        <v>46209.861525439803</v>
      </c>
      <c r="J1476" s="61">
        <v>46210.283090196797</v>
      </c>
      <c r="K1476" s="60">
        <v>0.4</v>
      </c>
      <c r="L1476" s="60" t="s">
        <v>183</v>
      </c>
      <c r="M1476" s="60" t="s">
        <v>183</v>
      </c>
      <c r="N1476" s="60" t="b">
        <f>FALSE()</f>
        <v>0</v>
      </c>
      <c r="O1476" s="60"/>
      <c r="P1476" s="60"/>
      <c r="Q1476" s="60" t="s">
        <v>236</v>
      </c>
      <c r="R1476" s="60" t="s">
        <v>236</v>
      </c>
      <c r="S1476" s="60"/>
      <c r="T1476" s="60" t="b">
        <f>FALSE()</f>
        <v>0</v>
      </c>
      <c r="U1476" s="60" t="b">
        <f>FALSE()</f>
        <v>0</v>
      </c>
      <c r="V1476" s="60">
        <v>462</v>
      </c>
      <c r="W1476" s="62" t="s">
        <v>5395</v>
      </c>
      <c r="X1476" s="60">
        <v>1</v>
      </c>
      <c r="Y1476" s="63">
        <v>1.75</v>
      </c>
      <c r="Z1476" s="60" t="b">
        <f>FALSE()</f>
        <v>0</v>
      </c>
      <c r="AA1476" s="60" t="b">
        <f>TRUE()</f>
        <v>1</v>
      </c>
      <c r="AB1476" s="60" t="b">
        <f>FALSE()</f>
        <v>0</v>
      </c>
      <c r="AC1476" s="60" t="b">
        <f>FALSE()</f>
        <v>0</v>
      </c>
      <c r="AD1476" s="60" t="b">
        <f>FALSE()</f>
        <v>0</v>
      </c>
      <c r="AE1476" s="60">
        <v>1</v>
      </c>
      <c r="AF1476" s="64">
        <v>14.3</v>
      </c>
      <c r="AG1476" s="60" t="s">
        <v>74</v>
      </c>
      <c r="AH1476" s="60" t="s">
        <v>5396</v>
      </c>
      <c r="AI1476">
        <f>IF(AND(OR(Company_Explorer!$B$5="All Companies",$E1476=Company_Explorer!$B$5),OR(Company_Explorer!$B$6="All Platforms",$B1476=Company_Explorer!$B$6),OR(Company_Explorer!$B$7="All Roles",$D1476=Company_Explorer!$B$7),OR(Company_Explorer!$B$8="All Ghost Labels",$AG1476=Company_Explorer!$B$8)),1,0)</f>
        <v>0</v>
      </c>
    </row>
    <row r="1477" spans="1:35" ht="15" customHeight="1" x14ac:dyDescent="0.3">
      <c r="A1477" s="65" t="s">
        <v>5397</v>
      </c>
      <c r="B1477" s="65" t="s">
        <v>81</v>
      </c>
      <c r="C1477" s="65" t="s">
        <v>5398</v>
      </c>
      <c r="D1477" s="65" t="s">
        <v>125</v>
      </c>
      <c r="E1477" s="65" t="s">
        <v>142</v>
      </c>
      <c r="F1477" s="65" t="b">
        <f>TRUE()</f>
        <v>1</v>
      </c>
      <c r="G1477" s="65" t="s">
        <v>165</v>
      </c>
      <c r="H1477" s="65" t="s">
        <v>3655</v>
      </c>
      <c r="I1477" s="66">
        <v>46210.013749525497</v>
      </c>
      <c r="J1477" s="66">
        <v>46210.283090277801</v>
      </c>
      <c r="K1477" s="65">
        <v>0.3</v>
      </c>
      <c r="L1477" s="65" t="s">
        <v>183</v>
      </c>
      <c r="M1477" s="65" t="s">
        <v>183</v>
      </c>
      <c r="N1477" s="65" t="b">
        <f>FALSE()</f>
        <v>0</v>
      </c>
      <c r="O1477" s="65"/>
      <c r="P1477" s="65"/>
      <c r="Q1477" s="65" t="s">
        <v>236</v>
      </c>
      <c r="R1477" s="65" t="s">
        <v>236</v>
      </c>
      <c r="S1477" s="65"/>
      <c r="T1477" s="65" t="b">
        <f>FALSE()</f>
        <v>0</v>
      </c>
      <c r="U1477" s="65" t="b">
        <f>FALSE()</f>
        <v>0</v>
      </c>
      <c r="V1477" s="65">
        <v>339</v>
      </c>
      <c r="W1477" s="67" t="s">
        <v>5399</v>
      </c>
      <c r="X1477" s="65">
        <v>81</v>
      </c>
      <c r="Y1477" s="68">
        <v>141.75</v>
      </c>
      <c r="Z1477" s="65" t="b">
        <f>FALSE()</f>
        <v>0</v>
      </c>
      <c r="AA1477" s="65" t="b">
        <f>TRUE()</f>
        <v>1</v>
      </c>
      <c r="AB1477" s="65" t="b">
        <f>FALSE()</f>
        <v>0</v>
      </c>
      <c r="AC1477" s="65" t="b">
        <f>FALSE()</f>
        <v>0</v>
      </c>
      <c r="AD1477" s="65" t="b">
        <f>TRUE()</f>
        <v>1</v>
      </c>
      <c r="AE1477" s="65">
        <v>3</v>
      </c>
      <c r="AF1477" s="69">
        <v>42.9</v>
      </c>
      <c r="AG1477" s="65" t="s">
        <v>73</v>
      </c>
      <c r="AH1477" s="65" t="s">
        <v>5400</v>
      </c>
      <c r="AI1477">
        <f>IF(AND(OR(Company_Explorer!$B$5="All Companies",$E1477=Company_Explorer!$B$5),OR(Company_Explorer!$B$6="All Platforms",$B1477=Company_Explorer!$B$6),OR(Company_Explorer!$B$7="All Roles",$D1477=Company_Explorer!$B$7),OR(Company_Explorer!$B$8="All Ghost Labels",$AG1477=Company_Explorer!$B$8)),1,0)</f>
        <v>0</v>
      </c>
    </row>
    <row r="1478" spans="1:35" ht="15" customHeight="1" x14ac:dyDescent="0.3">
      <c r="A1478" s="60" t="s">
        <v>5401</v>
      </c>
      <c r="B1478" s="60" t="s">
        <v>81</v>
      </c>
      <c r="C1478" s="60" t="s">
        <v>5402</v>
      </c>
      <c r="D1478" s="60" t="s">
        <v>125</v>
      </c>
      <c r="E1478" s="60" t="s">
        <v>5135</v>
      </c>
      <c r="F1478" s="60" t="b">
        <f>TRUE()</f>
        <v>1</v>
      </c>
      <c r="G1478" s="60" t="s">
        <v>165</v>
      </c>
      <c r="H1478" s="60" t="s">
        <v>3620</v>
      </c>
      <c r="I1478" s="61">
        <v>46209.860996099502</v>
      </c>
      <c r="J1478" s="61">
        <v>46210.283090300902</v>
      </c>
      <c r="K1478" s="60">
        <v>0.4</v>
      </c>
      <c r="L1478" s="60" t="s">
        <v>183</v>
      </c>
      <c r="M1478" s="60" t="s">
        <v>183</v>
      </c>
      <c r="N1478" s="60" t="b">
        <f>FALSE()</f>
        <v>0</v>
      </c>
      <c r="O1478" s="60"/>
      <c r="P1478" s="60"/>
      <c r="Q1478" s="60" t="s">
        <v>236</v>
      </c>
      <c r="R1478" s="60" t="s">
        <v>236</v>
      </c>
      <c r="S1478" s="60"/>
      <c r="T1478" s="60" t="b">
        <f>FALSE()</f>
        <v>0</v>
      </c>
      <c r="U1478" s="60" t="b">
        <f>FALSE()</f>
        <v>0</v>
      </c>
      <c r="V1478" s="60">
        <v>66</v>
      </c>
      <c r="W1478" s="60" t="s">
        <v>5403</v>
      </c>
      <c r="X1478" s="60">
        <v>8</v>
      </c>
      <c r="Y1478" s="63">
        <v>14</v>
      </c>
      <c r="Z1478" s="60" t="b">
        <f>FALSE()</f>
        <v>0</v>
      </c>
      <c r="AA1478" s="60" t="b">
        <f>TRUE()</f>
        <v>1</v>
      </c>
      <c r="AB1478" s="60" t="b">
        <f>TRUE()</f>
        <v>1</v>
      </c>
      <c r="AC1478" s="60" t="b">
        <f>FALSE()</f>
        <v>0</v>
      </c>
      <c r="AD1478" s="60" t="b">
        <f>FALSE()</f>
        <v>0</v>
      </c>
      <c r="AE1478" s="60">
        <v>2</v>
      </c>
      <c r="AF1478" s="64">
        <v>28.6</v>
      </c>
      <c r="AG1478" s="60" t="s">
        <v>73</v>
      </c>
      <c r="AH1478" s="60" t="s">
        <v>5404</v>
      </c>
      <c r="AI1478">
        <f>IF(AND(OR(Company_Explorer!$B$5="All Companies",$E1478=Company_Explorer!$B$5),OR(Company_Explorer!$B$6="All Platforms",$B1478=Company_Explorer!$B$6),OR(Company_Explorer!$B$7="All Roles",$D1478=Company_Explorer!$B$7),OR(Company_Explorer!$B$8="All Ghost Labels",$AG1478=Company_Explorer!$B$8)),1,0)</f>
        <v>0</v>
      </c>
    </row>
    <row r="1479" spans="1:35" ht="15" customHeight="1" x14ac:dyDescent="0.3">
      <c r="A1479" s="65" t="s">
        <v>5405</v>
      </c>
      <c r="B1479" s="65" t="s">
        <v>81</v>
      </c>
      <c r="C1479" s="65" t="s">
        <v>5406</v>
      </c>
      <c r="D1479" s="65" t="s">
        <v>126</v>
      </c>
      <c r="E1479" s="65" t="s">
        <v>5135</v>
      </c>
      <c r="F1479" s="65" t="b">
        <f>TRUE()</f>
        <v>1</v>
      </c>
      <c r="G1479" s="65" t="s">
        <v>165</v>
      </c>
      <c r="H1479" s="65" t="s">
        <v>3672</v>
      </c>
      <c r="I1479" s="66">
        <v>46209.860593912003</v>
      </c>
      <c r="J1479" s="66">
        <v>46210.283090590303</v>
      </c>
      <c r="K1479" s="65">
        <v>0.4</v>
      </c>
      <c r="L1479" s="65" t="s">
        <v>183</v>
      </c>
      <c r="M1479" s="65" t="s">
        <v>183</v>
      </c>
      <c r="N1479" s="65" t="b">
        <f>FALSE()</f>
        <v>0</v>
      </c>
      <c r="O1479" s="65"/>
      <c r="P1479" s="65"/>
      <c r="Q1479" s="65" t="s">
        <v>236</v>
      </c>
      <c r="R1479" s="65" t="s">
        <v>236</v>
      </c>
      <c r="S1479" s="65"/>
      <c r="T1479" s="65" t="b">
        <f>FALSE()</f>
        <v>0</v>
      </c>
      <c r="U1479" s="65" t="b">
        <f>FALSE()</f>
        <v>0</v>
      </c>
      <c r="V1479" s="65">
        <v>48</v>
      </c>
      <c r="W1479" s="67" t="s">
        <v>5407</v>
      </c>
      <c r="X1479" s="65">
        <v>8</v>
      </c>
      <c r="Y1479" s="68">
        <v>14</v>
      </c>
      <c r="Z1479" s="65" t="b">
        <f>FALSE()</f>
        <v>0</v>
      </c>
      <c r="AA1479" s="65" t="b">
        <f>TRUE()</f>
        <v>1</v>
      </c>
      <c r="AB1479" s="65" t="b">
        <f>TRUE()</f>
        <v>1</v>
      </c>
      <c r="AC1479" s="65" t="b">
        <f>FALSE()</f>
        <v>0</v>
      </c>
      <c r="AD1479" s="65" t="b">
        <f>FALSE()</f>
        <v>0</v>
      </c>
      <c r="AE1479" s="65">
        <v>2</v>
      </c>
      <c r="AF1479" s="69">
        <v>28.6</v>
      </c>
      <c r="AG1479" s="65" t="s">
        <v>73</v>
      </c>
      <c r="AH1479" s="65" t="s">
        <v>5408</v>
      </c>
      <c r="AI1479">
        <f>IF(AND(OR(Company_Explorer!$B$5="All Companies",$E1479=Company_Explorer!$B$5),OR(Company_Explorer!$B$6="All Platforms",$B1479=Company_Explorer!$B$6),OR(Company_Explorer!$B$7="All Roles",$D1479=Company_Explorer!$B$7),OR(Company_Explorer!$B$8="All Ghost Labels",$AG1479=Company_Explorer!$B$8)),1,0)</f>
        <v>0</v>
      </c>
    </row>
    <row r="1480" spans="1:35" ht="15" customHeight="1" x14ac:dyDescent="0.3">
      <c r="A1480" s="60" t="s">
        <v>5409</v>
      </c>
      <c r="B1480" s="60" t="s">
        <v>81</v>
      </c>
      <c r="C1480" s="60" t="s">
        <v>5410</v>
      </c>
      <c r="D1480" s="60" t="s">
        <v>126</v>
      </c>
      <c r="E1480" s="60" t="s">
        <v>5135</v>
      </c>
      <c r="F1480" s="60" t="b">
        <f>TRUE()</f>
        <v>1</v>
      </c>
      <c r="G1480" s="60" t="s">
        <v>165</v>
      </c>
      <c r="H1480" s="60" t="s">
        <v>3655</v>
      </c>
      <c r="I1480" s="61">
        <v>46209.859137407402</v>
      </c>
      <c r="J1480" s="61">
        <v>46210.2830915741</v>
      </c>
      <c r="K1480" s="60">
        <v>0.4</v>
      </c>
      <c r="L1480" s="60" t="s">
        <v>183</v>
      </c>
      <c r="M1480" s="60" t="s">
        <v>183</v>
      </c>
      <c r="N1480" s="60" t="b">
        <f>FALSE()</f>
        <v>0</v>
      </c>
      <c r="O1480" s="60"/>
      <c r="P1480" s="60"/>
      <c r="Q1480" s="60" t="s">
        <v>236</v>
      </c>
      <c r="R1480" s="60" t="s">
        <v>236</v>
      </c>
      <c r="S1480" s="60"/>
      <c r="T1480" s="60" t="b">
        <f>FALSE()</f>
        <v>0</v>
      </c>
      <c r="U1480" s="60" t="b">
        <f>FALSE()</f>
        <v>0</v>
      </c>
      <c r="V1480" s="60">
        <v>125</v>
      </c>
      <c r="W1480" s="62" t="s">
        <v>5411</v>
      </c>
      <c r="X1480" s="60">
        <v>8</v>
      </c>
      <c r="Y1480" s="63">
        <v>14</v>
      </c>
      <c r="Z1480" s="60" t="b">
        <f>FALSE()</f>
        <v>0</v>
      </c>
      <c r="AA1480" s="60" t="b">
        <f>TRUE()</f>
        <v>1</v>
      </c>
      <c r="AB1480" s="60" t="b">
        <f>TRUE()</f>
        <v>1</v>
      </c>
      <c r="AC1480" s="60" t="b">
        <f>FALSE()</f>
        <v>0</v>
      </c>
      <c r="AD1480" s="60" t="b">
        <f>FALSE()</f>
        <v>0</v>
      </c>
      <c r="AE1480" s="60">
        <v>2</v>
      </c>
      <c r="AF1480" s="64">
        <v>28.6</v>
      </c>
      <c r="AG1480" s="60" t="s">
        <v>73</v>
      </c>
      <c r="AH1480" s="60" t="s">
        <v>5412</v>
      </c>
      <c r="AI1480">
        <f>IF(AND(OR(Company_Explorer!$B$5="All Companies",$E1480=Company_Explorer!$B$5),OR(Company_Explorer!$B$6="All Platforms",$B1480=Company_Explorer!$B$6),OR(Company_Explorer!$B$7="All Roles",$D1480=Company_Explorer!$B$7),OR(Company_Explorer!$B$8="All Ghost Labels",$AG1480=Company_Explorer!$B$8)),1,0)</f>
        <v>0</v>
      </c>
    </row>
    <row r="1481" spans="1:35" ht="15" customHeight="1" x14ac:dyDescent="0.3">
      <c r="A1481" s="65" t="s">
        <v>5413</v>
      </c>
      <c r="B1481" s="65" t="s">
        <v>81</v>
      </c>
      <c r="C1481" s="65" t="s">
        <v>5414</v>
      </c>
      <c r="D1481" s="65" t="s">
        <v>125</v>
      </c>
      <c r="E1481" s="65" t="s">
        <v>3892</v>
      </c>
      <c r="F1481" s="65" t="b">
        <f>TRUE()</f>
        <v>1</v>
      </c>
      <c r="G1481" s="65" t="s">
        <v>165</v>
      </c>
      <c r="H1481" s="65" t="s">
        <v>3636</v>
      </c>
      <c r="I1481" s="66">
        <v>46209.965795231503</v>
      </c>
      <c r="J1481" s="66">
        <v>46210.283091550897</v>
      </c>
      <c r="K1481" s="65">
        <v>0.3</v>
      </c>
      <c r="L1481" s="65" t="s">
        <v>183</v>
      </c>
      <c r="M1481" s="65" t="s">
        <v>183</v>
      </c>
      <c r="N1481" s="65" t="b">
        <f>FALSE()</f>
        <v>0</v>
      </c>
      <c r="O1481" s="65"/>
      <c r="P1481" s="65"/>
      <c r="Q1481" s="65" t="s">
        <v>236</v>
      </c>
      <c r="R1481" s="65" t="s">
        <v>236</v>
      </c>
      <c r="S1481" s="65"/>
      <c r="T1481" s="65" t="b">
        <f>FALSE()</f>
        <v>0</v>
      </c>
      <c r="U1481" s="65" t="b">
        <f>FALSE()</f>
        <v>0</v>
      </c>
      <c r="V1481" s="65">
        <v>865</v>
      </c>
      <c r="W1481" s="65" t="s">
        <v>3893</v>
      </c>
      <c r="X1481" s="65">
        <v>9</v>
      </c>
      <c r="Y1481" s="68">
        <v>15.75</v>
      </c>
      <c r="Z1481" s="65" t="b">
        <f>FALSE()</f>
        <v>0</v>
      </c>
      <c r="AA1481" s="65" t="b">
        <f>TRUE()</f>
        <v>1</v>
      </c>
      <c r="AB1481" s="65" t="b">
        <f>FALSE()</f>
        <v>0</v>
      </c>
      <c r="AC1481" s="65" t="b">
        <f>FALSE()</f>
        <v>0</v>
      </c>
      <c r="AD1481" s="65" t="b">
        <f>FALSE()</f>
        <v>0</v>
      </c>
      <c r="AE1481" s="65">
        <v>1</v>
      </c>
      <c r="AF1481" s="69">
        <v>14.3</v>
      </c>
      <c r="AG1481" s="65" t="s">
        <v>74</v>
      </c>
      <c r="AH1481" s="65" t="s">
        <v>5415</v>
      </c>
      <c r="AI1481">
        <f>IF(AND(OR(Company_Explorer!$B$5="All Companies",$E1481=Company_Explorer!$B$5),OR(Company_Explorer!$B$6="All Platforms",$B1481=Company_Explorer!$B$6),OR(Company_Explorer!$B$7="All Roles",$D1481=Company_Explorer!$B$7),OR(Company_Explorer!$B$8="All Ghost Labels",$AG1481=Company_Explorer!$B$8)),1,0)</f>
        <v>0</v>
      </c>
    </row>
    <row r="1482" spans="1:35" ht="15" customHeight="1" x14ac:dyDescent="0.3">
      <c r="A1482" s="60" t="s">
        <v>5416</v>
      </c>
      <c r="B1482" s="60" t="s">
        <v>81</v>
      </c>
      <c r="C1482" s="60" t="s">
        <v>5417</v>
      </c>
      <c r="D1482" s="60" t="s">
        <v>125</v>
      </c>
      <c r="E1482" s="60" t="s">
        <v>3892</v>
      </c>
      <c r="F1482" s="60" t="b">
        <f>TRUE()</f>
        <v>1</v>
      </c>
      <c r="G1482" s="60" t="s">
        <v>165</v>
      </c>
      <c r="H1482" s="60" t="s">
        <v>3672</v>
      </c>
      <c r="I1482" s="61">
        <v>46209.965802071798</v>
      </c>
      <c r="J1482" s="61">
        <v>46210.283092789403</v>
      </c>
      <c r="K1482" s="60">
        <v>0.3</v>
      </c>
      <c r="L1482" s="60" t="s">
        <v>183</v>
      </c>
      <c r="M1482" s="60" t="s">
        <v>183</v>
      </c>
      <c r="N1482" s="60" t="b">
        <f>FALSE()</f>
        <v>0</v>
      </c>
      <c r="O1482" s="60"/>
      <c r="P1482" s="60"/>
      <c r="Q1482" s="60" t="s">
        <v>236</v>
      </c>
      <c r="R1482" s="60" t="s">
        <v>236</v>
      </c>
      <c r="S1482" s="60"/>
      <c r="T1482" s="60" t="b">
        <f>FALSE()</f>
        <v>0</v>
      </c>
      <c r="U1482" s="60" t="b">
        <f>FALSE()</f>
        <v>0</v>
      </c>
      <c r="V1482" s="60">
        <v>440</v>
      </c>
      <c r="W1482" s="60" t="s">
        <v>3893</v>
      </c>
      <c r="X1482" s="60">
        <v>9</v>
      </c>
      <c r="Y1482" s="63">
        <v>15.75</v>
      </c>
      <c r="Z1482" s="60" t="b">
        <f>FALSE()</f>
        <v>0</v>
      </c>
      <c r="AA1482" s="60" t="b">
        <f>TRUE()</f>
        <v>1</v>
      </c>
      <c r="AB1482" s="60" t="b">
        <f>FALSE()</f>
        <v>0</v>
      </c>
      <c r="AC1482" s="60" t="b">
        <f>FALSE()</f>
        <v>0</v>
      </c>
      <c r="AD1482" s="60" t="b">
        <f>FALSE()</f>
        <v>0</v>
      </c>
      <c r="AE1482" s="60">
        <v>1</v>
      </c>
      <c r="AF1482" s="64">
        <v>14.3</v>
      </c>
      <c r="AG1482" s="60" t="s">
        <v>74</v>
      </c>
      <c r="AH1482" s="60" t="s">
        <v>5418</v>
      </c>
      <c r="AI1482">
        <f>IF(AND(OR(Company_Explorer!$B$5="All Companies",$E1482=Company_Explorer!$B$5),OR(Company_Explorer!$B$6="All Platforms",$B1482=Company_Explorer!$B$6),OR(Company_Explorer!$B$7="All Roles",$D1482=Company_Explorer!$B$7),OR(Company_Explorer!$B$8="All Ghost Labels",$AG1482=Company_Explorer!$B$8)),1,0)</f>
        <v>0</v>
      </c>
    </row>
    <row r="1483" spans="1:35" ht="15" customHeight="1" x14ac:dyDescent="0.3">
      <c r="A1483" s="65" t="s">
        <v>5419</v>
      </c>
      <c r="B1483" s="65" t="s">
        <v>81</v>
      </c>
      <c r="C1483" s="65" t="s">
        <v>5420</v>
      </c>
      <c r="D1483" s="65" t="s">
        <v>126</v>
      </c>
      <c r="E1483" s="65" t="s">
        <v>5421</v>
      </c>
      <c r="F1483" s="65" t="b">
        <f>TRUE()</f>
        <v>1</v>
      </c>
      <c r="G1483" s="65" t="s">
        <v>165</v>
      </c>
      <c r="H1483" s="65" t="s">
        <v>3620</v>
      </c>
      <c r="I1483" s="66">
        <v>46209.959597083303</v>
      </c>
      <c r="J1483" s="66">
        <v>46210.283092870399</v>
      </c>
      <c r="K1483" s="65">
        <v>0.3</v>
      </c>
      <c r="L1483" s="65" t="s">
        <v>183</v>
      </c>
      <c r="M1483" s="65" t="s">
        <v>183</v>
      </c>
      <c r="N1483" s="65" t="b">
        <f>FALSE()</f>
        <v>0</v>
      </c>
      <c r="O1483" s="65"/>
      <c r="P1483" s="65"/>
      <c r="Q1483" s="65" t="s">
        <v>236</v>
      </c>
      <c r="R1483" s="65" t="s">
        <v>236</v>
      </c>
      <c r="S1483" s="65"/>
      <c r="T1483" s="65" t="b">
        <f>FALSE()</f>
        <v>0</v>
      </c>
      <c r="U1483" s="65" t="b">
        <f>FALSE()</f>
        <v>0</v>
      </c>
      <c r="V1483" s="65">
        <v>445</v>
      </c>
      <c r="W1483" s="67" t="s">
        <v>5422</v>
      </c>
      <c r="X1483" s="65">
        <v>9</v>
      </c>
      <c r="Y1483" s="68">
        <v>15.75</v>
      </c>
      <c r="Z1483" s="65" t="b">
        <f>FALSE()</f>
        <v>0</v>
      </c>
      <c r="AA1483" s="65" t="b">
        <f>TRUE()</f>
        <v>1</v>
      </c>
      <c r="AB1483" s="65" t="b">
        <f>FALSE()</f>
        <v>0</v>
      </c>
      <c r="AC1483" s="65" t="b">
        <f>FALSE()</f>
        <v>0</v>
      </c>
      <c r="AD1483" s="65" t="b">
        <f>FALSE()</f>
        <v>0</v>
      </c>
      <c r="AE1483" s="65">
        <v>1</v>
      </c>
      <c r="AF1483" s="69">
        <v>14.3</v>
      </c>
      <c r="AG1483" s="65" t="s">
        <v>74</v>
      </c>
      <c r="AH1483" s="65" t="s">
        <v>5423</v>
      </c>
      <c r="AI1483">
        <f>IF(AND(OR(Company_Explorer!$B$5="All Companies",$E1483=Company_Explorer!$B$5),OR(Company_Explorer!$B$6="All Platforms",$B1483=Company_Explorer!$B$6),OR(Company_Explorer!$B$7="All Roles",$D1483=Company_Explorer!$B$7),OR(Company_Explorer!$B$8="All Ghost Labels",$AG1483=Company_Explorer!$B$8)),1,0)</f>
        <v>0</v>
      </c>
    </row>
    <row r="1484" spans="1:35" ht="15" customHeight="1" x14ac:dyDescent="0.3">
      <c r="A1484" s="60" t="s">
        <v>5424</v>
      </c>
      <c r="B1484" s="60" t="s">
        <v>81</v>
      </c>
      <c r="C1484" s="60" t="s">
        <v>5420</v>
      </c>
      <c r="D1484" s="60" t="s">
        <v>126</v>
      </c>
      <c r="E1484" s="60" t="s">
        <v>5421</v>
      </c>
      <c r="F1484" s="60" t="b">
        <f>TRUE()</f>
        <v>1</v>
      </c>
      <c r="G1484" s="60" t="s">
        <v>165</v>
      </c>
      <c r="H1484" s="60" t="s">
        <v>3620</v>
      </c>
      <c r="I1484" s="61">
        <v>46209.959582800897</v>
      </c>
      <c r="J1484" s="61">
        <v>46210.283092905098</v>
      </c>
      <c r="K1484" s="60">
        <v>0.3</v>
      </c>
      <c r="L1484" s="60" t="s">
        <v>183</v>
      </c>
      <c r="M1484" s="60" t="s">
        <v>183</v>
      </c>
      <c r="N1484" s="60" t="b">
        <f>FALSE()</f>
        <v>0</v>
      </c>
      <c r="O1484" s="60"/>
      <c r="P1484" s="60"/>
      <c r="Q1484" s="60" t="s">
        <v>236</v>
      </c>
      <c r="R1484" s="60" t="s">
        <v>236</v>
      </c>
      <c r="S1484" s="60"/>
      <c r="T1484" s="60" t="b">
        <f>FALSE()</f>
        <v>0</v>
      </c>
      <c r="U1484" s="60" t="b">
        <f>FALSE()</f>
        <v>0</v>
      </c>
      <c r="V1484" s="60">
        <v>445</v>
      </c>
      <c r="W1484" s="62" t="s">
        <v>5425</v>
      </c>
      <c r="X1484" s="60">
        <v>9</v>
      </c>
      <c r="Y1484" s="63">
        <v>15.75</v>
      </c>
      <c r="Z1484" s="60" t="b">
        <f>FALSE()</f>
        <v>0</v>
      </c>
      <c r="AA1484" s="60" t="b">
        <f>TRUE()</f>
        <v>1</v>
      </c>
      <c r="AB1484" s="60" t="b">
        <f>FALSE()</f>
        <v>0</v>
      </c>
      <c r="AC1484" s="60" t="b">
        <f>FALSE()</f>
        <v>0</v>
      </c>
      <c r="AD1484" s="60" t="b">
        <f>FALSE()</f>
        <v>0</v>
      </c>
      <c r="AE1484" s="60">
        <v>1</v>
      </c>
      <c r="AF1484" s="64">
        <v>14.3</v>
      </c>
      <c r="AG1484" s="60" t="s">
        <v>74</v>
      </c>
      <c r="AH1484" s="60" t="s">
        <v>5426</v>
      </c>
      <c r="AI1484">
        <f>IF(AND(OR(Company_Explorer!$B$5="All Companies",$E1484=Company_Explorer!$B$5),OR(Company_Explorer!$B$6="All Platforms",$B1484=Company_Explorer!$B$6),OR(Company_Explorer!$B$7="All Roles",$D1484=Company_Explorer!$B$7),OR(Company_Explorer!$B$8="All Ghost Labels",$AG1484=Company_Explorer!$B$8)),1,0)</f>
        <v>0</v>
      </c>
    </row>
    <row r="1485" spans="1:35" ht="15" customHeight="1" x14ac:dyDescent="0.3">
      <c r="A1485" s="65" t="s">
        <v>5427</v>
      </c>
      <c r="B1485" s="65" t="s">
        <v>81</v>
      </c>
      <c r="C1485" s="65" t="s">
        <v>5428</v>
      </c>
      <c r="D1485" s="65" t="s">
        <v>125</v>
      </c>
      <c r="E1485" s="65" t="s">
        <v>3892</v>
      </c>
      <c r="F1485" s="65" t="b">
        <f>TRUE()</f>
        <v>1</v>
      </c>
      <c r="G1485" s="65" t="s">
        <v>165</v>
      </c>
      <c r="H1485" s="65" t="s">
        <v>3636</v>
      </c>
      <c r="I1485" s="66">
        <v>46209.965802141203</v>
      </c>
      <c r="J1485" s="66">
        <v>46210.283092963</v>
      </c>
      <c r="K1485" s="65">
        <v>0.3</v>
      </c>
      <c r="L1485" s="65" t="s">
        <v>183</v>
      </c>
      <c r="M1485" s="65" t="s">
        <v>183</v>
      </c>
      <c r="N1485" s="65" t="b">
        <f>FALSE()</f>
        <v>0</v>
      </c>
      <c r="O1485" s="65"/>
      <c r="P1485" s="65"/>
      <c r="Q1485" s="65" t="s">
        <v>236</v>
      </c>
      <c r="R1485" s="65" t="s">
        <v>236</v>
      </c>
      <c r="S1485" s="65"/>
      <c r="T1485" s="65" t="b">
        <f>FALSE()</f>
        <v>0</v>
      </c>
      <c r="U1485" s="65" t="b">
        <f>FALSE()</f>
        <v>0</v>
      </c>
      <c r="V1485" s="65">
        <v>623</v>
      </c>
      <c r="W1485" s="65" t="s">
        <v>3893</v>
      </c>
      <c r="X1485" s="65">
        <v>9</v>
      </c>
      <c r="Y1485" s="68">
        <v>15.75</v>
      </c>
      <c r="Z1485" s="65" t="b">
        <f>FALSE()</f>
        <v>0</v>
      </c>
      <c r="AA1485" s="65" t="b">
        <f>TRUE()</f>
        <v>1</v>
      </c>
      <c r="AB1485" s="65" t="b">
        <f>FALSE()</f>
        <v>0</v>
      </c>
      <c r="AC1485" s="65" t="b">
        <f>FALSE()</f>
        <v>0</v>
      </c>
      <c r="AD1485" s="65" t="b">
        <f>FALSE()</f>
        <v>0</v>
      </c>
      <c r="AE1485" s="65">
        <v>1</v>
      </c>
      <c r="AF1485" s="69">
        <v>14.3</v>
      </c>
      <c r="AG1485" s="65" t="s">
        <v>74</v>
      </c>
      <c r="AH1485" s="65" t="s">
        <v>5429</v>
      </c>
      <c r="AI1485">
        <f>IF(AND(OR(Company_Explorer!$B$5="All Companies",$E1485=Company_Explorer!$B$5),OR(Company_Explorer!$B$6="All Platforms",$B1485=Company_Explorer!$B$6),OR(Company_Explorer!$B$7="All Roles",$D1485=Company_Explorer!$B$7),OR(Company_Explorer!$B$8="All Ghost Labels",$AG1485=Company_Explorer!$B$8)),1,0)</f>
        <v>0</v>
      </c>
    </row>
    <row r="1486" spans="1:35" ht="15" customHeight="1" x14ac:dyDescent="0.3">
      <c r="A1486" s="60" t="s">
        <v>5430</v>
      </c>
      <c r="B1486" s="60" t="s">
        <v>81</v>
      </c>
      <c r="C1486" s="60" t="s">
        <v>1811</v>
      </c>
      <c r="D1486" s="60" t="s">
        <v>125</v>
      </c>
      <c r="E1486" s="60" t="s">
        <v>5421</v>
      </c>
      <c r="F1486" s="60" t="b">
        <f>TRUE()</f>
        <v>1</v>
      </c>
      <c r="G1486" s="60" t="s">
        <v>165</v>
      </c>
      <c r="H1486" s="60" t="s">
        <v>3620</v>
      </c>
      <c r="I1486" s="61">
        <v>46209.959559536997</v>
      </c>
      <c r="J1486" s="61">
        <v>46210.283093715298</v>
      </c>
      <c r="K1486" s="60">
        <v>0.3</v>
      </c>
      <c r="L1486" s="60" t="s">
        <v>183</v>
      </c>
      <c r="M1486" s="60" t="s">
        <v>183</v>
      </c>
      <c r="N1486" s="60" t="b">
        <f>FALSE()</f>
        <v>0</v>
      </c>
      <c r="O1486" s="60"/>
      <c r="P1486" s="60"/>
      <c r="Q1486" s="60" t="s">
        <v>236</v>
      </c>
      <c r="R1486" s="60" t="s">
        <v>236</v>
      </c>
      <c r="S1486" s="60"/>
      <c r="T1486" s="60" t="b">
        <f>FALSE()</f>
        <v>0</v>
      </c>
      <c r="U1486" s="60" t="b">
        <f>FALSE()</f>
        <v>0</v>
      </c>
      <c r="V1486" s="60">
        <v>508</v>
      </c>
      <c r="W1486" s="62" t="s">
        <v>5431</v>
      </c>
      <c r="X1486" s="60">
        <v>9</v>
      </c>
      <c r="Y1486" s="63">
        <v>15.75</v>
      </c>
      <c r="Z1486" s="60" t="b">
        <f>FALSE()</f>
        <v>0</v>
      </c>
      <c r="AA1486" s="60" t="b">
        <f>TRUE()</f>
        <v>1</v>
      </c>
      <c r="AB1486" s="60" t="b">
        <f>FALSE()</f>
        <v>0</v>
      </c>
      <c r="AC1486" s="60" t="b">
        <f>FALSE()</f>
        <v>0</v>
      </c>
      <c r="AD1486" s="60" t="b">
        <f>FALSE()</f>
        <v>0</v>
      </c>
      <c r="AE1486" s="60">
        <v>1</v>
      </c>
      <c r="AF1486" s="64">
        <v>14.3</v>
      </c>
      <c r="AG1486" s="60" t="s">
        <v>74</v>
      </c>
      <c r="AH1486" s="60" t="s">
        <v>5432</v>
      </c>
      <c r="AI1486">
        <f>IF(AND(OR(Company_Explorer!$B$5="All Companies",$E1486=Company_Explorer!$B$5),OR(Company_Explorer!$B$6="All Platforms",$B1486=Company_Explorer!$B$6),OR(Company_Explorer!$B$7="All Roles",$D1486=Company_Explorer!$B$7),OR(Company_Explorer!$B$8="All Ghost Labels",$AG1486=Company_Explorer!$B$8)),1,0)</f>
        <v>0</v>
      </c>
    </row>
    <row r="1487" spans="1:35" ht="15" customHeight="1" x14ac:dyDescent="0.3">
      <c r="A1487" s="65" t="s">
        <v>5433</v>
      </c>
      <c r="B1487" s="65" t="s">
        <v>81</v>
      </c>
      <c r="C1487" s="65" t="s">
        <v>5434</v>
      </c>
      <c r="D1487" s="65" t="s">
        <v>125</v>
      </c>
      <c r="E1487" s="65" t="s">
        <v>3810</v>
      </c>
      <c r="F1487" s="65" t="b">
        <f>TRUE()</f>
        <v>1</v>
      </c>
      <c r="G1487" s="65" t="s">
        <v>165</v>
      </c>
      <c r="H1487" s="65" t="s">
        <v>3655</v>
      </c>
      <c r="I1487" s="66">
        <v>46209.856375092597</v>
      </c>
      <c r="J1487" s="66">
        <v>46210.283093749997</v>
      </c>
      <c r="K1487" s="65">
        <v>0.4</v>
      </c>
      <c r="L1487" s="65" t="s">
        <v>183</v>
      </c>
      <c r="M1487" s="65" t="s">
        <v>183</v>
      </c>
      <c r="N1487" s="65" t="b">
        <f>FALSE()</f>
        <v>0</v>
      </c>
      <c r="O1487" s="65"/>
      <c r="P1487" s="65"/>
      <c r="Q1487" s="65" t="s">
        <v>236</v>
      </c>
      <c r="R1487" s="65" t="s">
        <v>236</v>
      </c>
      <c r="S1487" s="65"/>
      <c r="T1487" s="65" t="b">
        <f>FALSE()</f>
        <v>0</v>
      </c>
      <c r="U1487" s="65" t="b">
        <f>FALSE()</f>
        <v>0</v>
      </c>
      <c r="V1487" s="65">
        <v>650</v>
      </c>
      <c r="W1487" s="67" t="s">
        <v>5435</v>
      </c>
      <c r="X1487" s="65">
        <v>10</v>
      </c>
      <c r="Y1487" s="68">
        <v>17.5</v>
      </c>
      <c r="Z1487" s="65" t="b">
        <f>FALSE()</f>
        <v>0</v>
      </c>
      <c r="AA1487" s="65" t="b">
        <f>TRUE()</f>
        <v>1</v>
      </c>
      <c r="AB1487" s="65" t="b">
        <f>FALSE()</f>
        <v>0</v>
      </c>
      <c r="AC1487" s="65" t="b">
        <f>FALSE()</f>
        <v>0</v>
      </c>
      <c r="AD1487" s="65" t="b">
        <f>FALSE()</f>
        <v>0</v>
      </c>
      <c r="AE1487" s="65">
        <v>1</v>
      </c>
      <c r="AF1487" s="69">
        <v>14.3</v>
      </c>
      <c r="AG1487" s="65" t="s">
        <v>74</v>
      </c>
      <c r="AH1487" s="65" t="s">
        <v>5436</v>
      </c>
      <c r="AI1487">
        <f>IF(AND(OR(Company_Explorer!$B$5="All Companies",$E1487=Company_Explorer!$B$5),OR(Company_Explorer!$B$6="All Platforms",$B1487=Company_Explorer!$B$6),OR(Company_Explorer!$B$7="All Roles",$D1487=Company_Explorer!$B$7),OR(Company_Explorer!$B$8="All Ghost Labels",$AG1487=Company_Explorer!$B$8)),1,0)</f>
        <v>0</v>
      </c>
    </row>
    <row r="1488" spans="1:35" ht="15" customHeight="1" x14ac:dyDescent="0.3">
      <c r="A1488" s="60" t="s">
        <v>5437</v>
      </c>
      <c r="B1488" s="60" t="s">
        <v>81</v>
      </c>
      <c r="C1488" s="60" t="s">
        <v>5438</v>
      </c>
      <c r="D1488" s="60" t="s">
        <v>130</v>
      </c>
      <c r="E1488" s="60" t="s">
        <v>145</v>
      </c>
      <c r="F1488" s="60" t="b">
        <f>TRUE()</f>
        <v>1</v>
      </c>
      <c r="G1488" s="60" t="s">
        <v>165</v>
      </c>
      <c r="H1488" s="60" t="s">
        <v>3620</v>
      </c>
      <c r="I1488" s="61">
        <v>46209.919016423599</v>
      </c>
      <c r="J1488" s="61">
        <v>46210.283093888902</v>
      </c>
      <c r="K1488" s="60">
        <v>0.4</v>
      </c>
      <c r="L1488" s="60" t="s">
        <v>183</v>
      </c>
      <c r="M1488" s="60" t="s">
        <v>183</v>
      </c>
      <c r="N1488" s="60" t="b">
        <f>FALSE()</f>
        <v>0</v>
      </c>
      <c r="O1488" s="60"/>
      <c r="P1488" s="60"/>
      <c r="Q1488" s="60" t="s">
        <v>236</v>
      </c>
      <c r="R1488" s="60" t="s">
        <v>236</v>
      </c>
      <c r="S1488" s="60"/>
      <c r="T1488" s="60" t="b">
        <f>FALSE()</f>
        <v>0</v>
      </c>
      <c r="U1488" s="60" t="b">
        <f>FALSE()</f>
        <v>0</v>
      </c>
      <c r="V1488" s="60">
        <v>863</v>
      </c>
      <c r="W1488" s="62" t="s">
        <v>3646</v>
      </c>
      <c r="X1488" s="60">
        <v>42</v>
      </c>
      <c r="Y1488" s="63">
        <v>73.5</v>
      </c>
      <c r="Z1488" s="60" t="b">
        <f>FALSE()</f>
        <v>0</v>
      </c>
      <c r="AA1488" s="60" t="b">
        <f>TRUE()</f>
        <v>1</v>
      </c>
      <c r="AB1488" s="60" t="b">
        <f>FALSE()</f>
        <v>0</v>
      </c>
      <c r="AC1488" s="60" t="b">
        <f>FALSE()</f>
        <v>0</v>
      </c>
      <c r="AD1488" s="60" t="b">
        <f>FALSE()</f>
        <v>0</v>
      </c>
      <c r="AE1488" s="60">
        <v>1</v>
      </c>
      <c r="AF1488" s="64">
        <v>14.3</v>
      </c>
      <c r="AG1488" s="60" t="s">
        <v>74</v>
      </c>
      <c r="AH1488" s="60" t="s">
        <v>5439</v>
      </c>
      <c r="AI1488">
        <f>IF(AND(OR(Company_Explorer!$B$5="All Companies",$E1488=Company_Explorer!$B$5),OR(Company_Explorer!$B$6="All Platforms",$B1488=Company_Explorer!$B$6),OR(Company_Explorer!$B$7="All Roles",$D1488=Company_Explorer!$B$7),OR(Company_Explorer!$B$8="All Ghost Labels",$AG1488=Company_Explorer!$B$8)),1,0)</f>
        <v>0</v>
      </c>
    </row>
    <row r="1489" spans="1:35" ht="15" customHeight="1" x14ac:dyDescent="0.3">
      <c r="A1489" s="65" t="s">
        <v>5440</v>
      </c>
      <c r="B1489" s="65" t="s">
        <v>81</v>
      </c>
      <c r="C1489" s="65" t="s">
        <v>2166</v>
      </c>
      <c r="D1489" s="65" t="s">
        <v>130</v>
      </c>
      <c r="E1489" s="65" t="s">
        <v>5441</v>
      </c>
      <c r="F1489" s="65" t="b">
        <f>TRUE()</f>
        <v>1</v>
      </c>
      <c r="G1489" s="65" t="s">
        <v>165</v>
      </c>
      <c r="H1489" s="65" t="s">
        <v>165</v>
      </c>
      <c r="I1489" s="66">
        <v>46209.842930451399</v>
      </c>
      <c r="J1489" s="66">
        <v>46210.283094884297</v>
      </c>
      <c r="K1489" s="65">
        <v>0.4</v>
      </c>
      <c r="L1489" s="65" t="s">
        <v>183</v>
      </c>
      <c r="M1489" s="65" t="s">
        <v>183</v>
      </c>
      <c r="N1489" s="65" t="b">
        <f>FALSE()</f>
        <v>0</v>
      </c>
      <c r="O1489" s="65"/>
      <c r="P1489" s="65"/>
      <c r="Q1489" s="65" t="s">
        <v>236</v>
      </c>
      <c r="R1489" s="65" t="s">
        <v>236</v>
      </c>
      <c r="S1489" s="65"/>
      <c r="T1489" s="65" t="b">
        <f>FALSE()</f>
        <v>0</v>
      </c>
      <c r="U1489" s="65" t="b">
        <f>FALSE()</f>
        <v>0</v>
      </c>
      <c r="V1489" s="65">
        <v>398</v>
      </c>
      <c r="W1489" s="67" t="s">
        <v>5442</v>
      </c>
      <c r="X1489" s="65">
        <v>1</v>
      </c>
      <c r="Y1489" s="68">
        <v>1.75</v>
      </c>
      <c r="Z1489" s="65" t="b">
        <f>FALSE()</f>
        <v>0</v>
      </c>
      <c r="AA1489" s="65" t="b">
        <f>TRUE()</f>
        <v>1</v>
      </c>
      <c r="AB1489" s="65" t="b">
        <f>FALSE()</f>
        <v>0</v>
      </c>
      <c r="AC1489" s="65" t="b">
        <f>FALSE()</f>
        <v>0</v>
      </c>
      <c r="AD1489" s="65" t="b">
        <f>FALSE()</f>
        <v>0</v>
      </c>
      <c r="AE1489" s="65">
        <v>1</v>
      </c>
      <c r="AF1489" s="69">
        <v>14.3</v>
      </c>
      <c r="AG1489" s="65" t="s">
        <v>74</v>
      </c>
      <c r="AH1489" s="65" t="s">
        <v>5443</v>
      </c>
      <c r="AI1489">
        <f>IF(AND(OR(Company_Explorer!$B$5="All Companies",$E1489=Company_Explorer!$B$5),OR(Company_Explorer!$B$6="All Platforms",$B1489=Company_Explorer!$B$6),OR(Company_Explorer!$B$7="All Roles",$D1489=Company_Explorer!$B$7),OR(Company_Explorer!$B$8="All Ghost Labels",$AG1489=Company_Explorer!$B$8)),1,0)</f>
        <v>0</v>
      </c>
    </row>
    <row r="1490" spans="1:35" ht="15" customHeight="1" x14ac:dyDescent="0.3">
      <c r="A1490" s="60" t="s">
        <v>5444</v>
      </c>
      <c r="B1490" s="60" t="s">
        <v>81</v>
      </c>
      <c r="C1490" s="60" t="s">
        <v>125</v>
      </c>
      <c r="D1490" s="60" t="s">
        <v>125</v>
      </c>
      <c r="E1490" s="60" t="s">
        <v>5445</v>
      </c>
      <c r="F1490" s="60" t="b">
        <f>TRUE()</f>
        <v>1</v>
      </c>
      <c r="G1490" s="60" t="s">
        <v>165</v>
      </c>
      <c r="H1490" s="60" t="s">
        <v>3655</v>
      </c>
      <c r="I1490" s="61">
        <v>46209.956171423597</v>
      </c>
      <c r="J1490" s="61">
        <v>46210.283094826402</v>
      </c>
      <c r="K1490" s="60">
        <v>0.3</v>
      </c>
      <c r="L1490" s="60" t="s">
        <v>183</v>
      </c>
      <c r="M1490" s="60" t="s">
        <v>183</v>
      </c>
      <c r="N1490" s="60" t="b">
        <f>FALSE()</f>
        <v>0</v>
      </c>
      <c r="O1490" s="60"/>
      <c r="P1490" s="60"/>
      <c r="Q1490" s="60" t="s">
        <v>236</v>
      </c>
      <c r="R1490" s="60" t="s">
        <v>236</v>
      </c>
      <c r="S1490" s="60"/>
      <c r="T1490" s="60" t="b">
        <f>FALSE()</f>
        <v>0</v>
      </c>
      <c r="U1490" s="60" t="b">
        <f>FALSE()</f>
        <v>0</v>
      </c>
      <c r="V1490" s="60">
        <v>609</v>
      </c>
      <c r="W1490" s="62" t="s">
        <v>5446</v>
      </c>
      <c r="X1490" s="60">
        <v>1</v>
      </c>
      <c r="Y1490" s="63">
        <v>1.75</v>
      </c>
      <c r="Z1490" s="60" t="b">
        <f>FALSE()</f>
        <v>0</v>
      </c>
      <c r="AA1490" s="60" t="b">
        <f>TRUE()</f>
        <v>1</v>
      </c>
      <c r="AB1490" s="60" t="b">
        <f>FALSE()</f>
        <v>0</v>
      </c>
      <c r="AC1490" s="60" t="b">
        <f>FALSE()</f>
        <v>0</v>
      </c>
      <c r="AD1490" s="60" t="b">
        <f>FALSE()</f>
        <v>0</v>
      </c>
      <c r="AE1490" s="60">
        <v>1</v>
      </c>
      <c r="AF1490" s="64">
        <v>14.3</v>
      </c>
      <c r="AG1490" s="60" t="s">
        <v>74</v>
      </c>
      <c r="AH1490" s="60" t="s">
        <v>5447</v>
      </c>
      <c r="AI1490">
        <f>IF(AND(OR(Company_Explorer!$B$5="All Companies",$E1490=Company_Explorer!$B$5),OR(Company_Explorer!$B$6="All Platforms",$B1490=Company_Explorer!$B$6),OR(Company_Explorer!$B$7="All Roles",$D1490=Company_Explorer!$B$7),OR(Company_Explorer!$B$8="All Ghost Labels",$AG1490=Company_Explorer!$B$8)),1,0)</f>
        <v>0</v>
      </c>
    </row>
    <row r="1491" spans="1:35" ht="15" customHeight="1" x14ac:dyDescent="0.3">
      <c r="A1491" s="65" t="s">
        <v>5448</v>
      </c>
      <c r="B1491" s="65" t="s">
        <v>81</v>
      </c>
      <c r="C1491" s="65" t="s">
        <v>5449</v>
      </c>
      <c r="D1491" s="65" t="s">
        <v>125</v>
      </c>
      <c r="E1491" s="65" t="s">
        <v>145</v>
      </c>
      <c r="F1491" s="65" t="b">
        <f>TRUE()</f>
        <v>1</v>
      </c>
      <c r="G1491" s="65" t="s">
        <v>165</v>
      </c>
      <c r="H1491" s="65" t="s">
        <v>3620</v>
      </c>
      <c r="I1491" s="66">
        <v>46209.919008483797</v>
      </c>
      <c r="J1491" s="66">
        <v>46210.283094919003</v>
      </c>
      <c r="K1491" s="65">
        <v>0.4</v>
      </c>
      <c r="L1491" s="65" t="s">
        <v>183</v>
      </c>
      <c r="M1491" s="65" t="s">
        <v>183</v>
      </c>
      <c r="N1491" s="65" t="b">
        <f>FALSE()</f>
        <v>0</v>
      </c>
      <c r="O1491" s="65"/>
      <c r="P1491" s="65"/>
      <c r="Q1491" s="65" t="s">
        <v>236</v>
      </c>
      <c r="R1491" s="65" t="s">
        <v>236</v>
      </c>
      <c r="S1491" s="65"/>
      <c r="T1491" s="65" t="b">
        <f>FALSE()</f>
        <v>0</v>
      </c>
      <c r="U1491" s="65" t="b">
        <f>FALSE()</f>
        <v>0</v>
      </c>
      <c r="V1491" s="65">
        <v>812</v>
      </c>
      <c r="W1491" s="67" t="s">
        <v>3646</v>
      </c>
      <c r="X1491" s="65">
        <v>42</v>
      </c>
      <c r="Y1491" s="68">
        <v>73.5</v>
      </c>
      <c r="Z1491" s="65" t="b">
        <f>FALSE()</f>
        <v>0</v>
      </c>
      <c r="AA1491" s="65" t="b">
        <f>TRUE()</f>
        <v>1</v>
      </c>
      <c r="AB1491" s="65" t="b">
        <f>FALSE()</f>
        <v>0</v>
      </c>
      <c r="AC1491" s="65" t="b">
        <f>FALSE()</f>
        <v>0</v>
      </c>
      <c r="AD1491" s="65" t="b">
        <f>FALSE()</f>
        <v>0</v>
      </c>
      <c r="AE1491" s="65">
        <v>1</v>
      </c>
      <c r="AF1491" s="69">
        <v>14.3</v>
      </c>
      <c r="AG1491" s="65" t="s">
        <v>74</v>
      </c>
      <c r="AH1491" s="65" t="s">
        <v>5450</v>
      </c>
      <c r="AI1491">
        <f>IF(AND(OR(Company_Explorer!$B$5="All Companies",$E1491=Company_Explorer!$B$5),OR(Company_Explorer!$B$6="All Platforms",$B1491=Company_Explorer!$B$6),OR(Company_Explorer!$B$7="All Roles",$D1491=Company_Explorer!$B$7),OR(Company_Explorer!$B$8="All Ghost Labels",$AG1491=Company_Explorer!$B$8)),1,0)</f>
        <v>0</v>
      </c>
    </row>
    <row r="1492" spans="1:35" ht="15" customHeight="1" x14ac:dyDescent="0.3">
      <c r="A1492" s="60" t="s">
        <v>5451</v>
      </c>
      <c r="B1492" s="60" t="s">
        <v>81</v>
      </c>
      <c r="C1492" s="60" t="s">
        <v>5452</v>
      </c>
      <c r="D1492" s="60" t="s">
        <v>125</v>
      </c>
      <c r="E1492" s="60" t="s">
        <v>145</v>
      </c>
      <c r="F1492" s="60" t="b">
        <f>TRUE()</f>
        <v>1</v>
      </c>
      <c r="G1492" s="60" t="s">
        <v>165</v>
      </c>
      <c r="H1492" s="60" t="s">
        <v>3620</v>
      </c>
      <c r="I1492" s="61">
        <v>46209.918982025498</v>
      </c>
      <c r="J1492" s="61">
        <v>46210.283096134299</v>
      </c>
      <c r="K1492" s="60">
        <v>0.4</v>
      </c>
      <c r="L1492" s="60" t="s">
        <v>183</v>
      </c>
      <c r="M1492" s="60" t="s">
        <v>183</v>
      </c>
      <c r="N1492" s="60" t="b">
        <f>FALSE()</f>
        <v>0</v>
      </c>
      <c r="O1492" s="60"/>
      <c r="P1492" s="60"/>
      <c r="Q1492" s="60" t="s">
        <v>236</v>
      </c>
      <c r="R1492" s="60" t="s">
        <v>236</v>
      </c>
      <c r="S1492" s="60"/>
      <c r="T1492" s="60" t="b">
        <f>FALSE()</f>
        <v>0</v>
      </c>
      <c r="U1492" s="60" t="b">
        <f>FALSE()</f>
        <v>0</v>
      </c>
      <c r="V1492" s="60">
        <v>662</v>
      </c>
      <c r="W1492" s="62" t="s">
        <v>3646</v>
      </c>
      <c r="X1492" s="60">
        <v>42</v>
      </c>
      <c r="Y1492" s="63">
        <v>73.5</v>
      </c>
      <c r="Z1492" s="60" t="b">
        <f>FALSE()</f>
        <v>0</v>
      </c>
      <c r="AA1492" s="60" t="b">
        <f>TRUE()</f>
        <v>1</v>
      </c>
      <c r="AB1492" s="60" t="b">
        <f>FALSE()</f>
        <v>0</v>
      </c>
      <c r="AC1492" s="60" t="b">
        <f>FALSE()</f>
        <v>0</v>
      </c>
      <c r="AD1492" s="60" t="b">
        <f>FALSE()</f>
        <v>0</v>
      </c>
      <c r="AE1492" s="60">
        <v>1</v>
      </c>
      <c r="AF1492" s="64">
        <v>14.3</v>
      </c>
      <c r="AG1492" s="60" t="s">
        <v>74</v>
      </c>
      <c r="AH1492" s="60" t="s">
        <v>5453</v>
      </c>
      <c r="AI1492">
        <f>IF(AND(OR(Company_Explorer!$B$5="All Companies",$E1492=Company_Explorer!$B$5),OR(Company_Explorer!$B$6="All Platforms",$B1492=Company_Explorer!$B$6),OR(Company_Explorer!$B$7="All Roles",$D1492=Company_Explorer!$B$7),OR(Company_Explorer!$B$8="All Ghost Labels",$AG1492=Company_Explorer!$B$8)),1,0)</f>
        <v>0</v>
      </c>
    </row>
    <row r="1493" spans="1:35" ht="15" customHeight="1" x14ac:dyDescent="0.3">
      <c r="A1493" s="65" t="s">
        <v>5454</v>
      </c>
      <c r="B1493" s="65" t="s">
        <v>81</v>
      </c>
      <c r="C1493" s="65" t="s">
        <v>5455</v>
      </c>
      <c r="D1493" s="65" t="s">
        <v>125</v>
      </c>
      <c r="E1493" s="65" t="s">
        <v>145</v>
      </c>
      <c r="F1493" s="65" t="b">
        <f>TRUE()</f>
        <v>1</v>
      </c>
      <c r="G1493" s="65" t="s">
        <v>165</v>
      </c>
      <c r="H1493" s="65" t="s">
        <v>3620</v>
      </c>
      <c r="I1493" s="66">
        <v>46209.918988912003</v>
      </c>
      <c r="J1493" s="66">
        <v>46210.283097268497</v>
      </c>
      <c r="K1493" s="65">
        <v>0.4</v>
      </c>
      <c r="L1493" s="65" t="s">
        <v>183</v>
      </c>
      <c r="M1493" s="65" t="s">
        <v>183</v>
      </c>
      <c r="N1493" s="65" t="b">
        <f>FALSE()</f>
        <v>0</v>
      </c>
      <c r="O1493" s="65"/>
      <c r="P1493" s="65"/>
      <c r="Q1493" s="65" t="s">
        <v>236</v>
      </c>
      <c r="R1493" s="65" t="s">
        <v>236</v>
      </c>
      <c r="S1493" s="65"/>
      <c r="T1493" s="65" t="b">
        <f>FALSE()</f>
        <v>0</v>
      </c>
      <c r="U1493" s="65" t="b">
        <f>FALSE()</f>
        <v>0</v>
      </c>
      <c r="V1493" s="65">
        <v>708</v>
      </c>
      <c r="W1493" s="67" t="s">
        <v>3646</v>
      </c>
      <c r="X1493" s="65">
        <v>42</v>
      </c>
      <c r="Y1493" s="68">
        <v>73.5</v>
      </c>
      <c r="Z1493" s="65" t="b">
        <f>FALSE()</f>
        <v>0</v>
      </c>
      <c r="AA1493" s="65" t="b">
        <f>TRUE()</f>
        <v>1</v>
      </c>
      <c r="AB1493" s="65" t="b">
        <f>FALSE()</f>
        <v>0</v>
      </c>
      <c r="AC1493" s="65" t="b">
        <f>FALSE()</f>
        <v>0</v>
      </c>
      <c r="AD1493" s="65" t="b">
        <f>FALSE()</f>
        <v>0</v>
      </c>
      <c r="AE1493" s="65">
        <v>1</v>
      </c>
      <c r="AF1493" s="69">
        <v>14.3</v>
      </c>
      <c r="AG1493" s="65" t="s">
        <v>74</v>
      </c>
      <c r="AH1493" s="65" t="s">
        <v>5456</v>
      </c>
      <c r="AI1493">
        <f>IF(AND(OR(Company_Explorer!$B$5="All Companies",$E1493=Company_Explorer!$B$5),OR(Company_Explorer!$B$6="All Platforms",$B1493=Company_Explorer!$B$6),OR(Company_Explorer!$B$7="All Roles",$D1493=Company_Explorer!$B$7),OR(Company_Explorer!$B$8="All Ghost Labels",$AG1493=Company_Explorer!$B$8)),1,0)</f>
        <v>0</v>
      </c>
    </row>
    <row r="1494" spans="1:35" ht="15" customHeight="1" x14ac:dyDescent="0.3">
      <c r="A1494" s="60" t="s">
        <v>5457</v>
      </c>
      <c r="B1494" s="60" t="s">
        <v>81</v>
      </c>
      <c r="C1494" s="60" t="s">
        <v>5458</v>
      </c>
      <c r="D1494" s="60" t="s">
        <v>126</v>
      </c>
      <c r="E1494" s="60" t="s">
        <v>3926</v>
      </c>
      <c r="F1494" s="60" t="b">
        <f>TRUE()</f>
        <v>1</v>
      </c>
      <c r="G1494" s="60" t="s">
        <v>165</v>
      </c>
      <c r="H1494" s="60" t="s">
        <v>3620</v>
      </c>
      <c r="I1494" s="61">
        <v>46209.474194594899</v>
      </c>
      <c r="J1494" s="61">
        <v>46210.283097314801</v>
      </c>
      <c r="K1494" s="60">
        <v>0.8</v>
      </c>
      <c r="L1494" s="60" t="s">
        <v>183</v>
      </c>
      <c r="M1494" s="60" t="s">
        <v>183</v>
      </c>
      <c r="N1494" s="60" t="b">
        <f>FALSE()</f>
        <v>0</v>
      </c>
      <c r="O1494" s="60"/>
      <c r="P1494" s="60"/>
      <c r="Q1494" s="60" t="s">
        <v>236</v>
      </c>
      <c r="R1494" s="60" t="s">
        <v>236</v>
      </c>
      <c r="S1494" s="60"/>
      <c r="T1494" s="60" t="b">
        <f>FALSE()</f>
        <v>0</v>
      </c>
      <c r="U1494" s="60" t="b">
        <f>FALSE()</f>
        <v>0</v>
      </c>
      <c r="V1494" s="60">
        <v>612</v>
      </c>
      <c r="W1494" s="62" t="s">
        <v>3927</v>
      </c>
      <c r="X1494" s="60">
        <v>2</v>
      </c>
      <c r="Y1494" s="63">
        <v>3.5</v>
      </c>
      <c r="Z1494" s="60" t="b">
        <f>FALSE()</f>
        <v>0</v>
      </c>
      <c r="AA1494" s="60" t="b">
        <f>TRUE()</f>
        <v>1</v>
      </c>
      <c r="AB1494" s="60" t="b">
        <f>FALSE()</f>
        <v>0</v>
      </c>
      <c r="AC1494" s="60" t="b">
        <f>TRUE()</f>
        <v>1</v>
      </c>
      <c r="AD1494" s="60" t="b">
        <f>FALSE()</f>
        <v>0</v>
      </c>
      <c r="AE1494" s="60">
        <v>2</v>
      </c>
      <c r="AF1494" s="64">
        <v>28.6</v>
      </c>
      <c r="AG1494" s="60" t="s">
        <v>73</v>
      </c>
      <c r="AH1494" s="60" t="s">
        <v>5459</v>
      </c>
      <c r="AI1494">
        <f>IF(AND(OR(Company_Explorer!$B$5="All Companies",$E1494=Company_Explorer!$B$5),OR(Company_Explorer!$B$6="All Platforms",$B1494=Company_Explorer!$B$6),OR(Company_Explorer!$B$7="All Roles",$D1494=Company_Explorer!$B$7),OR(Company_Explorer!$B$8="All Ghost Labels",$AG1494=Company_Explorer!$B$8)),1,0)</f>
        <v>0</v>
      </c>
    </row>
    <row r="1495" spans="1:35" ht="15" customHeight="1" x14ac:dyDescent="0.3">
      <c r="A1495" s="65" t="s">
        <v>5460</v>
      </c>
      <c r="B1495" s="65" t="s">
        <v>81</v>
      </c>
      <c r="C1495" s="65" t="s">
        <v>5461</v>
      </c>
      <c r="D1495" s="65" t="s">
        <v>127</v>
      </c>
      <c r="E1495" s="65" t="s">
        <v>142</v>
      </c>
      <c r="F1495" s="65" t="b">
        <f>TRUE()</f>
        <v>1</v>
      </c>
      <c r="G1495" s="65" t="s">
        <v>165</v>
      </c>
      <c r="H1495" s="65" t="s">
        <v>3655</v>
      </c>
      <c r="I1495" s="66">
        <v>46209.013679675903</v>
      </c>
      <c r="J1495" s="66">
        <v>46210.283097430598</v>
      </c>
      <c r="K1495" s="65">
        <v>1.3</v>
      </c>
      <c r="L1495" s="65" t="s">
        <v>183</v>
      </c>
      <c r="M1495" s="65" t="s">
        <v>183</v>
      </c>
      <c r="N1495" s="65" t="b">
        <f>FALSE()</f>
        <v>0</v>
      </c>
      <c r="O1495" s="65"/>
      <c r="P1495" s="65"/>
      <c r="Q1495" s="65" t="s">
        <v>236</v>
      </c>
      <c r="R1495" s="65" t="s">
        <v>236</v>
      </c>
      <c r="S1495" s="65"/>
      <c r="T1495" s="65" t="b">
        <f>FALSE()</f>
        <v>0</v>
      </c>
      <c r="U1495" s="65" t="b">
        <f>FALSE()</f>
        <v>0</v>
      </c>
      <c r="V1495" s="65">
        <v>792</v>
      </c>
      <c r="W1495" s="67" t="s">
        <v>5462</v>
      </c>
      <c r="X1495" s="65">
        <v>81</v>
      </c>
      <c r="Y1495" s="68">
        <v>141.75</v>
      </c>
      <c r="Z1495" s="65" t="b">
        <f>FALSE()</f>
        <v>0</v>
      </c>
      <c r="AA1495" s="65" t="b">
        <f>TRUE()</f>
        <v>1</v>
      </c>
      <c r="AB1495" s="65" t="b">
        <f>FALSE()</f>
        <v>0</v>
      </c>
      <c r="AC1495" s="65" t="b">
        <f>TRUE()</f>
        <v>1</v>
      </c>
      <c r="AD1495" s="65" t="b">
        <f>TRUE()</f>
        <v>1</v>
      </c>
      <c r="AE1495" s="65">
        <v>4</v>
      </c>
      <c r="AF1495" s="69">
        <v>57.1</v>
      </c>
      <c r="AG1495" s="65" t="s">
        <v>72</v>
      </c>
      <c r="AH1495" s="65" t="s">
        <v>5463</v>
      </c>
      <c r="AI1495">
        <f>IF(AND(OR(Company_Explorer!$B$5="All Companies",$E1495=Company_Explorer!$B$5),OR(Company_Explorer!$B$6="All Platforms",$B1495=Company_Explorer!$B$6),OR(Company_Explorer!$B$7="All Roles",$D1495=Company_Explorer!$B$7),OR(Company_Explorer!$B$8="All Ghost Labels",$AG1495=Company_Explorer!$B$8)),1,0)</f>
        <v>0</v>
      </c>
    </row>
    <row r="1496" spans="1:35" ht="15" customHeight="1" x14ac:dyDescent="0.3">
      <c r="A1496" s="60" t="s">
        <v>5464</v>
      </c>
      <c r="B1496" s="60" t="s">
        <v>81</v>
      </c>
      <c r="C1496" s="60" t="s">
        <v>5465</v>
      </c>
      <c r="D1496" s="60" t="s">
        <v>125</v>
      </c>
      <c r="E1496" s="60" t="s">
        <v>2758</v>
      </c>
      <c r="F1496" s="60" t="b">
        <f>TRUE()</f>
        <v>1</v>
      </c>
      <c r="G1496" s="60" t="s">
        <v>165</v>
      </c>
      <c r="H1496" s="60" t="s">
        <v>3636</v>
      </c>
      <c r="I1496" s="61">
        <v>46209.918229155097</v>
      </c>
      <c r="J1496" s="61">
        <v>46210.2830972917</v>
      </c>
      <c r="K1496" s="60">
        <v>0.4</v>
      </c>
      <c r="L1496" s="60" t="s">
        <v>183</v>
      </c>
      <c r="M1496" s="60" t="s">
        <v>183</v>
      </c>
      <c r="N1496" s="60" t="b">
        <f>FALSE()</f>
        <v>0</v>
      </c>
      <c r="O1496" s="60"/>
      <c r="P1496" s="60"/>
      <c r="Q1496" s="60" t="s">
        <v>236</v>
      </c>
      <c r="R1496" s="60" t="s">
        <v>236</v>
      </c>
      <c r="S1496" s="60"/>
      <c r="T1496" s="60" t="b">
        <f>FALSE()</f>
        <v>0</v>
      </c>
      <c r="U1496" s="60" t="b">
        <f>FALSE()</f>
        <v>0</v>
      </c>
      <c r="V1496" s="60">
        <v>312</v>
      </c>
      <c r="W1496" s="62" t="s">
        <v>5466</v>
      </c>
      <c r="X1496" s="60">
        <v>11</v>
      </c>
      <c r="Y1496" s="63">
        <v>19.25</v>
      </c>
      <c r="Z1496" s="60" t="b">
        <f>FALSE()</f>
        <v>0</v>
      </c>
      <c r="AA1496" s="60" t="b">
        <f>TRUE()</f>
        <v>1</v>
      </c>
      <c r="AB1496" s="60" t="b">
        <f>FALSE()</f>
        <v>0</v>
      </c>
      <c r="AC1496" s="60" t="b">
        <f>FALSE()</f>
        <v>0</v>
      </c>
      <c r="AD1496" s="60" t="b">
        <f>FALSE()</f>
        <v>0</v>
      </c>
      <c r="AE1496" s="60">
        <v>1</v>
      </c>
      <c r="AF1496" s="64">
        <v>14.3</v>
      </c>
      <c r="AG1496" s="60" t="s">
        <v>74</v>
      </c>
      <c r="AH1496" s="60" t="s">
        <v>5467</v>
      </c>
      <c r="AI1496">
        <f>IF(AND(OR(Company_Explorer!$B$5="All Companies",$E1496=Company_Explorer!$B$5),OR(Company_Explorer!$B$6="All Platforms",$B1496=Company_Explorer!$B$6),OR(Company_Explorer!$B$7="All Roles",$D1496=Company_Explorer!$B$7),OR(Company_Explorer!$B$8="All Ghost Labels",$AG1496=Company_Explorer!$B$8)),1,0)</f>
        <v>0</v>
      </c>
    </row>
    <row r="1497" spans="1:35" ht="15" customHeight="1" x14ac:dyDescent="0.3">
      <c r="A1497" s="65" t="s">
        <v>5468</v>
      </c>
      <c r="B1497" s="65" t="s">
        <v>81</v>
      </c>
      <c r="C1497" s="65" t="s">
        <v>2261</v>
      </c>
      <c r="D1497" s="65" t="s">
        <v>125</v>
      </c>
      <c r="E1497" s="65" t="s">
        <v>145</v>
      </c>
      <c r="F1497" s="65" t="b">
        <f>TRUE()</f>
        <v>1</v>
      </c>
      <c r="G1497" s="65" t="s">
        <v>165</v>
      </c>
      <c r="H1497" s="65" t="s">
        <v>3620</v>
      </c>
      <c r="I1497" s="66">
        <v>46209.918984305601</v>
      </c>
      <c r="J1497" s="66">
        <v>46210.283097337997</v>
      </c>
      <c r="K1497" s="65">
        <v>0.4</v>
      </c>
      <c r="L1497" s="65" t="s">
        <v>183</v>
      </c>
      <c r="M1497" s="65" t="s">
        <v>183</v>
      </c>
      <c r="N1497" s="65" t="b">
        <f>FALSE()</f>
        <v>0</v>
      </c>
      <c r="O1497" s="65"/>
      <c r="P1497" s="65"/>
      <c r="Q1497" s="65" t="s">
        <v>236</v>
      </c>
      <c r="R1497" s="65" t="s">
        <v>236</v>
      </c>
      <c r="S1497" s="65"/>
      <c r="T1497" s="65" t="b">
        <f>FALSE()</f>
        <v>0</v>
      </c>
      <c r="U1497" s="65" t="b">
        <f>FALSE()</f>
        <v>0</v>
      </c>
      <c r="V1497" s="65">
        <v>669</v>
      </c>
      <c r="W1497" s="67" t="s">
        <v>3646</v>
      </c>
      <c r="X1497" s="65">
        <v>42</v>
      </c>
      <c r="Y1497" s="68">
        <v>73.5</v>
      </c>
      <c r="Z1497" s="65" t="b">
        <f>FALSE()</f>
        <v>0</v>
      </c>
      <c r="AA1497" s="65" t="b">
        <f>TRUE()</f>
        <v>1</v>
      </c>
      <c r="AB1497" s="65" t="b">
        <f>FALSE()</f>
        <v>0</v>
      </c>
      <c r="AC1497" s="65" t="b">
        <f>FALSE()</f>
        <v>0</v>
      </c>
      <c r="AD1497" s="65" t="b">
        <f>FALSE()</f>
        <v>0</v>
      </c>
      <c r="AE1497" s="65">
        <v>1</v>
      </c>
      <c r="AF1497" s="69">
        <v>14.3</v>
      </c>
      <c r="AG1497" s="65" t="s">
        <v>74</v>
      </c>
      <c r="AH1497" s="65" t="s">
        <v>5469</v>
      </c>
      <c r="AI1497">
        <f>IF(AND(OR(Company_Explorer!$B$5="All Companies",$E1497=Company_Explorer!$B$5),OR(Company_Explorer!$B$6="All Platforms",$B1497=Company_Explorer!$B$6),OR(Company_Explorer!$B$7="All Roles",$D1497=Company_Explorer!$B$7),OR(Company_Explorer!$B$8="All Ghost Labels",$AG1497=Company_Explorer!$B$8)),1,0)</f>
        <v>0</v>
      </c>
    </row>
    <row r="1498" spans="1:35" ht="15" customHeight="1" x14ac:dyDescent="0.3">
      <c r="A1498" s="60" t="s">
        <v>5470</v>
      </c>
      <c r="B1498" s="60" t="s">
        <v>81</v>
      </c>
      <c r="C1498" s="60" t="s">
        <v>5471</v>
      </c>
      <c r="D1498" s="60" t="s">
        <v>126</v>
      </c>
      <c r="E1498" s="60" t="s">
        <v>5472</v>
      </c>
      <c r="F1498" s="60" t="b">
        <f>TRUE()</f>
        <v>1</v>
      </c>
      <c r="G1498" s="60" t="s">
        <v>165</v>
      </c>
      <c r="H1498" s="60" t="s">
        <v>3672</v>
      </c>
      <c r="I1498" s="61">
        <v>46209.535306400503</v>
      </c>
      <c r="J1498" s="61">
        <v>46210.283098310203</v>
      </c>
      <c r="K1498" s="60">
        <v>0.7</v>
      </c>
      <c r="L1498" s="60" t="s">
        <v>183</v>
      </c>
      <c r="M1498" s="60" t="s">
        <v>183</v>
      </c>
      <c r="N1498" s="60" t="b">
        <f>FALSE()</f>
        <v>0</v>
      </c>
      <c r="O1498" s="60"/>
      <c r="P1498" s="60"/>
      <c r="Q1498" s="60" t="s">
        <v>236</v>
      </c>
      <c r="R1498" s="60" t="s">
        <v>236</v>
      </c>
      <c r="S1498" s="60"/>
      <c r="T1498" s="60" t="b">
        <f>FALSE()</f>
        <v>0</v>
      </c>
      <c r="U1498" s="60" t="b">
        <f>FALSE()</f>
        <v>0</v>
      </c>
      <c r="V1498" s="60">
        <v>790</v>
      </c>
      <c r="W1498" s="62" t="s">
        <v>5473</v>
      </c>
      <c r="X1498" s="60">
        <v>2</v>
      </c>
      <c r="Y1498" s="63">
        <v>3.5</v>
      </c>
      <c r="Z1498" s="60" t="b">
        <f>FALSE()</f>
        <v>0</v>
      </c>
      <c r="AA1498" s="60" t="b">
        <f>TRUE()</f>
        <v>1</v>
      </c>
      <c r="AB1498" s="60" t="b">
        <f>FALSE()</f>
        <v>0</v>
      </c>
      <c r="AC1498" s="60" t="b">
        <f>TRUE()</f>
        <v>1</v>
      </c>
      <c r="AD1498" s="60" t="b">
        <f>FALSE()</f>
        <v>0</v>
      </c>
      <c r="AE1498" s="60">
        <v>2</v>
      </c>
      <c r="AF1498" s="64">
        <v>28.6</v>
      </c>
      <c r="AG1498" s="60" t="s">
        <v>73</v>
      </c>
      <c r="AH1498" s="60" t="s">
        <v>5474</v>
      </c>
      <c r="AI1498">
        <f>IF(AND(OR(Company_Explorer!$B$5="All Companies",$E1498=Company_Explorer!$B$5),OR(Company_Explorer!$B$6="All Platforms",$B1498=Company_Explorer!$B$6),OR(Company_Explorer!$B$7="All Roles",$D1498=Company_Explorer!$B$7),OR(Company_Explorer!$B$8="All Ghost Labels",$AG1498=Company_Explorer!$B$8)),1,0)</f>
        <v>0</v>
      </c>
    </row>
    <row r="1499" spans="1:35" ht="15" customHeight="1" x14ac:dyDescent="0.3">
      <c r="A1499" s="65" t="s">
        <v>5475</v>
      </c>
      <c r="B1499" s="65" t="s">
        <v>81</v>
      </c>
      <c r="C1499" s="65" t="s">
        <v>5476</v>
      </c>
      <c r="D1499" s="65" t="s">
        <v>126</v>
      </c>
      <c r="E1499" s="65" t="s">
        <v>146</v>
      </c>
      <c r="F1499" s="65" t="b">
        <f>TRUE()</f>
        <v>1</v>
      </c>
      <c r="G1499" s="65" t="s">
        <v>165</v>
      </c>
      <c r="H1499" s="65" t="s">
        <v>3672</v>
      </c>
      <c r="I1499" s="66">
        <v>46209.327759178203</v>
      </c>
      <c r="J1499" s="66">
        <v>46210.283098402797</v>
      </c>
      <c r="K1499" s="65">
        <v>1</v>
      </c>
      <c r="L1499" s="65" t="s">
        <v>183</v>
      </c>
      <c r="M1499" s="65" t="s">
        <v>183</v>
      </c>
      <c r="N1499" s="65" t="b">
        <f>FALSE()</f>
        <v>0</v>
      </c>
      <c r="O1499" s="65"/>
      <c r="P1499" s="65"/>
      <c r="Q1499" s="65" t="s">
        <v>236</v>
      </c>
      <c r="R1499" s="65" t="s">
        <v>236</v>
      </c>
      <c r="S1499" s="65"/>
      <c r="T1499" s="65" t="b">
        <f>FALSE()</f>
        <v>0</v>
      </c>
      <c r="U1499" s="65" t="b">
        <f>FALSE()</f>
        <v>0</v>
      </c>
      <c r="V1499" s="65">
        <v>366</v>
      </c>
      <c r="W1499" s="67" t="s">
        <v>5477</v>
      </c>
      <c r="X1499" s="65">
        <v>33</v>
      </c>
      <c r="Y1499" s="68">
        <v>57.75</v>
      </c>
      <c r="Z1499" s="65" t="b">
        <f>FALSE()</f>
        <v>0</v>
      </c>
      <c r="AA1499" s="65" t="b">
        <f>TRUE()</f>
        <v>1</v>
      </c>
      <c r="AB1499" s="65" t="b">
        <f>FALSE()</f>
        <v>0</v>
      </c>
      <c r="AC1499" s="65" t="b">
        <f>TRUE()</f>
        <v>1</v>
      </c>
      <c r="AD1499" s="65" t="b">
        <f>FALSE()</f>
        <v>0</v>
      </c>
      <c r="AE1499" s="65">
        <v>2</v>
      </c>
      <c r="AF1499" s="69">
        <v>28.6</v>
      </c>
      <c r="AG1499" s="65" t="s">
        <v>73</v>
      </c>
      <c r="AH1499" s="65" t="s">
        <v>5478</v>
      </c>
      <c r="AI1499">
        <f>IF(AND(OR(Company_Explorer!$B$5="All Companies",$E1499=Company_Explorer!$B$5),OR(Company_Explorer!$B$6="All Platforms",$B1499=Company_Explorer!$B$6),OR(Company_Explorer!$B$7="All Roles",$D1499=Company_Explorer!$B$7),OR(Company_Explorer!$B$8="All Ghost Labels",$AG1499=Company_Explorer!$B$8)),1,0)</f>
        <v>0</v>
      </c>
    </row>
    <row r="1500" spans="1:35" ht="15" customHeight="1" x14ac:dyDescent="0.3">
      <c r="A1500" s="60" t="s">
        <v>5479</v>
      </c>
      <c r="B1500" s="60" t="s">
        <v>81</v>
      </c>
      <c r="C1500" s="60" t="s">
        <v>5476</v>
      </c>
      <c r="D1500" s="60" t="s">
        <v>126</v>
      </c>
      <c r="E1500" s="60" t="s">
        <v>146</v>
      </c>
      <c r="F1500" s="60" t="b">
        <f>TRUE()</f>
        <v>1</v>
      </c>
      <c r="G1500" s="60" t="s">
        <v>165</v>
      </c>
      <c r="H1500" s="60" t="s">
        <v>3620</v>
      </c>
      <c r="I1500" s="61">
        <v>46209.327748055599</v>
      </c>
      <c r="J1500" s="61">
        <v>46210.283098530097</v>
      </c>
      <c r="K1500" s="60">
        <v>1</v>
      </c>
      <c r="L1500" s="60" t="s">
        <v>183</v>
      </c>
      <c r="M1500" s="60" t="s">
        <v>183</v>
      </c>
      <c r="N1500" s="60" t="b">
        <f>FALSE()</f>
        <v>0</v>
      </c>
      <c r="O1500" s="60"/>
      <c r="P1500" s="60"/>
      <c r="Q1500" s="60" t="s">
        <v>236</v>
      </c>
      <c r="R1500" s="60" t="s">
        <v>236</v>
      </c>
      <c r="S1500" s="60"/>
      <c r="T1500" s="60" t="b">
        <f>FALSE()</f>
        <v>0</v>
      </c>
      <c r="U1500" s="60" t="b">
        <f>FALSE()</f>
        <v>0</v>
      </c>
      <c r="V1500" s="60">
        <v>366</v>
      </c>
      <c r="W1500" s="62" t="s">
        <v>5477</v>
      </c>
      <c r="X1500" s="60">
        <v>33</v>
      </c>
      <c r="Y1500" s="63">
        <v>57.75</v>
      </c>
      <c r="Z1500" s="60" t="b">
        <f>FALSE()</f>
        <v>0</v>
      </c>
      <c r="AA1500" s="60" t="b">
        <f>TRUE()</f>
        <v>1</v>
      </c>
      <c r="AB1500" s="60" t="b">
        <f>FALSE()</f>
        <v>0</v>
      </c>
      <c r="AC1500" s="60" t="b">
        <f>TRUE()</f>
        <v>1</v>
      </c>
      <c r="AD1500" s="60" t="b">
        <f>FALSE()</f>
        <v>0</v>
      </c>
      <c r="AE1500" s="60">
        <v>2</v>
      </c>
      <c r="AF1500" s="64">
        <v>28.6</v>
      </c>
      <c r="AG1500" s="60" t="s">
        <v>73</v>
      </c>
      <c r="AH1500" s="60" t="s">
        <v>5480</v>
      </c>
      <c r="AI1500">
        <f>IF(AND(OR(Company_Explorer!$B$5="All Companies",$E1500=Company_Explorer!$B$5),OR(Company_Explorer!$B$6="All Platforms",$B1500=Company_Explorer!$B$6),OR(Company_Explorer!$B$7="All Roles",$D1500=Company_Explorer!$B$7),OR(Company_Explorer!$B$8="All Ghost Labels",$AG1500=Company_Explorer!$B$8)),1,0)</f>
        <v>0</v>
      </c>
    </row>
    <row r="1501" spans="1:35" ht="15" customHeight="1" x14ac:dyDescent="0.3">
      <c r="A1501" s="65" t="s">
        <v>5481</v>
      </c>
      <c r="B1501" s="65" t="s">
        <v>81</v>
      </c>
      <c r="C1501" s="65" t="s">
        <v>5482</v>
      </c>
      <c r="D1501" s="65" t="s">
        <v>133</v>
      </c>
      <c r="E1501" s="65" t="s">
        <v>5483</v>
      </c>
      <c r="F1501" s="65" t="b">
        <f>TRUE()</f>
        <v>1</v>
      </c>
      <c r="G1501" s="65" t="s">
        <v>165</v>
      </c>
      <c r="H1501" s="65" t="s">
        <v>3620</v>
      </c>
      <c r="I1501" s="66">
        <v>46209.5345491435</v>
      </c>
      <c r="J1501" s="66">
        <v>46210.283098715299</v>
      </c>
      <c r="K1501" s="65">
        <v>0.7</v>
      </c>
      <c r="L1501" s="65" t="s">
        <v>183</v>
      </c>
      <c r="M1501" s="65" t="s">
        <v>183</v>
      </c>
      <c r="N1501" s="65" t="b">
        <f>FALSE()</f>
        <v>0</v>
      </c>
      <c r="O1501" s="65"/>
      <c r="P1501" s="65"/>
      <c r="Q1501" s="65" t="s">
        <v>236</v>
      </c>
      <c r="R1501" s="65" t="s">
        <v>236</v>
      </c>
      <c r="S1501" s="65"/>
      <c r="T1501" s="65" t="b">
        <f>FALSE()</f>
        <v>0</v>
      </c>
      <c r="U1501" s="65" t="b">
        <f>FALSE()</f>
        <v>0</v>
      </c>
      <c r="V1501" s="65">
        <v>174</v>
      </c>
      <c r="W1501" s="67" t="s">
        <v>5484</v>
      </c>
      <c r="X1501" s="65">
        <v>3</v>
      </c>
      <c r="Y1501" s="68">
        <v>5.25</v>
      </c>
      <c r="Z1501" s="65" t="b">
        <f>FALSE()</f>
        <v>0</v>
      </c>
      <c r="AA1501" s="65" t="b">
        <f>TRUE()</f>
        <v>1</v>
      </c>
      <c r="AB1501" s="65" t="b">
        <f>TRUE()</f>
        <v>1</v>
      </c>
      <c r="AC1501" s="65" t="b">
        <f>TRUE()</f>
        <v>1</v>
      </c>
      <c r="AD1501" s="65" t="b">
        <f>FALSE()</f>
        <v>0</v>
      </c>
      <c r="AE1501" s="65">
        <v>3</v>
      </c>
      <c r="AF1501" s="69">
        <v>42.9</v>
      </c>
      <c r="AG1501" s="65" t="s">
        <v>73</v>
      </c>
      <c r="AH1501" s="65" t="s">
        <v>5485</v>
      </c>
      <c r="AI1501">
        <f>IF(AND(OR(Company_Explorer!$B$5="All Companies",$E1501=Company_Explorer!$B$5),OR(Company_Explorer!$B$6="All Platforms",$B1501=Company_Explorer!$B$6),OR(Company_Explorer!$B$7="All Roles",$D1501=Company_Explorer!$B$7),OR(Company_Explorer!$B$8="All Ghost Labels",$AG1501=Company_Explorer!$B$8)),1,0)</f>
        <v>0</v>
      </c>
    </row>
    <row r="1502" spans="1:35" ht="15" customHeight="1" x14ac:dyDescent="0.3">
      <c r="A1502" s="60" t="s">
        <v>5486</v>
      </c>
      <c r="B1502" s="60" t="s">
        <v>81</v>
      </c>
      <c r="C1502" s="60" t="s">
        <v>5487</v>
      </c>
      <c r="D1502" s="60" t="s">
        <v>127</v>
      </c>
      <c r="E1502" s="60" t="s">
        <v>5488</v>
      </c>
      <c r="F1502" s="60" t="b">
        <f>TRUE()</f>
        <v>1</v>
      </c>
      <c r="G1502" s="60" t="s">
        <v>165</v>
      </c>
      <c r="H1502" s="60" t="s">
        <v>3655</v>
      </c>
      <c r="I1502" s="61">
        <v>46209.468989733803</v>
      </c>
      <c r="J1502" s="61">
        <v>46210.2830995486</v>
      </c>
      <c r="K1502" s="60">
        <v>0.8</v>
      </c>
      <c r="L1502" s="60" t="s">
        <v>183</v>
      </c>
      <c r="M1502" s="60" t="s">
        <v>183</v>
      </c>
      <c r="N1502" s="60" t="b">
        <f>TRUE()</f>
        <v>1</v>
      </c>
      <c r="O1502" s="70">
        <v>300000</v>
      </c>
      <c r="P1502" s="70">
        <v>700000</v>
      </c>
      <c r="Q1502" s="60" t="s">
        <v>3663</v>
      </c>
      <c r="R1502" s="60" t="s">
        <v>3961</v>
      </c>
      <c r="S1502" s="70">
        <v>500000</v>
      </c>
      <c r="T1502" s="60" t="b">
        <f>TRUE()</f>
        <v>1</v>
      </c>
      <c r="U1502" s="60" t="b">
        <f>FALSE()</f>
        <v>0</v>
      </c>
      <c r="V1502" s="60">
        <v>459</v>
      </c>
      <c r="W1502" s="62" t="s">
        <v>5489</v>
      </c>
      <c r="X1502" s="60">
        <v>1</v>
      </c>
      <c r="Y1502" s="63">
        <v>1.75</v>
      </c>
      <c r="Z1502" s="60" t="b">
        <f>FALSE()</f>
        <v>0</v>
      </c>
      <c r="AA1502" s="60" t="b">
        <f>FALSE()</f>
        <v>0</v>
      </c>
      <c r="AB1502" s="60" t="b">
        <f>FALSE()</f>
        <v>0</v>
      </c>
      <c r="AC1502" s="60" t="b">
        <f>TRUE()</f>
        <v>1</v>
      </c>
      <c r="AD1502" s="60" t="b">
        <f>FALSE()</f>
        <v>0</v>
      </c>
      <c r="AE1502" s="60">
        <v>1</v>
      </c>
      <c r="AF1502" s="64">
        <v>14.3</v>
      </c>
      <c r="AG1502" s="60" t="s">
        <v>74</v>
      </c>
      <c r="AH1502" s="60" t="s">
        <v>5490</v>
      </c>
      <c r="AI1502">
        <f>IF(AND(OR(Company_Explorer!$B$5="All Companies",$E1502=Company_Explorer!$B$5),OR(Company_Explorer!$B$6="All Platforms",$B1502=Company_Explorer!$B$6),OR(Company_Explorer!$B$7="All Roles",$D1502=Company_Explorer!$B$7),OR(Company_Explorer!$B$8="All Ghost Labels",$AG1502=Company_Explorer!$B$8)),1,0)</f>
        <v>0</v>
      </c>
    </row>
    <row r="1503" spans="1:35" ht="15" customHeight="1" x14ac:dyDescent="0.3">
      <c r="A1503" s="65" t="s">
        <v>5491</v>
      </c>
      <c r="B1503" s="65" t="s">
        <v>81</v>
      </c>
      <c r="C1503" s="65" t="s">
        <v>5492</v>
      </c>
      <c r="D1503" s="65" t="s">
        <v>126</v>
      </c>
      <c r="E1503" s="65" t="s">
        <v>5493</v>
      </c>
      <c r="F1503" s="65" t="b">
        <f>TRUE()</f>
        <v>1</v>
      </c>
      <c r="G1503" s="65" t="s">
        <v>165</v>
      </c>
      <c r="H1503" s="65" t="s">
        <v>3636</v>
      </c>
      <c r="I1503" s="66">
        <v>46209.467706608797</v>
      </c>
      <c r="J1503" s="66">
        <v>46210.283099652799</v>
      </c>
      <c r="K1503" s="65">
        <v>0.8</v>
      </c>
      <c r="L1503" s="65" t="s">
        <v>183</v>
      </c>
      <c r="M1503" s="65" t="s">
        <v>183</v>
      </c>
      <c r="N1503" s="65" t="b">
        <f>FALSE()</f>
        <v>0</v>
      </c>
      <c r="O1503" s="65"/>
      <c r="P1503" s="65"/>
      <c r="Q1503" s="65" t="s">
        <v>236</v>
      </c>
      <c r="R1503" s="65" t="s">
        <v>236</v>
      </c>
      <c r="S1503" s="65"/>
      <c r="T1503" s="65" t="b">
        <f>FALSE()</f>
        <v>0</v>
      </c>
      <c r="U1503" s="65" t="b">
        <f>FALSE()</f>
        <v>0</v>
      </c>
      <c r="V1503" s="65">
        <v>1089</v>
      </c>
      <c r="W1503" s="67" t="s">
        <v>5494</v>
      </c>
      <c r="X1503" s="65">
        <v>2</v>
      </c>
      <c r="Y1503" s="68">
        <v>3.5</v>
      </c>
      <c r="Z1503" s="65" t="b">
        <f>FALSE()</f>
        <v>0</v>
      </c>
      <c r="AA1503" s="65" t="b">
        <f>TRUE()</f>
        <v>1</v>
      </c>
      <c r="AB1503" s="65" t="b">
        <f>FALSE()</f>
        <v>0</v>
      </c>
      <c r="AC1503" s="65" t="b">
        <f>TRUE()</f>
        <v>1</v>
      </c>
      <c r="AD1503" s="65" t="b">
        <f>FALSE()</f>
        <v>0</v>
      </c>
      <c r="AE1503" s="65">
        <v>2</v>
      </c>
      <c r="AF1503" s="69">
        <v>28.6</v>
      </c>
      <c r="AG1503" s="65" t="s">
        <v>73</v>
      </c>
      <c r="AH1503" s="65" t="s">
        <v>5495</v>
      </c>
      <c r="AI1503">
        <f>IF(AND(OR(Company_Explorer!$B$5="All Companies",$E1503=Company_Explorer!$B$5),OR(Company_Explorer!$B$6="All Platforms",$B1503=Company_Explorer!$B$6),OR(Company_Explorer!$B$7="All Roles",$D1503=Company_Explorer!$B$7),OR(Company_Explorer!$B$8="All Ghost Labels",$AG1503=Company_Explorer!$B$8)),1,0)</f>
        <v>0</v>
      </c>
    </row>
    <row r="1504" spans="1:35" ht="15" customHeight="1" x14ac:dyDescent="0.3">
      <c r="A1504" s="60" t="s">
        <v>5496</v>
      </c>
      <c r="B1504" s="60" t="s">
        <v>81</v>
      </c>
      <c r="C1504" s="60" t="s">
        <v>5461</v>
      </c>
      <c r="D1504" s="60" t="s">
        <v>127</v>
      </c>
      <c r="E1504" s="60" t="s">
        <v>142</v>
      </c>
      <c r="F1504" s="60" t="b">
        <f>TRUE()</f>
        <v>1</v>
      </c>
      <c r="G1504" s="60" t="s">
        <v>165</v>
      </c>
      <c r="H1504" s="60" t="s">
        <v>3655</v>
      </c>
      <c r="I1504" s="61">
        <v>46209.0135785764</v>
      </c>
      <c r="J1504" s="61">
        <v>46210.283099710701</v>
      </c>
      <c r="K1504" s="60">
        <v>1.3</v>
      </c>
      <c r="L1504" s="60" t="s">
        <v>183</v>
      </c>
      <c r="M1504" s="60" t="s">
        <v>183</v>
      </c>
      <c r="N1504" s="60" t="b">
        <f>FALSE()</f>
        <v>0</v>
      </c>
      <c r="O1504" s="60"/>
      <c r="P1504" s="60"/>
      <c r="Q1504" s="60" t="s">
        <v>236</v>
      </c>
      <c r="R1504" s="60" t="s">
        <v>236</v>
      </c>
      <c r="S1504" s="60"/>
      <c r="T1504" s="60" t="b">
        <f>FALSE()</f>
        <v>0</v>
      </c>
      <c r="U1504" s="60" t="b">
        <f>FALSE()</f>
        <v>0</v>
      </c>
      <c r="V1504" s="60">
        <v>792</v>
      </c>
      <c r="W1504" s="62" t="s">
        <v>5462</v>
      </c>
      <c r="X1504" s="60">
        <v>81</v>
      </c>
      <c r="Y1504" s="63">
        <v>141.75</v>
      </c>
      <c r="Z1504" s="60" t="b">
        <f>FALSE()</f>
        <v>0</v>
      </c>
      <c r="AA1504" s="60" t="b">
        <f>TRUE()</f>
        <v>1</v>
      </c>
      <c r="AB1504" s="60" t="b">
        <f>FALSE()</f>
        <v>0</v>
      </c>
      <c r="AC1504" s="60" t="b">
        <f>TRUE()</f>
        <v>1</v>
      </c>
      <c r="AD1504" s="60" t="b">
        <f>TRUE()</f>
        <v>1</v>
      </c>
      <c r="AE1504" s="60">
        <v>4</v>
      </c>
      <c r="AF1504" s="64">
        <v>57.1</v>
      </c>
      <c r="AG1504" s="60" t="s">
        <v>72</v>
      </c>
      <c r="AH1504" s="60" t="s">
        <v>5497</v>
      </c>
      <c r="AI1504">
        <f>IF(AND(OR(Company_Explorer!$B$5="All Companies",$E1504=Company_Explorer!$B$5),OR(Company_Explorer!$B$6="All Platforms",$B1504=Company_Explorer!$B$6),OR(Company_Explorer!$B$7="All Roles",$D1504=Company_Explorer!$B$7),OR(Company_Explorer!$B$8="All Ghost Labels",$AG1504=Company_Explorer!$B$8)),1,0)</f>
        <v>0</v>
      </c>
    </row>
    <row r="1505" spans="1:35" ht="15" customHeight="1" x14ac:dyDescent="0.3">
      <c r="A1505" s="65" t="s">
        <v>5498</v>
      </c>
      <c r="B1505" s="65" t="s">
        <v>81</v>
      </c>
      <c r="C1505" s="65" t="s">
        <v>5499</v>
      </c>
      <c r="D1505" s="65" t="s">
        <v>126</v>
      </c>
      <c r="E1505" s="65" t="s">
        <v>156</v>
      </c>
      <c r="F1505" s="65" t="b">
        <f>TRUE()</f>
        <v>1</v>
      </c>
      <c r="G1505" s="65" t="s">
        <v>165</v>
      </c>
      <c r="H1505" s="65" t="s">
        <v>3655</v>
      </c>
      <c r="I1505" s="66">
        <v>46208.896847962998</v>
      </c>
      <c r="J1505" s="66">
        <v>46210.283100706001</v>
      </c>
      <c r="K1505" s="65">
        <v>1.4</v>
      </c>
      <c r="L1505" s="65" t="s">
        <v>183</v>
      </c>
      <c r="M1505" s="65" t="s">
        <v>183</v>
      </c>
      <c r="N1505" s="65" t="b">
        <f>FALSE()</f>
        <v>0</v>
      </c>
      <c r="O1505" s="65"/>
      <c r="P1505" s="65"/>
      <c r="Q1505" s="65" t="s">
        <v>236</v>
      </c>
      <c r="R1505" s="65" t="s">
        <v>236</v>
      </c>
      <c r="S1505" s="65"/>
      <c r="T1505" s="65" t="b">
        <f>FALSE()</f>
        <v>0</v>
      </c>
      <c r="U1505" s="65" t="b">
        <f>FALSE()</f>
        <v>0</v>
      </c>
      <c r="V1505" s="65">
        <v>714</v>
      </c>
      <c r="W1505" s="67" t="s">
        <v>5500</v>
      </c>
      <c r="X1505" s="65">
        <v>14</v>
      </c>
      <c r="Y1505" s="68">
        <v>24.5</v>
      </c>
      <c r="Z1505" s="65" t="b">
        <f>FALSE()</f>
        <v>0</v>
      </c>
      <c r="AA1505" s="65" t="b">
        <f>TRUE()</f>
        <v>1</v>
      </c>
      <c r="AB1505" s="65" t="b">
        <f>FALSE()</f>
        <v>0</v>
      </c>
      <c r="AC1505" s="65" t="b">
        <f>TRUE()</f>
        <v>1</v>
      </c>
      <c r="AD1505" s="65" t="b">
        <f>FALSE()</f>
        <v>0</v>
      </c>
      <c r="AE1505" s="65">
        <v>2</v>
      </c>
      <c r="AF1505" s="69">
        <v>28.6</v>
      </c>
      <c r="AG1505" s="65" t="s">
        <v>73</v>
      </c>
      <c r="AH1505" s="65" t="s">
        <v>5501</v>
      </c>
      <c r="AI1505">
        <f>IF(AND(OR(Company_Explorer!$B$5="All Companies",$E1505=Company_Explorer!$B$5),OR(Company_Explorer!$B$6="All Platforms",$B1505=Company_Explorer!$B$6),OR(Company_Explorer!$B$7="All Roles",$D1505=Company_Explorer!$B$7),OR(Company_Explorer!$B$8="All Ghost Labels",$AG1505=Company_Explorer!$B$8)),1,0)</f>
        <v>0</v>
      </c>
    </row>
    <row r="1506" spans="1:35" ht="15" customHeight="1" x14ac:dyDescent="0.3">
      <c r="A1506" s="60" t="s">
        <v>5502</v>
      </c>
      <c r="B1506" s="60" t="s">
        <v>81</v>
      </c>
      <c r="C1506" s="60" t="s">
        <v>5503</v>
      </c>
      <c r="D1506" s="60" t="s">
        <v>126</v>
      </c>
      <c r="E1506" s="60" t="s">
        <v>3860</v>
      </c>
      <c r="F1506" s="60" t="b">
        <f>TRUE()</f>
        <v>1</v>
      </c>
      <c r="G1506" s="60" t="s">
        <v>165</v>
      </c>
      <c r="H1506" s="60" t="s">
        <v>3620</v>
      </c>
      <c r="I1506" s="61">
        <v>46209.325962928197</v>
      </c>
      <c r="J1506" s="61">
        <v>46210.283100833301</v>
      </c>
      <c r="K1506" s="60">
        <v>1</v>
      </c>
      <c r="L1506" s="60" t="s">
        <v>183</v>
      </c>
      <c r="M1506" s="60" t="s">
        <v>183</v>
      </c>
      <c r="N1506" s="60" t="b">
        <f>FALSE()</f>
        <v>0</v>
      </c>
      <c r="O1506" s="60"/>
      <c r="P1506" s="60"/>
      <c r="Q1506" s="60" t="s">
        <v>236</v>
      </c>
      <c r="R1506" s="60" t="s">
        <v>236</v>
      </c>
      <c r="S1506" s="60"/>
      <c r="T1506" s="60" t="b">
        <f>FALSE()</f>
        <v>0</v>
      </c>
      <c r="U1506" s="60" t="b">
        <f>FALSE()</f>
        <v>0</v>
      </c>
      <c r="V1506" s="60">
        <v>997</v>
      </c>
      <c r="W1506" s="62" t="s">
        <v>3861</v>
      </c>
      <c r="X1506" s="60">
        <v>4</v>
      </c>
      <c r="Y1506" s="63">
        <v>7</v>
      </c>
      <c r="Z1506" s="60" t="b">
        <f>FALSE()</f>
        <v>0</v>
      </c>
      <c r="AA1506" s="60" t="b">
        <f>TRUE()</f>
        <v>1</v>
      </c>
      <c r="AB1506" s="60" t="b">
        <f>FALSE()</f>
        <v>0</v>
      </c>
      <c r="AC1506" s="60" t="b">
        <f>TRUE()</f>
        <v>1</v>
      </c>
      <c r="AD1506" s="60" t="b">
        <f>FALSE()</f>
        <v>0</v>
      </c>
      <c r="AE1506" s="60">
        <v>2</v>
      </c>
      <c r="AF1506" s="64">
        <v>28.6</v>
      </c>
      <c r="AG1506" s="60" t="s">
        <v>73</v>
      </c>
      <c r="AH1506" s="60" t="s">
        <v>5504</v>
      </c>
      <c r="AI1506">
        <f>IF(AND(OR(Company_Explorer!$B$5="All Companies",$E1506=Company_Explorer!$B$5),OR(Company_Explorer!$B$6="All Platforms",$B1506=Company_Explorer!$B$6),OR(Company_Explorer!$B$7="All Roles",$D1506=Company_Explorer!$B$7),OR(Company_Explorer!$B$8="All Ghost Labels",$AG1506=Company_Explorer!$B$8)),1,0)</f>
        <v>0</v>
      </c>
    </row>
    <row r="1507" spans="1:35" ht="15" customHeight="1" x14ac:dyDescent="0.3">
      <c r="A1507" s="65" t="s">
        <v>5505</v>
      </c>
      <c r="B1507" s="65" t="s">
        <v>81</v>
      </c>
      <c r="C1507" s="65" t="s">
        <v>5506</v>
      </c>
      <c r="D1507" s="65" t="s">
        <v>132</v>
      </c>
      <c r="E1507" s="65" t="s">
        <v>5507</v>
      </c>
      <c r="F1507" s="65" t="b">
        <f>TRUE()</f>
        <v>1</v>
      </c>
      <c r="G1507" s="65" t="s">
        <v>165</v>
      </c>
      <c r="H1507" s="65" t="s">
        <v>3620</v>
      </c>
      <c r="I1507" s="66">
        <v>46209.534362013903</v>
      </c>
      <c r="J1507" s="66">
        <v>46210.283101064801</v>
      </c>
      <c r="K1507" s="65">
        <v>0.7</v>
      </c>
      <c r="L1507" s="65" t="s">
        <v>183</v>
      </c>
      <c r="M1507" s="65" t="s">
        <v>183</v>
      </c>
      <c r="N1507" s="65" t="b">
        <f>FALSE()</f>
        <v>0</v>
      </c>
      <c r="O1507" s="65"/>
      <c r="P1507" s="65"/>
      <c r="Q1507" s="65" t="s">
        <v>236</v>
      </c>
      <c r="R1507" s="65" t="s">
        <v>236</v>
      </c>
      <c r="S1507" s="65"/>
      <c r="T1507" s="65" t="b">
        <f>FALSE()</f>
        <v>0</v>
      </c>
      <c r="U1507" s="65" t="b">
        <f>FALSE()</f>
        <v>0</v>
      </c>
      <c r="V1507" s="65">
        <v>979</v>
      </c>
      <c r="W1507" s="67" t="s">
        <v>5508</v>
      </c>
      <c r="X1507" s="65">
        <v>3</v>
      </c>
      <c r="Y1507" s="68">
        <v>5.25</v>
      </c>
      <c r="Z1507" s="65" t="b">
        <f>FALSE()</f>
        <v>0</v>
      </c>
      <c r="AA1507" s="65" t="b">
        <f>TRUE()</f>
        <v>1</v>
      </c>
      <c r="AB1507" s="65" t="b">
        <f>FALSE()</f>
        <v>0</v>
      </c>
      <c r="AC1507" s="65" t="b">
        <f>TRUE()</f>
        <v>1</v>
      </c>
      <c r="AD1507" s="65" t="b">
        <f>FALSE()</f>
        <v>0</v>
      </c>
      <c r="AE1507" s="65">
        <v>2</v>
      </c>
      <c r="AF1507" s="69">
        <v>28.6</v>
      </c>
      <c r="AG1507" s="65" t="s">
        <v>73</v>
      </c>
      <c r="AH1507" s="65" t="s">
        <v>5509</v>
      </c>
      <c r="AI1507">
        <f>IF(AND(OR(Company_Explorer!$B$5="All Companies",$E1507=Company_Explorer!$B$5),OR(Company_Explorer!$B$6="All Platforms",$B1507=Company_Explorer!$B$6),OR(Company_Explorer!$B$7="All Roles",$D1507=Company_Explorer!$B$7),OR(Company_Explorer!$B$8="All Ghost Labels",$AG1507=Company_Explorer!$B$8)),1,0)</f>
        <v>0</v>
      </c>
    </row>
    <row r="1508" spans="1:35" ht="15" customHeight="1" x14ac:dyDescent="0.3">
      <c r="A1508" s="60" t="s">
        <v>5510</v>
      </c>
      <c r="B1508" s="60" t="s">
        <v>81</v>
      </c>
      <c r="C1508" s="60" t="s">
        <v>5506</v>
      </c>
      <c r="D1508" s="60" t="s">
        <v>132</v>
      </c>
      <c r="E1508" s="60" t="s">
        <v>5507</v>
      </c>
      <c r="F1508" s="60" t="b">
        <f>TRUE()</f>
        <v>1</v>
      </c>
      <c r="G1508" s="60" t="s">
        <v>165</v>
      </c>
      <c r="H1508" s="60" t="s">
        <v>3620</v>
      </c>
      <c r="I1508" s="61">
        <v>46209.534344178202</v>
      </c>
      <c r="J1508" s="61">
        <v>46210.283101932902</v>
      </c>
      <c r="K1508" s="60">
        <v>0.7</v>
      </c>
      <c r="L1508" s="60" t="s">
        <v>183</v>
      </c>
      <c r="M1508" s="60" t="s">
        <v>183</v>
      </c>
      <c r="N1508" s="60" t="b">
        <f>FALSE()</f>
        <v>0</v>
      </c>
      <c r="O1508" s="60"/>
      <c r="P1508" s="60"/>
      <c r="Q1508" s="60" t="s">
        <v>236</v>
      </c>
      <c r="R1508" s="60" t="s">
        <v>236</v>
      </c>
      <c r="S1508" s="60"/>
      <c r="T1508" s="60" t="b">
        <f>FALSE()</f>
        <v>0</v>
      </c>
      <c r="U1508" s="60" t="b">
        <f>FALSE()</f>
        <v>0</v>
      </c>
      <c r="V1508" s="60">
        <v>642</v>
      </c>
      <c r="W1508" s="62" t="s">
        <v>5508</v>
      </c>
      <c r="X1508" s="60">
        <v>3</v>
      </c>
      <c r="Y1508" s="63">
        <v>5.25</v>
      </c>
      <c r="Z1508" s="60" t="b">
        <f>FALSE()</f>
        <v>0</v>
      </c>
      <c r="AA1508" s="60" t="b">
        <f>TRUE()</f>
        <v>1</v>
      </c>
      <c r="AB1508" s="60" t="b">
        <f>FALSE()</f>
        <v>0</v>
      </c>
      <c r="AC1508" s="60" t="b">
        <f>TRUE()</f>
        <v>1</v>
      </c>
      <c r="AD1508" s="60" t="b">
        <f>FALSE()</f>
        <v>0</v>
      </c>
      <c r="AE1508" s="60">
        <v>2</v>
      </c>
      <c r="AF1508" s="64">
        <v>28.6</v>
      </c>
      <c r="AG1508" s="60" t="s">
        <v>73</v>
      </c>
      <c r="AH1508" s="60" t="s">
        <v>5511</v>
      </c>
      <c r="AI1508">
        <f>IF(AND(OR(Company_Explorer!$B$5="All Companies",$E1508=Company_Explorer!$B$5),OR(Company_Explorer!$B$6="All Platforms",$B1508=Company_Explorer!$B$6),OR(Company_Explorer!$B$7="All Roles",$D1508=Company_Explorer!$B$7),OR(Company_Explorer!$B$8="All Ghost Labels",$AG1508=Company_Explorer!$B$8)),1,0)</f>
        <v>0</v>
      </c>
    </row>
    <row r="1509" spans="1:35" ht="15" customHeight="1" x14ac:dyDescent="0.3">
      <c r="A1509" s="65" t="s">
        <v>5512</v>
      </c>
      <c r="B1509" s="65" t="s">
        <v>81</v>
      </c>
      <c r="C1509" s="65" t="s">
        <v>127</v>
      </c>
      <c r="D1509" s="65" t="s">
        <v>127</v>
      </c>
      <c r="E1509" s="65" t="s">
        <v>5507</v>
      </c>
      <c r="F1509" s="65" t="b">
        <f>TRUE()</f>
        <v>1</v>
      </c>
      <c r="G1509" s="65" t="s">
        <v>165</v>
      </c>
      <c r="H1509" s="65" t="s">
        <v>3620</v>
      </c>
      <c r="I1509" s="66">
        <v>46208.7843479398</v>
      </c>
      <c r="J1509" s="66">
        <v>46210.283101956004</v>
      </c>
      <c r="K1509" s="65">
        <v>1.5</v>
      </c>
      <c r="L1509" s="65" t="s">
        <v>183</v>
      </c>
      <c r="M1509" s="65" t="s">
        <v>183</v>
      </c>
      <c r="N1509" s="65" t="b">
        <f>FALSE()</f>
        <v>0</v>
      </c>
      <c r="O1509" s="65"/>
      <c r="P1509" s="65"/>
      <c r="Q1509" s="65" t="s">
        <v>236</v>
      </c>
      <c r="R1509" s="65" t="s">
        <v>236</v>
      </c>
      <c r="S1509" s="65"/>
      <c r="T1509" s="65" t="b">
        <f>FALSE()</f>
        <v>0</v>
      </c>
      <c r="U1509" s="65" t="b">
        <f>FALSE()</f>
        <v>0</v>
      </c>
      <c r="V1509" s="65">
        <v>780</v>
      </c>
      <c r="W1509" s="67" t="s">
        <v>5513</v>
      </c>
      <c r="X1509" s="65">
        <v>3</v>
      </c>
      <c r="Y1509" s="68">
        <v>5.25</v>
      </c>
      <c r="Z1509" s="65" t="b">
        <f>FALSE()</f>
        <v>0</v>
      </c>
      <c r="AA1509" s="65" t="b">
        <f>TRUE()</f>
        <v>1</v>
      </c>
      <c r="AB1509" s="65" t="b">
        <f>FALSE()</f>
        <v>0</v>
      </c>
      <c r="AC1509" s="65" t="b">
        <f>TRUE()</f>
        <v>1</v>
      </c>
      <c r="AD1509" s="65" t="b">
        <f>FALSE()</f>
        <v>0</v>
      </c>
      <c r="AE1509" s="65">
        <v>2</v>
      </c>
      <c r="AF1509" s="69">
        <v>28.6</v>
      </c>
      <c r="AG1509" s="65" t="s">
        <v>73</v>
      </c>
      <c r="AH1509" s="65" t="s">
        <v>5514</v>
      </c>
      <c r="AI1509">
        <f>IF(AND(OR(Company_Explorer!$B$5="All Companies",$E1509=Company_Explorer!$B$5),OR(Company_Explorer!$B$6="All Platforms",$B1509=Company_Explorer!$B$6),OR(Company_Explorer!$B$7="All Roles",$D1509=Company_Explorer!$B$7),OR(Company_Explorer!$B$8="All Ghost Labels",$AG1509=Company_Explorer!$B$8)),1,0)</f>
        <v>0</v>
      </c>
    </row>
    <row r="1510" spans="1:35" ht="15" customHeight="1" x14ac:dyDescent="0.3">
      <c r="A1510" s="60" t="s">
        <v>5515</v>
      </c>
      <c r="B1510" s="60" t="s">
        <v>81</v>
      </c>
      <c r="C1510" s="60" t="s">
        <v>5516</v>
      </c>
      <c r="D1510" s="60" t="s">
        <v>126</v>
      </c>
      <c r="E1510" s="60" t="s">
        <v>5493</v>
      </c>
      <c r="F1510" s="60" t="b">
        <f>TRUE()</f>
        <v>1</v>
      </c>
      <c r="G1510" s="60" t="s">
        <v>165</v>
      </c>
      <c r="H1510" s="60" t="s">
        <v>3636</v>
      </c>
      <c r="I1510" s="61">
        <v>46209.467709583303</v>
      </c>
      <c r="J1510" s="61">
        <v>46210.283101886598</v>
      </c>
      <c r="K1510" s="60">
        <v>0.8</v>
      </c>
      <c r="L1510" s="60" t="s">
        <v>183</v>
      </c>
      <c r="M1510" s="60" t="s">
        <v>183</v>
      </c>
      <c r="N1510" s="60" t="b">
        <f>FALSE()</f>
        <v>0</v>
      </c>
      <c r="O1510" s="60"/>
      <c r="P1510" s="60"/>
      <c r="Q1510" s="60" t="s">
        <v>236</v>
      </c>
      <c r="R1510" s="60" t="s">
        <v>236</v>
      </c>
      <c r="S1510" s="60"/>
      <c r="T1510" s="60" t="b">
        <f>FALSE()</f>
        <v>0</v>
      </c>
      <c r="U1510" s="60" t="b">
        <f>FALSE()</f>
        <v>0</v>
      </c>
      <c r="V1510" s="60">
        <v>1022</v>
      </c>
      <c r="W1510" s="62" t="s">
        <v>5494</v>
      </c>
      <c r="X1510" s="60">
        <v>2</v>
      </c>
      <c r="Y1510" s="63">
        <v>3.5</v>
      </c>
      <c r="Z1510" s="60" t="b">
        <f>FALSE()</f>
        <v>0</v>
      </c>
      <c r="AA1510" s="60" t="b">
        <f>TRUE()</f>
        <v>1</v>
      </c>
      <c r="AB1510" s="60" t="b">
        <f>FALSE()</f>
        <v>0</v>
      </c>
      <c r="AC1510" s="60" t="b">
        <f>TRUE()</f>
        <v>1</v>
      </c>
      <c r="AD1510" s="60" t="b">
        <f>FALSE()</f>
        <v>0</v>
      </c>
      <c r="AE1510" s="60">
        <v>2</v>
      </c>
      <c r="AF1510" s="64">
        <v>28.6</v>
      </c>
      <c r="AG1510" s="60" t="s">
        <v>73</v>
      </c>
      <c r="AH1510" s="60" t="s">
        <v>5517</v>
      </c>
      <c r="AI1510">
        <f>IF(AND(OR(Company_Explorer!$B$5="All Companies",$E1510=Company_Explorer!$B$5),OR(Company_Explorer!$B$6="All Platforms",$B1510=Company_Explorer!$B$6),OR(Company_Explorer!$B$7="All Roles",$D1510=Company_Explorer!$B$7),OR(Company_Explorer!$B$8="All Ghost Labels",$AG1510=Company_Explorer!$B$8)),1,0)</f>
        <v>0</v>
      </c>
    </row>
    <row r="1511" spans="1:35" ht="15" customHeight="1" x14ac:dyDescent="0.3">
      <c r="A1511" s="65" t="s">
        <v>5518</v>
      </c>
      <c r="B1511" s="65" t="s">
        <v>81</v>
      </c>
      <c r="C1511" s="65" t="s">
        <v>5519</v>
      </c>
      <c r="D1511" s="65" t="s">
        <v>126</v>
      </c>
      <c r="E1511" s="65" t="s">
        <v>3860</v>
      </c>
      <c r="F1511" s="65" t="b">
        <f>TRUE()</f>
        <v>1</v>
      </c>
      <c r="G1511" s="65" t="s">
        <v>165</v>
      </c>
      <c r="H1511" s="65" t="s">
        <v>3620</v>
      </c>
      <c r="I1511" s="66">
        <v>46209.325741435197</v>
      </c>
      <c r="J1511" s="66">
        <v>46210.283101990703</v>
      </c>
      <c r="K1511" s="65">
        <v>1</v>
      </c>
      <c r="L1511" s="65" t="s">
        <v>183</v>
      </c>
      <c r="M1511" s="65" t="s">
        <v>183</v>
      </c>
      <c r="N1511" s="65" t="b">
        <f>FALSE()</f>
        <v>0</v>
      </c>
      <c r="O1511" s="65"/>
      <c r="P1511" s="65"/>
      <c r="Q1511" s="65" t="s">
        <v>236</v>
      </c>
      <c r="R1511" s="65" t="s">
        <v>236</v>
      </c>
      <c r="S1511" s="65"/>
      <c r="T1511" s="65" t="b">
        <f>FALSE()</f>
        <v>0</v>
      </c>
      <c r="U1511" s="65" t="b">
        <f>FALSE()</f>
        <v>0</v>
      </c>
      <c r="V1511" s="65">
        <v>1020</v>
      </c>
      <c r="W1511" s="65" t="s">
        <v>5520</v>
      </c>
      <c r="X1511" s="65">
        <v>4</v>
      </c>
      <c r="Y1511" s="68">
        <v>7</v>
      </c>
      <c r="Z1511" s="65" t="b">
        <f>FALSE()</f>
        <v>0</v>
      </c>
      <c r="AA1511" s="65" t="b">
        <f>TRUE()</f>
        <v>1</v>
      </c>
      <c r="AB1511" s="65" t="b">
        <f>FALSE()</f>
        <v>0</v>
      </c>
      <c r="AC1511" s="65" t="b">
        <f>TRUE()</f>
        <v>1</v>
      </c>
      <c r="AD1511" s="65" t="b">
        <f>FALSE()</f>
        <v>0</v>
      </c>
      <c r="AE1511" s="65">
        <v>2</v>
      </c>
      <c r="AF1511" s="69">
        <v>28.6</v>
      </c>
      <c r="AG1511" s="65" t="s">
        <v>73</v>
      </c>
      <c r="AH1511" s="65" t="s">
        <v>5521</v>
      </c>
      <c r="AI1511">
        <f>IF(AND(OR(Company_Explorer!$B$5="All Companies",$E1511=Company_Explorer!$B$5),OR(Company_Explorer!$B$6="All Platforms",$B1511=Company_Explorer!$B$6),OR(Company_Explorer!$B$7="All Roles",$D1511=Company_Explorer!$B$7),OR(Company_Explorer!$B$8="All Ghost Labels",$AG1511=Company_Explorer!$B$8)),1,0)</f>
        <v>0</v>
      </c>
    </row>
    <row r="1512" spans="1:35" ht="15" customHeight="1" x14ac:dyDescent="0.3">
      <c r="A1512" s="60" t="s">
        <v>5522</v>
      </c>
      <c r="B1512" s="60" t="s">
        <v>81</v>
      </c>
      <c r="C1512" s="60" t="s">
        <v>5523</v>
      </c>
      <c r="D1512" s="60" t="s">
        <v>126</v>
      </c>
      <c r="E1512" s="60" t="s">
        <v>3985</v>
      </c>
      <c r="F1512" s="60" t="b">
        <f>TRUE()</f>
        <v>1</v>
      </c>
      <c r="G1512" s="60" t="s">
        <v>165</v>
      </c>
      <c r="H1512" s="60" t="s">
        <v>3620</v>
      </c>
      <c r="I1512" s="61">
        <v>46209.531996365702</v>
      </c>
      <c r="J1512" s="61">
        <v>46210.283102060203</v>
      </c>
      <c r="K1512" s="60">
        <v>0.8</v>
      </c>
      <c r="L1512" s="60" t="s">
        <v>183</v>
      </c>
      <c r="M1512" s="60" t="s">
        <v>183</v>
      </c>
      <c r="N1512" s="60" t="b">
        <f>FALSE()</f>
        <v>0</v>
      </c>
      <c r="O1512" s="60"/>
      <c r="P1512" s="60"/>
      <c r="Q1512" s="60" t="s">
        <v>236</v>
      </c>
      <c r="R1512" s="60" t="s">
        <v>236</v>
      </c>
      <c r="S1512" s="60"/>
      <c r="T1512" s="60" t="b">
        <f>FALSE()</f>
        <v>0</v>
      </c>
      <c r="U1512" s="60" t="b">
        <f>FALSE()</f>
        <v>0</v>
      </c>
      <c r="V1512" s="60">
        <v>398</v>
      </c>
      <c r="W1512" s="62" t="s">
        <v>5524</v>
      </c>
      <c r="X1512" s="60">
        <v>6</v>
      </c>
      <c r="Y1512" s="63">
        <v>10.5</v>
      </c>
      <c r="Z1512" s="60" t="b">
        <f>FALSE()</f>
        <v>0</v>
      </c>
      <c r="AA1512" s="60" t="b">
        <f>TRUE()</f>
        <v>1</v>
      </c>
      <c r="AB1512" s="60" t="b">
        <f>FALSE()</f>
        <v>0</v>
      </c>
      <c r="AC1512" s="60" t="b">
        <f>TRUE()</f>
        <v>1</v>
      </c>
      <c r="AD1512" s="60" t="b">
        <f>FALSE()</f>
        <v>0</v>
      </c>
      <c r="AE1512" s="60">
        <v>2</v>
      </c>
      <c r="AF1512" s="64">
        <v>28.6</v>
      </c>
      <c r="AG1512" s="60" t="s">
        <v>73</v>
      </c>
      <c r="AH1512" s="60" t="s">
        <v>5525</v>
      </c>
      <c r="AI1512">
        <f>IF(AND(OR(Company_Explorer!$B$5="All Companies",$E1512=Company_Explorer!$B$5),OR(Company_Explorer!$B$6="All Platforms",$B1512=Company_Explorer!$B$6),OR(Company_Explorer!$B$7="All Roles",$D1512=Company_Explorer!$B$7),OR(Company_Explorer!$B$8="All Ghost Labels",$AG1512=Company_Explorer!$B$8)),1,0)</f>
        <v>0</v>
      </c>
    </row>
    <row r="1513" spans="1:35" ht="15" customHeight="1" x14ac:dyDescent="0.3">
      <c r="A1513" s="65" t="s">
        <v>5526</v>
      </c>
      <c r="B1513" s="65" t="s">
        <v>81</v>
      </c>
      <c r="C1513" s="65" t="s">
        <v>5527</v>
      </c>
      <c r="D1513" s="65" t="s">
        <v>126</v>
      </c>
      <c r="E1513" s="65" t="s">
        <v>4036</v>
      </c>
      <c r="F1513" s="65" t="b">
        <f>TRUE()</f>
        <v>1</v>
      </c>
      <c r="G1513" s="65" t="s">
        <v>165</v>
      </c>
      <c r="H1513" s="65" t="s">
        <v>3655</v>
      </c>
      <c r="I1513" s="66">
        <v>46209.323646759301</v>
      </c>
      <c r="J1513" s="66">
        <v>46210.283103101901</v>
      </c>
      <c r="K1513" s="65">
        <v>1</v>
      </c>
      <c r="L1513" s="65" t="s">
        <v>183</v>
      </c>
      <c r="M1513" s="65" t="s">
        <v>183</v>
      </c>
      <c r="N1513" s="65" t="b">
        <f>FALSE()</f>
        <v>0</v>
      </c>
      <c r="O1513" s="65"/>
      <c r="P1513" s="65"/>
      <c r="Q1513" s="65" t="s">
        <v>236</v>
      </c>
      <c r="R1513" s="65" t="s">
        <v>236</v>
      </c>
      <c r="S1513" s="65"/>
      <c r="T1513" s="65" t="b">
        <f>FALSE()</f>
        <v>0</v>
      </c>
      <c r="U1513" s="65" t="b">
        <f>FALSE()</f>
        <v>0</v>
      </c>
      <c r="V1513" s="65">
        <v>831</v>
      </c>
      <c r="W1513" s="67" t="s">
        <v>5528</v>
      </c>
      <c r="X1513" s="65">
        <v>2</v>
      </c>
      <c r="Y1513" s="68">
        <v>3.5</v>
      </c>
      <c r="Z1513" s="65" t="b">
        <f>FALSE()</f>
        <v>0</v>
      </c>
      <c r="AA1513" s="65" t="b">
        <f>TRUE()</f>
        <v>1</v>
      </c>
      <c r="AB1513" s="65" t="b">
        <f>FALSE()</f>
        <v>0</v>
      </c>
      <c r="AC1513" s="65" t="b">
        <f>TRUE()</f>
        <v>1</v>
      </c>
      <c r="AD1513" s="65" t="b">
        <f>FALSE()</f>
        <v>0</v>
      </c>
      <c r="AE1513" s="65">
        <v>2</v>
      </c>
      <c r="AF1513" s="69">
        <v>28.6</v>
      </c>
      <c r="AG1513" s="65" t="s">
        <v>73</v>
      </c>
      <c r="AH1513" s="65" t="s">
        <v>5529</v>
      </c>
      <c r="AI1513">
        <f>IF(AND(OR(Company_Explorer!$B$5="All Companies",$E1513=Company_Explorer!$B$5),OR(Company_Explorer!$B$6="All Platforms",$B1513=Company_Explorer!$B$6),OR(Company_Explorer!$B$7="All Roles",$D1513=Company_Explorer!$B$7),OR(Company_Explorer!$B$8="All Ghost Labels",$AG1513=Company_Explorer!$B$8)),1,0)</f>
        <v>0</v>
      </c>
    </row>
    <row r="1514" spans="1:35" ht="15" customHeight="1" x14ac:dyDescent="0.3">
      <c r="A1514" s="60" t="s">
        <v>5530</v>
      </c>
      <c r="B1514" s="60" t="s">
        <v>81</v>
      </c>
      <c r="C1514" s="60" t="s">
        <v>5531</v>
      </c>
      <c r="D1514" s="60" t="s">
        <v>126</v>
      </c>
      <c r="E1514" s="60" t="s">
        <v>5532</v>
      </c>
      <c r="F1514" s="60" t="b">
        <f>TRUE()</f>
        <v>1</v>
      </c>
      <c r="G1514" s="60" t="s">
        <v>165</v>
      </c>
      <c r="H1514" s="60" t="s">
        <v>3678</v>
      </c>
      <c r="I1514" s="61">
        <v>46208.724793888898</v>
      </c>
      <c r="J1514" s="61">
        <v>46210.283103078698</v>
      </c>
      <c r="K1514" s="60">
        <v>1.6</v>
      </c>
      <c r="L1514" s="60" t="s">
        <v>183</v>
      </c>
      <c r="M1514" s="60" t="s">
        <v>183</v>
      </c>
      <c r="N1514" s="60" t="b">
        <f>FALSE()</f>
        <v>0</v>
      </c>
      <c r="O1514" s="60"/>
      <c r="P1514" s="60"/>
      <c r="Q1514" s="60" t="s">
        <v>236</v>
      </c>
      <c r="R1514" s="60" t="s">
        <v>236</v>
      </c>
      <c r="S1514" s="60"/>
      <c r="T1514" s="60" t="b">
        <f>FALSE()</f>
        <v>0</v>
      </c>
      <c r="U1514" s="60" t="b">
        <f>FALSE()</f>
        <v>0</v>
      </c>
      <c r="V1514" s="60">
        <v>594</v>
      </c>
      <c r="W1514" s="62" t="s">
        <v>5533</v>
      </c>
      <c r="X1514" s="60">
        <v>1</v>
      </c>
      <c r="Y1514" s="63">
        <v>1.75</v>
      </c>
      <c r="Z1514" s="60" t="b">
        <f>FALSE()</f>
        <v>0</v>
      </c>
      <c r="AA1514" s="60" t="b">
        <f>TRUE()</f>
        <v>1</v>
      </c>
      <c r="AB1514" s="60" t="b">
        <f>FALSE()</f>
        <v>0</v>
      </c>
      <c r="AC1514" s="60" t="b">
        <f>TRUE()</f>
        <v>1</v>
      </c>
      <c r="AD1514" s="60" t="b">
        <f>FALSE()</f>
        <v>0</v>
      </c>
      <c r="AE1514" s="60">
        <v>2</v>
      </c>
      <c r="AF1514" s="64">
        <v>28.6</v>
      </c>
      <c r="AG1514" s="60" t="s">
        <v>73</v>
      </c>
      <c r="AH1514" s="60" t="s">
        <v>5534</v>
      </c>
      <c r="AI1514">
        <f>IF(AND(OR(Company_Explorer!$B$5="All Companies",$E1514=Company_Explorer!$B$5),OR(Company_Explorer!$B$6="All Platforms",$B1514=Company_Explorer!$B$6),OR(Company_Explorer!$B$7="All Roles",$D1514=Company_Explorer!$B$7),OR(Company_Explorer!$B$8="All Ghost Labels",$AG1514=Company_Explorer!$B$8)),1,0)</f>
        <v>0</v>
      </c>
    </row>
    <row r="1515" spans="1:35" ht="15" customHeight="1" x14ac:dyDescent="0.3">
      <c r="A1515" s="65" t="s">
        <v>5535</v>
      </c>
      <c r="B1515" s="65" t="s">
        <v>81</v>
      </c>
      <c r="C1515" s="65" t="s">
        <v>5536</v>
      </c>
      <c r="D1515" s="65" t="s">
        <v>126</v>
      </c>
      <c r="E1515" s="65" t="s">
        <v>2359</v>
      </c>
      <c r="F1515" s="65" t="b">
        <f>TRUE()</f>
        <v>1</v>
      </c>
      <c r="G1515" s="65" t="s">
        <v>165</v>
      </c>
      <c r="H1515" s="65" t="s">
        <v>3655</v>
      </c>
      <c r="I1515" s="66">
        <v>46209.446223946798</v>
      </c>
      <c r="J1515" s="66">
        <v>46210.283104178197</v>
      </c>
      <c r="K1515" s="65">
        <v>0.8</v>
      </c>
      <c r="L1515" s="65" t="s">
        <v>183</v>
      </c>
      <c r="M1515" s="65" t="s">
        <v>183</v>
      </c>
      <c r="N1515" s="65" t="b">
        <f>FALSE()</f>
        <v>0</v>
      </c>
      <c r="O1515" s="65"/>
      <c r="P1515" s="65"/>
      <c r="Q1515" s="65" t="s">
        <v>236</v>
      </c>
      <c r="R1515" s="65" t="s">
        <v>236</v>
      </c>
      <c r="S1515" s="65"/>
      <c r="T1515" s="65" t="b">
        <f>FALSE()</f>
        <v>0</v>
      </c>
      <c r="U1515" s="65" t="b">
        <f>FALSE()</f>
        <v>0</v>
      </c>
      <c r="V1515" s="65">
        <v>143</v>
      </c>
      <c r="W1515" s="67" t="s">
        <v>5537</v>
      </c>
      <c r="X1515" s="65">
        <v>2</v>
      </c>
      <c r="Y1515" s="68">
        <v>3.5</v>
      </c>
      <c r="Z1515" s="65" t="b">
        <f>FALSE()</f>
        <v>0</v>
      </c>
      <c r="AA1515" s="65" t="b">
        <f>TRUE()</f>
        <v>1</v>
      </c>
      <c r="AB1515" s="65" t="b">
        <f>TRUE()</f>
        <v>1</v>
      </c>
      <c r="AC1515" s="65" t="b">
        <f>TRUE()</f>
        <v>1</v>
      </c>
      <c r="AD1515" s="65" t="b">
        <f>FALSE()</f>
        <v>0</v>
      </c>
      <c r="AE1515" s="65">
        <v>3</v>
      </c>
      <c r="AF1515" s="69">
        <v>42.9</v>
      </c>
      <c r="AG1515" s="65" t="s">
        <v>73</v>
      </c>
      <c r="AH1515" s="65" t="s">
        <v>5538</v>
      </c>
      <c r="AI1515">
        <f>IF(AND(OR(Company_Explorer!$B$5="All Companies",$E1515=Company_Explorer!$B$5),OR(Company_Explorer!$B$6="All Platforms",$B1515=Company_Explorer!$B$6),OR(Company_Explorer!$B$7="All Roles",$D1515=Company_Explorer!$B$7),OR(Company_Explorer!$B$8="All Ghost Labels",$AG1515=Company_Explorer!$B$8)),1,0)</f>
        <v>0</v>
      </c>
    </row>
    <row r="1516" spans="1:35" ht="15" customHeight="1" x14ac:dyDescent="0.3">
      <c r="A1516" s="60" t="s">
        <v>5539</v>
      </c>
      <c r="B1516" s="60" t="s">
        <v>81</v>
      </c>
      <c r="C1516" s="60" t="s">
        <v>5540</v>
      </c>
      <c r="D1516" s="60" t="s">
        <v>127</v>
      </c>
      <c r="E1516" s="60" t="s">
        <v>5541</v>
      </c>
      <c r="F1516" s="60" t="b">
        <f>TRUE()</f>
        <v>1</v>
      </c>
      <c r="G1516" s="60" t="s">
        <v>165</v>
      </c>
      <c r="H1516" s="60" t="s">
        <v>3655</v>
      </c>
      <c r="I1516" s="61">
        <v>46209.457962465298</v>
      </c>
      <c r="J1516" s="61">
        <v>46210.283104212998</v>
      </c>
      <c r="K1516" s="60">
        <v>0.8</v>
      </c>
      <c r="L1516" s="60" t="s">
        <v>183</v>
      </c>
      <c r="M1516" s="60" t="s">
        <v>183</v>
      </c>
      <c r="N1516" s="60" t="b">
        <f>TRUE()</f>
        <v>1</v>
      </c>
      <c r="O1516" s="70">
        <v>400000</v>
      </c>
      <c r="P1516" s="70">
        <v>700000</v>
      </c>
      <c r="Q1516" s="60" t="s">
        <v>3663</v>
      </c>
      <c r="R1516" s="60" t="s">
        <v>3961</v>
      </c>
      <c r="S1516" s="70">
        <v>550000</v>
      </c>
      <c r="T1516" s="60" t="b">
        <f>TRUE()</f>
        <v>1</v>
      </c>
      <c r="U1516" s="60" t="b">
        <f>FALSE()</f>
        <v>0</v>
      </c>
      <c r="V1516" s="60">
        <v>1224</v>
      </c>
      <c r="W1516" s="62" t="s">
        <v>5542</v>
      </c>
      <c r="X1516" s="60">
        <v>1</v>
      </c>
      <c r="Y1516" s="63">
        <v>1.75</v>
      </c>
      <c r="Z1516" s="60" t="b">
        <f>FALSE()</f>
        <v>0</v>
      </c>
      <c r="AA1516" s="60" t="b">
        <f>FALSE()</f>
        <v>0</v>
      </c>
      <c r="AB1516" s="60" t="b">
        <f>FALSE()</f>
        <v>0</v>
      </c>
      <c r="AC1516" s="60" t="b">
        <f>TRUE()</f>
        <v>1</v>
      </c>
      <c r="AD1516" s="60" t="b">
        <f>FALSE()</f>
        <v>0</v>
      </c>
      <c r="AE1516" s="60">
        <v>1</v>
      </c>
      <c r="AF1516" s="64">
        <v>14.3</v>
      </c>
      <c r="AG1516" s="60" t="s">
        <v>74</v>
      </c>
      <c r="AH1516" s="60" t="s">
        <v>5543</v>
      </c>
      <c r="AI1516">
        <f>IF(AND(OR(Company_Explorer!$B$5="All Companies",$E1516=Company_Explorer!$B$5),OR(Company_Explorer!$B$6="All Platforms",$B1516=Company_Explorer!$B$6),OR(Company_Explorer!$B$7="All Roles",$D1516=Company_Explorer!$B$7),OR(Company_Explorer!$B$8="All Ghost Labels",$AG1516=Company_Explorer!$B$8)),1,0)</f>
        <v>0</v>
      </c>
    </row>
    <row r="1517" spans="1:35" ht="15" customHeight="1" x14ac:dyDescent="0.3">
      <c r="A1517" s="65" t="s">
        <v>5544</v>
      </c>
      <c r="B1517" s="65" t="s">
        <v>81</v>
      </c>
      <c r="C1517" s="65" t="s">
        <v>5545</v>
      </c>
      <c r="D1517" s="65" t="s">
        <v>126</v>
      </c>
      <c r="E1517" s="65" t="s">
        <v>5546</v>
      </c>
      <c r="F1517" s="65" t="b">
        <f>TRUE()</f>
        <v>1</v>
      </c>
      <c r="G1517" s="65" t="s">
        <v>165</v>
      </c>
      <c r="H1517" s="65" t="s">
        <v>3620</v>
      </c>
      <c r="I1517" s="66">
        <v>46209.314787835698</v>
      </c>
      <c r="J1517" s="66">
        <v>46210.283104386603</v>
      </c>
      <c r="K1517" s="65">
        <v>1</v>
      </c>
      <c r="L1517" s="65" t="s">
        <v>183</v>
      </c>
      <c r="M1517" s="65" t="s">
        <v>183</v>
      </c>
      <c r="N1517" s="65" t="b">
        <f>FALSE()</f>
        <v>0</v>
      </c>
      <c r="O1517" s="65"/>
      <c r="P1517" s="65"/>
      <c r="Q1517" s="65" t="s">
        <v>236</v>
      </c>
      <c r="R1517" s="65" t="s">
        <v>236</v>
      </c>
      <c r="S1517" s="65"/>
      <c r="T1517" s="65" t="b">
        <f>FALSE()</f>
        <v>0</v>
      </c>
      <c r="U1517" s="65" t="b">
        <f>FALSE()</f>
        <v>0</v>
      </c>
      <c r="V1517" s="65">
        <v>894</v>
      </c>
      <c r="W1517" s="67" t="s">
        <v>5547</v>
      </c>
      <c r="X1517" s="65">
        <v>1</v>
      </c>
      <c r="Y1517" s="68">
        <v>1.75</v>
      </c>
      <c r="Z1517" s="65" t="b">
        <f>FALSE()</f>
        <v>0</v>
      </c>
      <c r="AA1517" s="65" t="b">
        <f>TRUE()</f>
        <v>1</v>
      </c>
      <c r="AB1517" s="65" t="b">
        <f>FALSE()</f>
        <v>0</v>
      </c>
      <c r="AC1517" s="65" t="b">
        <f>TRUE()</f>
        <v>1</v>
      </c>
      <c r="AD1517" s="65" t="b">
        <f>FALSE()</f>
        <v>0</v>
      </c>
      <c r="AE1517" s="65">
        <v>2</v>
      </c>
      <c r="AF1517" s="69">
        <v>28.6</v>
      </c>
      <c r="AG1517" s="65" t="s">
        <v>73</v>
      </c>
      <c r="AH1517" s="65" t="s">
        <v>5548</v>
      </c>
      <c r="AI1517">
        <f>IF(AND(OR(Company_Explorer!$B$5="All Companies",$E1517=Company_Explorer!$B$5),OR(Company_Explorer!$B$6="All Platforms",$B1517=Company_Explorer!$B$6),OR(Company_Explorer!$B$7="All Roles",$D1517=Company_Explorer!$B$7),OR(Company_Explorer!$B$8="All Ghost Labels",$AG1517=Company_Explorer!$B$8)),1,0)</f>
        <v>0</v>
      </c>
    </row>
    <row r="1518" spans="1:35" ht="15" customHeight="1" x14ac:dyDescent="0.3">
      <c r="A1518" s="60" t="s">
        <v>5549</v>
      </c>
      <c r="B1518" s="60" t="s">
        <v>81</v>
      </c>
      <c r="C1518" s="60" t="s">
        <v>5550</v>
      </c>
      <c r="D1518" s="60" t="s">
        <v>126</v>
      </c>
      <c r="E1518" s="60" t="s">
        <v>5551</v>
      </c>
      <c r="F1518" s="60" t="b">
        <f>TRUE()</f>
        <v>1</v>
      </c>
      <c r="G1518" s="60" t="s">
        <v>165</v>
      </c>
      <c r="H1518" s="60" t="s">
        <v>3655</v>
      </c>
      <c r="I1518" s="61">
        <v>46208.705337326399</v>
      </c>
      <c r="J1518" s="61">
        <v>46210.283105937502</v>
      </c>
      <c r="K1518" s="60">
        <v>1.6</v>
      </c>
      <c r="L1518" s="60" t="s">
        <v>183</v>
      </c>
      <c r="M1518" s="60" t="s">
        <v>183</v>
      </c>
      <c r="N1518" s="60" t="b">
        <f>FALSE()</f>
        <v>0</v>
      </c>
      <c r="O1518" s="60"/>
      <c r="P1518" s="60"/>
      <c r="Q1518" s="60" t="s">
        <v>236</v>
      </c>
      <c r="R1518" s="60" t="s">
        <v>236</v>
      </c>
      <c r="S1518" s="60"/>
      <c r="T1518" s="60" t="b">
        <f>FALSE()</f>
        <v>0</v>
      </c>
      <c r="U1518" s="60" t="b">
        <f>FALSE()</f>
        <v>0</v>
      </c>
      <c r="V1518" s="60">
        <v>221</v>
      </c>
      <c r="W1518" s="62" t="s">
        <v>5552</v>
      </c>
      <c r="X1518" s="60">
        <v>1</v>
      </c>
      <c r="Y1518" s="63">
        <v>1.75</v>
      </c>
      <c r="Z1518" s="60" t="b">
        <f>FALSE()</f>
        <v>0</v>
      </c>
      <c r="AA1518" s="60" t="b">
        <f>TRUE()</f>
        <v>1</v>
      </c>
      <c r="AB1518" s="60" t="b">
        <f>TRUE()</f>
        <v>1</v>
      </c>
      <c r="AC1518" s="60" t="b">
        <f>TRUE()</f>
        <v>1</v>
      </c>
      <c r="AD1518" s="60" t="b">
        <f>FALSE()</f>
        <v>0</v>
      </c>
      <c r="AE1518" s="60">
        <v>3</v>
      </c>
      <c r="AF1518" s="64">
        <v>42.9</v>
      </c>
      <c r="AG1518" s="60" t="s">
        <v>73</v>
      </c>
      <c r="AH1518" s="60" t="s">
        <v>5553</v>
      </c>
      <c r="AI1518">
        <f>IF(AND(OR(Company_Explorer!$B$5="All Companies",$E1518=Company_Explorer!$B$5),OR(Company_Explorer!$B$6="All Platforms",$B1518=Company_Explorer!$B$6),OR(Company_Explorer!$B$7="All Roles",$D1518=Company_Explorer!$B$7),OR(Company_Explorer!$B$8="All Ghost Labels",$AG1518=Company_Explorer!$B$8)),1,0)</f>
        <v>0</v>
      </c>
    </row>
    <row r="1519" spans="1:35" ht="15" customHeight="1" x14ac:dyDescent="0.3">
      <c r="A1519" s="65" t="s">
        <v>5554</v>
      </c>
      <c r="B1519" s="65" t="s">
        <v>81</v>
      </c>
      <c r="C1519" s="65" t="s">
        <v>5523</v>
      </c>
      <c r="D1519" s="65" t="s">
        <v>126</v>
      </c>
      <c r="E1519" s="65" t="s">
        <v>3985</v>
      </c>
      <c r="F1519" s="65" t="b">
        <f>TRUE()</f>
        <v>1</v>
      </c>
      <c r="G1519" s="65" t="s">
        <v>165</v>
      </c>
      <c r="H1519" s="65" t="s">
        <v>3620</v>
      </c>
      <c r="I1519" s="66">
        <v>46209.531996018501</v>
      </c>
      <c r="J1519" s="66">
        <v>46210.283107071802</v>
      </c>
      <c r="K1519" s="65">
        <v>0.8</v>
      </c>
      <c r="L1519" s="65" t="s">
        <v>183</v>
      </c>
      <c r="M1519" s="65" t="s">
        <v>183</v>
      </c>
      <c r="N1519" s="65" t="b">
        <f>FALSE()</f>
        <v>0</v>
      </c>
      <c r="O1519" s="65"/>
      <c r="P1519" s="65"/>
      <c r="Q1519" s="65" t="s">
        <v>236</v>
      </c>
      <c r="R1519" s="65" t="s">
        <v>236</v>
      </c>
      <c r="S1519" s="65"/>
      <c r="T1519" s="65" t="b">
        <f>FALSE()</f>
        <v>0</v>
      </c>
      <c r="U1519" s="65" t="b">
        <f>FALSE()</f>
        <v>0</v>
      </c>
      <c r="V1519" s="65">
        <v>391</v>
      </c>
      <c r="W1519" s="67" t="s">
        <v>5524</v>
      </c>
      <c r="X1519" s="65">
        <v>6</v>
      </c>
      <c r="Y1519" s="68">
        <v>10.5</v>
      </c>
      <c r="Z1519" s="65" t="b">
        <f>FALSE()</f>
        <v>0</v>
      </c>
      <c r="AA1519" s="65" t="b">
        <f>TRUE()</f>
        <v>1</v>
      </c>
      <c r="AB1519" s="65" t="b">
        <f>FALSE()</f>
        <v>0</v>
      </c>
      <c r="AC1519" s="65" t="b">
        <f>TRUE()</f>
        <v>1</v>
      </c>
      <c r="AD1519" s="65" t="b">
        <f>FALSE()</f>
        <v>0</v>
      </c>
      <c r="AE1519" s="65">
        <v>2</v>
      </c>
      <c r="AF1519" s="69">
        <v>28.6</v>
      </c>
      <c r="AG1519" s="65" t="s">
        <v>73</v>
      </c>
      <c r="AH1519" s="65" t="s">
        <v>5555</v>
      </c>
      <c r="AI1519">
        <f>IF(AND(OR(Company_Explorer!$B$5="All Companies",$E1519=Company_Explorer!$B$5),OR(Company_Explorer!$B$6="All Platforms",$B1519=Company_Explorer!$B$6),OR(Company_Explorer!$B$7="All Roles",$D1519=Company_Explorer!$B$7),OR(Company_Explorer!$B$8="All Ghost Labels",$AG1519=Company_Explorer!$B$8)),1,0)</f>
        <v>0</v>
      </c>
    </row>
    <row r="1520" spans="1:35" ht="15" customHeight="1" x14ac:dyDescent="0.3">
      <c r="A1520" s="60" t="s">
        <v>5556</v>
      </c>
      <c r="B1520" s="60" t="s">
        <v>81</v>
      </c>
      <c r="C1520" s="60" t="s">
        <v>5557</v>
      </c>
      <c r="D1520" s="60" t="s">
        <v>125</v>
      </c>
      <c r="E1520" s="60" t="s">
        <v>5558</v>
      </c>
      <c r="F1520" s="60" t="b">
        <f>TRUE()</f>
        <v>1</v>
      </c>
      <c r="G1520" s="60" t="s">
        <v>165</v>
      </c>
      <c r="H1520" s="60" t="s">
        <v>3672</v>
      </c>
      <c r="I1520" s="61">
        <v>46209.291931111104</v>
      </c>
      <c r="J1520" s="61">
        <v>46210.2831083333</v>
      </c>
      <c r="K1520" s="60">
        <v>1</v>
      </c>
      <c r="L1520" s="60" t="s">
        <v>183</v>
      </c>
      <c r="M1520" s="60" t="s">
        <v>183</v>
      </c>
      <c r="N1520" s="60" t="b">
        <f>FALSE()</f>
        <v>0</v>
      </c>
      <c r="O1520" s="60"/>
      <c r="P1520" s="60"/>
      <c r="Q1520" s="60" t="s">
        <v>236</v>
      </c>
      <c r="R1520" s="60" t="s">
        <v>236</v>
      </c>
      <c r="S1520" s="60"/>
      <c r="T1520" s="60" t="b">
        <f>FALSE()</f>
        <v>0</v>
      </c>
      <c r="U1520" s="60" t="b">
        <f>FALSE()</f>
        <v>0</v>
      </c>
      <c r="V1520" s="60">
        <v>375</v>
      </c>
      <c r="W1520" s="60" t="s">
        <v>5559</v>
      </c>
      <c r="X1520" s="60">
        <v>1</v>
      </c>
      <c r="Y1520" s="63">
        <v>1.75</v>
      </c>
      <c r="Z1520" s="60" t="b">
        <f>FALSE()</f>
        <v>0</v>
      </c>
      <c r="AA1520" s="60" t="b">
        <f>TRUE()</f>
        <v>1</v>
      </c>
      <c r="AB1520" s="60" t="b">
        <f>FALSE()</f>
        <v>0</v>
      </c>
      <c r="AC1520" s="60" t="b">
        <f>TRUE()</f>
        <v>1</v>
      </c>
      <c r="AD1520" s="60" t="b">
        <f>FALSE()</f>
        <v>0</v>
      </c>
      <c r="AE1520" s="60">
        <v>2</v>
      </c>
      <c r="AF1520" s="64">
        <v>28.6</v>
      </c>
      <c r="AG1520" s="60" t="s">
        <v>73</v>
      </c>
      <c r="AH1520" s="60" t="s">
        <v>5560</v>
      </c>
      <c r="AI1520">
        <f>IF(AND(OR(Company_Explorer!$B$5="All Companies",$E1520=Company_Explorer!$B$5),OR(Company_Explorer!$B$6="All Platforms",$B1520=Company_Explorer!$B$6),OR(Company_Explorer!$B$7="All Roles",$D1520=Company_Explorer!$B$7),OR(Company_Explorer!$B$8="All Ghost Labels",$AG1520=Company_Explorer!$B$8)),1,0)</f>
        <v>0</v>
      </c>
    </row>
    <row r="1521" spans="1:35" ht="15" customHeight="1" x14ac:dyDescent="0.3">
      <c r="A1521" s="65" t="s">
        <v>5561</v>
      </c>
      <c r="B1521" s="65" t="s">
        <v>81</v>
      </c>
      <c r="C1521" s="65" t="s">
        <v>5562</v>
      </c>
      <c r="D1521" s="65" t="s">
        <v>126</v>
      </c>
      <c r="E1521" s="65" t="s">
        <v>5563</v>
      </c>
      <c r="F1521" s="65" t="b">
        <f>TRUE()</f>
        <v>1</v>
      </c>
      <c r="G1521" s="65" t="s">
        <v>165</v>
      </c>
      <c r="H1521" s="65" t="s">
        <v>3672</v>
      </c>
      <c r="I1521" s="66">
        <v>46209.434541851901</v>
      </c>
      <c r="J1521" s="66">
        <v>46210.283109536998</v>
      </c>
      <c r="K1521" s="65">
        <v>0.8</v>
      </c>
      <c r="L1521" s="65" t="s">
        <v>183</v>
      </c>
      <c r="M1521" s="65" t="s">
        <v>183</v>
      </c>
      <c r="N1521" s="65" t="b">
        <f>TRUE()</f>
        <v>1</v>
      </c>
      <c r="O1521" s="71">
        <v>219658.75</v>
      </c>
      <c r="P1521" s="71">
        <v>890477.875</v>
      </c>
      <c r="Q1521" s="65" t="s">
        <v>3663</v>
      </c>
      <c r="R1521" s="65" t="s">
        <v>3961</v>
      </c>
      <c r="S1521" s="71">
        <v>555068</v>
      </c>
      <c r="T1521" s="65" t="b">
        <f>TRUE()</f>
        <v>1</v>
      </c>
      <c r="U1521" s="65" t="b">
        <f>FALSE()</f>
        <v>0</v>
      </c>
      <c r="V1521" s="65">
        <v>94</v>
      </c>
      <c r="W1521" s="65" t="s">
        <v>5564</v>
      </c>
      <c r="X1521" s="65">
        <v>1</v>
      </c>
      <c r="Y1521" s="68">
        <v>1.75</v>
      </c>
      <c r="Z1521" s="65" t="b">
        <f>FALSE()</f>
        <v>0</v>
      </c>
      <c r="AA1521" s="65" t="b">
        <f>FALSE()</f>
        <v>0</v>
      </c>
      <c r="AB1521" s="65" t="b">
        <f>TRUE()</f>
        <v>1</v>
      </c>
      <c r="AC1521" s="65" t="b">
        <f>TRUE()</f>
        <v>1</v>
      </c>
      <c r="AD1521" s="65" t="b">
        <f>FALSE()</f>
        <v>0</v>
      </c>
      <c r="AE1521" s="65">
        <v>2</v>
      </c>
      <c r="AF1521" s="69">
        <v>28.6</v>
      </c>
      <c r="AG1521" s="65" t="s">
        <v>73</v>
      </c>
      <c r="AH1521" s="65" t="s">
        <v>5565</v>
      </c>
      <c r="AI1521">
        <f>IF(AND(OR(Company_Explorer!$B$5="All Companies",$E1521=Company_Explorer!$B$5),OR(Company_Explorer!$B$6="All Platforms",$B1521=Company_Explorer!$B$6),OR(Company_Explorer!$B$7="All Roles",$D1521=Company_Explorer!$B$7),OR(Company_Explorer!$B$8="All Ghost Labels",$AG1521=Company_Explorer!$B$8)),1,0)</f>
        <v>0</v>
      </c>
    </row>
    <row r="1522" spans="1:35" ht="15" customHeight="1" x14ac:dyDescent="0.3">
      <c r="A1522" s="60" t="s">
        <v>5566</v>
      </c>
      <c r="B1522" s="60" t="s">
        <v>81</v>
      </c>
      <c r="C1522" s="60" t="s">
        <v>3793</v>
      </c>
      <c r="D1522" s="60" t="s">
        <v>127</v>
      </c>
      <c r="E1522" s="60" t="s">
        <v>5567</v>
      </c>
      <c r="F1522" s="60" t="b">
        <f>TRUE()</f>
        <v>1</v>
      </c>
      <c r="G1522" s="60" t="s">
        <v>165</v>
      </c>
      <c r="H1522" s="60" t="s">
        <v>5568</v>
      </c>
      <c r="I1522" s="61">
        <v>46208.684514178203</v>
      </c>
      <c r="J1522" s="61">
        <v>46210.283110381999</v>
      </c>
      <c r="K1522" s="60">
        <v>1.6</v>
      </c>
      <c r="L1522" s="60" t="s">
        <v>183</v>
      </c>
      <c r="M1522" s="60" t="s">
        <v>183</v>
      </c>
      <c r="N1522" s="60" t="b">
        <f>TRUE()</f>
        <v>1</v>
      </c>
      <c r="O1522" s="70">
        <v>15000</v>
      </c>
      <c r="P1522" s="70">
        <v>18000</v>
      </c>
      <c r="Q1522" s="60" t="s">
        <v>3663</v>
      </c>
      <c r="R1522" s="60" t="s">
        <v>3664</v>
      </c>
      <c r="S1522" s="70">
        <v>198000</v>
      </c>
      <c r="T1522" s="60" t="b">
        <f>TRUE()</f>
        <v>1</v>
      </c>
      <c r="U1522" s="60" t="b">
        <f>FALSE()</f>
        <v>0</v>
      </c>
      <c r="V1522" s="60">
        <v>32</v>
      </c>
      <c r="W1522" s="62" t="s">
        <v>5569</v>
      </c>
      <c r="X1522" s="60">
        <v>1</v>
      </c>
      <c r="Y1522" s="63">
        <v>1.75</v>
      </c>
      <c r="Z1522" s="60" t="b">
        <f>FALSE()</f>
        <v>0</v>
      </c>
      <c r="AA1522" s="60" t="b">
        <f>FALSE()</f>
        <v>0</v>
      </c>
      <c r="AB1522" s="60" t="b">
        <f>TRUE()</f>
        <v>1</v>
      </c>
      <c r="AC1522" s="60" t="b">
        <f>TRUE()</f>
        <v>1</v>
      </c>
      <c r="AD1522" s="60" t="b">
        <f>FALSE()</f>
        <v>0</v>
      </c>
      <c r="AE1522" s="60">
        <v>2</v>
      </c>
      <c r="AF1522" s="64">
        <v>28.6</v>
      </c>
      <c r="AG1522" s="60" t="s">
        <v>73</v>
      </c>
      <c r="AH1522" s="60" t="s">
        <v>5570</v>
      </c>
      <c r="AI1522">
        <f>IF(AND(OR(Company_Explorer!$B$5="All Companies",$E1522=Company_Explorer!$B$5),OR(Company_Explorer!$B$6="All Platforms",$B1522=Company_Explorer!$B$6),OR(Company_Explorer!$B$7="All Roles",$D1522=Company_Explorer!$B$7),OR(Company_Explorer!$B$8="All Ghost Labels",$AG1522=Company_Explorer!$B$8)),1,0)</f>
        <v>0</v>
      </c>
    </row>
    <row r="1523" spans="1:35" ht="15" customHeight="1" x14ac:dyDescent="0.3">
      <c r="A1523" s="65" t="s">
        <v>5571</v>
      </c>
      <c r="B1523" s="65" t="s">
        <v>81</v>
      </c>
      <c r="C1523" s="65" t="s">
        <v>5572</v>
      </c>
      <c r="D1523" s="65" t="s">
        <v>126</v>
      </c>
      <c r="E1523" s="65" t="s">
        <v>5573</v>
      </c>
      <c r="F1523" s="65" t="b">
        <f>TRUE()</f>
        <v>1</v>
      </c>
      <c r="G1523" s="65" t="s">
        <v>165</v>
      </c>
      <c r="H1523" s="65" t="s">
        <v>3636</v>
      </c>
      <c r="I1523" s="66">
        <v>46209.521043981498</v>
      </c>
      <c r="J1523" s="66">
        <v>46210.283111203702</v>
      </c>
      <c r="K1523" s="65">
        <v>0.8</v>
      </c>
      <c r="L1523" s="65" t="s">
        <v>183</v>
      </c>
      <c r="M1523" s="65" t="s">
        <v>183</v>
      </c>
      <c r="N1523" s="65" t="b">
        <f>FALSE()</f>
        <v>0</v>
      </c>
      <c r="O1523" s="65"/>
      <c r="P1523" s="65"/>
      <c r="Q1523" s="65" t="s">
        <v>236</v>
      </c>
      <c r="R1523" s="65" t="s">
        <v>236</v>
      </c>
      <c r="S1523" s="65"/>
      <c r="T1523" s="65" t="b">
        <f>FALSE()</f>
        <v>0</v>
      </c>
      <c r="U1523" s="65" t="b">
        <f>FALSE()</f>
        <v>0</v>
      </c>
      <c r="V1523" s="65">
        <v>596</v>
      </c>
      <c r="W1523" s="65" t="s">
        <v>5574</v>
      </c>
      <c r="X1523" s="65">
        <v>2</v>
      </c>
      <c r="Y1523" s="68">
        <v>3.5</v>
      </c>
      <c r="Z1523" s="65" t="b">
        <f>FALSE()</f>
        <v>0</v>
      </c>
      <c r="AA1523" s="65" t="b">
        <f>TRUE()</f>
        <v>1</v>
      </c>
      <c r="AB1523" s="65" t="b">
        <f>FALSE()</f>
        <v>0</v>
      </c>
      <c r="AC1523" s="65" t="b">
        <f>TRUE()</f>
        <v>1</v>
      </c>
      <c r="AD1523" s="65" t="b">
        <f>FALSE()</f>
        <v>0</v>
      </c>
      <c r="AE1523" s="65">
        <v>2</v>
      </c>
      <c r="AF1523" s="69">
        <v>28.6</v>
      </c>
      <c r="AG1523" s="65" t="s">
        <v>73</v>
      </c>
      <c r="AH1523" s="65" t="s">
        <v>5575</v>
      </c>
      <c r="AI1523">
        <f>IF(AND(OR(Company_Explorer!$B$5="All Companies",$E1523=Company_Explorer!$B$5),OR(Company_Explorer!$B$6="All Platforms",$B1523=Company_Explorer!$B$6),OR(Company_Explorer!$B$7="All Roles",$D1523=Company_Explorer!$B$7),OR(Company_Explorer!$B$8="All Ghost Labels",$AG1523=Company_Explorer!$B$8)),1,0)</f>
        <v>0</v>
      </c>
    </row>
    <row r="1524" spans="1:35" ht="15" customHeight="1" x14ac:dyDescent="0.3">
      <c r="A1524" s="60" t="s">
        <v>5576</v>
      </c>
      <c r="B1524" s="60" t="s">
        <v>81</v>
      </c>
      <c r="C1524" s="60" t="s">
        <v>5031</v>
      </c>
      <c r="D1524" s="60" t="s">
        <v>125</v>
      </c>
      <c r="E1524" s="60" t="s">
        <v>4610</v>
      </c>
      <c r="F1524" s="60" t="b">
        <f>TRUE()</f>
        <v>1</v>
      </c>
      <c r="G1524" s="60" t="s">
        <v>165</v>
      </c>
      <c r="H1524" s="60" t="s">
        <v>3636</v>
      </c>
      <c r="I1524" s="61">
        <v>46209.431103113398</v>
      </c>
      <c r="J1524" s="61">
        <v>46210.283112291698</v>
      </c>
      <c r="K1524" s="60">
        <v>0.9</v>
      </c>
      <c r="L1524" s="60" t="s">
        <v>183</v>
      </c>
      <c r="M1524" s="60" t="s">
        <v>183</v>
      </c>
      <c r="N1524" s="60" t="b">
        <f>FALSE()</f>
        <v>0</v>
      </c>
      <c r="O1524" s="60"/>
      <c r="P1524" s="60"/>
      <c r="Q1524" s="60" t="s">
        <v>236</v>
      </c>
      <c r="R1524" s="60" t="s">
        <v>236</v>
      </c>
      <c r="S1524" s="60"/>
      <c r="T1524" s="60" t="b">
        <f>FALSE()</f>
        <v>0</v>
      </c>
      <c r="U1524" s="60" t="b">
        <f>FALSE()</f>
        <v>0</v>
      </c>
      <c r="V1524" s="60">
        <v>730</v>
      </c>
      <c r="W1524" s="62" t="s">
        <v>5032</v>
      </c>
      <c r="X1524" s="60">
        <v>12</v>
      </c>
      <c r="Y1524" s="63">
        <v>21</v>
      </c>
      <c r="Z1524" s="60" t="b">
        <f>FALSE()</f>
        <v>0</v>
      </c>
      <c r="AA1524" s="60" t="b">
        <f>TRUE()</f>
        <v>1</v>
      </c>
      <c r="AB1524" s="60" t="b">
        <f>FALSE()</f>
        <v>0</v>
      </c>
      <c r="AC1524" s="60" t="b">
        <f>TRUE()</f>
        <v>1</v>
      </c>
      <c r="AD1524" s="60" t="b">
        <f>FALSE()</f>
        <v>0</v>
      </c>
      <c r="AE1524" s="60">
        <v>2</v>
      </c>
      <c r="AF1524" s="64">
        <v>28.6</v>
      </c>
      <c r="AG1524" s="60" t="s">
        <v>73</v>
      </c>
      <c r="AH1524" s="60" t="s">
        <v>5577</v>
      </c>
      <c r="AI1524">
        <f>IF(AND(OR(Company_Explorer!$B$5="All Companies",$E1524=Company_Explorer!$B$5),OR(Company_Explorer!$B$6="All Platforms",$B1524=Company_Explorer!$B$6),OR(Company_Explorer!$B$7="All Roles",$D1524=Company_Explorer!$B$7),OR(Company_Explorer!$B$8="All Ghost Labels",$AG1524=Company_Explorer!$B$8)),1,0)</f>
        <v>0</v>
      </c>
    </row>
    <row r="1525" spans="1:35" ht="15" customHeight="1" x14ac:dyDescent="0.3">
      <c r="A1525" s="65" t="s">
        <v>5578</v>
      </c>
      <c r="B1525" s="65" t="s">
        <v>81</v>
      </c>
      <c r="C1525" s="65" t="s">
        <v>5579</v>
      </c>
      <c r="D1525" s="65" t="s">
        <v>126</v>
      </c>
      <c r="E1525" s="65" t="s">
        <v>5573</v>
      </c>
      <c r="F1525" s="65" t="b">
        <f>TRUE()</f>
        <v>1</v>
      </c>
      <c r="G1525" s="65" t="s">
        <v>165</v>
      </c>
      <c r="H1525" s="65" t="s">
        <v>3636</v>
      </c>
      <c r="I1525" s="66">
        <v>46209.521033495403</v>
      </c>
      <c r="J1525" s="66">
        <v>46210.283113530102</v>
      </c>
      <c r="K1525" s="65">
        <v>0.8</v>
      </c>
      <c r="L1525" s="65" t="s">
        <v>183</v>
      </c>
      <c r="M1525" s="65" t="s">
        <v>183</v>
      </c>
      <c r="N1525" s="65" t="b">
        <f>FALSE()</f>
        <v>0</v>
      </c>
      <c r="O1525" s="65"/>
      <c r="P1525" s="65"/>
      <c r="Q1525" s="65" t="s">
        <v>236</v>
      </c>
      <c r="R1525" s="65" t="s">
        <v>236</v>
      </c>
      <c r="S1525" s="65"/>
      <c r="T1525" s="65" t="b">
        <f>FALSE()</f>
        <v>0</v>
      </c>
      <c r="U1525" s="65" t="b">
        <f>FALSE()</f>
        <v>0</v>
      </c>
      <c r="V1525" s="65">
        <v>455</v>
      </c>
      <c r="W1525" s="65" t="s">
        <v>5574</v>
      </c>
      <c r="X1525" s="65">
        <v>2</v>
      </c>
      <c r="Y1525" s="68">
        <v>3.5</v>
      </c>
      <c r="Z1525" s="65" t="b">
        <f>FALSE()</f>
        <v>0</v>
      </c>
      <c r="AA1525" s="65" t="b">
        <f>TRUE()</f>
        <v>1</v>
      </c>
      <c r="AB1525" s="65" t="b">
        <f>FALSE()</f>
        <v>0</v>
      </c>
      <c r="AC1525" s="65" t="b">
        <f>TRUE()</f>
        <v>1</v>
      </c>
      <c r="AD1525" s="65" t="b">
        <f>FALSE()</f>
        <v>0</v>
      </c>
      <c r="AE1525" s="65">
        <v>2</v>
      </c>
      <c r="AF1525" s="69">
        <v>28.6</v>
      </c>
      <c r="AG1525" s="65" t="s">
        <v>73</v>
      </c>
      <c r="AH1525" s="65" t="s">
        <v>5580</v>
      </c>
      <c r="AI1525">
        <f>IF(AND(OR(Company_Explorer!$B$5="All Companies",$E1525=Company_Explorer!$B$5),OR(Company_Explorer!$B$6="All Platforms",$B1525=Company_Explorer!$B$6),OR(Company_Explorer!$B$7="All Roles",$D1525=Company_Explorer!$B$7),OR(Company_Explorer!$B$8="All Ghost Labels",$AG1525=Company_Explorer!$B$8)),1,0)</f>
        <v>0</v>
      </c>
    </row>
    <row r="1526" spans="1:35" ht="15" customHeight="1" x14ac:dyDescent="0.3">
      <c r="A1526" s="60" t="s">
        <v>5581</v>
      </c>
      <c r="B1526" s="60" t="s">
        <v>81</v>
      </c>
      <c r="C1526" s="60" t="s">
        <v>5582</v>
      </c>
      <c r="D1526" s="60" t="s">
        <v>127</v>
      </c>
      <c r="E1526" s="60" t="s">
        <v>5583</v>
      </c>
      <c r="F1526" s="60" t="b">
        <f>TRUE()</f>
        <v>1</v>
      </c>
      <c r="G1526" s="60" t="s">
        <v>165</v>
      </c>
      <c r="H1526" s="60" t="s">
        <v>3672</v>
      </c>
      <c r="I1526" s="61">
        <v>46208.683776944497</v>
      </c>
      <c r="J1526" s="61">
        <v>46210.283114745398</v>
      </c>
      <c r="K1526" s="60">
        <v>1.6</v>
      </c>
      <c r="L1526" s="60" t="s">
        <v>183</v>
      </c>
      <c r="M1526" s="60" t="s">
        <v>183</v>
      </c>
      <c r="N1526" s="60" t="b">
        <f>TRUE()</f>
        <v>1</v>
      </c>
      <c r="O1526" s="70">
        <v>414958.46875</v>
      </c>
      <c r="P1526" s="70">
        <v>1524293.875</v>
      </c>
      <c r="Q1526" s="60" t="s">
        <v>3663</v>
      </c>
      <c r="R1526" s="60" t="s">
        <v>3961</v>
      </c>
      <c r="S1526" s="70">
        <v>969626</v>
      </c>
      <c r="T1526" s="60" t="b">
        <f>TRUE()</f>
        <v>1</v>
      </c>
      <c r="U1526" s="60" t="b">
        <f>FALSE()</f>
        <v>0</v>
      </c>
      <c r="V1526" s="60">
        <v>133</v>
      </c>
      <c r="W1526" s="60" t="s">
        <v>5584</v>
      </c>
      <c r="X1526" s="60">
        <v>1</v>
      </c>
      <c r="Y1526" s="63">
        <v>1.75</v>
      </c>
      <c r="Z1526" s="60" t="b">
        <f>FALSE()</f>
        <v>0</v>
      </c>
      <c r="AA1526" s="60" t="b">
        <f>FALSE()</f>
        <v>0</v>
      </c>
      <c r="AB1526" s="60" t="b">
        <f>TRUE()</f>
        <v>1</v>
      </c>
      <c r="AC1526" s="60" t="b">
        <f>TRUE()</f>
        <v>1</v>
      </c>
      <c r="AD1526" s="60" t="b">
        <f>FALSE()</f>
        <v>0</v>
      </c>
      <c r="AE1526" s="60">
        <v>2</v>
      </c>
      <c r="AF1526" s="64">
        <v>28.6</v>
      </c>
      <c r="AG1526" s="60" t="s">
        <v>73</v>
      </c>
      <c r="AH1526" s="60" t="s">
        <v>5585</v>
      </c>
      <c r="AI1526">
        <f>IF(AND(OR(Company_Explorer!$B$5="All Companies",$E1526=Company_Explorer!$B$5),OR(Company_Explorer!$B$6="All Platforms",$B1526=Company_Explorer!$B$6),OR(Company_Explorer!$B$7="All Roles",$D1526=Company_Explorer!$B$7),OR(Company_Explorer!$B$8="All Ghost Labels",$AG1526=Company_Explorer!$B$8)),1,0)</f>
        <v>0</v>
      </c>
    </row>
    <row r="1527" spans="1:35" ht="15" customHeight="1" x14ac:dyDescent="0.3">
      <c r="A1527" s="65" t="s">
        <v>5586</v>
      </c>
      <c r="B1527" s="65" t="s">
        <v>81</v>
      </c>
      <c r="C1527" s="65" t="s">
        <v>5587</v>
      </c>
      <c r="D1527" s="65" t="s">
        <v>126</v>
      </c>
      <c r="E1527" s="65" t="s">
        <v>5588</v>
      </c>
      <c r="F1527" s="65" t="b">
        <f>TRUE()</f>
        <v>1</v>
      </c>
      <c r="G1527" s="65" t="s">
        <v>165</v>
      </c>
      <c r="H1527" s="65" t="s">
        <v>3655</v>
      </c>
      <c r="I1527" s="66">
        <v>46209.520050682899</v>
      </c>
      <c r="J1527" s="66">
        <v>46210.283115844897</v>
      </c>
      <c r="K1527" s="65">
        <v>0.8</v>
      </c>
      <c r="L1527" s="65" t="s">
        <v>183</v>
      </c>
      <c r="M1527" s="65" t="s">
        <v>183</v>
      </c>
      <c r="N1527" s="65" t="b">
        <f>FALSE()</f>
        <v>0</v>
      </c>
      <c r="O1527" s="65"/>
      <c r="P1527" s="65"/>
      <c r="Q1527" s="65" t="s">
        <v>236</v>
      </c>
      <c r="R1527" s="65" t="s">
        <v>236</v>
      </c>
      <c r="S1527" s="65"/>
      <c r="T1527" s="65" t="b">
        <f>FALSE()</f>
        <v>0</v>
      </c>
      <c r="U1527" s="65" t="b">
        <f>FALSE()</f>
        <v>0</v>
      </c>
      <c r="V1527" s="65">
        <v>674</v>
      </c>
      <c r="W1527" s="67" t="s">
        <v>5589</v>
      </c>
      <c r="X1527" s="65">
        <v>1</v>
      </c>
      <c r="Y1527" s="68">
        <v>1.75</v>
      </c>
      <c r="Z1527" s="65" t="b">
        <f>FALSE()</f>
        <v>0</v>
      </c>
      <c r="AA1527" s="65" t="b">
        <f>TRUE()</f>
        <v>1</v>
      </c>
      <c r="AB1527" s="65" t="b">
        <f>FALSE()</f>
        <v>0</v>
      </c>
      <c r="AC1527" s="65" t="b">
        <f>TRUE()</f>
        <v>1</v>
      </c>
      <c r="AD1527" s="65" t="b">
        <f>FALSE()</f>
        <v>0</v>
      </c>
      <c r="AE1527" s="65">
        <v>2</v>
      </c>
      <c r="AF1527" s="69">
        <v>28.6</v>
      </c>
      <c r="AG1527" s="65" t="s">
        <v>73</v>
      </c>
      <c r="AH1527" s="65" t="s">
        <v>5590</v>
      </c>
      <c r="AI1527">
        <f>IF(AND(OR(Company_Explorer!$B$5="All Companies",$E1527=Company_Explorer!$B$5),OR(Company_Explorer!$B$6="All Platforms",$B1527=Company_Explorer!$B$6),OR(Company_Explorer!$B$7="All Roles",$D1527=Company_Explorer!$B$7),OR(Company_Explorer!$B$8="All Ghost Labels",$AG1527=Company_Explorer!$B$8)),1,0)</f>
        <v>0</v>
      </c>
    </row>
    <row r="1528" spans="1:35" ht="15" customHeight="1" x14ac:dyDescent="0.3">
      <c r="A1528" s="60" t="s">
        <v>5591</v>
      </c>
      <c r="B1528" s="60" t="s">
        <v>81</v>
      </c>
      <c r="C1528" s="60" t="s">
        <v>5031</v>
      </c>
      <c r="D1528" s="60" t="s">
        <v>125</v>
      </c>
      <c r="E1528" s="60" t="s">
        <v>4610</v>
      </c>
      <c r="F1528" s="60" t="b">
        <f>TRUE()</f>
        <v>1</v>
      </c>
      <c r="G1528" s="60" t="s">
        <v>165</v>
      </c>
      <c r="H1528" s="60" t="s">
        <v>3636</v>
      </c>
      <c r="I1528" s="61">
        <v>46209.431013414403</v>
      </c>
      <c r="J1528" s="61">
        <v>46210.283116967599</v>
      </c>
      <c r="K1528" s="60">
        <v>0.9</v>
      </c>
      <c r="L1528" s="60" t="s">
        <v>183</v>
      </c>
      <c r="M1528" s="60" t="s">
        <v>183</v>
      </c>
      <c r="N1528" s="60" t="b">
        <f>FALSE()</f>
        <v>0</v>
      </c>
      <c r="O1528" s="60"/>
      <c r="P1528" s="60"/>
      <c r="Q1528" s="60" t="s">
        <v>236</v>
      </c>
      <c r="R1528" s="60" t="s">
        <v>236</v>
      </c>
      <c r="S1528" s="60"/>
      <c r="T1528" s="60" t="b">
        <f>FALSE()</f>
        <v>0</v>
      </c>
      <c r="U1528" s="60" t="b">
        <f>FALSE()</f>
        <v>0</v>
      </c>
      <c r="V1528" s="60">
        <v>730</v>
      </c>
      <c r="W1528" s="62" t="s">
        <v>5032</v>
      </c>
      <c r="X1528" s="60">
        <v>12</v>
      </c>
      <c r="Y1528" s="63">
        <v>21</v>
      </c>
      <c r="Z1528" s="60" t="b">
        <f>FALSE()</f>
        <v>0</v>
      </c>
      <c r="AA1528" s="60" t="b">
        <f>TRUE()</f>
        <v>1</v>
      </c>
      <c r="AB1528" s="60" t="b">
        <f>FALSE()</f>
        <v>0</v>
      </c>
      <c r="AC1528" s="60" t="b">
        <f>TRUE()</f>
        <v>1</v>
      </c>
      <c r="AD1528" s="60" t="b">
        <f>FALSE()</f>
        <v>0</v>
      </c>
      <c r="AE1528" s="60">
        <v>2</v>
      </c>
      <c r="AF1528" s="64">
        <v>28.6</v>
      </c>
      <c r="AG1528" s="60" t="s">
        <v>73</v>
      </c>
      <c r="AH1528" s="60" t="s">
        <v>5592</v>
      </c>
      <c r="AI1528">
        <f>IF(AND(OR(Company_Explorer!$B$5="All Companies",$E1528=Company_Explorer!$B$5),OR(Company_Explorer!$B$6="All Platforms",$B1528=Company_Explorer!$B$6),OR(Company_Explorer!$B$7="All Roles",$D1528=Company_Explorer!$B$7),OR(Company_Explorer!$B$8="All Ghost Labels",$AG1528=Company_Explorer!$B$8)),1,0)</f>
        <v>0</v>
      </c>
    </row>
    <row r="1529" spans="1:35" ht="15" customHeight="1" x14ac:dyDescent="0.3">
      <c r="A1529" s="65" t="s">
        <v>5593</v>
      </c>
      <c r="B1529" s="65" t="s">
        <v>81</v>
      </c>
      <c r="C1529" s="65" t="s">
        <v>5594</v>
      </c>
      <c r="D1529" s="65" t="s">
        <v>126</v>
      </c>
      <c r="E1529" s="65" t="s">
        <v>5595</v>
      </c>
      <c r="F1529" s="65" t="b">
        <f>TRUE()</f>
        <v>1</v>
      </c>
      <c r="G1529" s="65" t="s">
        <v>165</v>
      </c>
      <c r="H1529" s="65" t="s">
        <v>3672</v>
      </c>
      <c r="I1529" s="66">
        <v>46208.662517905097</v>
      </c>
      <c r="J1529" s="66">
        <v>46210.283118159699</v>
      </c>
      <c r="K1529" s="65">
        <v>1.6</v>
      </c>
      <c r="L1529" s="65" t="s">
        <v>183</v>
      </c>
      <c r="M1529" s="65" t="s">
        <v>183</v>
      </c>
      <c r="N1529" s="65" t="b">
        <f>TRUE()</f>
        <v>1</v>
      </c>
      <c r="O1529" s="71">
        <v>416599.84375</v>
      </c>
      <c r="P1529" s="71">
        <v>1277707.625</v>
      </c>
      <c r="Q1529" s="65" t="s">
        <v>3663</v>
      </c>
      <c r="R1529" s="65" t="s">
        <v>3961</v>
      </c>
      <c r="S1529" s="71">
        <v>847154</v>
      </c>
      <c r="T1529" s="65" t="b">
        <f>TRUE()</f>
        <v>1</v>
      </c>
      <c r="U1529" s="65" t="b">
        <f>FALSE()</f>
        <v>0</v>
      </c>
      <c r="V1529" s="65">
        <v>119</v>
      </c>
      <c r="W1529" s="65" t="s">
        <v>5596</v>
      </c>
      <c r="X1529" s="65">
        <v>1</v>
      </c>
      <c r="Y1529" s="68">
        <v>1.75</v>
      </c>
      <c r="Z1529" s="65" t="b">
        <f>FALSE()</f>
        <v>0</v>
      </c>
      <c r="AA1529" s="65" t="b">
        <f>FALSE()</f>
        <v>0</v>
      </c>
      <c r="AB1529" s="65" t="b">
        <f>TRUE()</f>
        <v>1</v>
      </c>
      <c r="AC1529" s="65" t="b">
        <f>TRUE()</f>
        <v>1</v>
      </c>
      <c r="AD1529" s="65" t="b">
        <f>FALSE()</f>
        <v>0</v>
      </c>
      <c r="AE1529" s="65">
        <v>2</v>
      </c>
      <c r="AF1529" s="69">
        <v>28.6</v>
      </c>
      <c r="AG1529" s="65" t="s">
        <v>73</v>
      </c>
      <c r="AH1529" s="65" t="s">
        <v>5597</v>
      </c>
      <c r="AI1529">
        <f>IF(AND(OR(Company_Explorer!$B$5="All Companies",$E1529=Company_Explorer!$B$5),OR(Company_Explorer!$B$6="All Platforms",$B1529=Company_Explorer!$B$6),OR(Company_Explorer!$B$7="All Roles",$D1529=Company_Explorer!$B$7),OR(Company_Explorer!$B$8="All Ghost Labels",$AG1529=Company_Explorer!$B$8)),1,0)</f>
        <v>0</v>
      </c>
    </row>
    <row r="1530" spans="1:35" ht="15" customHeight="1" x14ac:dyDescent="0.3">
      <c r="A1530" s="60" t="s">
        <v>5598</v>
      </c>
      <c r="B1530" s="60" t="s">
        <v>81</v>
      </c>
      <c r="C1530" s="60" t="s">
        <v>5599</v>
      </c>
      <c r="D1530" s="60" t="s">
        <v>126</v>
      </c>
      <c r="E1530" s="60" t="s">
        <v>4084</v>
      </c>
      <c r="F1530" s="60" t="b">
        <f>TRUE()</f>
        <v>1</v>
      </c>
      <c r="G1530" s="60" t="s">
        <v>165</v>
      </c>
      <c r="H1530" s="60" t="s">
        <v>3620</v>
      </c>
      <c r="I1530" s="61">
        <v>46209.430219016198</v>
      </c>
      <c r="J1530" s="61">
        <v>46210.283119213003</v>
      </c>
      <c r="K1530" s="60">
        <v>0.9</v>
      </c>
      <c r="L1530" s="60" t="s">
        <v>183</v>
      </c>
      <c r="M1530" s="60" t="s">
        <v>183</v>
      </c>
      <c r="N1530" s="60" t="b">
        <f>FALSE()</f>
        <v>0</v>
      </c>
      <c r="O1530" s="60"/>
      <c r="P1530" s="60"/>
      <c r="Q1530" s="60" t="s">
        <v>236</v>
      </c>
      <c r="R1530" s="60" t="s">
        <v>236</v>
      </c>
      <c r="S1530" s="60"/>
      <c r="T1530" s="60" t="b">
        <f>FALSE()</f>
        <v>0</v>
      </c>
      <c r="U1530" s="60" t="b">
        <f>FALSE()</f>
        <v>0</v>
      </c>
      <c r="V1530" s="60">
        <v>418</v>
      </c>
      <c r="W1530" s="60" t="s">
        <v>5600</v>
      </c>
      <c r="X1530" s="60">
        <v>2</v>
      </c>
      <c r="Y1530" s="63">
        <v>3.5</v>
      </c>
      <c r="Z1530" s="60" t="b">
        <f>FALSE()</f>
        <v>0</v>
      </c>
      <c r="AA1530" s="60" t="b">
        <f>TRUE()</f>
        <v>1</v>
      </c>
      <c r="AB1530" s="60" t="b">
        <f>FALSE()</f>
        <v>0</v>
      </c>
      <c r="AC1530" s="60" t="b">
        <f>TRUE()</f>
        <v>1</v>
      </c>
      <c r="AD1530" s="60" t="b">
        <f>FALSE()</f>
        <v>0</v>
      </c>
      <c r="AE1530" s="60">
        <v>2</v>
      </c>
      <c r="AF1530" s="64">
        <v>28.6</v>
      </c>
      <c r="AG1530" s="60" t="s">
        <v>73</v>
      </c>
      <c r="AH1530" s="60" t="s">
        <v>5601</v>
      </c>
      <c r="AI1530">
        <f>IF(AND(OR(Company_Explorer!$B$5="All Companies",$E1530=Company_Explorer!$B$5),OR(Company_Explorer!$B$6="All Platforms",$B1530=Company_Explorer!$B$6),OR(Company_Explorer!$B$7="All Roles",$D1530=Company_Explorer!$B$7),OR(Company_Explorer!$B$8="All Ghost Labels",$AG1530=Company_Explorer!$B$8)),1,0)</f>
        <v>0</v>
      </c>
    </row>
    <row r="1531" spans="1:35" ht="15" customHeight="1" x14ac:dyDescent="0.3">
      <c r="A1531" s="65" t="s">
        <v>5602</v>
      </c>
      <c r="B1531" s="65" t="s">
        <v>81</v>
      </c>
      <c r="C1531" s="65" t="s">
        <v>5603</v>
      </c>
      <c r="D1531" s="65" t="s">
        <v>126</v>
      </c>
      <c r="E1531" s="65" t="s">
        <v>3810</v>
      </c>
      <c r="F1531" s="65" t="b">
        <f>TRUE()</f>
        <v>1</v>
      </c>
      <c r="G1531" s="65" t="s">
        <v>165</v>
      </c>
      <c r="H1531" s="65" t="s">
        <v>3620</v>
      </c>
      <c r="I1531" s="66">
        <v>46209.518992963</v>
      </c>
      <c r="J1531" s="66">
        <v>46210.283120243097</v>
      </c>
      <c r="K1531" s="65">
        <v>0.8</v>
      </c>
      <c r="L1531" s="65" t="s">
        <v>183</v>
      </c>
      <c r="M1531" s="65" t="s">
        <v>183</v>
      </c>
      <c r="N1531" s="65" t="b">
        <f>FALSE()</f>
        <v>0</v>
      </c>
      <c r="O1531" s="65"/>
      <c r="P1531" s="65"/>
      <c r="Q1531" s="65" t="s">
        <v>236</v>
      </c>
      <c r="R1531" s="65" t="s">
        <v>236</v>
      </c>
      <c r="S1531" s="65"/>
      <c r="T1531" s="65" t="b">
        <f>FALSE()</f>
        <v>0</v>
      </c>
      <c r="U1531" s="65" t="b">
        <f>FALSE()</f>
        <v>0</v>
      </c>
      <c r="V1531" s="65">
        <v>608</v>
      </c>
      <c r="W1531" s="67" t="s">
        <v>3811</v>
      </c>
      <c r="X1531" s="65">
        <v>10</v>
      </c>
      <c r="Y1531" s="68">
        <v>17.5</v>
      </c>
      <c r="Z1531" s="65" t="b">
        <f>FALSE()</f>
        <v>0</v>
      </c>
      <c r="AA1531" s="65" t="b">
        <f>TRUE()</f>
        <v>1</v>
      </c>
      <c r="AB1531" s="65" t="b">
        <f>FALSE()</f>
        <v>0</v>
      </c>
      <c r="AC1531" s="65" t="b">
        <f>TRUE()</f>
        <v>1</v>
      </c>
      <c r="AD1531" s="65" t="b">
        <f>FALSE()</f>
        <v>0</v>
      </c>
      <c r="AE1531" s="65">
        <v>2</v>
      </c>
      <c r="AF1531" s="69">
        <v>28.6</v>
      </c>
      <c r="AG1531" s="65" t="s">
        <v>73</v>
      </c>
      <c r="AH1531" s="65" t="s">
        <v>5604</v>
      </c>
      <c r="AI1531">
        <f>IF(AND(OR(Company_Explorer!$B$5="All Companies",$E1531=Company_Explorer!$B$5),OR(Company_Explorer!$B$6="All Platforms",$B1531=Company_Explorer!$B$6),OR(Company_Explorer!$B$7="All Roles",$D1531=Company_Explorer!$B$7),OR(Company_Explorer!$B$8="All Ghost Labels",$AG1531=Company_Explorer!$B$8)),1,0)</f>
        <v>0</v>
      </c>
    </row>
    <row r="1532" spans="1:35" ht="15" customHeight="1" x14ac:dyDescent="0.3">
      <c r="A1532" s="60" t="s">
        <v>5605</v>
      </c>
      <c r="B1532" s="60" t="s">
        <v>81</v>
      </c>
      <c r="C1532" s="60" t="s">
        <v>5606</v>
      </c>
      <c r="D1532" s="60" t="s">
        <v>126</v>
      </c>
      <c r="E1532" s="60" t="s">
        <v>5135</v>
      </c>
      <c r="F1532" s="60" t="b">
        <f>TRUE()</f>
        <v>1</v>
      </c>
      <c r="G1532" s="60" t="s">
        <v>165</v>
      </c>
      <c r="H1532" s="60" t="s">
        <v>4661</v>
      </c>
      <c r="I1532" s="61">
        <v>46208.606454050903</v>
      </c>
      <c r="J1532" s="61">
        <v>46210.283121956003</v>
      </c>
      <c r="K1532" s="60">
        <v>1.7</v>
      </c>
      <c r="L1532" s="60" t="s">
        <v>183</v>
      </c>
      <c r="M1532" s="60" t="s">
        <v>183</v>
      </c>
      <c r="N1532" s="60" t="b">
        <f>FALSE()</f>
        <v>0</v>
      </c>
      <c r="O1532" s="60"/>
      <c r="P1532" s="60"/>
      <c r="Q1532" s="60" t="s">
        <v>236</v>
      </c>
      <c r="R1532" s="60" t="s">
        <v>236</v>
      </c>
      <c r="S1532" s="60"/>
      <c r="T1532" s="60" t="b">
        <f>FALSE()</f>
        <v>0</v>
      </c>
      <c r="U1532" s="60" t="b">
        <f>FALSE()</f>
        <v>0</v>
      </c>
      <c r="V1532" s="60">
        <v>86</v>
      </c>
      <c r="W1532" s="62" t="s">
        <v>5607</v>
      </c>
      <c r="X1532" s="60">
        <v>8</v>
      </c>
      <c r="Y1532" s="63">
        <v>14</v>
      </c>
      <c r="Z1532" s="60" t="b">
        <f>FALSE()</f>
        <v>0</v>
      </c>
      <c r="AA1532" s="60" t="b">
        <f>TRUE()</f>
        <v>1</v>
      </c>
      <c r="AB1532" s="60" t="b">
        <f>TRUE()</f>
        <v>1</v>
      </c>
      <c r="AC1532" s="60" t="b">
        <f>TRUE()</f>
        <v>1</v>
      </c>
      <c r="AD1532" s="60" t="b">
        <f>FALSE()</f>
        <v>0</v>
      </c>
      <c r="AE1532" s="60">
        <v>3</v>
      </c>
      <c r="AF1532" s="64">
        <v>42.9</v>
      </c>
      <c r="AG1532" s="60" t="s">
        <v>73</v>
      </c>
      <c r="AH1532" s="60" t="s">
        <v>5608</v>
      </c>
      <c r="AI1532">
        <f>IF(AND(OR(Company_Explorer!$B$5="All Companies",$E1532=Company_Explorer!$B$5),OR(Company_Explorer!$B$6="All Platforms",$B1532=Company_Explorer!$B$6),OR(Company_Explorer!$B$7="All Roles",$D1532=Company_Explorer!$B$7),OR(Company_Explorer!$B$8="All Ghost Labels",$AG1532=Company_Explorer!$B$8)),1,0)</f>
        <v>0</v>
      </c>
    </row>
    <row r="1533" spans="1:35" ht="15" customHeight="1" x14ac:dyDescent="0.3">
      <c r="A1533" s="65" t="s">
        <v>5609</v>
      </c>
      <c r="B1533" s="65" t="s">
        <v>81</v>
      </c>
      <c r="C1533" s="65" t="s">
        <v>3809</v>
      </c>
      <c r="D1533" s="65" t="s">
        <v>126</v>
      </c>
      <c r="E1533" s="65" t="s">
        <v>3810</v>
      </c>
      <c r="F1533" s="65" t="b">
        <f>TRUE()</f>
        <v>1</v>
      </c>
      <c r="G1533" s="65" t="s">
        <v>165</v>
      </c>
      <c r="H1533" s="65" t="s">
        <v>3620</v>
      </c>
      <c r="I1533" s="66">
        <v>46209.518994675898</v>
      </c>
      <c r="J1533" s="66">
        <v>46210.283122951398</v>
      </c>
      <c r="K1533" s="65">
        <v>0.8</v>
      </c>
      <c r="L1533" s="65" t="s">
        <v>183</v>
      </c>
      <c r="M1533" s="65" t="s">
        <v>183</v>
      </c>
      <c r="N1533" s="65" t="b">
        <f>FALSE()</f>
        <v>0</v>
      </c>
      <c r="O1533" s="65"/>
      <c r="P1533" s="65"/>
      <c r="Q1533" s="65" t="s">
        <v>236</v>
      </c>
      <c r="R1533" s="65" t="s">
        <v>236</v>
      </c>
      <c r="S1533" s="65"/>
      <c r="T1533" s="65" t="b">
        <f>FALSE()</f>
        <v>0</v>
      </c>
      <c r="U1533" s="65" t="b">
        <f>FALSE()</f>
        <v>0</v>
      </c>
      <c r="V1533" s="65">
        <v>601</v>
      </c>
      <c r="W1533" s="67" t="s">
        <v>3811</v>
      </c>
      <c r="X1533" s="65">
        <v>10</v>
      </c>
      <c r="Y1533" s="68">
        <v>17.5</v>
      </c>
      <c r="Z1533" s="65" t="b">
        <f>FALSE()</f>
        <v>0</v>
      </c>
      <c r="AA1533" s="65" t="b">
        <f>TRUE()</f>
        <v>1</v>
      </c>
      <c r="AB1533" s="65" t="b">
        <f>FALSE()</f>
        <v>0</v>
      </c>
      <c r="AC1533" s="65" t="b">
        <f>TRUE()</f>
        <v>1</v>
      </c>
      <c r="AD1533" s="65" t="b">
        <f>FALSE()</f>
        <v>0</v>
      </c>
      <c r="AE1533" s="65">
        <v>2</v>
      </c>
      <c r="AF1533" s="69">
        <v>28.6</v>
      </c>
      <c r="AG1533" s="65" t="s">
        <v>73</v>
      </c>
      <c r="AH1533" s="65" t="s">
        <v>5610</v>
      </c>
      <c r="AI1533">
        <f>IF(AND(OR(Company_Explorer!$B$5="All Companies",$E1533=Company_Explorer!$B$5),OR(Company_Explorer!$B$6="All Platforms",$B1533=Company_Explorer!$B$6),OR(Company_Explorer!$B$7="All Roles",$D1533=Company_Explorer!$B$7),OR(Company_Explorer!$B$8="All Ghost Labels",$AG1533=Company_Explorer!$B$8)),1,0)</f>
        <v>0</v>
      </c>
    </row>
    <row r="1534" spans="1:35" ht="15" customHeight="1" x14ac:dyDescent="0.3">
      <c r="A1534" s="60" t="s">
        <v>5611</v>
      </c>
      <c r="B1534" s="60" t="s">
        <v>81</v>
      </c>
      <c r="C1534" s="60" t="s">
        <v>5612</v>
      </c>
      <c r="D1534" s="60" t="s">
        <v>126</v>
      </c>
      <c r="E1534" s="60" t="s">
        <v>5613</v>
      </c>
      <c r="F1534" s="60" t="b">
        <f>TRUE()</f>
        <v>1</v>
      </c>
      <c r="G1534" s="60" t="s">
        <v>165</v>
      </c>
      <c r="H1534" s="60" t="s">
        <v>165</v>
      </c>
      <c r="I1534" s="61">
        <v>46208.470579409703</v>
      </c>
      <c r="J1534" s="61">
        <v>46210.283123923597</v>
      </c>
      <c r="K1534" s="60">
        <v>1.8</v>
      </c>
      <c r="L1534" s="60" t="s">
        <v>183</v>
      </c>
      <c r="M1534" s="60" t="s">
        <v>183</v>
      </c>
      <c r="N1534" s="60" t="b">
        <f>FALSE()</f>
        <v>0</v>
      </c>
      <c r="O1534" s="60"/>
      <c r="P1534" s="60"/>
      <c r="Q1534" s="60" t="s">
        <v>236</v>
      </c>
      <c r="R1534" s="60" t="s">
        <v>236</v>
      </c>
      <c r="S1534" s="60"/>
      <c r="T1534" s="60" t="b">
        <f>FALSE()</f>
        <v>0</v>
      </c>
      <c r="U1534" s="60" t="b">
        <f>FALSE()</f>
        <v>0</v>
      </c>
      <c r="V1534" s="60">
        <v>843</v>
      </c>
      <c r="W1534" s="62" t="s">
        <v>5614</v>
      </c>
      <c r="X1534" s="60">
        <v>1</v>
      </c>
      <c r="Y1534" s="63">
        <v>1.75</v>
      </c>
      <c r="Z1534" s="60" t="b">
        <f>FALSE()</f>
        <v>0</v>
      </c>
      <c r="AA1534" s="60" t="b">
        <f>TRUE()</f>
        <v>1</v>
      </c>
      <c r="AB1534" s="60" t="b">
        <f>FALSE()</f>
        <v>0</v>
      </c>
      <c r="AC1534" s="60" t="b">
        <f>TRUE()</f>
        <v>1</v>
      </c>
      <c r="AD1534" s="60" t="b">
        <f>FALSE()</f>
        <v>0</v>
      </c>
      <c r="AE1534" s="60">
        <v>2</v>
      </c>
      <c r="AF1534" s="64">
        <v>28.6</v>
      </c>
      <c r="AG1534" s="60" t="s">
        <v>73</v>
      </c>
      <c r="AH1534" s="60" t="s">
        <v>5615</v>
      </c>
      <c r="AI1534">
        <f>IF(AND(OR(Company_Explorer!$B$5="All Companies",$E1534=Company_Explorer!$B$5),OR(Company_Explorer!$B$6="All Platforms",$B1534=Company_Explorer!$B$6),OR(Company_Explorer!$B$7="All Roles",$D1534=Company_Explorer!$B$7),OR(Company_Explorer!$B$8="All Ghost Labels",$AG1534=Company_Explorer!$B$8)),1,0)</f>
        <v>0</v>
      </c>
    </row>
    <row r="1535" spans="1:35" ht="15" customHeight="1" x14ac:dyDescent="0.3">
      <c r="A1535" s="65" t="s">
        <v>5616</v>
      </c>
      <c r="B1535" s="65" t="s">
        <v>81</v>
      </c>
      <c r="C1535" s="65" t="s">
        <v>5617</v>
      </c>
      <c r="D1535" s="65" t="s">
        <v>127</v>
      </c>
      <c r="E1535" s="65" t="s">
        <v>3960</v>
      </c>
      <c r="F1535" s="65" t="b">
        <f>TRUE()</f>
        <v>1</v>
      </c>
      <c r="G1535" s="65" t="s">
        <v>165</v>
      </c>
      <c r="H1535" s="65" t="s">
        <v>3630</v>
      </c>
      <c r="I1535" s="66">
        <v>46209.428767986101</v>
      </c>
      <c r="J1535" s="66">
        <v>46210.283124872702</v>
      </c>
      <c r="K1535" s="65">
        <v>0.9</v>
      </c>
      <c r="L1535" s="65" t="s">
        <v>183</v>
      </c>
      <c r="M1535" s="65" t="s">
        <v>183</v>
      </c>
      <c r="N1535" s="65" t="b">
        <f>TRUE()</f>
        <v>1</v>
      </c>
      <c r="O1535" s="71">
        <v>400000</v>
      </c>
      <c r="P1535" s="71">
        <v>600000</v>
      </c>
      <c r="Q1535" s="65" t="s">
        <v>3663</v>
      </c>
      <c r="R1535" s="65" t="s">
        <v>3961</v>
      </c>
      <c r="S1535" s="71">
        <v>500000</v>
      </c>
      <c r="T1535" s="65" t="b">
        <f>TRUE()</f>
        <v>1</v>
      </c>
      <c r="U1535" s="65" t="b">
        <f>FALSE()</f>
        <v>0</v>
      </c>
      <c r="V1535" s="65">
        <v>359</v>
      </c>
      <c r="W1535" s="67" t="s">
        <v>3962</v>
      </c>
      <c r="X1535" s="65">
        <v>2</v>
      </c>
      <c r="Y1535" s="68">
        <v>3.5</v>
      </c>
      <c r="Z1535" s="65" t="b">
        <f>FALSE()</f>
        <v>0</v>
      </c>
      <c r="AA1535" s="65" t="b">
        <f>FALSE()</f>
        <v>0</v>
      </c>
      <c r="AB1535" s="65" t="b">
        <f>FALSE()</f>
        <v>0</v>
      </c>
      <c r="AC1535" s="65" t="b">
        <f>TRUE()</f>
        <v>1</v>
      </c>
      <c r="AD1535" s="65" t="b">
        <f>FALSE()</f>
        <v>0</v>
      </c>
      <c r="AE1535" s="65">
        <v>1</v>
      </c>
      <c r="AF1535" s="69">
        <v>14.3</v>
      </c>
      <c r="AG1535" s="65" t="s">
        <v>74</v>
      </c>
      <c r="AH1535" s="65" t="s">
        <v>5618</v>
      </c>
      <c r="AI1535">
        <f>IF(AND(OR(Company_Explorer!$B$5="All Companies",$E1535=Company_Explorer!$B$5),OR(Company_Explorer!$B$6="All Platforms",$B1535=Company_Explorer!$B$6),OR(Company_Explorer!$B$7="All Roles",$D1535=Company_Explorer!$B$7),OR(Company_Explorer!$B$8="All Ghost Labels",$AG1535=Company_Explorer!$B$8)),1,0)</f>
        <v>0</v>
      </c>
    </row>
    <row r="1536" spans="1:35" ht="15" customHeight="1" x14ac:dyDescent="0.3">
      <c r="A1536" s="60" t="s">
        <v>5619</v>
      </c>
      <c r="B1536" s="60" t="s">
        <v>81</v>
      </c>
      <c r="C1536" s="60" t="s">
        <v>3809</v>
      </c>
      <c r="D1536" s="60" t="s">
        <v>126</v>
      </c>
      <c r="E1536" s="60" t="s">
        <v>3810</v>
      </c>
      <c r="F1536" s="60" t="b">
        <f>TRUE()</f>
        <v>1</v>
      </c>
      <c r="G1536" s="60" t="s">
        <v>165</v>
      </c>
      <c r="H1536" s="60" t="s">
        <v>3620</v>
      </c>
      <c r="I1536" s="61">
        <v>46209.518992916703</v>
      </c>
      <c r="J1536" s="61">
        <v>46210.283126169001</v>
      </c>
      <c r="K1536" s="60">
        <v>0.8</v>
      </c>
      <c r="L1536" s="60" t="s">
        <v>183</v>
      </c>
      <c r="M1536" s="60" t="s">
        <v>183</v>
      </c>
      <c r="N1536" s="60" t="b">
        <f>FALSE()</f>
        <v>0</v>
      </c>
      <c r="O1536" s="60"/>
      <c r="P1536" s="60"/>
      <c r="Q1536" s="60" t="s">
        <v>236</v>
      </c>
      <c r="R1536" s="60" t="s">
        <v>236</v>
      </c>
      <c r="S1536" s="60"/>
      <c r="T1536" s="60" t="b">
        <f>FALSE()</f>
        <v>0</v>
      </c>
      <c r="U1536" s="60" t="b">
        <f>FALSE()</f>
        <v>0</v>
      </c>
      <c r="V1536" s="60">
        <v>600</v>
      </c>
      <c r="W1536" s="62" t="s">
        <v>3811</v>
      </c>
      <c r="X1536" s="60">
        <v>10</v>
      </c>
      <c r="Y1536" s="63">
        <v>17.5</v>
      </c>
      <c r="Z1536" s="60" t="b">
        <f>FALSE()</f>
        <v>0</v>
      </c>
      <c r="AA1536" s="60" t="b">
        <f>TRUE()</f>
        <v>1</v>
      </c>
      <c r="AB1536" s="60" t="b">
        <f>FALSE()</f>
        <v>0</v>
      </c>
      <c r="AC1536" s="60" t="b">
        <f>TRUE()</f>
        <v>1</v>
      </c>
      <c r="AD1536" s="60" t="b">
        <f>FALSE()</f>
        <v>0</v>
      </c>
      <c r="AE1536" s="60">
        <v>2</v>
      </c>
      <c r="AF1536" s="64">
        <v>28.6</v>
      </c>
      <c r="AG1536" s="60" t="s">
        <v>73</v>
      </c>
      <c r="AH1536" s="60" t="s">
        <v>5620</v>
      </c>
      <c r="AI1536">
        <f>IF(AND(OR(Company_Explorer!$B$5="All Companies",$E1536=Company_Explorer!$B$5),OR(Company_Explorer!$B$6="All Platforms",$B1536=Company_Explorer!$B$6),OR(Company_Explorer!$B$7="All Roles",$D1536=Company_Explorer!$B$7),OR(Company_Explorer!$B$8="All Ghost Labels",$AG1536=Company_Explorer!$B$8)),1,0)</f>
        <v>0</v>
      </c>
    </row>
    <row r="1537" spans="1:35" ht="15" customHeight="1" x14ac:dyDescent="0.3">
      <c r="A1537" s="65" t="s">
        <v>5621</v>
      </c>
      <c r="B1537" s="65" t="s">
        <v>81</v>
      </c>
      <c r="C1537" s="65" t="s">
        <v>5622</v>
      </c>
      <c r="D1537" s="65" t="s">
        <v>126</v>
      </c>
      <c r="E1537" s="65" t="s">
        <v>341</v>
      </c>
      <c r="F1537" s="65" t="b">
        <f>TRUE()</f>
        <v>1</v>
      </c>
      <c r="G1537" s="65" t="s">
        <v>165</v>
      </c>
      <c r="H1537" s="65" t="s">
        <v>3636</v>
      </c>
      <c r="I1537" s="66">
        <v>46209.4280321759</v>
      </c>
      <c r="J1537" s="66">
        <v>46210.283127280098</v>
      </c>
      <c r="K1537" s="65">
        <v>0.9</v>
      </c>
      <c r="L1537" s="65" t="s">
        <v>183</v>
      </c>
      <c r="M1537" s="65" t="s">
        <v>183</v>
      </c>
      <c r="N1537" s="65" t="b">
        <f>FALSE()</f>
        <v>0</v>
      </c>
      <c r="O1537" s="65"/>
      <c r="P1537" s="65"/>
      <c r="Q1537" s="65" t="s">
        <v>236</v>
      </c>
      <c r="R1537" s="65" t="s">
        <v>236</v>
      </c>
      <c r="S1537" s="65"/>
      <c r="T1537" s="65" t="b">
        <f>FALSE()</f>
        <v>0</v>
      </c>
      <c r="U1537" s="65" t="b">
        <f>FALSE()</f>
        <v>0</v>
      </c>
      <c r="V1537" s="65">
        <v>517</v>
      </c>
      <c r="W1537" s="67" t="s">
        <v>5623</v>
      </c>
      <c r="X1537" s="65">
        <v>3</v>
      </c>
      <c r="Y1537" s="68">
        <v>5.25</v>
      </c>
      <c r="Z1537" s="65" t="b">
        <f>FALSE()</f>
        <v>0</v>
      </c>
      <c r="AA1537" s="65" t="b">
        <f>TRUE()</f>
        <v>1</v>
      </c>
      <c r="AB1537" s="65" t="b">
        <f>FALSE()</f>
        <v>0</v>
      </c>
      <c r="AC1537" s="65" t="b">
        <f>TRUE()</f>
        <v>1</v>
      </c>
      <c r="AD1537" s="65" t="b">
        <f>FALSE()</f>
        <v>0</v>
      </c>
      <c r="AE1537" s="65">
        <v>2</v>
      </c>
      <c r="AF1537" s="69">
        <v>28.6</v>
      </c>
      <c r="AG1537" s="65" t="s">
        <v>73</v>
      </c>
      <c r="AH1537" s="65" t="s">
        <v>5624</v>
      </c>
      <c r="AI1537">
        <f>IF(AND(OR(Company_Explorer!$B$5="All Companies",$E1537=Company_Explorer!$B$5),OR(Company_Explorer!$B$6="All Platforms",$B1537=Company_Explorer!$B$6),OR(Company_Explorer!$B$7="All Roles",$D1537=Company_Explorer!$B$7),OR(Company_Explorer!$B$8="All Ghost Labels",$AG1537=Company_Explorer!$B$8)),1,0)</f>
        <v>0</v>
      </c>
    </row>
    <row r="1538" spans="1:35" ht="15" customHeight="1" x14ac:dyDescent="0.3">
      <c r="A1538" s="60" t="s">
        <v>5625</v>
      </c>
      <c r="B1538" s="60" t="s">
        <v>81</v>
      </c>
      <c r="C1538" s="60" t="s">
        <v>5626</v>
      </c>
      <c r="D1538" s="60" t="s">
        <v>127</v>
      </c>
      <c r="E1538" s="60" t="s">
        <v>4360</v>
      </c>
      <c r="F1538" s="60" t="b">
        <f>TRUE()</f>
        <v>1</v>
      </c>
      <c r="G1538" s="60" t="s">
        <v>165</v>
      </c>
      <c r="H1538" s="60" t="s">
        <v>3630</v>
      </c>
      <c r="I1538" s="61">
        <v>46209.419077557897</v>
      </c>
      <c r="J1538" s="61">
        <v>46210.283128553201</v>
      </c>
      <c r="K1538" s="60">
        <v>0.9</v>
      </c>
      <c r="L1538" s="60" t="s">
        <v>183</v>
      </c>
      <c r="M1538" s="60" t="s">
        <v>183</v>
      </c>
      <c r="N1538" s="60" t="b">
        <f>TRUE()</f>
        <v>1</v>
      </c>
      <c r="O1538" s="70">
        <v>30000</v>
      </c>
      <c r="P1538" s="70">
        <v>50000</v>
      </c>
      <c r="Q1538" s="60" t="s">
        <v>3663</v>
      </c>
      <c r="R1538" s="60" t="s">
        <v>3664</v>
      </c>
      <c r="S1538" s="70">
        <v>480000</v>
      </c>
      <c r="T1538" s="60" t="b">
        <f>TRUE()</f>
        <v>1</v>
      </c>
      <c r="U1538" s="60" t="b">
        <f>FALSE()</f>
        <v>0</v>
      </c>
      <c r="V1538" s="60">
        <v>186</v>
      </c>
      <c r="W1538" s="62" t="s">
        <v>5627</v>
      </c>
      <c r="X1538" s="60">
        <v>2</v>
      </c>
      <c r="Y1538" s="63">
        <v>3.5</v>
      </c>
      <c r="Z1538" s="60" t="b">
        <f>FALSE()</f>
        <v>0</v>
      </c>
      <c r="AA1538" s="60" t="b">
        <f>FALSE()</f>
        <v>0</v>
      </c>
      <c r="AB1538" s="60" t="b">
        <f>TRUE()</f>
        <v>1</v>
      </c>
      <c r="AC1538" s="60" t="b">
        <f>TRUE()</f>
        <v>1</v>
      </c>
      <c r="AD1538" s="60" t="b">
        <f>FALSE()</f>
        <v>0</v>
      </c>
      <c r="AE1538" s="60">
        <v>2</v>
      </c>
      <c r="AF1538" s="64">
        <v>28.6</v>
      </c>
      <c r="AG1538" s="60" t="s">
        <v>73</v>
      </c>
      <c r="AH1538" s="60" t="s">
        <v>5628</v>
      </c>
      <c r="AI1538">
        <f>IF(AND(OR(Company_Explorer!$B$5="All Companies",$E1538=Company_Explorer!$B$5),OR(Company_Explorer!$B$6="All Platforms",$B1538=Company_Explorer!$B$6),OR(Company_Explorer!$B$7="All Roles",$D1538=Company_Explorer!$B$7),OR(Company_Explorer!$B$8="All Ghost Labels",$AG1538=Company_Explorer!$B$8)),1,0)</f>
        <v>0</v>
      </c>
    </row>
    <row r="1539" spans="1:35" ht="15" customHeight="1" x14ac:dyDescent="0.3">
      <c r="A1539" s="65" t="s">
        <v>5629</v>
      </c>
      <c r="B1539" s="65" t="s">
        <v>81</v>
      </c>
      <c r="C1539" s="65" t="s">
        <v>5630</v>
      </c>
      <c r="D1539" s="65" t="s">
        <v>126</v>
      </c>
      <c r="E1539" s="65" t="s">
        <v>3810</v>
      </c>
      <c r="F1539" s="65" t="b">
        <f>TRUE()</f>
        <v>1</v>
      </c>
      <c r="G1539" s="65" t="s">
        <v>165</v>
      </c>
      <c r="H1539" s="65" t="s">
        <v>3702</v>
      </c>
      <c r="I1539" s="66">
        <v>46209.518948553203</v>
      </c>
      <c r="J1539" s="66">
        <v>46210.283129699099</v>
      </c>
      <c r="K1539" s="65">
        <v>0.8</v>
      </c>
      <c r="L1539" s="65" t="s">
        <v>183</v>
      </c>
      <c r="M1539" s="65" t="s">
        <v>183</v>
      </c>
      <c r="N1539" s="65" t="b">
        <f>FALSE()</f>
        <v>0</v>
      </c>
      <c r="O1539" s="65"/>
      <c r="P1539" s="65"/>
      <c r="Q1539" s="65" t="s">
        <v>236</v>
      </c>
      <c r="R1539" s="65" t="s">
        <v>236</v>
      </c>
      <c r="S1539" s="65"/>
      <c r="T1539" s="65" t="b">
        <f>FALSE()</f>
        <v>0</v>
      </c>
      <c r="U1539" s="65" t="b">
        <f>FALSE()</f>
        <v>0</v>
      </c>
      <c r="V1539" s="65">
        <v>680</v>
      </c>
      <c r="W1539" s="67" t="s">
        <v>5631</v>
      </c>
      <c r="X1539" s="65">
        <v>10</v>
      </c>
      <c r="Y1539" s="68">
        <v>17.5</v>
      </c>
      <c r="Z1539" s="65" t="b">
        <f>FALSE()</f>
        <v>0</v>
      </c>
      <c r="AA1539" s="65" t="b">
        <f>TRUE()</f>
        <v>1</v>
      </c>
      <c r="AB1539" s="65" t="b">
        <f>FALSE()</f>
        <v>0</v>
      </c>
      <c r="AC1539" s="65" t="b">
        <f>TRUE()</f>
        <v>1</v>
      </c>
      <c r="AD1539" s="65" t="b">
        <f>FALSE()</f>
        <v>0</v>
      </c>
      <c r="AE1539" s="65">
        <v>2</v>
      </c>
      <c r="AF1539" s="69">
        <v>28.6</v>
      </c>
      <c r="AG1539" s="65" t="s">
        <v>73</v>
      </c>
      <c r="AH1539" s="65" t="s">
        <v>5632</v>
      </c>
      <c r="AI1539">
        <f>IF(AND(OR(Company_Explorer!$B$5="All Companies",$E1539=Company_Explorer!$B$5),OR(Company_Explorer!$B$6="All Platforms",$B1539=Company_Explorer!$B$6),OR(Company_Explorer!$B$7="All Roles",$D1539=Company_Explorer!$B$7),OR(Company_Explorer!$B$8="All Ghost Labels",$AG1539=Company_Explorer!$B$8)),1,0)</f>
        <v>0</v>
      </c>
    </row>
    <row r="1540" spans="1:35" ht="15" customHeight="1" x14ac:dyDescent="0.3">
      <c r="A1540" s="60" t="s">
        <v>5633</v>
      </c>
      <c r="B1540" s="60" t="s">
        <v>81</v>
      </c>
      <c r="C1540" s="60" t="s">
        <v>5634</v>
      </c>
      <c r="D1540" s="60" t="s">
        <v>127</v>
      </c>
      <c r="E1540" s="60" t="s">
        <v>5635</v>
      </c>
      <c r="F1540" s="60" t="b">
        <f>TRUE()</f>
        <v>1</v>
      </c>
      <c r="G1540" s="60" t="s">
        <v>165</v>
      </c>
      <c r="H1540" s="60" t="s">
        <v>3672</v>
      </c>
      <c r="I1540" s="61">
        <v>46209.418624213002</v>
      </c>
      <c r="J1540" s="61">
        <v>46210.283130682903</v>
      </c>
      <c r="K1540" s="60">
        <v>0.9</v>
      </c>
      <c r="L1540" s="60" t="s">
        <v>183</v>
      </c>
      <c r="M1540" s="60" t="s">
        <v>183</v>
      </c>
      <c r="N1540" s="60" t="b">
        <f>FALSE()</f>
        <v>0</v>
      </c>
      <c r="O1540" s="60"/>
      <c r="P1540" s="60"/>
      <c r="Q1540" s="60" t="s">
        <v>236</v>
      </c>
      <c r="R1540" s="60" t="s">
        <v>236</v>
      </c>
      <c r="S1540" s="60"/>
      <c r="T1540" s="60" t="b">
        <f>FALSE()</f>
        <v>0</v>
      </c>
      <c r="U1540" s="60" t="b">
        <f>FALSE()</f>
        <v>0</v>
      </c>
      <c r="V1540" s="60">
        <v>685</v>
      </c>
      <c r="W1540" s="62" t="s">
        <v>5636</v>
      </c>
      <c r="X1540" s="60">
        <v>1</v>
      </c>
      <c r="Y1540" s="63">
        <v>1.75</v>
      </c>
      <c r="Z1540" s="60" t="b">
        <f>FALSE()</f>
        <v>0</v>
      </c>
      <c r="AA1540" s="60" t="b">
        <f>TRUE()</f>
        <v>1</v>
      </c>
      <c r="AB1540" s="60" t="b">
        <f>FALSE()</f>
        <v>0</v>
      </c>
      <c r="AC1540" s="60" t="b">
        <f>TRUE()</f>
        <v>1</v>
      </c>
      <c r="AD1540" s="60" t="b">
        <f>FALSE()</f>
        <v>0</v>
      </c>
      <c r="AE1540" s="60">
        <v>2</v>
      </c>
      <c r="AF1540" s="64">
        <v>28.6</v>
      </c>
      <c r="AG1540" s="60" t="s">
        <v>73</v>
      </c>
      <c r="AH1540" s="60" t="s">
        <v>5637</v>
      </c>
      <c r="AI1540">
        <f>IF(AND(OR(Company_Explorer!$B$5="All Companies",$E1540=Company_Explorer!$B$5),OR(Company_Explorer!$B$6="All Platforms",$B1540=Company_Explorer!$B$6),OR(Company_Explorer!$B$7="All Roles",$D1540=Company_Explorer!$B$7),OR(Company_Explorer!$B$8="All Ghost Labels",$AG1540=Company_Explorer!$B$8)),1,0)</f>
        <v>0</v>
      </c>
    </row>
    <row r="1541" spans="1:35" ht="15" customHeight="1" x14ac:dyDescent="0.3">
      <c r="A1541" s="65" t="s">
        <v>5638</v>
      </c>
      <c r="B1541" s="65" t="s">
        <v>81</v>
      </c>
      <c r="C1541" s="65" t="s">
        <v>5639</v>
      </c>
      <c r="D1541" s="65" t="s">
        <v>126</v>
      </c>
      <c r="E1541" s="65" t="s">
        <v>3810</v>
      </c>
      <c r="F1541" s="65" t="b">
        <f>TRUE()</f>
        <v>1</v>
      </c>
      <c r="G1541" s="65" t="s">
        <v>165</v>
      </c>
      <c r="H1541" s="65" t="s">
        <v>3620</v>
      </c>
      <c r="I1541" s="66">
        <v>46209.518948761601</v>
      </c>
      <c r="J1541" s="66">
        <v>46210.283131689801</v>
      </c>
      <c r="K1541" s="65">
        <v>0.8</v>
      </c>
      <c r="L1541" s="65" t="s">
        <v>183</v>
      </c>
      <c r="M1541" s="65" t="s">
        <v>183</v>
      </c>
      <c r="N1541" s="65" t="b">
        <f>FALSE()</f>
        <v>0</v>
      </c>
      <c r="O1541" s="65"/>
      <c r="P1541" s="65"/>
      <c r="Q1541" s="65" t="s">
        <v>236</v>
      </c>
      <c r="R1541" s="65" t="s">
        <v>236</v>
      </c>
      <c r="S1541" s="65"/>
      <c r="T1541" s="65" t="b">
        <f>FALSE()</f>
        <v>0</v>
      </c>
      <c r="U1541" s="65" t="b">
        <f>FALSE()</f>
        <v>0</v>
      </c>
      <c r="V1541" s="65">
        <v>609</v>
      </c>
      <c r="W1541" s="67" t="s">
        <v>5640</v>
      </c>
      <c r="X1541" s="65">
        <v>10</v>
      </c>
      <c r="Y1541" s="68">
        <v>17.5</v>
      </c>
      <c r="Z1541" s="65" t="b">
        <f>FALSE()</f>
        <v>0</v>
      </c>
      <c r="AA1541" s="65" t="b">
        <f>TRUE()</f>
        <v>1</v>
      </c>
      <c r="AB1541" s="65" t="b">
        <f>FALSE()</f>
        <v>0</v>
      </c>
      <c r="AC1541" s="65" t="b">
        <f>TRUE()</f>
        <v>1</v>
      </c>
      <c r="AD1541" s="65" t="b">
        <f>FALSE()</f>
        <v>0</v>
      </c>
      <c r="AE1541" s="65">
        <v>2</v>
      </c>
      <c r="AF1541" s="69">
        <v>28.6</v>
      </c>
      <c r="AG1541" s="65" t="s">
        <v>73</v>
      </c>
      <c r="AH1541" s="65" t="s">
        <v>5641</v>
      </c>
      <c r="AI1541">
        <f>IF(AND(OR(Company_Explorer!$B$5="All Companies",$E1541=Company_Explorer!$B$5),OR(Company_Explorer!$B$6="All Platforms",$B1541=Company_Explorer!$B$6),OR(Company_Explorer!$B$7="All Roles",$D1541=Company_Explorer!$B$7),OR(Company_Explorer!$B$8="All Ghost Labels",$AG1541=Company_Explorer!$B$8)),1,0)</f>
        <v>0</v>
      </c>
    </row>
    <row r="1542" spans="1:35" ht="15" customHeight="1" x14ac:dyDescent="0.3">
      <c r="A1542" s="60" t="s">
        <v>5642</v>
      </c>
      <c r="B1542" s="60" t="s">
        <v>81</v>
      </c>
      <c r="C1542" s="60" t="s">
        <v>5643</v>
      </c>
      <c r="D1542" s="60" t="s">
        <v>127</v>
      </c>
      <c r="E1542" s="60" t="s">
        <v>5644</v>
      </c>
      <c r="F1542" s="60" t="b">
        <f>TRUE()</f>
        <v>1</v>
      </c>
      <c r="G1542" s="60" t="s">
        <v>165</v>
      </c>
      <c r="H1542" s="60" t="s">
        <v>3655</v>
      </c>
      <c r="I1542" s="61">
        <v>46209.518885833299</v>
      </c>
      <c r="J1542" s="61">
        <v>46210.283132511599</v>
      </c>
      <c r="K1542" s="60">
        <v>0.8</v>
      </c>
      <c r="L1542" s="60" t="s">
        <v>183</v>
      </c>
      <c r="M1542" s="60" t="s">
        <v>183</v>
      </c>
      <c r="N1542" s="60" t="b">
        <f>TRUE()</f>
        <v>1</v>
      </c>
      <c r="O1542" s="70">
        <v>20000</v>
      </c>
      <c r="P1542" s="70">
        <v>30000</v>
      </c>
      <c r="Q1542" s="60" t="s">
        <v>3663</v>
      </c>
      <c r="R1542" s="60" t="s">
        <v>3664</v>
      </c>
      <c r="S1542" s="70">
        <v>300000</v>
      </c>
      <c r="T1542" s="60" t="b">
        <f>TRUE()</f>
        <v>1</v>
      </c>
      <c r="U1542" s="60" t="b">
        <f>FALSE()</f>
        <v>0</v>
      </c>
      <c r="V1542" s="60">
        <v>327</v>
      </c>
      <c r="W1542" s="62" t="s">
        <v>5645</v>
      </c>
      <c r="X1542" s="60">
        <v>1</v>
      </c>
      <c r="Y1542" s="63">
        <v>1.75</v>
      </c>
      <c r="Z1542" s="60" t="b">
        <f>FALSE()</f>
        <v>0</v>
      </c>
      <c r="AA1542" s="60" t="b">
        <f>FALSE()</f>
        <v>0</v>
      </c>
      <c r="AB1542" s="60" t="b">
        <f>FALSE()</f>
        <v>0</v>
      </c>
      <c r="AC1542" s="60" t="b">
        <f>TRUE()</f>
        <v>1</v>
      </c>
      <c r="AD1542" s="60" t="b">
        <f>FALSE()</f>
        <v>0</v>
      </c>
      <c r="AE1542" s="60">
        <v>1</v>
      </c>
      <c r="AF1542" s="64">
        <v>14.3</v>
      </c>
      <c r="AG1542" s="60" t="s">
        <v>74</v>
      </c>
      <c r="AH1542" s="60" t="s">
        <v>5646</v>
      </c>
      <c r="AI1542">
        <f>IF(AND(OR(Company_Explorer!$B$5="All Companies",$E1542=Company_Explorer!$B$5),OR(Company_Explorer!$B$6="All Platforms",$B1542=Company_Explorer!$B$6),OR(Company_Explorer!$B$7="All Roles",$D1542=Company_Explorer!$B$7),OR(Company_Explorer!$B$8="All Ghost Labels",$AG1542=Company_Explorer!$B$8)),1,0)</f>
        <v>0</v>
      </c>
    </row>
    <row r="1543" spans="1:35" ht="15" customHeight="1" x14ac:dyDescent="0.3">
      <c r="A1543" s="65" t="s">
        <v>5647</v>
      </c>
      <c r="B1543" s="65" t="s">
        <v>81</v>
      </c>
      <c r="C1543" s="65" t="s">
        <v>5648</v>
      </c>
      <c r="D1543" s="65" t="s">
        <v>127</v>
      </c>
      <c r="E1543" s="65" t="s">
        <v>5649</v>
      </c>
      <c r="F1543" s="65" t="b">
        <f>TRUE()</f>
        <v>1</v>
      </c>
      <c r="G1543" s="65" t="s">
        <v>165</v>
      </c>
      <c r="H1543" s="65" t="s">
        <v>3655</v>
      </c>
      <c r="I1543" s="66">
        <v>46209.417872627302</v>
      </c>
      <c r="J1543" s="66">
        <v>46210.283134791702</v>
      </c>
      <c r="K1543" s="65">
        <v>0.9</v>
      </c>
      <c r="L1543" s="65" t="s">
        <v>183</v>
      </c>
      <c r="M1543" s="65" t="s">
        <v>183</v>
      </c>
      <c r="N1543" s="65" t="b">
        <f>TRUE()</f>
        <v>1</v>
      </c>
      <c r="O1543" s="71">
        <v>25000</v>
      </c>
      <c r="P1543" s="71">
        <v>30000</v>
      </c>
      <c r="Q1543" s="65" t="s">
        <v>3663</v>
      </c>
      <c r="R1543" s="65" t="s">
        <v>3664</v>
      </c>
      <c r="S1543" s="71">
        <v>330000</v>
      </c>
      <c r="T1543" s="65" t="b">
        <f>TRUE()</f>
        <v>1</v>
      </c>
      <c r="U1543" s="65" t="b">
        <f>FALSE()</f>
        <v>0</v>
      </c>
      <c r="V1543" s="65">
        <v>813</v>
      </c>
      <c r="W1543" s="67" t="s">
        <v>5650</v>
      </c>
      <c r="X1543" s="65">
        <v>2</v>
      </c>
      <c r="Y1543" s="68">
        <v>3.5</v>
      </c>
      <c r="Z1543" s="65" t="b">
        <f>FALSE()</f>
        <v>0</v>
      </c>
      <c r="AA1543" s="65" t="b">
        <f>FALSE()</f>
        <v>0</v>
      </c>
      <c r="AB1543" s="65" t="b">
        <f>FALSE()</f>
        <v>0</v>
      </c>
      <c r="AC1543" s="65" t="b">
        <f>TRUE()</f>
        <v>1</v>
      </c>
      <c r="AD1543" s="65" t="b">
        <f>FALSE()</f>
        <v>0</v>
      </c>
      <c r="AE1543" s="65">
        <v>1</v>
      </c>
      <c r="AF1543" s="69">
        <v>14.3</v>
      </c>
      <c r="AG1543" s="65" t="s">
        <v>74</v>
      </c>
      <c r="AH1543" s="65" t="s">
        <v>5651</v>
      </c>
      <c r="AI1543">
        <f>IF(AND(OR(Company_Explorer!$B$5="All Companies",$E1543=Company_Explorer!$B$5),OR(Company_Explorer!$B$6="All Platforms",$B1543=Company_Explorer!$B$6),OR(Company_Explorer!$B$7="All Roles",$D1543=Company_Explorer!$B$7),OR(Company_Explorer!$B$8="All Ghost Labels",$AG1543=Company_Explorer!$B$8)),1,0)</f>
        <v>0</v>
      </c>
    </row>
    <row r="1544" spans="1:35" ht="15" customHeight="1" x14ac:dyDescent="0.3">
      <c r="A1544" s="60" t="s">
        <v>5652</v>
      </c>
      <c r="B1544" s="60" t="s">
        <v>81</v>
      </c>
      <c r="C1544" s="60" t="s">
        <v>5653</v>
      </c>
      <c r="D1544" s="60" t="s">
        <v>126</v>
      </c>
      <c r="E1544" s="60" t="s">
        <v>5649</v>
      </c>
      <c r="F1544" s="60" t="b">
        <f>TRUE()</f>
        <v>1</v>
      </c>
      <c r="G1544" s="60" t="s">
        <v>165</v>
      </c>
      <c r="H1544" s="60" t="s">
        <v>3655</v>
      </c>
      <c r="I1544" s="61">
        <v>46209.407790868099</v>
      </c>
      <c r="J1544" s="61">
        <v>46210.283135891201</v>
      </c>
      <c r="K1544" s="60">
        <v>0.9</v>
      </c>
      <c r="L1544" s="60" t="s">
        <v>183</v>
      </c>
      <c r="M1544" s="60" t="s">
        <v>183</v>
      </c>
      <c r="N1544" s="60" t="b">
        <f>TRUE()</f>
        <v>1</v>
      </c>
      <c r="O1544" s="70">
        <v>16000</v>
      </c>
      <c r="P1544" s="70">
        <v>18000</v>
      </c>
      <c r="Q1544" s="60" t="s">
        <v>3663</v>
      </c>
      <c r="R1544" s="60" t="s">
        <v>3664</v>
      </c>
      <c r="S1544" s="70">
        <v>204000</v>
      </c>
      <c r="T1544" s="60" t="b">
        <f>TRUE()</f>
        <v>1</v>
      </c>
      <c r="U1544" s="60" t="b">
        <f>FALSE()</f>
        <v>0</v>
      </c>
      <c r="V1544" s="60">
        <v>189</v>
      </c>
      <c r="W1544" s="62" t="s">
        <v>5654</v>
      </c>
      <c r="X1544" s="60">
        <v>2</v>
      </c>
      <c r="Y1544" s="63">
        <v>3.5</v>
      </c>
      <c r="Z1544" s="60" t="b">
        <f>FALSE()</f>
        <v>0</v>
      </c>
      <c r="AA1544" s="60" t="b">
        <f>FALSE()</f>
        <v>0</v>
      </c>
      <c r="AB1544" s="60" t="b">
        <f>TRUE()</f>
        <v>1</v>
      </c>
      <c r="AC1544" s="60" t="b">
        <f>TRUE()</f>
        <v>1</v>
      </c>
      <c r="AD1544" s="60" t="b">
        <f>FALSE()</f>
        <v>0</v>
      </c>
      <c r="AE1544" s="60">
        <v>2</v>
      </c>
      <c r="AF1544" s="64">
        <v>28.6</v>
      </c>
      <c r="AG1544" s="60" t="s">
        <v>73</v>
      </c>
      <c r="AH1544" s="60" t="s">
        <v>5655</v>
      </c>
      <c r="AI1544">
        <f>IF(AND(OR(Company_Explorer!$B$5="All Companies",$E1544=Company_Explorer!$B$5),OR(Company_Explorer!$B$6="All Platforms",$B1544=Company_Explorer!$B$6),OR(Company_Explorer!$B$7="All Roles",$D1544=Company_Explorer!$B$7),OR(Company_Explorer!$B$8="All Ghost Labels",$AG1544=Company_Explorer!$B$8)),1,0)</f>
        <v>0</v>
      </c>
    </row>
    <row r="1545" spans="1:35" ht="15" customHeight="1" x14ac:dyDescent="0.3">
      <c r="A1545" s="65" t="s">
        <v>5656</v>
      </c>
      <c r="B1545" s="65" t="s">
        <v>81</v>
      </c>
      <c r="C1545" s="65" t="s">
        <v>3834</v>
      </c>
      <c r="D1545" s="65" t="s">
        <v>126</v>
      </c>
      <c r="E1545" s="65" t="s">
        <v>1812</v>
      </c>
      <c r="F1545" s="65" t="b">
        <f>TRUE()</f>
        <v>1</v>
      </c>
      <c r="G1545" s="65" t="s">
        <v>165</v>
      </c>
      <c r="H1545" s="65" t="s">
        <v>165</v>
      </c>
      <c r="I1545" s="66">
        <v>46209.385665231501</v>
      </c>
      <c r="J1545" s="66">
        <v>46210.283136874998</v>
      </c>
      <c r="K1545" s="65">
        <v>0.9</v>
      </c>
      <c r="L1545" s="65" t="s">
        <v>183</v>
      </c>
      <c r="M1545" s="65" t="s">
        <v>183</v>
      </c>
      <c r="N1545" s="65" t="b">
        <f>FALSE()</f>
        <v>0</v>
      </c>
      <c r="O1545" s="65"/>
      <c r="P1545" s="65"/>
      <c r="Q1545" s="65" t="s">
        <v>236</v>
      </c>
      <c r="R1545" s="65" t="s">
        <v>236</v>
      </c>
      <c r="S1545" s="65"/>
      <c r="T1545" s="65" t="b">
        <f>FALSE()</f>
        <v>0</v>
      </c>
      <c r="U1545" s="65" t="b">
        <f>FALSE()</f>
        <v>0</v>
      </c>
      <c r="V1545" s="65">
        <v>655</v>
      </c>
      <c r="W1545" s="67" t="s">
        <v>1813</v>
      </c>
      <c r="X1545" s="65">
        <v>2</v>
      </c>
      <c r="Y1545" s="68">
        <v>3.5</v>
      </c>
      <c r="Z1545" s="65" t="b">
        <f>FALSE()</f>
        <v>0</v>
      </c>
      <c r="AA1545" s="65" t="b">
        <f>TRUE()</f>
        <v>1</v>
      </c>
      <c r="AB1545" s="65" t="b">
        <f>FALSE()</f>
        <v>0</v>
      </c>
      <c r="AC1545" s="65" t="b">
        <f>TRUE()</f>
        <v>1</v>
      </c>
      <c r="AD1545" s="65" t="b">
        <f>FALSE()</f>
        <v>0</v>
      </c>
      <c r="AE1545" s="65">
        <v>2</v>
      </c>
      <c r="AF1545" s="69">
        <v>28.6</v>
      </c>
      <c r="AG1545" s="65" t="s">
        <v>73</v>
      </c>
      <c r="AH1545" s="65" t="s">
        <v>5657</v>
      </c>
      <c r="AI1545">
        <f>IF(AND(OR(Company_Explorer!$B$5="All Companies",$E1545=Company_Explorer!$B$5),OR(Company_Explorer!$B$6="All Platforms",$B1545=Company_Explorer!$B$6),OR(Company_Explorer!$B$7="All Roles",$D1545=Company_Explorer!$B$7),OR(Company_Explorer!$B$8="All Ghost Labels",$AG1545=Company_Explorer!$B$8)),1,0)</f>
        <v>0</v>
      </c>
    </row>
    <row r="1546" spans="1:35" ht="15" customHeight="1" x14ac:dyDescent="0.3">
      <c r="A1546" s="60" t="s">
        <v>5658</v>
      </c>
      <c r="B1546" s="60" t="s">
        <v>81</v>
      </c>
      <c r="C1546" s="60" t="s">
        <v>5659</v>
      </c>
      <c r="D1546" s="60" t="s">
        <v>126</v>
      </c>
      <c r="E1546" s="60" t="s">
        <v>5660</v>
      </c>
      <c r="F1546" s="60" t="b">
        <f>TRUE()</f>
        <v>1</v>
      </c>
      <c r="G1546" s="60" t="s">
        <v>165</v>
      </c>
      <c r="H1546" s="60" t="s">
        <v>3702</v>
      </c>
      <c r="I1546" s="61">
        <v>46209.372858923598</v>
      </c>
      <c r="J1546" s="61">
        <v>46210.2831379977</v>
      </c>
      <c r="K1546" s="60">
        <v>0.9</v>
      </c>
      <c r="L1546" s="60" t="s">
        <v>183</v>
      </c>
      <c r="M1546" s="60" t="s">
        <v>183</v>
      </c>
      <c r="N1546" s="60" t="b">
        <f>FALSE()</f>
        <v>0</v>
      </c>
      <c r="O1546" s="60"/>
      <c r="P1546" s="60"/>
      <c r="Q1546" s="60" t="s">
        <v>236</v>
      </c>
      <c r="R1546" s="60" t="s">
        <v>236</v>
      </c>
      <c r="S1546" s="60"/>
      <c r="T1546" s="60" t="b">
        <f>FALSE()</f>
        <v>0</v>
      </c>
      <c r="U1546" s="60" t="b">
        <f>FALSE()</f>
        <v>0</v>
      </c>
      <c r="V1546" s="60">
        <v>366</v>
      </c>
      <c r="W1546" s="62" t="s">
        <v>5661</v>
      </c>
      <c r="X1546" s="60">
        <v>1</v>
      </c>
      <c r="Y1546" s="63">
        <v>1.75</v>
      </c>
      <c r="Z1546" s="60" t="b">
        <f>FALSE()</f>
        <v>0</v>
      </c>
      <c r="AA1546" s="60" t="b">
        <f>TRUE()</f>
        <v>1</v>
      </c>
      <c r="AB1546" s="60" t="b">
        <f>FALSE()</f>
        <v>0</v>
      </c>
      <c r="AC1546" s="60" t="b">
        <f>TRUE()</f>
        <v>1</v>
      </c>
      <c r="AD1546" s="60" t="b">
        <f>FALSE()</f>
        <v>0</v>
      </c>
      <c r="AE1546" s="60">
        <v>2</v>
      </c>
      <c r="AF1546" s="64">
        <v>28.6</v>
      </c>
      <c r="AG1546" s="60" t="s">
        <v>73</v>
      </c>
      <c r="AH1546" s="60" t="s">
        <v>5662</v>
      </c>
      <c r="AI1546">
        <f>IF(AND(OR(Company_Explorer!$B$5="All Companies",$E1546=Company_Explorer!$B$5),OR(Company_Explorer!$B$6="All Platforms",$B1546=Company_Explorer!$B$6),OR(Company_Explorer!$B$7="All Roles",$D1546=Company_Explorer!$B$7),OR(Company_Explorer!$B$8="All Ghost Labels",$AG1546=Company_Explorer!$B$8)),1,0)</f>
        <v>0</v>
      </c>
    </row>
    <row r="1547" spans="1:35" ht="15" customHeight="1" x14ac:dyDescent="0.3">
      <c r="A1547" s="65" t="s">
        <v>5663</v>
      </c>
      <c r="B1547" s="65" t="s">
        <v>81</v>
      </c>
      <c r="C1547" s="65" t="s">
        <v>5664</v>
      </c>
      <c r="D1547" s="65" t="s">
        <v>126</v>
      </c>
      <c r="E1547" s="65" t="s">
        <v>3892</v>
      </c>
      <c r="F1547" s="65" t="b">
        <f>TRUE()</f>
        <v>1</v>
      </c>
      <c r="G1547" s="65" t="s">
        <v>165</v>
      </c>
      <c r="H1547" s="65" t="s">
        <v>3636</v>
      </c>
      <c r="I1547" s="66">
        <v>46209.5493746875</v>
      </c>
      <c r="J1547" s="66">
        <v>46210.283138993102</v>
      </c>
      <c r="K1547" s="65">
        <v>0.7</v>
      </c>
      <c r="L1547" s="65" t="s">
        <v>183</v>
      </c>
      <c r="M1547" s="65" t="s">
        <v>183</v>
      </c>
      <c r="N1547" s="65" t="b">
        <f>FALSE()</f>
        <v>0</v>
      </c>
      <c r="O1547" s="65"/>
      <c r="P1547" s="65"/>
      <c r="Q1547" s="65" t="s">
        <v>236</v>
      </c>
      <c r="R1547" s="65" t="s">
        <v>236</v>
      </c>
      <c r="S1547" s="65"/>
      <c r="T1547" s="65" t="b">
        <f>FALSE()</f>
        <v>0</v>
      </c>
      <c r="U1547" s="65" t="b">
        <f>FALSE()</f>
        <v>0</v>
      </c>
      <c r="V1547" s="65">
        <v>910</v>
      </c>
      <c r="W1547" s="65" t="s">
        <v>3893</v>
      </c>
      <c r="X1547" s="65">
        <v>9</v>
      </c>
      <c r="Y1547" s="68">
        <v>15.75</v>
      </c>
      <c r="Z1547" s="65" t="b">
        <f>FALSE()</f>
        <v>0</v>
      </c>
      <c r="AA1547" s="65" t="b">
        <f>TRUE()</f>
        <v>1</v>
      </c>
      <c r="AB1547" s="65" t="b">
        <f>FALSE()</f>
        <v>0</v>
      </c>
      <c r="AC1547" s="65" t="b">
        <f>FALSE()</f>
        <v>0</v>
      </c>
      <c r="AD1547" s="65" t="b">
        <f>FALSE()</f>
        <v>0</v>
      </c>
      <c r="AE1547" s="65">
        <v>1</v>
      </c>
      <c r="AF1547" s="69">
        <v>14.3</v>
      </c>
      <c r="AG1547" s="65" t="s">
        <v>74</v>
      </c>
      <c r="AH1547" s="65" t="s">
        <v>5665</v>
      </c>
      <c r="AI1547">
        <f>IF(AND(OR(Company_Explorer!$B$5="All Companies",$E1547=Company_Explorer!$B$5),OR(Company_Explorer!$B$6="All Platforms",$B1547=Company_Explorer!$B$6),OR(Company_Explorer!$B$7="All Roles",$D1547=Company_Explorer!$B$7),OR(Company_Explorer!$B$8="All Ghost Labels",$AG1547=Company_Explorer!$B$8)),1,0)</f>
        <v>0</v>
      </c>
    </row>
    <row r="1548" spans="1:35" ht="15" customHeight="1" x14ac:dyDescent="0.3">
      <c r="A1548" s="60" t="s">
        <v>5666</v>
      </c>
      <c r="B1548" s="60" t="s">
        <v>81</v>
      </c>
      <c r="C1548" s="60" t="s">
        <v>127</v>
      </c>
      <c r="D1548" s="60" t="s">
        <v>127</v>
      </c>
      <c r="E1548" s="60" t="s">
        <v>5667</v>
      </c>
      <c r="F1548" s="60" t="b">
        <f>TRUE()</f>
        <v>1</v>
      </c>
      <c r="G1548" s="60" t="s">
        <v>165</v>
      </c>
      <c r="H1548" s="60" t="s">
        <v>3805</v>
      </c>
      <c r="I1548" s="61">
        <v>46209.546740324098</v>
      </c>
      <c r="J1548" s="61">
        <v>46210.283139930601</v>
      </c>
      <c r="K1548" s="60">
        <v>0.7</v>
      </c>
      <c r="L1548" s="60" t="s">
        <v>183</v>
      </c>
      <c r="M1548" s="60" t="s">
        <v>183</v>
      </c>
      <c r="N1548" s="60" t="b">
        <f>TRUE()</f>
        <v>1</v>
      </c>
      <c r="O1548" s="70">
        <v>18000</v>
      </c>
      <c r="P1548" s="70">
        <v>35000</v>
      </c>
      <c r="Q1548" s="60" t="s">
        <v>3663</v>
      </c>
      <c r="R1548" s="60" t="s">
        <v>3664</v>
      </c>
      <c r="S1548" s="70">
        <v>318000</v>
      </c>
      <c r="T1548" s="60" t="b">
        <f>TRUE()</f>
        <v>1</v>
      </c>
      <c r="U1548" s="60" t="b">
        <f>FALSE()</f>
        <v>0</v>
      </c>
      <c r="V1548" s="60">
        <v>166</v>
      </c>
      <c r="W1548" s="62" t="s">
        <v>5668</v>
      </c>
      <c r="X1548" s="60">
        <v>1</v>
      </c>
      <c r="Y1548" s="63">
        <v>1.75</v>
      </c>
      <c r="Z1548" s="60" t="b">
        <f>FALSE()</f>
        <v>0</v>
      </c>
      <c r="AA1548" s="60" t="b">
        <f>FALSE()</f>
        <v>0</v>
      </c>
      <c r="AB1548" s="60" t="b">
        <f>TRUE()</f>
        <v>1</v>
      </c>
      <c r="AC1548" s="60" t="b">
        <f>FALSE()</f>
        <v>0</v>
      </c>
      <c r="AD1548" s="60" t="b">
        <f>FALSE()</f>
        <v>0</v>
      </c>
      <c r="AE1548" s="60">
        <v>1</v>
      </c>
      <c r="AF1548" s="64">
        <v>14.3</v>
      </c>
      <c r="AG1548" s="60" t="s">
        <v>74</v>
      </c>
      <c r="AH1548" s="60" t="s">
        <v>5669</v>
      </c>
      <c r="AI1548">
        <f>IF(AND(OR(Company_Explorer!$B$5="All Companies",$E1548=Company_Explorer!$B$5),OR(Company_Explorer!$B$6="All Platforms",$B1548=Company_Explorer!$B$6),OR(Company_Explorer!$B$7="All Roles",$D1548=Company_Explorer!$B$7),OR(Company_Explorer!$B$8="All Ghost Labels",$AG1548=Company_Explorer!$B$8)),1,0)</f>
        <v>0</v>
      </c>
    </row>
    <row r="1549" spans="1:35" ht="15" customHeight="1" x14ac:dyDescent="0.3">
      <c r="A1549" s="65" t="s">
        <v>5670</v>
      </c>
      <c r="B1549" s="65" t="s">
        <v>81</v>
      </c>
      <c r="C1549" s="65" t="s">
        <v>5671</v>
      </c>
      <c r="D1549" s="65" t="s">
        <v>126</v>
      </c>
      <c r="E1549" s="65" t="s">
        <v>5672</v>
      </c>
      <c r="F1549" s="65" t="b">
        <f>TRUE()</f>
        <v>1</v>
      </c>
      <c r="G1549" s="65" t="s">
        <v>165</v>
      </c>
      <c r="H1549" s="65" t="s">
        <v>3655</v>
      </c>
      <c r="I1549" s="66">
        <v>46209.3476248843</v>
      </c>
      <c r="J1549" s="66">
        <v>46210.28314</v>
      </c>
      <c r="K1549" s="65">
        <v>0.9</v>
      </c>
      <c r="L1549" s="65" t="s">
        <v>183</v>
      </c>
      <c r="M1549" s="65" t="s">
        <v>183</v>
      </c>
      <c r="N1549" s="65" t="b">
        <f>FALSE()</f>
        <v>0</v>
      </c>
      <c r="O1549" s="65"/>
      <c r="P1549" s="65"/>
      <c r="Q1549" s="65" t="s">
        <v>236</v>
      </c>
      <c r="R1549" s="65" t="s">
        <v>236</v>
      </c>
      <c r="S1549" s="65"/>
      <c r="T1549" s="65" t="b">
        <f>FALSE()</f>
        <v>0</v>
      </c>
      <c r="U1549" s="65" t="b">
        <f>FALSE()</f>
        <v>0</v>
      </c>
      <c r="V1549" s="65">
        <v>879</v>
      </c>
      <c r="W1549" s="67" t="s">
        <v>5673</v>
      </c>
      <c r="X1549" s="65">
        <v>1</v>
      </c>
      <c r="Y1549" s="68">
        <v>1.75</v>
      </c>
      <c r="Z1549" s="65" t="b">
        <f>FALSE()</f>
        <v>0</v>
      </c>
      <c r="AA1549" s="65" t="b">
        <f>TRUE()</f>
        <v>1</v>
      </c>
      <c r="AB1549" s="65" t="b">
        <f>FALSE()</f>
        <v>0</v>
      </c>
      <c r="AC1549" s="65" t="b">
        <f>TRUE()</f>
        <v>1</v>
      </c>
      <c r="AD1549" s="65" t="b">
        <f>FALSE()</f>
        <v>0</v>
      </c>
      <c r="AE1549" s="65">
        <v>2</v>
      </c>
      <c r="AF1549" s="69">
        <v>28.6</v>
      </c>
      <c r="AG1549" s="65" t="s">
        <v>73</v>
      </c>
      <c r="AH1549" s="65" t="s">
        <v>5674</v>
      </c>
      <c r="AI1549">
        <f>IF(AND(OR(Company_Explorer!$B$5="All Companies",$E1549=Company_Explorer!$B$5),OR(Company_Explorer!$B$6="All Platforms",$B1549=Company_Explorer!$B$6),OR(Company_Explorer!$B$7="All Roles",$D1549=Company_Explorer!$B$7),OR(Company_Explorer!$B$8="All Ghost Labels",$AG1549=Company_Explorer!$B$8)),1,0)</f>
        <v>0</v>
      </c>
    </row>
    <row r="1550" spans="1:35" ht="15" customHeight="1" x14ac:dyDescent="0.3">
      <c r="A1550" s="60" t="s">
        <v>5675</v>
      </c>
      <c r="B1550" s="60" t="s">
        <v>81</v>
      </c>
      <c r="C1550" s="60" t="s">
        <v>5676</v>
      </c>
      <c r="D1550" s="60" t="s">
        <v>126</v>
      </c>
      <c r="E1550" s="60" t="s">
        <v>719</v>
      </c>
      <c r="F1550" s="60" t="b">
        <f>TRUE()</f>
        <v>1</v>
      </c>
      <c r="G1550" s="60" t="s">
        <v>165</v>
      </c>
      <c r="H1550" s="60" t="s">
        <v>3702</v>
      </c>
      <c r="I1550" s="61">
        <v>46209.240446296302</v>
      </c>
      <c r="J1550" s="61">
        <v>46210.283140023203</v>
      </c>
      <c r="K1550" s="60">
        <v>1</v>
      </c>
      <c r="L1550" s="60" t="s">
        <v>183</v>
      </c>
      <c r="M1550" s="60" t="s">
        <v>183</v>
      </c>
      <c r="N1550" s="60" t="b">
        <f>FALSE()</f>
        <v>0</v>
      </c>
      <c r="O1550" s="60"/>
      <c r="P1550" s="60"/>
      <c r="Q1550" s="60" t="s">
        <v>236</v>
      </c>
      <c r="R1550" s="60" t="s">
        <v>236</v>
      </c>
      <c r="S1550" s="60"/>
      <c r="T1550" s="60" t="b">
        <f>FALSE()</f>
        <v>0</v>
      </c>
      <c r="U1550" s="60" t="b">
        <f>FALSE()</f>
        <v>0</v>
      </c>
      <c r="V1550" s="60">
        <v>538</v>
      </c>
      <c r="W1550" s="62" t="s">
        <v>5677</v>
      </c>
      <c r="X1550" s="60">
        <v>5</v>
      </c>
      <c r="Y1550" s="63">
        <v>8.75</v>
      </c>
      <c r="Z1550" s="60" t="b">
        <f>FALSE()</f>
        <v>0</v>
      </c>
      <c r="AA1550" s="60" t="b">
        <f>TRUE()</f>
        <v>1</v>
      </c>
      <c r="AB1550" s="60" t="b">
        <f>FALSE()</f>
        <v>0</v>
      </c>
      <c r="AC1550" s="60" t="b">
        <f>TRUE()</f>
        <v>1</v>
      </c>
      <c r="AD1550" s="60" t="b">
        <f>FALSE()</f>
        <v>0</v>
      </c>
      <c r="AE1550" s="60">
        <v>2</v>
      </c>
      <c r="AF1550" s="64">
        <v>28.6</v>
      </c>
      <c r="AG1550" s="60" t="s">
        <v>73</v>
      </c>
      <c r="AH1550" s="60" t="s">
        <v>5678</v>
      </c>
      <c r="AI1550">
        <f>IF(AND(OR(Company_Explorer!$B$5="All Companies",$E1550=Company_Explorer!$B$5),OR(Company_Explorer!$B$6="All Platforms",$B1550=Company_Explorer!$B$6),OR(Company_Explorer!$B$7="All Roles",$D1550=Company_Explorer!$B$7),OR(Company_Explorer!$B$8="All Ghost Labels",$AG1550=Company_Explorer!$B$8)),1,0)</f>
        <v>0</v>
      </c>
    </row>
    <row r="1551" spans="1:35" ht="15" customHeight="1" x14ac:dyDescent="0.3">
      <c r="A1551" s="65" t="s">
        <v>5679</v>
      </c>
      <c r="B1551" s="65" t="s">
        <v>81</v>
      </c>
      <c r="C1551" s="65" t="s">
        <v>5680</v>
      </c>
      <c r="D1551" s="65" t="s">
        <v>126</v>
      </c>
      <c r="E1551" s="65" t="s">
        <v>5681</v>
      </c>
      <c r="F1551" s="65" t="b">
        <f>TRUE()</f>
        <v>1</v>
      </c>
      <c r="G1551" s="65" t="s">
        <v>165</v>
      </c>
      <c r="H1551" s="65" t="s">
        <v>3672</v>
      </c>
      <c r="I1551" s="66">
        <v>46209.247109606498</v>
      </c>
      <c r="J1551" s="66">
        <v>46210.283140057902</v>
      </c>
      <c r="K1551" s="65">
        <v>1</v>
      </c>
      <c r="L1551" s="65" t="s">
        <v>183</v>
      </c>
      <c r="M1551" s="65" t="s">
        <v>183</v>
      </c>
      <c r="N1551" s="65" t="b">
        <f>FALSE()</f>
        <v>0</v>
      </c>
      <c r="O1551" s="65"/>
      <c r="P1551" s="65"/>
      <c r="Q1551" s="65" t="s">
        <v>3663</v>
      </c>
      <c r="R1551" s="65" t="s">
        <v>3961</v>
      </c>
      <c r="S1551" s="65"/>
      <c r="T1551" s="65" t="b">
        <f>FALSE()</f>
        <v>0</v>
      </c>
      <c r="U1551" s="65" t="b">
        <f>FALSE()</f>
        <v>0</v>
      </c>
      <c r="V1551" s="65">
        <v>293</v>
      </c>
      <c r="W1551" s="67" t="s">
        <v>5682</v>
      </c>
      <c r="X1551" s="65">
        <v>1</v>
      </c>
      <c r="Y1551" s="68">
        <v>1.75</v>
      </c>
      <c r="Z1551" s="65" t="b">
        <f>FALSE()</f>
        <v>0</v>
      </c>
      <c r="AA1551" s="65" t="b">
        <f>TRUE()</f>
        <v>1</v>
      </c>
      <c r="AB1551" s="65" t="b">
        <f>TRUE()</f>
        <v>1</v>
      </c>
      <c r="AC1551" s="65" t="b">
        <f>TRUE()</f>
        <v>1</v>
      </c>
      <c r="AD1551" s="65" t="b">
        <f>FALSE()</f>
        <v>0</v>
      </c>
      <c r="AE1551" s="65">
        <v>3</v>
      </c>
      <c r="AF1551" s="69">
        <v>42.9</v>
      </c>
      <c r="AG1551" s="65" t="s">
        <v>73</v>
      </c>
      <c r="AH1551" s="65" t="s">
        <v>5683</v>
      </c>
      <c r="AI1551">
        <f>IF(AND(OR(Company_Explorer!$B$5="All Companies",$E1551=Company_Explorer!$B$5),OR(Company_Explorer!$B$6="All Platforms",$B1551=Company_Explorer!$B$6),OR(Company_Explorer!$B$7="All Roles",$D1551=Company_Explorer!$B$7),OR(Company_Explorer!$B$8="All Ghost Labels",$AG1551=Company_Explorer!$B$8)),1,0)</f>
        <v>0</v>
      </c>
    </row>
    <row r="1552" spans="1:35" ht="15" customHeight="1" x14ac:dyDescent="0.3">
      <c r="A1552" s="60" t="s">
        <v>5684</v>
      </c>
      <c r="B1552" s="60" t="s">
        <v>81</v>
      </c>
      <c r="C1552" s="60" t="s">
        <v>5685</v>
      </c>
      <c r="D1552" s="60" t="s">
        <v>126</v>
      </c>
      <c r="E1552" s="60" t="s">
        <v>3868</v>
      </c>
      <c r="F1552" s="60" t="b">
        <f>TRUE()</f>
        <v>1</v>
      </c>
      <c r="G1552" s="60" t="s">
        <v>165</v>
      </c>
      <c r="H1552" s="60" t="s">
        <v>3672</v>
      </c>
      <c r="I1552" s="61">
        <v>46210.142847835697</v>
      </c>
      <c r="J1552" s="61">
        <v>46210.2831401273</v>
      </c>
      <c r="K1552" s="60">
        <v>0.1</v>
      </c>
      <c r="L1552" s="60" t="s">
        <v>183</v>
      </c>
      <c r="M1552" s="60" t="s">
        <v>183</v>
      </c>
      <c r="N1552" s="60" t="b">
        <f>FALSE()</f>
        <v>0</v>
      </c>
      <c r="O1552" s="60"/>
      <c r="P1552" s="60"/>
      <c r="Q1552" s="60" t="s">
        <v>236</v>
      </c>
      <c r="R1552" s="60" t="s">
        <v>236</v>
      </c>
      <c r="S1552" s="60"/>
      <c r="T1552" s="60" t="b">
        <f>FALSE()</f>
        <v>0</v>
      </c>
      <c r="U1552" s="60" t="b">
        <f>FALSE()</f>
        <v>0</v>
      </c>
      <c r="V1552" s="60">
        <v>696</v>
      </c>
      <c r="W1552" s="62" t="s">
        <v>5184</v>
      </c>
      <c r="X1552" s="60">
        <v>12</v>
      </c>
      <c r="Y1552" s="63">
        <v>21</v>
      </c>
      <c r="Z1552" s="60" t="b">
        <f>FALSE()</f>
        <v>0</v>
      </c>
      <c r="AA1552" s="60" t="b">
        <f>TRUE()</f>
        <v>1</v>
      </c>
      <c r="AB1552" s="60" t="b">
        <f>FALSE()</f>
        <v>0</v>
      </c>
      <c r="AC1552" s="60" t="b">
        <f>FALSE()</f>
        <v>0</v>
      </c>
      <c r="AD1552" s="60" t="b">
        <f>FALSE()</f>
        <v>0</v>
      </c>
      <c r="AE1552" s="60">
        <v>1</v>
      </c>
      <c r="AF1552" s="64">
        <v>14.3</v>
      </c>
      <c r="AG1552" s="60" t="s">
        <v>74</v>
      </c>
      <c r="AH1552" s="60" t="s">
        <v>5686</v>
      </c>
      <c r="AI1552">
        <f>IF(AND(OR(Company_Explorer!$B$5="All Companies",$E1552=Company_Explorer!$B$5),OR(Company_Explorer!$B$6="All Platforms",$B1552=Company_Explorer!$B$6),OR(Company_Explorer!$B$7="All Roles",$D1552=Company_Explorer!$B$7),OR(Company_Explorer!$B$8="All Ghost Labels",$AG1552=Company_Explorer!$B$8)),1,0)</f>
        <v>0</v>
      </c>
    </row>
    <row r="1553" spans="1:35" ht="15" customHeight="1" x14ac:dyDescent="0.3">
      <c r="A1553" s="65" t="s">
        <v>5687</v>
      </c>
      <c r="B1553" s="65" t="s">
        <v>81</v>
      </c>
      <c r="C1553" s="65" t="s">
        <v>5562</v>
      </c>
      <c r="D1553" s="65" t="s">
        <v>126</v>
      </c>
      <c r="E1553" s="65" t="s">
        <v>5688</v>
      </c>
      <c r="F1553" s="65" t="b">
        <f>TRUE()</f>
        <v>1</v>
      </c>
      <c r="G1553" s="65" t="s">
        <v>165</v>
      </c>
      <c r="H1553" s="65" t="s">
        <v>4442</v>
      </c>
      <c r="I1553" s="66">
        <v>46209.276999502297</v>
      </c>
      <c r="J1553" s="66">
        <v>46210.283140219901</v>
      </c>
      <c r="K1553" s="65">
        <v>1</v>
      </c>
      <c r="L1553" s="65" t="s">
        <v>183</v>
      </c>
      <c r="M1553" s="65" t="s">
        <v>183</v>
      </c>
      <c r="N1553" s="65" t="b">
        <f>TRUE()</f>
        <v>1</v>
      </c>
      <c r="O1553" s="71">
        <v>30000</v>
      </c>
      <c r="P1553" s="71">
        <v>80000</v>
      </c>
      <c r="Q1553" s="65" t="s">
        <v>3663</v>
      </c>
      <c r="R1553" s="65" t="s">
        <v>3664</v>
      </c>
      <c r="S1553" s="71">
        <v>660000</v>
      </c>
      <c r="T1553" s="65" t="b">
        <f>TRUE()</f>
        <v>1</v>
      </c>
      <c r="U1553" s="65" t="b">
        <f>FALSE()</f>
        <v>0</v>
      </c>
      <c r="V1553" s="65">
        <v>464</v>
      </c>
      <c r="W1553" s="67" t="s">
        <v>5689</v>
      </c>
      <c r="X1553" s="65">
        <v>1</v>
      </c>
      <c r="Y1553" s="68">
        <v>1.75</v>
      </c>
      <c r="Z1553" s="65" t="b">
        <f>FALSE()</f>
        <v>0</v>
      </c>
      <c r="AA1553" s="65" t="b">
        <f>FALSE()</f>
        <v>0</v>
      </c>
      <c r="AB1553" s="65" t="b">
        <f>FALSE()</f>
        <v>0</v>
      </c>
      <c r="AC1553" s="65" t="b">
        <f>TRUE()</f>
        <v>1</v>
      </c>
      <c r="AD1553" s="65" t="b">
        <f>FALSE()</f>
        <v>0</v>
      </c>
      <c r="AE1553" s="65">
        <v>1</v>
      </c>
      <c r="AF1553" s="69">
        <v>14.3</v>
      </c>
      <c r="AG1553" s="65" t="s">
        <v>74</v>
      </c>
      <c r="AH1553" s="65" t="s">
        <v>5690</v>
      </c>
      <c r="AI1553">
        <f>IF(AND(OR(Company_Explorer!$B$5="All Companies",$E1553=Company_Explorer!$B$5),OR(Company_Explorer!$B$6="All Platforms",$B1553=Company_Explorer!$B$6),OR(Company_Explorer!$B$7="All Roles",$D1553=Company_Explorer!$B$7),OR(Company_Explorer!$B$8="All Ghost Labels",$AG1553=Company_Explorer!$B$8)),1,0)</f>
        <v>0</v>
      </c>
    </row>
    <row r="1554" spans="1:35" ht="15" customHeight="1" x14ac:dyDescent="0.3">
      <c r="A1554" s="60" t="s">
        <v>5691</v>
      </c>
      <c r="B1554" s="60" t="s">
        <v>81</v>
      </c>
      <c r="C1554" s="60" t="s">
        <v>5692</v>
      </c>
      <c r="D1554" s="60" t="s">
        <v>126</v>
      </c>
      <c r="E1554" s="60" t="s">
        <v>5693</v>
      </c>
      <c r="F1554" s="60" t="b">
        <f>TRUE()</f>
        <v>1</v>
      </c>
      <c r="G1554" s="60" t="s">
        <v>165</v>
      </c>
      <c r="H1554" s="60" t="s">
        <v>3655</v>
      </c>
      <c r="I1554" s="61">
        <v>46209.357299745403</v>
      </c>
      <c r="J1554" s="61">
        <v>46210.283140185202</v>
      </c>
      <c r="K1554" s="60">
        <v>0.9</v>
      </c>
      <c r="L1554" s="60" t="s">
        <v>183</v>
      </c>
      <c r="M1554" s="60" t="s">
        <v>183</v>
      </c>
      <c r="N1554" s="60" t="b">
        <f>FALSE()</f>
        <v>0</v>
      </c>
      <c r="O1554" s="60"/>
      <c r="P1554" s="60"/>
      <c r="Q1554" s="60" t="s">
        <v>236</v>
      </c>
      <c r="R1554" s="60" t="s">
        <v>236</v>
      </c>
      <c r="S1554" s="60"/>
      <c r="T1554" s="60" t="b">
        <f>FALSE()</f>
        <v>0</v>
      </c>
      <c r="U1554" s="60" t="b">
        <f>FALSE()</f>
        <v>0</v>
      </c>
      <c r="V1554" s="60">
        <v>576</v>
      </c>
      <c r="W1554" s="62" t="s">
        <v>5694</v>
      </c>
      <c r="X1554" s="60">
        <v>2</v>
      </c>
      <c r="Y1554" s="63">
        <v>3.5</v>
      </c>
      <c r="Z1554" s="60" t="b">
        <f>FALSE()</f>
        <v>0</v>
      </c>
      <c r="AA1554" s="60" t="b">
        <f>TRUE()</f>
        <v>1</v>
      </c>
      <c r="AB1554" s="60" t="b">
        <f>FALSE()</f>
        <v>0</v>
      </c>
      <c r="AC1554" s="60" t="b">
        <f>TRUE()</f>
        <v>1</v>
      </c>
      <c r="AD1554" s="60" t="b">
        <f>FALSE()</f>
        <v>0</v>
      </c>
      <c r="AE1554" s="60">
        <v>2</v>
      </c>
      <c r="AF1554" s="64">
        <v>28.6</v>
      </c>
      <c r="AG1554" s="60" t="s">
        <v>73</v>
      </c>
      <c r="AH1554" s="60" t="s">
        <v>5695</v>
      </c>
      <c r="AI1554">
        <f>IF(AND(OR(Company_Explorer!$B$5="All Companies",$E1554=Company_Explorer!$B$5),OR(Company_Explorer!$B$6="All Platforms",$B1554=Company_Explorer!$B$6),OR(Company_Explorer!$B$7="All Roles",$D1554=Company_Explorer!$B$7),OR(Company_Explorer!$B$8="All Ghost Labels",$AG1554=Company_Explorer!$B$8)),1,0)</f>
        <v>0</v>
      </c>
    </row>
    <row r="1555" spans="1:35" ht="15" customHeight="1" x14ac:dyDescent="0.3">
      <c r="A1555" s="65" t="s">
        <v>5696</v>
      </c>
      <c r="B1555" s="65" t="s">
        <v>81</v>
      </c>
      <c r="C1555" s="65" t="s">
        <v>5697</v>
      </c>
      <c r="D1555" s="65" t="s">
        <v>126</v>
      </c>
      <c r="E1555" s="65" t="s">
        <v>5698</v>
      </c>
      <c r="F1555" s="65" t="b">
        <f>TRUE()</f>
        <v>1</v>
      </c>
      <c r="G1555" s="65" t="s">
        <v>165</v>
      </c>
      <c r="H1555" s="65" t="s">
        <v>3672</v>
      </c>
      <c r="I1555" s="66">
        <v>46209.3458707639</v>
      </c>
      <c r="J1555" s="66">
        <v>46210.283141238397</v>
      </c>
      <c r="K1555" s="65">
        <v>0.9</v>
      </c>
      <c r="L1555" s="65" t="s">
        <v>183</v>
      </c>
      <c r="M1555" s="65" t="s">
        <v>183</v>
      </c>
      <c r="N1555" s="65" t="b">
        <f>TRUE()</f>
        <v>1</v>
      </c>
      <c r="O1555" s="71">
        <v>45000</v>
      </c>
      <c r="P1555" s="71">
        <v>80000</v>
      </c>
      <c r="Q1555" s="65" t="s">
        <v>3663</v>
      </c>
      <c r="R1555" s="65" t="s">
        <v>3664</v>
      </c>
      <c r="S1555" s="71">
        <v>750000</v>
      </c>
      <c r="T1555" s="65" t="b">
        <f>TRUE()</f>
        <v>1</v>
      </c>
      <c r="U1555" s="65" t="b">
        <f>FALSE()</f>
        <v>0</v>
      </c>
      <c r="V1555" s="65">
        <v>161</v>
      </c>
      <c r="W1555" s="67" t="s">
        <v>5699</v>
      </c>
      <c r="X1555" s="65">
        <v>1</v>
      </c>
      <c r="Y1555" s="68">
        <v>1.75</v>
      </c>
      <c r="Z1555" s="65" t="b">
        <f>FALSE()</f>
        <v>0</v>
      </c>
      <c r="AA1555" s="65" t="b">
        <f>FALSE()</f>
        <v>0</v>
      </c>
      <c r="AB1555" s="65" t="b">
        <f>TRUE()</f>
        <v>1</v>
      </c>
      <c r="AC1555" s="65" t="b">
        <f>TRUE()</f>
        <v>1</v>
      </c>
      <c r="AD1555" s="65" t="b">
        <f>FALSE()</f>
        <v>0</v>
      </c>
      <c r="AE1555" s="65">
        <v>2</v>
      </c>
      <c r="AF1555" s="69">
        <v>28.6</v>
      </c>
      <c r="AG1555" s="65" t="s">
        <v>73</v>
      </c>
      <c r="AH1555" s="65" t="s">
        <v>5700</v>
      </c>
      <c r="AI1555">
        <f>IF(AND(OR(Company_Explorer!$B$5="All Companies",$E1555=Company_Explorer!$B$5),OR(Company_Explorer!$B$6="All Platforms",$B1555=Company_Explorer!$B$6),OR(Company_Explorer!$B$7="All Roles",$D1555=Company_Explorer!$B$7),OR(Company_Explorer!$B$8="All Ghost Labels",$AG1555=Company_Explorer!$B$8)),1,0)</f>
        <v>0</v>
      </c>
    </row>
    <row r="1556" spans="1:35" ht="15" customHeight="1" x14ac:dyDescent="0.3">
      <c r="A1556" s="60" t="s">
        <v>5701</v>
      </c>
      <c r="B1556" s="60" t="s">
        <v>81</v>
      </c>
      <c r="C1556" s="60" t="s">
        <v>5582</v>
      </c>
      <c r="D1556" s="60" t="s">
        <v>127</v>
      </c>
      <c r="E1556" s="60" t="s">
        <v>5702</v>
      </c>
      <c r="F1556" s="60" t="b">
        <f>TRUE()</f>
        <v>1</v>
      </c>
      <c r="G1556" s="60" t="s">
        <v>165</v>
      </c>
      <c r="H1556" s="60" t="s">
        <v>3655</v>
      </c>
      <c r="I1556" s="61">
        <v>46209.371607372697</v>
      </c>
      <c r="J1556" s="61">
        <v>46210.283142604203</v>
      </c>
      <c r="K1556" s="60">
        <v>0.9</v>
      </c>
      <c r="L1556" s="60" t="s">
        <v>183</v>
      </c>
      <c r="M1556" s="60" t="s">
        <v>183</v>
      </c>
      <c r="N1556" s="60" t="b">
        <f>TRUE()</f>
        <v>1</v>
      </c>
      <c r="O1556" s="70">
        <v>600000</v>
      </c>
      <c r="P1556" s="70">
        <v>1000000</v>
      </c>
      <c r="Q1556" s="60" t="s">
        <v>3663</v>
      </c>
      <c r="R1556" s="60" t="s">
        <v>3961</v>
      </c>
      <c r="S1556" s="70">
        <v>800000</v>
      </c>
      <c r="T1556" s="60" t="b">
        <f>TRUE()</f>
        <v>1</v>
      </c>
      <c r="U1556" s="60" t="b">
        <f>FALSE()</f>
        <v>0</v>
      </c>
      <c r="V1556" s="60">
        <v>875</v>
      </c>
      <c r="W1556" s="62" t="s">
        <v>5703</v>
      </c>
      <c r="X1556" s="60">
        <v>1</v>
      </c>
      <c r="Y1556" s="63">
        <v>1.75</v>
      </c>
      <c r="Z1556" s="60" t="b">
        <f>FALSE()</f>
        <v>0</v>
      </c>
      <c r="AA1556" s="60" t="b">
        <f>FALSE()</f>
        <v>0</v>
      </c>
      <c r="AB1556" s="60" t="b">
        <f>FALSE()</f>
        <v>0</v>
      </c>
      <c r="AC1556" s="60" t="b">
        <f>TRUE()</f>
        <v>1</v>
      </c>
      <c r="AD1556" s="60" t="b">
        <f>FALSE()</f>
        <v>0</v>
      </c>
      <c r="AE1556" s="60">
        <v>1</v>
      </c>
      <c r="AF1556" s="64">
        <v>14.3</v>
      </c>
      <c r="AG1556" s="60" t="s">
        <v>74</v>
      </c>
      <c r="AH1556" s="60" t="s">
        <v>5704</v>
      </c>
      <c r="AI1556">
        <f>IF(AND(OR(Company_Explorer!$B$5="All Companies",$E1556=Company_Explorer!$B$5),OR(Company_Explorer!$B$6="All Platforms",$B1556=Company_Explorer!$B$6),OR(Company_Explorer!$B$7="All Roles",$D1556=Company_Explorer!$B$7),OR(Company_Explorer!$B$8="All Ghost Labels",$AG1556=Company_Explorer!$B$8)),1,0)</f>
        <v>0</v>
      </c>
    </row>
    <row r="1557" spans="1:35" ht="15" customHeight="1" x14ac:dyDescent="0.3">
      <c r="A1557" s="65" t="s">
        <v>5705</v>
      </c>
      <c r="B1557" s="65" t="s">
        <v>81</v>
      </c>
      <c r="C1557" s="65" t="s">
        <v>5582</v>
      </c>
      <c r="D1557" s="65" t="s">
        <v>127</v>
      </c>
      <c r="E1557" s="65" t="s">
        <v>3445</v>
      </c>
      <c r="F1557" s="65" t="b">
        <f>TRUE()</f>
        <v>1</v>
      </c>
      <c r="G1557" s="65" t="s">
        <v>165</v>
      </c>
      <c r="H1557" s="65" t="s">
        <v>3678</v>
      </c>
      <c r="I1557" s="66">
        <v>46209.515562060202</v>
      </c>
      <c r="J1557" s="66">
        <v>46210.283142638902</v>
      </c>
      <c r="K1557" s="65">
        <v>0.8</v>
      </c>
      <c r="L1557" s="65" t="s">
        <v>183</v>
      </c>
      <c r="M1557" s="65" t="s">
        <v>183</v>
      </c>
      <c r="N1557" s="65" t="b">
        <f>FALSE()</f>
        <v>0</v>
      </c>
      <c r="O1557" s="65"/>
      <c r="P1557" s="65"/>
      <c r="Q1557" s="65" t="s">
        <v>236</v>
      </c>
      <c r="R1557" s="65" t="s">
        <v>236</v>
      </c>
      <c r="S1557" s="65"/>
      <c r="T1557" s="65" t="b">
        <f>FALSE()</f>
        <v>0</v>
      </c>
      <c r="U1557" s="65" t="b">
        <f>FALSE()</f>
        <v>0</v>
      </c>
      <c r="V1557" s="65">
        <v>286</v>
      </c>
      <c r="W1557" s="67" t="s">
        <v>5706</v>
      </c>
      <c r="X1557" s="65">
        <v>4</v>
      </c>
      <c r="Y1557" s="68">
        <v>7</v>
      </c>
      <c r="Z1557" s="65" t="b">
        <f>FALSE()</f>
        <v>0</v>
      </c>
      <c r="AA1557" s="65" t="b">
        <f>TRUE()</f>
        <v>1</v>
      </c>
      <c r="AB1557" s="65" t="b">
        <f>TRUE()</f>
        <v>1</v>
      </c>
      <c r="AC1557" s="65" t="b">
        <f>TRUE()</f>
        <v>1</v>
      </c>
      <c r="AD1557" s="65" t="b">
        <f>FALSE()</f>
        <v>0</v>
      </c>
      <c r="AE1557" s="65">
        <v>3</v>
      </c>
      <c r="AF1557" s="69">
        <v>42.9</v>
      </c>
      <c r="AG1557" s="65" t="s">
        <v>73</v>
      </c>
      <c r="AH1557" s="65" t="s">
        <v>5707</v>
      </c>
      <c r="AI1557">
        <f>IF(AND(OR(Company_Explorer!$B$5="All Companies",$E1557=Company_Explorer!$B$5),OR(Company_Explorer!$B$6="All Platforms",$B1557=Company_Explorer!$B$6),OR(Company_Explorer!$B$7="All Roles",$D1557=Company_Explorer!$B$7),OR(Company_Explorer!$B$8="All Ghost Labels",$AG1557=Company_Explorer!$B$8)),1,0)</f>
        <v>0</v>
      </c>
    </row>
    <row r="1558" spans="1:35" ht="15" customHeight="1" x14ac:dyDescent="0.3">
      <c r="A1558" s="60" t="s">
        <v>5708</v>
      </c>
      <c r="B1558" s="60" t="s">
        <v>81</v>
      </c>
      <c r="C1558" s="60" t="s">
        <v>127</v>
      </c>
      <c r="D1558" s="60" t="s">
        <v>127</v>
      </c>
      <c r="E1558" s="60" t="s">
        <v>5709</v>
      </c>
      <c r="F1558" s="60" t="b">
        <f>TRUE()</f>
        <v>1</v>
      </c>
      <c r="G1558" s="60" t="s">
        <v>165</v>
      </c>
      <c r="H1558" s="60" t="s">
        <v>3781</v>
      </c>
      <c r="I1558" s="61">
        <v>46209.2743891551</v>
      </c>
      <c r="J1558" s="61">
        <v>46210.283143541703</v>
      </c>
      <c r="K1558" s="60">
        <v>1</v>
      </c>
      <c r="L1558" s="60" t="s">
        <v>183</v>
      </c>
      <c r="M1558" s="60" t="s">
        <v>183</v>
      </c>
      <c r="N1558" s="60" t="b">
        <f>TRUE()</f>
        <v>1</v>
      </c>
      <c r="O1558" s="70">
        <v>15000</v>
      </c>
      <c r="P1558" s="70">
        <v>30000</v>
      </c>
      <c r="Q1558" s="60" t="s">
        <v>3663</v>
      </c>
      <c r="R1558" s="60" t="s">
        <v>3664</v>
      </c>
      <c r="S1558" s="70">
        <v>270000</v>
      </c>
      <c r="T1558" s="60" t="b">
        <f>TRUE()</f>
        <v>1</v>
      </c>
      <c r="U1558" s="60" t="b">
        <f>FALSE()</f>
        <v>0</v>
      </c>
      <c r="V1558" s="60">
        <v>404</v>
      </c>
      <c r="W1558" s="62" t="s">
        <v>5710</v>
      </c>
      <c r="X1558" s="60">
        <v>1</v>
      </c>
      <c r="Y1558" s="63">
        <v>1.75</v>
      </c>
      <c r="Z1558" s="60" t="b">
        <f>FALSE()</f>
        <v>0</v>
      </c>
      <c r="AA1558" s="60" t="b">
        <f>FALSE()</f>
        <v>0</v>
      </c>
      <c r="AB1558" s="60" t="b">
        <f>FALSE()</f>
        <v>0</v>
      </c>
      <c r="AC1558" s="60" t="b">
        <f>TRUE()</f>
        <v>1</v>
      </c>
      <c r="AD1558" s="60" t="b">
        <f>FALSE()</f>
        <v>0</v>
      </c>
      <c r="AE1558" s="60">
        <v>1</v>
      </c>
      <c r="AF1558" s="64">
        <v>14.3</v>
      </c>
      <c r="AG1558" s="60" t="s">
        <v>74</v>
      </c>
      <c r="AH1558" s="60" t="s">
        <v>5711</v>
      </c>
      <c r="AI1558">
        <f>IF(AND(OR(Company_Explorer!$B$5="All Companies",$E1558=Company_Explorer!$B$5),OR(Company_Explorer!$B$6="All Platforms",$B1558=Company_Explorer!$B$6),OR(Company_Explorer!$B$7="All Roles",$D1558=Company_Explorer!$B$7),OR(Company_Explorer!$B$8="All Ghost Labels",$AG1558=Company_Explorer!$B$8)),1,0)</f>
        <v>0</v>
      </c>
    </row>
    <row r="1559" spans="1:35" ht="15" customHeight="1" x14ac:dyDescent="0.3">
      <c r="A1559" s="65" t="s">
        <v>5712</v>
      </c>
      <c r="B1559" s="65" t="s">
        <v>81</v>
      </c>
      <c r="C1559" s="65" t="s">
        <v>5713</v>
      </c>
      <c r="D1559" s="65" t="s">
        <v>126</v>
      </c>
      <c r="E1559" s="65" t="s">
        <v>153</v>
      </c>
      <c r="F1559" s="65" t="b">
        <f>TRUE()</f>
        <v>1</v>
      </c>
      <c r="G1559" s="65" t="s">
        <v>165</v>
      </c>
      <c r="H1559" s="65" t="s">
        <v>3702</v>
      </c>
      <c r="I1559" s="66">
        <v>46209.277662430599</v>
      </c>
      <c r="J1559" s="66">
        <v>46210.283143564797</v>
      </c>
      <c r="K1559" s="65">
        <v>1</v>
      </c>
      <c r="L1559" s="65" t="s">
        <v>183</v>
      </c>
      <c r="M1559" s="65" t="s">
        <v>183</v>
      </c>
      <c r="N1559" s="65" t="b">
        <f>FALSE()</f>
        <v>0</v>
      </c>
      <c r="O1559" s="65"/>
      <c r="P1559" s="65"/>
      <c r="Q1559" s="65" t="s">
        <v>236</v>
      </c>
      <c r="R1559" s="65" t="s">
        <v>236</v>
      </c>
      <c r="S1559" s="65"/>
      <c r="T1559" s="65" t="b">
        <f>FALSE()</f>
        <v>0</v>
      </c>
      <c r="U1559" s="65" t="b">
        <f>FALSE()</f>
        <v>0</v>
      </c>
      <c r="V1559" s="65">
        <v>187</v>
      </c>
      <c r="W1559" s="67" t="s">
        <v>5714</v>
      </c>
      <c r="X1559" s="65">
        <v>12</v>
      </c>
      <c r="Y1559" s="68">
        <v>21</v>
      </c>
      <c r="Z1559" s="65" t="b">
        <f>FALSE()</f>
        <v>0</v>
      </c>
      <c r="AA1559" s="65" t="b">
        <f>TRUE()</f>
        <v>1</v>
      </c>
      <c r="AB1559" s="65" t="b">
        <f>TRUE()</f>
        <v>1</v>
      </c>
      <c r="AC1559" s="65" t="b">
        <f>TRUE()</f>
        <v>1</v>
      </c>
      <c r="AD1559" s="65" t="b">
        <f>FALSE()</f>
        <v>0</v>
      </c>
      <c r="AE1559" s="65">
        <v>3</v>
      </c>
      <c r="AF1559" s="69">
        <v>42.9</v>
      </c>
      <c r="AG1559" s="65" t="s">
        <v>73</v>
      </c>
      <c r="AH1559" s="65" t="s">
        <v>5715</v>
      </c>
      <c r="AI1559">
        <f>IF(AND(OR(Company_Explorer!$B$5="All Companies",$E1559=Company_Explorer!$B$5),OR(Company_Explorer!$B$6="All Platforms",$B1559=Company_Explorer!$B$6),OR(Company_Explorer!$B$7="All Roles",$D1559=Company_Explorer!$B$7),OR(Company_Explorer!$B$8="All Ghost Labels",$AG1559=Company_Explorer!$B$8)),1,0)</f>
        <v>0</v>
      </c>
    </row>
    <row r="1560" spans="1:35" ht="15" customHeight="1" x14ac:dyDescent="0.3">
      <c r="A1560" s="60" t="s">
        <v>5716</v>
      </c>
      <c r="B1560" s="60" t="s">
        <v>81</v>
      </c>
      <c r="C1560" s="60" t="s">
        <v>5562</v>
      </c>
      <c r="D1560" s="60" t="s">
        <v>126</v>
      </c>
      <c r="E1560" s="60" t="s">
        <v>3726</v>
      </c>
      <c r="F1560" s="60" t="b">
        <f>FALSE()</f>
        <v>0</v>
      </c>
      <c r="G1560" s="60" t="s">
        <v>165</v>
      </c>
      <c r="H1560" s="60" t="s">
        <v>3781</v>
      </c>
      <c r="I1560" s="61">
        <v>46209.216406713</v>
      </c>
      <c r="J1560" s="61">
        <v>46210.283143819499</v>
      </c>
      <c r="K1560" s="60">
        <v>1.1000000000000001</v>
      </c>
      <c r="L1560" s="60" t="s">
        <v>183</v>
      </c>
      <c r="M1560" s="60" t="s">
        <v>183</v>
      </c>
      <c r="N1560" s="60" t="b">
        <f>TRUE()</f>
        <v>1</v>
      </c>
      <c r="O1560" s="70">
        <v>30000</v>
      </c>
      <c r="P1560" s="70">
        <v>35000</v>
      </c>
      <c r="Q1560" s="60" t="s">
        <v>3663</v>
      </c>
      <c r="R1560" s="60" t="s">
        <v>3664</v>
      </c>
      <c r="S1560" s="70">
        <v>390000</v>
      </c>
      <c r="T1560" s="60" t="b">
        <f>TRUE()</f>
        <v>1</v>
      </c>
      <c r="U1560" s="60" t="b">
        <f>FALSE()</f>
        <v>0</v>
      </c>
      <c r="V1560" s="60">
        <v>520</v>
      </c>
      <c r="W1560" s="60" t="s">
        <v>5717</v>
      </c>
      <c r="X1560" s="60"/>
      <c r="Y1560" s="63"/>
      <c r="Z1560" s="60" t="b">
        <f>TRUE()</f>
        <v>1</v>
      </c>
      <c r="AA1560" s="60" t="b">
        <f>FALSE()</f>
        <v>0</v>
      </c>
      <c r="AB1560" s="60" t="b">
        <f>FALSE()</f>
        <v>0</v>
      </c>
      <c r="AC1560" s="60" t="b">
        <f>TRUE()</f>
        <v>1</v>
      </c>
      <c r="AD1560" s="60" t="b">
        <f>FALSE()</f>
        <v>0</v>
      </c>
      <c r="AE1560" s="60">
        <v>3</v>
      </c>
      <c r="AF1560" s="64">
        <v>42.9</v>
      </c>
      <c r="AG1560" s="60" t="s">
        <v>73</v>
      </c>
      <c r="AH1560" s="60" t="s">
        <v>5718</v>
      </c>
      <c r="AI1560">
        <f>IF(AND(OR(Company_Explorer!$B$5="All Companies",$E1560=Company_Explorer!$B$5),OR(Company_Explorer!$B$6="All Platforms",$B1560=Company_Explorer!$B$6),OR(Company_Explorer!$B$7="All Roles",$D1560=Company_Explorer!$B$7),OR(Company_Explorer!$B$8="All Ghost Labels",$AG1560=Company_Explorer!$B$8)),1,0)</f>
        <v>0</v>
      </c>
    </row>
    <row r="1561" spans="1:35" ht="15" customHeight="1" x14ac:dyDescent="0.3">
      <c r="A1561" s="65" t="s">
        <v>5719</v>
      </c>
      <c r="B1561" s="65" t="s">
        <v>81</v>
      </c>
      <c r="C1561" s="65" t="s">
        <v>127</v>
      </c>
      <c r="D1561" s="65" t="s">
        <v>127</v>
      </c>
      <c r="E1561" s="65" t="s">
        <v>5720</v>
      </c>
      <c r="F1561" s="65" t="b">
        <f>TRUE()</f>
        <v>1</v>
      </c>
      <c r="G1561" s="65" t="s">
        <v>165</v>
      </c>
      <c r="H1561" s="65" t="s">
        <v>3805</v>
      </c>
      <c r="I1561" s="66">
        <v>46209.206705509299</v>
      </c>
      <c r="J1561" s="66">
        <v>46210.2831438426</v>
      </c>
      <c r="K1561" s="65">
        <v>1.1000000000000001</v>
      </c>
      <c r="L1561" s="65" t="s">
        <v>183</v>
      </c>
      <c r="M1561" s="65" t="s">
        <v>183</v>
      </c>
      <c r="N1561" s="65" t="b">
        <f>TRUE()</f>
        <v>1</v>
      </c>
      <c r="O1561" s="71">
        <v>30000</v>
      </c>
      <c r="P1561" s="71">
        <v>50000</v>
      </c>
      <c r="Q1561" s="65" t="s">
        <v>3663</v>
      </c>
      <c r="R1561" s="65" t="s">
        <v>3664</v>
      </c>
      <c r="S1561" s="71">
        <v>480000</v>
      </c>
      <c r="T1561" s="65" t="b">
        <f>TRUE()</f>
        <v>1</v>
      </c>
      <c r="U1561" s="65" t="b">
        <f>FALSE()</f>
        <v>0</v>
      </c>
      <c r="V1561" s="65">
        <v>231</v>
      </c>
      <c r="W1561" s="67" t="s">
        <v>5721</v>
      </c>
      <c r="X1561" s="65">
        <v>1</v>
      </c>
      <c r="Y1561" s="68">
        <v>1.75</v>
      </c>
      <c r="Z1561" s="65" t="b">
        <f>FALSE()</f>
        <v>0</v>
      </c>
      <c r="AA1561" s="65" t="b">
        <f>FALSE()</f>
        <v>0</v>
      </c>
      <c r="AB1561" s="65" t="b">
        <f>TRUE()</f>
        <v>1</v>
      </c>
      <c r="AC1561" s="65" t="b">
        <f>TRUE()</f>
        <v>1</v>
      </c>
      <c r="AD1561" s="65" t="b">
        <f>FALSE()</f>
        <v>0</v>
      </c>
      <c r="AE1561" s="65">
        <v>2</v>
      </c>
      <c r="AF1561" s="69">
        <v>28.6</v>
      </c>
      <c r="AG1561" s="65" t="s">
        <v>73</v>
      </c>
      <c r="AH1561" s="65" t="s">
        <v>5722</v>
      </c>
      <c r="AI1561">
        <f>IF(AND(OR(Company_Explorer!$B$5="All Companies",$E1561=Company_Explorer!$B$5),OR(Company_Explorer!$B$6="All Platforms",$B1561=Company_Explorer!$B$6),OR(Company_Explorer!$B$7="All Roles",$D1561=Company_Explorer!$B$7),OR(Company_Explorer!$B$8="All Ghost Labels",$AG1561=Company_Explorer!$B$8)),1,0)</f>
        <v>0</v>
      </c>
    </row>
    <row r="1562" spans="1:35" ht="15" customHeight="1" x14ac:dyDescent="0.3">
      <c r="A1562" s="60" t="s">
        <v>5723</v>
      </c>
      <c r="B1562" s="60" t="s">
        <v>81</v>
      </c>
      <c r="C1562" s="60" t="s">
        <v>5622</v>
      </c>
      <c r="D1562" s="60" t="s">
        <v>126</v>
      </c>
      <c r="E1562" s="60" t="s">
        <v>341</v>
      </c>
      <c r="F1562" s="60" t="b">
        <f>TRUE()</f>
        <v>1</v>
      </c>
      <c r="G1562" s="60" t="s">
        <v>165</v>
      </c>
      <c r="H1562" s="60" t="s">
        <v>3636</v>
      </c>
      <c r="I1562" s="61">
        <v>46209.343538125002</v>
      </c>
      <c r="J1562" s="61">
        <v>46210.283144722198</v>
      </c>
      <c r="K1562" s="60">
        <v>0.9</v>
      </c>
      <c r="L1562" s="60" t="s">
        <v>183</v>
      </c>
      <c r="M1562" s="60" t="s">
        <v>183</v>
      </c>
      <c r="N1562" s="60" t="b">
        <f>FALSE()</f>
        <v>0</v>
      </c>
      <c r="O1562" s="60"/>
      <c r="P1562" s="60"/>
      <c r="Q1562" s="60" t="s">
        <v>236</v>
      </c>
      <c r="R1562" s="60" t="s">
        <v>236</v>
      </c>
      <c r="S1562" s="60"/>
      <c r="T1562" s="60" t="b">
        <f>FALSE()</f>
        <v>0</v>
      </c>
      <c r="U1562" s="60" t="b">
        <f>FALSE()</f>
        <v>0</v>
      </c>
      <c r="V1562" s="60">
        <v>541</v>
      </c>
      <c r="W1562" s="62" t="s">
        <v>5724</v>
      </c>
      <c r="X1562" s="60">
        <v>3</v>
      </c>
      <c r="Y1562" s="63">
        <v>5.25</v>
      </c>
      <c r="Z1562" s="60" t="b">
        <f>FALSE()</f>
        <v>0</v>
      </c>
      <c r="AA1562" s="60" t="b">
        <f>TRUE()</f>
        <v>1</v>
      </c>
      <c r="AB1562" s="60" t="b">
        <f>FALSE()</f>
        <v>0</v>
      </c>
      <c r="AC1562" s="60" t="b">
        <f>TRUE()</f>
        <v>1</v>
      </c>
      <c r="AD1562" s="60" t="b">
        <f>FALSE()</f>
        <v>0</v>
      </c>
      <c r="AE1562" s="60">
        <v>2</v>
      </c>
      <c r="AF1562" s="64">
        <v>28.6</v>
      </c>
      <c r="AG1562" s="60" t="s">
        <v>73</v>
      </c>
      <c r="AH1562" s="60" t="s">
        <v>5725</v>
      </c>
      <c r="AI1562">
        <f>IF(AND(OR(Company_Explorer!$B$5="All Companies",$E1562=Company_Explorer!$B$5),OR(Company_Explorer!$B$6="All Platforms",$B1562=Company_Explorer!$B$6),OR(Company_Explorer!$B$7="All Roles",$D1562=Company_Explorer!$B$7),OR(Company_Explorer!$B$8="All Ghost Labels",$AG1562=Company_Explorer!$B$8)),1,0)</f>
        <v>0</v>
      </c>
    </row>
    <row r="1563" spans="1:35" ht="15" customHeight="1" x14ac:dyDescent="0.3">
      <c r="A1563" s="65" t="s">
        <v>5726</v>
      </c>
      <c r="B1563" s="65" t="s">
        <v>81</v>
      </c>
      <c r="C1563" s="65" t="s">
        <v>3722</v>
      </c>
      <c r="D1563" s="65" t="s">
        <v>127</v>
      </c>
      <c r="E1563" s="65" t="s">
        <v>3718</v>
      </c>
      <c r="F1563" s="65" t="b">
        <f>TRUE()</f>
        <v>1</v>
      </c>
      <c r="G1563" s="65" t="s">
        <v>165</v>
      </c>
      <c r="H1563" s="65" t="s">
        <v>3636</v>
      </c>
      <c r="I1563" s="66">
        <v>46209.5504551505</v>
      </c>
      <c r="J1563" s="66">
        <v>46210.283145798603</v>
      </c>
      <c r="K1563" s="65">
        <v>0.7</v>
      </c>
      <c r="L1563" s="65" t="s">
        <v>183</v>
      </c>
      <c r="M1563" s="65" t="s">
        <v>183</v>
      </c>
      <c r="N1563" s="65" t="b">
        <f>FALSE()</f>
        <v>0</v>
      </c>
      <c r="O1563" s="65"/>
      <c r="P1563" s="65"/>
      <c r="Q1563" s="65" t="s">
        <v>236</v>
      </c>
      <c r="R1563" s="65" t="s">
        <v>236</v>
      </c>
      <c r="S1563" s="65"/>
      <c r="T1563" s="65" t="b">
        <f>FALSE()</f>
        <v>0</v>
      </c>
      <c r="U1563" s="65" t="b">
        <f>FALSE()</f>
        <v>0</v>
      </c>
      <c r="V1563" s="65">
        <v>938</v>
      </c>
      <c r="W1563" s="67" t="s">
        <v>3719</v>
      </c>
      <c r="X1563" s="65">
        <v>7</v>
      </c>
      <c r="Y1563" s="68">
        <v>12.25</v>
      </c>
      <c r="Z1563" s="65" t="b">
        <f>FALSE()</f>
        <v>0</v>
      </c>
      <c r="AA1563" s="65" t="b">
        <f>TRUE()</f>
        <v>1</v>
      </c>
      <c r="AB1563" s="65" t="b">
        <f>FALSE()</f>
        <v>0</v>
      </c>
      <c r="AC1563" s="65" t="b">
        <f>FALSE()</f>
        <v>0</v>
      </c>
      <c r="AD1563" s="65" t="b">
        <f>FALSE()</f>
        <v>0</v>
      </c>
      <c r="AE1563" s="65">
        <v>1</v>
      </c>
      <c r="AF1563" s="69">
        <v>14.3</v>
      </c>
      <c r="AG1563" s="65" t="s">
        <v>74</v>
      </c>
      <c r="AH1563" s="65" t="s">
        <v>5727</v>
      </c>
      <c r="AI1563">
        <f>IF(AND(OR(Company_Explorer!$B$5="All Companies",$E1563=Company_Explorer!$B$5),OR(Company_Explorer!$B$6="All Platforms",$B1563=Company_Explorer!$B$6),OR(Company_Explorer!$B$7="All Roles",$D1563=Company_Explorer!$B$7),OR(Company_Explorer!$B$8="All Ghost Labels",$AG1563=Company_Explorer!$B$8)),1,0)</f>
        <v>0</v>
      </c>
    </row>
    <row r="1564" spans="1:35" ht="15" customHeight="1" x14ac:dyDescent="0.3">
      <c r="A1564" s="60" t="s">
        <v>5728</v>
      </c>
      <c r="B1564" s="60" t="s">
        <v>81</v>
      </c>
      <c r="C1564" s="60" t="s">
        <v>5729</v>
      </c>
      <c r="D1564" s="60" t="s">
        <v>127</v>
      </c>
      <c r="E1564" s="60" t="s">
        <v>5730</v>
      </c>
      <c r="F1564" s="60" t="b">
        <f>TRUE()</f>
        <v>1</v>
      </c>
      <c r="G1564" s="60" t="s">
        <v>165</v>
      </c>
      <c r="H1564" s="60" t="s">
        <v>3620</v>
      </c>
      <c r="I1564" s="61">
        <v>46209.364441041696</v>
      </c>
      <c r="J1564" s="61">
        <v>46210.283148194401</v>
      </c>
      <c r="K1564" s="60">
        <v>0.9</v>
      </c>
      <c r="L1564" s="60" t="s">
        <v>183</v>
      </c>
      <c r="M1564" s="60" t="s">
        <v>183</v>
      </c>
      <c r="N1564" s="60" t="b">
        <f>FALSE()</f>
        <v>0</v>
      </c>
      <c r="O1564" s="60"/>
      <c r="P1564" s="60"/>
      <c r="Q1564" s="60" t="s">
        <v>236</v>
      </c>
      <c r="R1564" s="60" t="s">
        <v>236</v>
      </c>
      <c r="S1564" s="60"/>
      <c r="T1564" s="60" t="b">
        <f>FALSE()</f>
        <v>0</v>
      </c>
      <c r="U1564" s="60" t="b">
        <f>FALSE()</f>
        <v>0</v>
      </c>
      <c r="V1564" s="60">
        <v>204</v>
      </c>
      <c r="W1564" s="62" t="s">
        <v>5731</v>
      </c>
      <c r="X1564" s="60">
        <v>1</v>
      </c>
      <c r="Y1564" s="63">
        <v>1.75</v>
      </c>
      <c r="Z1564" s="60" t="b">
        <f>FALSE()</f>
        <v>0</v>
      </c>
      <c r="AA1564" s="60" t="b">
        <f>TRUE()</f>
        <v>1</v>
      </c>
      <c r="AB1564" s="60" t="b">
        <f>TRUE()</f>
        <v>1</v>
      </c>
      <c r="AC1564" s="60" t="b">
        <f>TRUE()</f>
        <v>1</v>
      </c>
      <c r="AD1564" s="60" t="b">
        <f>FALSE()</f>
        <v>0</v>
      </c>
      <c r="AE1564" s="60">
        <v>3</v>
      </c>
      <c r="AF1564" s="64">
        <v>42.9</v>
      </c>
      <c r="AG1564" s="60" t="s">
        <v>73</v>
      </c>
      <c r="AH1564" s="60" t="s">
        <v>5732</v>
      </c>
      <c r="AI1564">
        <f>IF(AND(OR(Company_Explorer!$B$5="All Companies",$E1564=Company_Explorer!$B$5),OR(Company_Explorer!$B$6="All Platforms",$B1564=Company_Explorer!$B$6),OR(Company_Explorer!$B$7="All Roles",$D1564=Company_Explorer!$B$7),OR(Company_Explorer!$B$8="All Ghost Labels",$AG1564=Company_Explorer!$B$8)),1,0)</f>
        <v>0</v>
      </c>
    </row>
    <row r="1565" spans="1:35" ht="15" customHeight="1" x14ac:dyDescent="0.3">
      <c r="A1565" s="65" t="s">
        <v>5733</v>
      </c>
      <c r="B1565" s="65" t="s">
        <v>81</v>
      </c>
      <c r="C1565" s="65" t="s">
        <v>5734</v>
      </c>
      <c r="D1565" s="65" t="s">
        <v>126</v>
      </c>
      <c r="E1565" s="65" t="s">
        <v>5735</v>
      </c>
      <c r="F1565" s="65" t="b">
        <f>TRUE()</f>
        <v>1</v>
      </c>
      <c r="G1565" s="65" t="s">
        <v>165</v>
      </c>
      <c r="H1565" s="65" t="s">
        <v>3672</v>
      </c>
      <c r="I1565" s="66">
        <v>46209.560151296297</v>
      </c>
      <c r="J1565" s="66">
        <v>46210.283146944399</v>
      </c>
      <c r="K1565" s="65">
        <v>0.7</v>
      </c>
      <c r="L1565" s="65" t="s">
        <v>183</v>
      </c>
      <c r="M1565" s="65" t="s">
        <v>183</v>
      </c>
      <c r="N1565" s="65" t="b">
        <f>FALSE()</f>
        <v>0</v>
      </c>
      <c r="O1565" s="65"/>
      <c r="P1565" s="65"/>
      <c r="Q1565" s="65" t="s">
        <v>236</v>
      </c>
      <c r="R1565" s="65" t="s">
        <v>236</v>
      </c>
      <c r="S1565" s="65"/>
      <c r="T1565" s="65" t="b">
        <f>FALSE()</f>
        <v>0</v>
      </c>
      <c r="U1565" s="65" t="b">
        <f>FALSE()</f>
        <v>0</v>
      </c>
      <c r="V1565" s="65">
        <v>91</v>
      </c>
      <c r="W1565" s="67" t="s">
        <v>5736</v>
      </c>
      <c r="X1565" s="65">
        <v>2</v>
      </c>
      <c r="Y1565" s="68">
        <v>3.5</v>
      </c>
      <c r="Z1565" s="65" t="b">
        <f>FALSE()</f>
        <v>0</v>
      </c>
      <c r="AA1565" s="65" t="b">
        <f>TRUE()</f>
        <v>1</v>
      </c>
      <c r="AB1565" s="65" t="b">
        <f>TRUE()</f>
        <v>1</v>
      </c>
      <c r="AC1565" s="65" t="b">
        <f>FALSE()</f>
        <v>0</v>
      </c>
      <c r="AD1565" s="65" t="b">
        <f>FALSE()</f>
        <v>0</v>
      </c>
      <c r="AE1565" s="65">
        <v>2</v>
      </c>
      <c r="AF1565" s="69">
        <v>28.6</v>
      </c>
      <c r="AG1565" s="65" t="s">
        <v>73</v>
      </c>
      <c r="AH1565" s="65" t="s">
        <v>5737</v>
      </c>
      <c r="AI1565">
        <f>IF(AND(OR(Company_Explorer!$B$5="All Companies",$E1565=Company_Explorer!$B$5),OR(Company_Explorer!$B$6="All Platforms",$B1565=Company_Explorer!$B$6),OR(Company_Explorer!$B$7="All Roles",$D1565=Company_Explorer!$B$7),OR(Company_Explorer!$B$8="All Ghost Labels",$AG1565=Company_Explorer!$B$8)),1,0)</f>
        <v>0</v>
      </c>
    </row>
    <row r="1566" spans="1:35" ht="15" customHeight="1" x14ac:dyDescent="0.3">
      <c r="A1566" s="60" t="s">
        <v>5738</v>
      </c>
      <c r="B1566" s="60" t="s">
        <v>81</v>
      </c>
      <c r="C1566" s="60" t="s">
        <v>5739</v>
      </c>
      <c r="D1566" s="60" t="s">
        <v>132</v>
      </c>
      <c r="E1566" s="60" t="s">
        <v>3892</v>
      </c>
      <c r="F1566" s="60" t="b">
        <f>TRUE()</f>
        <v>1</v>
      </c>
      <c r="G1566" s="60" t="s">
        <v>165</v>
      </c>
      <c r="H1566" s="60" t="s">
        <v>3702</v>
      </c>
      <c r="I1566" s="61">
        <v>46209.049362384299</v>
      </c>
      <c r="J1566" s="61">
        <v>46210.283149444498</v>
      </c>
      <c r="K1566" s="60">
        <v>1.2</v>
      </c>
      <c r="L1566" s="60" t="s">
        <v>183</v>
      </c>
      <c r="M1566" s="60" t="s">
        <v>183</v>
      </c>
      <c r="N1566" s="60" t="b">
        <f>FALSE()</f>
        <v>0</v>
      </c>
      <c r="O1566" s="60"/>
      <c r="P1566" s="60"/>
      <c r="Q1566" s="60" t="s">
        <v>236</v>
      </c>
      <c r="R1566" s="60" t="s">
        <v>236</v>
      </c>
      <c r="S1566" s="60"/>
      <c r="T1566" s="60" t="b">
        <f>FALSE()</f>
        <v>0</v>
      </c>
      <c r="U1566" s="60" t="b">
        <f>FALSE()</f>
        <v>0</v>
      </c>
      <c r="V1566" s="60">
        <v>794</v>
      </c>
      <c r="W1566" s="60" t="s">
        <v>3893</v>
      </c>
      <c r="X1566" s="60">
        <v>9</v>
      </c>
      <c r="Y1566" s="63">
        <v>15.75</v>
      </c>
      <c r="Z1566" s="60" t="b">
        <f>FALSE()</f>
        <v>0</v>
      </c>
      <c r="AA1566" s="60" t="b">
        <f>TRUE()</f>
        <v>1</v>
      </c>
      <c r="AB1566" s="60" t="b">
        <f>FALSE()</f>
        <v>0</v>
      </c>
      <c r="AC1566" s="60" t="b">
        <f>TRUE()</f>
        <v>1</v>
      </c>
      <c r="AD1566" s="60" t="b">
        <f>FALSE()</f>
        <v>0</v>
      </c>
      <c r="AE1566" s="60">
        <v>2</v>
      </c>
      <c r="AF1566" s="64">
        <v>28.6</v>
      </c>
      <c r="AG1566" s="60" t="s">
        <v>73</v>
      </c>
      <c r="AH1566" s="60" t="s">
        <v>5740</v>
      </c>
      <c r="AI1566">
        <f>IF(AND(OR(Company_Explorer!$B$5="All Companies",$E1566=Company_Explorer!$B$5),OR(Company_Explorer!$B$6="All Platforms",$B1566=Company_Explorer!$B$6),OR(Company_Explorer!$B$7="All Roles",$D1566=Company_Explorer!$B$7),OR(Company_Explorer!$B$8="All Ghost Labels",$AG1566=Company_Explorer!$B$8)),1,0)</f>
        <v>0</v>
      </c>
    </row>
    <row r="1567" spans="1:35" ht="15" customHeight="1" x14ac:dyDescent="0.3">
      <c r="A1567" s="65" t="s">
        <v>5741</v>
      </c>
      <c r="B1567" s="65" t="s">
        <v>81</v>
      </c>
      <c r="C1567" s="65" t="s">
        <v>5742</v>
      </c>
      <c r="D1567" s="65" t="s">
        <v>126</v>
      </c>
      <c r="E1567" s="65" t="s">
        <v>5743</v>
      </c>
      <c r="F1567" s="65" t="b">
        <f>TRUE()</f>
        <v>1</v>
      </c>
      <c r="G1567" s="65" t="s">
        <v>165</v>
      </c>
      <c r="H1567" s="65" t="s">
        <v>3655</v>
      </c>
      <c r="I1567" s="66">
        <v>46209.487959305603</v>
      </c>
      <c r="J1567" s="66">
        <v>46210.283149467599</v>
      </c>
      <c r="K1567" s="65">
        <v>0.8</v>
      </c>
      <c r="L1567" s="65" t="s">
        <v>183</v>
      </c>
      <c r="M1567" s="65" t="s">
        <v>183</v>
      </c>
      <c r="N1567" s="65" t="b">
        <f>FALSE()</f>
        <v>0</v>
      </c>
      <c r="O1567" s="65"/>
      <c r="P1567" s="65"/>
      <c r="Q1567" s="65" t="s">
        <v>236</v>
      </c>
      <c r="R1567" s="65" t="s">
        <v>236</v>
      </c>
      <c r="S1567" s="65"/>
      <c r="T1567" s="65" t="b">
        <f>FALSE()</f>
        <v>0</v>
      </c>
      <c r="U1567" s="65" t="b">
        <f>FALSE()</f>
        <v>0</v>
      </c>
      <c r="V1567" s="65">
        <v>437</v>
      </c>
      <c r="W1567" s="67" t="s">
        <v>5744</v>
      </c>
      <c r="X1567" s="65">
        <v>3</v>
      </c>
      <c r="Y1567" s="68">
        <v>5.25</v>
      </c>
      <c r="Z1567" s="65" t="b">
        <f>FALSE()</f>
        <v>0</v>
      </c>
      <c r="AA1567" s="65" t="b">
        <f>TRUE()</f>
        <v>1</v>
      </c>
      <c r="AB1567" s="65" t="b">
        <f>FALSE()</f>
        <v>0</v>
      </c>
      <c r="AC1567" s="65" t="b">
        <f>TRUE()</f>
        <v>1</v>
      </c>
      <c r="AD1567" s="65" t="b">
        <f>FALSE()</f>
        <v>0</v>
      </c>
      <c r="AE1567" s="65">
        <v>2</v>
      </c>
      <c r="AF1567" s="69">
        <v>28.6</v>
      </c>
      <c r="AG1567" s="65" t="s">
        <v>73</v>
      </c>
      <c r="AH1567" s="65" t="s">
        <v>5745</v>
      </c>
      <c r="AI1567">
        <f>IF(AND(OR(Company_Explorer!$B$5="All Companies",$E1567=Company_Explorer!$B$5),OR(Company_Explorer!$B$6="All Platforms",$B1567=Company_Explorer!$B$6),OR(Company_Explorer!$B$7="All Roles",$D1567=Company_Explorer!$B$7),OR(Company_Explorer!$B$8="All Ghost Labels",$AG1567=Company_Explorer!$B$8)),1,0)</f>
        <v>0</v>
      </c>
    </row>
    <row r="1568" spans="1:35" ht="15" customHeight="1" x14ac:dyDescent="0.3">
      <c r="A1568" s="60" t="s">
        <v>5746</v>
      </c>
      <c r="B1568" s="60" t="s">
        <v>81</v>
      </c>
      <c r="C1568" s="60" t="s">
        <v>5747</v>
      </c>
      <c r="D1568" s="60" t="s">
        <v>133</v>
      </c>
      <c r="E1568" s="60" t="s">
        <v>146</v>
      </c>
      <c r="F1568" s="60" t="b">
        <f>TRUE()</f>
        <v>1</v>
      </c>
      <c r="G1568" s="60" t="s">
        <v>165</v>
      </c>
      <c r="H1568" s="60" t="s">
        <v>3636</v>
      </c>
      <c r="I1568" s="61">
        <v>46209.327759247702</v>
      </c>
      <c r="J1568" s="61">
        <v>46210.283149513903</v>
      </c>
      <c r="K1568" s="60">
        <v>1</v>
      </c>
      <c r="L1568" s="60" t="s">
        <v>183</v>
      </c>
      <c r="M1568" s="60" t="s">
        <v>183</v>
      </c>
      <c r="N1568" s="60" t="b">
        <f>FALSE()</f>
        <v>0</v>
      </c>
      <c r="O1568" s="60"/>
      <c r="P1568" s="60"/>
      <c r="Q1568" s="60" t="s">
        <v>236</v>
      </c>
      <c r="R1568" s="60" t="s">
        <v>236</v>
      </c>
      <c r="S1568" s="60"/>
      <c r="T1568" s="60" t="b">
        <f>FALSE()</f>
        <v>0</v>
      </c>
      <c r="U1568" s="60" t="b">
        <f>FALSE()</f>
        <v>0</v>
      </c>
      <c r="V1568" s="60">
        <v>411</v>
      </c>
      <c r="W1568" s="62" t="s">
        <v>5748</v>
      </c>
      <c r="X1568" s="60">
        <v>33</v>
      </c>
      <c r="Y1568" s="63">
        <v>57.75</v>
      </c>
      <c r="Z1568" s="60" t="b">
        <f>FALSE()</f>
        <v>0</v>
      </c>
      <c r="AA1568" s="60" t="b">
        <f>TRUE()</f>
        <v>1</v>
      </c>
      <c r="AB1568" s="60" t="b">
        <f>FALSE()</f>
        <v>0</v>
      </c>
      <c r="AC1568" s="60" t="b">
        <f>TRUE()</f>
        <v>1</v>
      </c>
      <c r="AD1568" s="60" t="b">
        <f>FALSE()</f>
        <v>0</v>
      </c>
      <c r="AE1568" s="60">
        <v>2</v>
      </c>
      <c r="AF1568" s="64">
        <v>28.6</v>
      </c>
      <c r="AG1568" s="60" t="s">
        <v>73</v>
      </c>
      <c r="AH1568" s="60" t="s">
        <v>5749</v>
      </c>
      <c r="AI1568">
        <f>IF(AND(OR(Company_Explorer!$B$5="All Companies",$E1568=Company_Explorer!$B$5),OR(Company_Explorer!$B$6="All Platforms",$B1568=Company_Explorer!$B$6),OR(Company_Explorer!$B$7="All Roles",$D1568=Company_Explorer!$B$7),OR(Company_Explorer!$B$8="All Ghost Labels",$AG1568=Company_Explorer!$B$8)),1,0)</f>
        <v>0</v>
      </c>
    </row>
    <row r="1569" spans="1:35" ht="15" customHeight="1" x14ac:dyDescent="0.3">
      <c r="A1569" s="65" t="s">
        <v>5750</v>
      </c>
      <c r="B1569" s="65" t="s">
        <v>81</v>
      </c>
      <c r="C1569" s="65" t="s">
        <v>4750</v>
      </c>
      <c r="D1569" s="65" t="s">
        <v>125</v>
      </c>
      <c r="E1569" s="65" t="s">
        <v>142</v>
      </c>
      <c r="F1569" s="65" t="b">
        <f>TRUE()</f>
        <v>1</v>
      </c>
      <c r="G1569" s="65" t="s">
        <v>165</v>
      </c>
      <c r="H1569" s="65" t="s">
        <v>3636</v>
      </c>
      <c r="I1569" s="66">
        <v>46210.013563761597</v>
      </c>
      <c r="J1569" s="66">
        <v>46210.283149583302</v>
      </c>
      <c r="K1569" s="65">
        <v>0.3</v>
      </c>
      <c r="L1569" s="65" t="s">
        <v>183</v>
      </c>
      <c r="M1569" s="65" t="s">
        <v>183</v>
      </c>
      <c r="N1569" s="65" t="b">
        <f>FALSE()</f>
        <v>0</v>
      </c>
      <c r="O1569" s="65"/>
      <c r="P1569" s="65"/>
      <c r="Q1569" s="65" t="s">
        <v>236</v>
      </c>
      <c r="R1569" s="65" t="s">
        <v>236</v>
      </c>
      <c r="S1569" s="65"/>
      <c r="T1569" s="65" t="b">
        <f>FALSE()</f>
        <v>0</v>
      </c>
      <c r="U1569" s="65" t="b">
        <f>FALSE()</f>
        <v>0</v>
      </c>
      <c r="V1569" s="65">
        <v>380</v>
      </c>
      <c r="W1569" s="67" t="s">
        <v>4751</v>
      </c>
      <c r="X1569" s="65">
        <v>81</v>
      </c>
      <c r="Y1569" s="68">
        <v>141.75</v>
      </c>
      <c r="Z1569" s="65" t="b">
        <f>FALSE()</f>
        <v>0</v>
      </c>
      <c r="AA1569" s="65" t="b">
        <f>TRUE()</f>
        <v>1</v>
      </c>
      <c r="AB1569" s="65" t="b">
        <f>FALSE()</f>
        <v>0</v>
      </c>
      <c r="AC1569" s="65" t="b">
        <f>FALSE()</f>
        <v>0</v>
      </c>
      <c r="AD1569" s="65" t="b">
        <f>TRUE()</f>
        <v>1</v>
      </c>
      <c r="AE1569" s="65">
        <v>3</v>
      </c>
      <c r="AF1569" s="69">
        <v>42.9</v>
      </c>
      <c r="AG1569" s="65" t="s">
        <v>73</v>
      </c>
      <c r="AH1569" s="65" t="s">
        <v>5751</v>
      </c>
      <c r="AI1569">
        <f>IF(AND(OR(Company_Explorer!$B$5="All Companies",$E1569=Company_Explorer!$B$5),OR(Company_Explorer!$B$6="All Platforms",$B1569=Company_Explorer!$B$6),OR(Company_Explorer!$B$7="All Roles",$D1569=Company_Explorer!$B$7),OR(Company_Explorer!$B$8="All Ghost Labels",$AG1569=Company_Explorer!$B$8)),1,0)</f>
        <v>0</v>
      </c>
    </row>
    <row r="1570" spans="1:35" ht="15" customHeight="1" x14ac:dyDescent="0.3">
      <c r="A1570" s="60" t="s">
        <v>5752</v>
      </c>
      <c r="B1570" s="60" t="s">
        <v>81</v>
      </c>
      <c r="C1570" s="60" t="s">
        <v>5471</v>
      </c>
      <c r="D1570" s="60" t="s">
        <v>126</v>
      </c>
      <c r="E1570" s="60" t="s">
        <v>5472</v>
      </c>
      <c r="F1570" s="60" t="b">
        <f>TRUE()</f>
        <v>1</v>
      </c>
      <c r="G1570" s="60" t="s">
        <v>165</v>
      </c>
      <c r="H1570" s="60" t="s">
        <v>3672</v>
      </c>
      <c r="I1570" s="61">
        <v>46209.535305393503</v>
      </c>
      <c r="J1570" s="61">
        <v>46210.283150590301</v>
      </c>
      <c r="K1570" s="60">
        <v>0.7</v>
      </c>
      <c r="L1570" s="60" t="s">
        <v>183</v>
      </c>
      <c r="M1570" s="60" t="s">
        <v>183</v>
      </c>
      <c r="N1570" s="60" t="b">
        <f>FALSE()</f>
        <v>0</v>
      </c>
      <c r="O1570" s="60"/>
      <c r="P1570" s="60"/>
      <c r="Q1570" s="60" t="s">
        <v>236</v>
      </c>
      <c r="R1570" s="60" t="s">
        <v>236</v>
      </c>
      <c r="S1570" s="60"/>
      <c r="T1570" s="60" t="b">
        <f>FALSE()</f>
        <v>0</v>
      </c>
      <c r="U1570" s="60" t="b">
        <f>FALSE()</f>
        <v>0</v>
      </c>
      <c r="V1570" s="60">
        <v>790</v>
      </c>
      <c r="W1570" s="62" t="s">
        <v>5753</v>
      </c>
      <c r="X1570" s="60">
        <v>2</v>
      </c>
      <c r="Y1570" s="63">
        <v>3.5</v>
      </c>
      <c r="Z1570" s="60" t="b">
        <f>FALSE()</f>
        <v>0</v>
      </c>
      <c r="AA1570" s="60" t="b">
        <f>TRUE()</f>
        <v>1</v>
      </c>
      <c r="AB1570" s="60" t="b">
        <f>FALSE()</f>
        <v>0</v>
      </c>
      <c r="AC1570" s="60" t="b">
        <f>TRUE()</f>
        <v>1</v>
      </c>
      <c r="AD1570" s="60" t="b">
        <f>FALSE()</f>
        <v>0</v>
      </c>
      <c r="AE1570" s="60">
        <v>2</v>
      </c>
      <c r="AF1570" s="64">
        <v>28.6</v>
      </c>
      <c r="AG1570" s="60" t="s">
        <v>73</v>
      </c>
      <c r="AH1570" s="60" t="s">
        <v>5754</v>
      </c>
      <c r="AI1570">
        <f>IF(AND(OR(Company_Explorer!$B$5="All Companies",$E1570=Company_Explorer!$B$5),OR(Company_Explorer!$B$6="All Platforms",$B1570=Company_Explorer!$B$6),OR(Company_Explorer!$B$7="All Roles",$D1570=Company_Explorer!$B$7),OR(Company_Explorer!$B$8="All Ghost Labels",$AG1570=Company_Explorer!$B$8)),1,0)</f>
        <v>0</v>
      </c>
    </row>
    <row r="1571" spans="1:35" ht="15" customHeight="1" x14ac:dyDescent="0.3">
      <c r="A1571" s="65" t="s">
        <v>5755</v>
      </c>
      <c r="B1571" s="65" t="s">
        <v>81</v>
      </c>
      <c r="C1571" s="65" t="s">
        <v>5756</v>
      </c>
      <c r="D1571" s="65" t="s">
        <v>127</v>
      </c>
      <c r="E1571" s="65" t="s">
        <v>5757</v>
      </c>
      <c r="F1571" s="65" t="b">
        <f>TRUE()</f>
        <v>1</v>
      </c>
      <c r="G1571" s="65" t="s">
        <v>177</v>
      </c>
      <c r="H1571" s="65" t="s">
        <v>165</v>
      </c>
      <c r="I1571" s="66">
        <v>46209.153538749997</v>
      </c>
      <c r="J1571" s="66">
        <v>46210.283150567098</v>
      </c>
      <c r="K1571" s="65">
        <v>1.1000000000000001</v>
      </c>
      <c r="L1571" s="65" t="s">
        <v>183</v>
      </c>
      <c r="M1571" s="65" t="s">
        <v>183</v>
      </c>
      <c r="N1571" s="65" t="b">
        <f>FALSE()</f>
        <v>0</v>
      </c>
      <c r="O1571" s="65"/>
      <c r="P1571" s="65"/>
      <c r="Q1571" s="65" t="s">
        <v>3663</v>
      </c>
      <c r="R1571" s="65" t="s">
        <v>3664</v>
      </c>
      <c r="S1571" s="65"/>
      <c r="T1571" s="65" t="b">
        <f>FALSE()</f>
        <v>0</v>
      </c>
      <c r="U1571" s="65" t="b">
        <f>FALSE()</f>
        <v>0</v>
      </c>
      <c r="V1571" s="65">
        <v>71</v>
      </c>
      <c r="W1571" s="67" t="s">
        <v>5758</v>
      </c>
      <c r="X1571" s="65">
        <v>1</v>
      </c>
      <c r="Y1571" s="68">
        <v>1.75</v>
      </c>
      <c r="Z1571" s="65" t="b">
        <f>FALSE()</f>
        <v>0</v>
      </c>
      <c r="AA1571" s="65" t="b">
        <f>TRUE()</f>
        <v>1</v>
      </c>
      <c r="AB1571" s="65" t="b">
        <f>TRUE()</f>
        <v>1</v>
      </c>
      <c r="AC1571" s="65" t="b">
        <f>TRUE()</f>
        <v>1</v>
      </c>
      <c r="AD1571" s="65" t="b">
        <f>FALSE()</f>
        <v>0</v>
      </c>
      <c r="AE1571" s="65">
        <v>3</v>
      </c>
      <c r="AF1571" s="69">
        <v>42.9</v>
      </c>
      <c r="AG1571" s="65" t="s">
        <v>73</v>
      </c>
      <c r="AH1571" s="65" t="s">
        <v>5759</v>
      </c>
      <c r="AI1571">
        <f>IF(AND(OR(Company_Explorer!$B$5="All Companies",$E1571=Company_Explorer!$B$5),OR(Company_Explorer!$B$6="All Platforms",$B1571=Company_Explorer!$B$6),OR(Company_Explorer!$B$7="All Roles",$D1571=Company_Explorer!$B$7),OR(Company_Explorer!$B$8="All Ghost Labels",$AG1571=Company_Explorer!$B$8)),1,0)</f>
        <v>0</v>
      </c>
    </row>
    <row r="1572" spans="1:35" ht="15" customHeight="1" x14ac:dyDescent="0.3">
      <c r="A1572" s="60" t="s">
        <v>5760</v>
      </c>
      <c r="B1572" s="60" t="s">
        <v>81</v>
      </c>
      <c r="C1572" s="60" t="s">
        <v>5761</v>
      </c>
      <c r="D1572" s="60" t="s">
        <v>126</v>
      </c>
      <c r="E1572" s="60" t="s">
        <v>146</v>
      </c>
      <c r="F1572" s="60" t="b">
        <f>TRUE()</f>
        <v>1</v>
      </c>
      <c r="G1572" s="60" t="s">
        <v>165</v>
      </c>
      <c r="H1572" s="60" t="s">
        <v>3636</v>
      </c>
      <c r="I1572" s="61">
        <v>46209.327764722198</v>
      </c>
      <c r="J1572" s="61">
        <v>46210.283150659699</v>
      </c>
      <c r="K1572" s="60">
        <v>1</v>
      </c>
      <c r="L1572" s="60" t="s">
        <v>183</v>
      </c>
      <c r="M1572" s="60" t="s">
        <v>183</v>
      </c>
      <c r="N1572" s="60" t="b">
        <f>FALSE()</f>
        <v>0</v>
      </c>
      <c r="O1572" s="60"/>
      <c r="P1572" s="60"/>
      <c r="Q1572" s="60" t="s">
        <v>236</v>
      </c>
      <c r="R1572" s="60" t="s">
        <v>236</v>
      </c>
      <c r="S1572" s="60"/>
      <c r="T1572" s="60" t="b">
        <f>FALSE()</f>
        <v>0</v>
      </c>
      <c r="U1572" s="60" t="b">
        <f>FALSE()</f>
        <v>0</v>
      </c>
      <c r="V1572" s="60">
        <v>591</v>
      </c>
      <c r="W1572" s="62" t="s">
        <v>5762</v>
      </c>
      <c r="X1572" s="60">
        <v>33</v>
      </c>
      <c r="Y1572" s="63">
        <v>57.75</v>
      </c>
      <c r="Z1572" s="60" t="b">
        <f>FALSE()</f>
        <v>0</v>
      </c>
      <c r="AA1572" s="60" t="b">
        <f>TRUE()</f>
        <v>1</v>
      </c>
      <c r="AB1572" s="60" t="b">
        <f>FALSE()</f>
        <v>0</v>
      </c>
      <c r="AC1572" s="60" t="b">
        <f>TRUE()</f>
        <v>1</v>
      </c>
      <c r="AD1572" s="60" t="b">
        <f>FALSE()</f>
        <v>0</v>
      </c>
      <c r="AE1572" s="60">
        <v>2</v>
      </c>
      <c r="AF1572" s="64">
        <v>28.6</v>
      </c>
      <c r="AG1572" s="60" t="s">
        <v>73</v>
      </c>
      <c r="AH1572" s="60" t="s">
        <v>5763</v>
      </c>
      <c r="AI1572">
        <f>IF(AND(OR(Company_Explorer!$B$5="All Companies",$E1572=Company_Explorer!$B$5),OR(Company_Explorer!$B$6="All Platforms",$B1572=Company_Explorer!$B$6),OR(Company_Explorer!$B$7="All Roles",$D1572=Company_Explorer!$B$7),OR(Company_Explorer!$B$8="All Ghost Labels",$AG1572=Company_Explorer!$B$8)),1,0)</f>
        <v>0</v>
      </c>
    </row>
    <row r="1573" spans="1:35" ht="15" customHeight="1" x14ac:dyDescent="0.3">
      <c r="A1573" s="65" t="s">
        <v>5764</v>
      </c>
      <c r="B1573" s="65" t="s">
        <v>81</v>
      </c>
      <c r="C1573" s="65" t="s">
        <v>5765</v>
      </c>
      <c r="D1573" s="65" t="s">
        <v>125</v>
      </c>
      <c r="E1573" s="65" t="s">
        <v>3726</v>
      </c>
      <c r="F1573" s="65" t="b">
        <f>FALSE()</f>
        <v>0</v>
      </c>
      <c r="G1573" s="65" t="s">
        <v>165</v>
      </c>
      <c r="H1573" s="65" t="s">
        <v>3630</v>
      </c>
      <c r="I1573" s="66">
        <v>46209.059845844902</v>
      </c>
      <c r="J1573" s="66">
        <v>46210.283151782402</v>
      </c>
      <c r="K1573" s="65">
        <v>1.2</v>
      </c>
      <c r="L1573" s="65" t="s">
        <v>183</v>
      </c>
      <c r="M1573" s="65" t="s">
        <v>183</v>
      </c>
      <c r="N1573" s="65" t="b">
        <f>TRUE()</f>
        <v>1</v>
      </c>
      <c r="O1573" s="71">
        <v>25000</v>
      </c>
      <c r="P1573" s="71">
        <v>40000</v>
      </c>
      <c r="Q1573" s="65" t="s">
        <v>3663</v>
      </c>
      <c r="R1573" s="65" t="s">
        <v>3664</v>
      </c>
      <c r="S1573" s="71">
        <v>390000</v>
      </c>
      <c r="T1573" s="65" t="b">
        <f>TRUE()</f>
        <v>1</v>
      </c>
      <c r="U1573" s="65" t="b">
        <f>FALSE()</f>
        <v>0</v>
      </c>
      <c r="V1573" s="65">
        <v>183</v>
      </c>
      <c r="W1573" s="67" t="s">
        <v>5766</v>
      </c>
      <c r="X1573" s="65"/>
      <c r="Y1573" s="68"/>
      <c r="Z1573" s="65" t="b">
        <f>TRUE()</f>
        <v>1</v>
      </c>
      <c r="AA1573" s="65" t="b">
        <f>FALSE()</f>
        <v>0</v>
      </c>
      <c r="AB1573" s="65" t="b">
        <f>TRUE()</f>
        <v>1</v>
      </c>
      <c r="AC1573" s="65" t="b">
        <f>TRUE()</f>
        <v>1</v>
      </c>
      <c r="AD1573" s="65" t="b">
        <f>FALSE()</f>
        <v>0</v>
      </c>
      <c r="AE1573" s="65">
        <v>4</v>
      </c>
      <c r="AF1573" s="69">
        <v>57.1</v>
      </c>
      <c r="AG1573" s="65" t="s">
        <v>72</v>
      </c>
      <c r="AH1573" s="65" t="s">
        <v>5767</v>
      </c>
      <c r="AI1573">
        <f>IF(AND(OR(Company_Explorer!$B$5="All Companies",$E1573=Company_Explorer!$B$5),OR(Company_Explorer!$B$6="All Platforms",$B1573=Company_Explorer!$B$6),OR(Company_Explorer!$B$7="All Roles",$D1573=Company_Explorer!$B$7),OR(Company_Explorer!$B$8="All Ghost Labels",$AG1573=Company_Explorer!$B$8)),1,0)</f>
        <v>0</v>
      </c>
    </row>
    <row r="1574" spans="1:35" ht="15" customHeight="1" x14ac:dyDescent="0.3">
      <c r="A1574" s="60" t="s">
        <v>5768</v>
      </c>
      <c r="B1574" s="60" t="s">
        <v>81</v>
      </c>
      <c r="C1574" s="60" t="s">
        <v>5031</v>
      </c>
      <c r="D1574" s="60" t="s">
        <v>125</v>
      </c>
      <c r="E1574" s="60" t="s">
        <v>4610</v>
      </c>
      <c r="F1574" s="60" t="b">
        <f>TRUE()</f>
        <v>1</v>
      </c>
      <c r="G1574" s="60" t="s">
        <v>165</v>
      </c>
      <c r="H1574" s="60" t="s">
        <v>4661</v>
      </c>
      <c r="I1574" s="61">
        <v>46209.488647025501</v>
      </c>
      <c r="J1574" s="61">
        <v>46210.283151747703</v>
      </c>
      <c r="K1574" s="60">
        <v>0.8</v>
      </c>
      <c r="L1574" s="60" t="s">
        <v>183</v>
      </c>
      <c r="M1574" s="60" t="s">
        <v>183</v>
      </c>
      <c r="N1574" s="60" t="b">
        <f>FALSE()</f>
        <v>0</v>
      </c>
      <c r="O1574" s="60"/>
      <c r="P1574" s="60"/>
      <c r="Q1574" s="60" t="s">
        <v>236</v>
      </c>
      <c r="R1574" s="60" t="s">
        <v>236</v>
      </c>
      <c r="S1574" s="60"/>
      <c r="T1574" s="60" t="b">
        <f>FALSE()</f>
        <v>0</v>
      </c>
      <c r="U1574" s="60" t="b">
        <f>FALSE()</f>
        <v>0</v>
      </c>
      <c r="V1574" s="60">
        <v>730</v>
      </c>
      <c r="W1574" s="62" t="s">
        <v>5032</v>
      </c>
      <c r="X1574" s="60">
        <v>12</v>
      </c>
      <c r="Y1574" s="63">
        <v>21</v>
      </c>
      <c r="Z1574" s="60" t="b">
        <f>FALSE()</f>
        <v>0</v>
      </c>
      <c r="AA1574" s="60" t="b">
        <f>TRUE()</f>
        <v>1</v>
      </c>
      <c r="AB1574" s="60" t="b">
        <f>FALSE()</f>
        <v>0</v>
      </c>
      <c r="AC1574" s="60" t="b">
        <f>TRUE()</f>
        <v>1</v>
      </c>
      <c r="AD1574" s="60" t="b">
        <f>FALSE()</f>
        <v>0</v>
      </c>
      <c r="AE1574" s="60">
        <v>2</v>
      </c>
      <c r="AF1574" s="64">
        <v>28.6</v>
      </c>
      <c r="AG1574" s="60" t="s">
        <v>73</v>
      </c>
      <c r="AH1574" s="60" t="s">
        <v>5769</v>
      </c>
      <c r="AI1574">
        <f>IF(AND(OR(Company_Explorer!$B$5="All Companies",$E1574=Company_Explorer!$B$5),OR(Company_Explorer!$B$6="All Platforms",$B1574=Company_Explorer!$B$6),OR(Company_Explorer!$B$7="All Roles",$D1574=Company_Explorer!$B$7),OR(Company_Explorer!$B$8="All Ghost Labels",$AG1574=Company_Explorer!$B$8)),1,0)</f>
        <v>0</v>
      </c>
    </row>
    <row r="1575" spans="1:35" ht="15" customHeight="1" x14ac:dyDescent="0.3">
      <c r="A1575" s="65" t="s">
        <v>5770</v>
      </c>
      <c r="B1575" s="65" t="s">
        <v>81</v>
      </c>
      <c r="C1575" s="65" t="s">
        <v>5771</v>
      </c>
      <c r="D1575" s="65" t="s">
        <v>127</v>
      </c>
      <c r="E1575" s="65" t="s">
        <v>156</v>
      </c>
      <c r="F1575" s="65" t="b">
        <f>TRUE()</f>
        <v>1</v>
      </c>
      <c r="G1575" s="65" t="s">
        <v>165</v>
      </c>
      <c r="H1575" s="65" t="s">
        <v>3655</v>
      </c>
      <c r="I1575" s="66">
        <v>46209.477059351899</v>
      </c>
      <c r="J1575" s="66">
        <v>46210.283151898198</v>
      </c>
      <c r="K1575" s="65">
        <v>0.8</v>
      </c>
      <c r="L1575" s="65" t="s">
        <v>183</v>
      </c>
      <c r="M1575" s="65" t="s">
        <v>183</v>
      </c>
      <c r="N1575" s="65" t="b">
        <f>FALSE()</f>
        <v>0</v>
      </c>
      <c r="O1575" s="65"/>
      <c r="P1575" s="65"/>
      <c r="Q1575" s="65" t="s">
        <v>236</v>
      </c>
      <c r="R1575" s="65" t="s">
        <v>236</v>
      </c>
      <c r="S1575" s="65"/>
      <c r="T1575" s="65" t="b">
        <f>FALSE()</f>
        <v>0</v>
      </c>
      <c r="U1575" s="65" t="b">
        <f>FALSE()</f>
        <v>0</v>
      </c>
      <c r="V1575" s="65">
        <v>594</v>
      </c>
      <c r="W1575" s="67" t="s">
        <v>5772</v>
      </c>
      <c r="X1575" s="65">
        <v>14</v>
      </c>
      <c r="Y1575" s="68">
        <v>24.5</v>
      </c>
      <c r="Z1575" s="65" t="b">
        <f>FALSE()</f>
        <v>0</v>
      </c>
      <c r="AA1575" s="65" t="b">
        <f>TRUE()</f>
        <v>1</v>
      </c>
      <c r="AB1575" s="65" t="b">
        <f>FALSE()</f>
        <v>0</v>
      </c>
      <c r="AC1575" s="65" t="b">
        <f>TRUE()</f>
        <v>1</v>
      </c>
      <c r="AD1575" s="65" t="b">
        <f>FALSE()</f>
        <v>0</v>
      </c>
      <c r="AE1575" s="65">
        <v>2</v>
      </c>
      <c r="AF1575" s="69">
        <v>28.6</v>
      </c>
      <c r="AG1575" s="65" t="s">
        <v>73</v>
      </c>
      <c r="AH1575" s="65" t="s">
        <v>5773</v>
      </c>
      <c r="AI1575">
        <f>IF(AND(OR(Company_Explorer!$B$5="All Companies",$E1575=Company_Explorer!$B$5),OR(Company_Explorer!$B$6="All Platforms",$B1575=Company_Explorer!$B$6),OR(Company_Explorer!$B$7="All Roles",$D1575=Company_Explorer!$B$7),OR(Company_Explorer!$B$8="All Ghost Labels",$AG1575=Company_Explorer!$B$8)),1,0)</f>
        <v>0</v>
      </c>
    </row>
    <row r="1576" spans="1:35" ht="15" customHeight="1" x14ac:dyDescent="0.3">
      <c r="A1576" s="60" t="s">
        <v>5774</v>
      </c>
      <c r="B1576" s="60" t="s">
        <v>81</v>
      </c>
      <c r="C1576" s="60" t="s">
        <v>5775</v>
      </c>
      <c r="D1576" s="60" t="s">
        <v>126</v>
      </c>
      <c r="E1576" s="60" t="s">
        <v>5776</v>
      </c>
      <c r="F1576" s="60" t="b">
        <f>TRUE()</f>
        <v>1</v>
      </c>
      <c r="G1576" s="60" t="s">
        <v>165</v>
      </c>
      <c r="H1576" s="60" t="s">
        <v>3781</v>
      </c>
      <c r="I1576" s="61">
        <v>46209.179122731497</v>
      </c>
      <c r="J1576" s="61">
        <v>46210.283152800897</v>
      </c>
      <c r="K1576" s="60">
        <v>1.1000000000000001</v>
      </c>
      <c r="L1576" s="60" t="s">
        <v>183</v>
      </c>
      <c r="M1576" s="60" t="s">
        <v>183</v>
      </c>
      <c r="N1576" s="60" t="b">
        <f>TRUE()</f>
        <v>1</v>
      </c>
      <c r="O1576" s="70">
        <v>18000</v>
      </c>
      <c r="P1576" s="70">
        <v>22000</v>
      </c>
      <c r="Q1576" s="60" t="s">
        <v>3663</v>
      </c>
      <c r="R1576" s="60" t="s">
        <v>3664</v>
      </c>
      <c r="S1576" s="70">
        <v>240000</v>
      </c>
      <c r="T1576" s="60" t="b">
        <f>TRUE()</f>
        <v>1</v>
      </c>
      <c r="U1576" s="60" t="b">
        <f>FALSE()</f>
        <v>0</v>
      </c>
      <c r="V1576" s="60">
        <v>406</v>
      </c>
      <c r="W1576" s="62" t="s">
        <v>5777</v>
      </c>
      <c r="X1576" s="60">
        <v>1</v>
      </c>
      <c r="Y1576" s="63">
        <v>1.75</v>
      </c>
      <c r="Z1576" s="60" t="b">
        <f>FALSE()</f>
        <v>0</v>
      </c>
      <c r="AA1576" s="60" t="b">
        <f>FALSE()</f>
        <v>0</v>
      </c>
      <c r="AB1576" s="60" t="b">
        <f>FALSE()</f>
        <v>0</v>
      </c>
      <c r="AC1576" s="60" t="b">
        <f>TRUE()</f>
        <v>1</v>
      </c>
      <c r="AD1576" s="60" t="b">
        <f>FALSE()</f>
        <v>0</v>
      </c>
      <c r="AE1576" s="60">
        <v>1</v>
      </c>
      <c r="AF1576" s="64">
        <v>14.3</v>
      </c>
      <c r="AG1576" s="60" t="s">
        <v>74</v>
      </c>
      <c r="AH1576" s="60" t="s">
        <v>5778</v>
      </c>
      <c r="AI1576">
        <f>IF(AND(OR(Company_Explorer!$B$5="All Companies",$E1576=Company_Explorer!$B$5),OR(Company_Explorer!$B$6="All Platforms",$B1576=Company_Explorer!$B$6),OR(Company_Explorer!$B$7="All Roles",$D1576=Company_Explorer!$B$7),OR(Company_Explorer!$B$8="All Ghost Labels",$AG1576=Company_Explorer!$B$8)),1,0)</f>
        <v>0</v>
      </c>
    </row>
    <row r="1577" spans="1:35" ht="15" customHeight="1" x14ac:dyDescent="0.3">
      <c r="A1577" s="65" t="s">
        <v>5779</v>
      </c>
      <c r="B1577" s="65" t="s">
        <v>81</v>
      </c>
      <c r="C1577" s="65" t="s">
        <v>5780</v>
      </c>
      <c r="D1577" s="65" t="s">
        <v>127</v>
      </c>
      <c r="E1577" s="65" t="s">
        <v>5781</v>
      </c>
      <c r="F1577" s="65" t="b">
        <f>TRUE()</f>
        <v>1</v>
      </c>
      <c r="G1577" s="65" t="s">
        <v>165</v>
      </c>
      <c r="H1577" s="65" t="s">
        <v>3630</v>
      </c>
      <c r="I1577" s="66">
        <v>46209.541173391197</v>
      </c>
      <c r="J1577" s="66">
        <v>46210.283152870397</v>
      </c>
      <c r="K1577" s="65">
        <v>0.7</v>
      </c>
      <c r="L1577" s="65" t="s">
        <v>183</v>
      </c>
      <c r="M1577" s="65" t="s">
        <v>183</v>
      </c>
      <c r="N1577" s="65" t="b">
        <f>TRUE()</f>
        <v>1</v>
      </c>
      <c r="O1577" s="71">
        <v>350000</v>
      </c>
      <c r="P1577" s="71">
        <v>700000</v>
      </c>
      <c r="Q1577" s="65" t="s">
        <v>3663</v>
      </c>
      <c r="R1577" s="65" t="s">
        <v>3961</v>
      </c>
      <c r="S1577" s="71">
        <v>525000</v>
      </c>
      <c r="T1577" s="65" t="b">
        <f>TRUE()</f>
        <v>1</v>
      </c>
      <c r="U1577" s="65" t="b">
        <f>FALSE()</f>
        <v>0</v>
      </c>
      <c r="V1577" s="65">
        <v>251</v>
      </c>
      <c r="W1577" s="65" t="s">
        <v>5782</v>
      </c>
      <c r="X1577" s="65">
        <v>1</v>
      </c>
      <c r="Y1577" s="68">
        <v>1.75</v>
      </c>
      <c r="Z1577" s="65" t="b">
        <f>FALSE()</f>
        <v>0</v>
      </c>
      <c r="AA1577" s="65" t="b">
        <f>FALSE()</f>
        <v>0</v>
      </c>
      <c r="AB1577" s="65" t="b">
        <f>TRUE()</f>
        <v>1</v>
      </c>
      <c r="AC1577" s="65" t="b">
        <f>TRUE()</f>
        <v>1</v>
      </c>
      <c r="AD1577" s="65" t="b">
        <f>FALSE()</f>
        <v>0</v>
      </c>
      <c r="AE1577" s="65">
        <v>2</v>
      </c>
      <c r="AF1577" s="69">
        <v>28.6</v>
      </c>
      <c r="AG1577" s="65" t="s">
        <v>73</v>
      </c>
      <c r="AH1577" s="65" t="s">
        <v>5783</v>
      </c>
      <c r="AI1577">
        <f>IF(AND(OR(Company_Explorer!$B$5="All Companies",$E1577=Company_Explorer!$B$5),OR(Company_Explorer!$B$6="All Platforms",$B1577=Company_Explorer!$B$6),OR(Company_Explorer!$B$7="All Roles",$D1577=Company_Explorer!$B$7),OR(Company_Explorer!$B$8="All Ghost Labels",$AG1577=Company_Explorer!$B$8)),1,0)</f>
        <v>0</v>
      </c>
    </row>
    <row r="1578" spans="1:35" ht="15" customHeight="1" x14ac:dyDescent="0.3">
      <c r="A1578" s="60" t="s">
        <v>5784</v>
      </c>
      <c r="B1578" s="60" t="s">
        <v>81</v>
      </c>
      <c r="C1578" s="60" t="s">
        <v>5785</v>
      </c>
      <c r="D1578" s="60" t="s">
        <v>126</v>
      </c>
      <c r="E1578" s="60" t="s">
        <v>5786</v>
      </c>
      <c r="F1578" s="60" t="b">
        <f>TRUE()</f>
        <v>1</v>
      </c>
      <c r="G1578" s="60" t="s">
        <v>165</v>
      </c>
      <c r="H1578" s="60" t="s">
        <v>5787</v>
      </c>
      <c r="I1578" s="61">
        <v>46209.541145324103</v>
      </c>
      <c r="J1578" s="61">
        <v>46210.283152893498</v>
      </c>
      <c r="K1578" s="60">
        <v>0.7</v>
      </c>
      <c r="L1578" s="60" t="s">
        <v>183</v>
      </c>
      <c r="M1578" s="60" t="s">
        <v>183</v>
      </c>
      <c r="N1578" s="60" t="b">
        <f>TRUE()</f>
        <v>1</v>
      </c>
      <c r="O1578" s="70">
        <v>15000</v>
      </c>
      <c r="P1578" s="70">
        <v>35000</v>
      </c>
      <c r="Q1578" s="60" t="s">
        <v>3663</v>
      </c>
      <c r="R1578" s="60" t="s">
        <v>3664</v>
      </c>
      <c r="S1578" s="70">
        <v>300000</v>
      </c>
      <c r="T1578" s="60" t="b">
        <f>TRUE()</f>
        <v>1</v>
      </c>
      <c r="U1578" s="60" t="b">
        <f>FALSE()</f>
        <v>0</v>
      </c>
      <c r="V1578" s="60">
        <v>22</v>
      </c>
      <c r="W1578" s="62" t="s">
        <v>5788</v>
      </c>
      <c r="X1578" s="60">
        <v>1</v>
      </c>
      <c r="Y1578" s="63">
        <v>1.75</v>
      </c>
      <c r="Z1578" s="60" t="b">
        <f>FALSE()</f>
        <v>0</v>
      </c>
      <c r="AA1578" s="60" t="b">
        <f>FALSE()</f>
        <v>0</v>
      </c>
      <c r="AB1578" s="60" t="b">
        <f>TRUE()</f>
        <v>1</v>
      </c>
      <c r="AC1578" s="60" t="b">
        <f>TRUE()</f>
        <v>1</v>
      </c>
      <c r="AD1578" s="60" t="b">
        <f>FALSE()</f>
        <v>0</v>
      </c>
      <c r="AE1578" s="60">
        <v>2</v>
      </c>
      <c r="AF1578" s="64">
        <v>28.6</v>
      </c>
      <c r="AG1578" s="60" t="s">
        <v>73</v>
      </c>
      <c r="AH1578" s="60" t="s">
        <v>5789</v>
      </c>
      <c r="AI1578">
        <f>IF(AND(OR(Company_Explorer!$B$5="All Companies",$E1578=Company_Explorer!$B$5),OR(Company_Explorer!$B$6="All Platforms",$B1578=Company_Explorer!$B$6),OR(Company_Explorer!$B$7="All Roles",$D1578=Company_Explorer!$B$7),OR(Company_Explorer!$B$8="All Ghost Labels",$AG1578=Company_Explorer!$B$8)),1,0)</f>
        <v>0</v>
      </c>
    </row>
    <row r="1579" spans="1:35" ht="15" customHeight="1" x14ac:dyDescent="0.3">
      <c r="A1579" s="65" t="s">
        <v>5790</v>
      </c>
      <c r="B1579" s="65" t="s">
        <v>81</v>
      </c>
      <c r="C1579" s="65" t="s">
        <v>5761</v>
      </c>
      <c r="D1579" s="65" t="s">
        <v>126</v>
      </c>
      <c r="E1579" s="65" t="s">
        <v>146</v>
      </c>
      <c r="F1579" s="65" t="b">
        <f>TRUE()</f>
        <v>1</v>
      </c>
      <c r="G1579" s="65" t="s">
        <v>165</v>
      </c>
      <c r="H1579" s="65" t="s">
        <v>3636</v>
      </c>
      <c r="I1579" s="66">
        <v>46209.3277483333</v>
      </c>
      <c r="J1579" s="66">
        <v>46210.283152928198</v>
      </c>
      <c r="K1579" s="65">
        <v>1</v>
      </c>
      <c r="L1579" s="65" t="s">
        <v>183</v>
      </c>
      <c r="M1579" s="65" t="s">
        <v>183</v>
      </c>
      <c r="N1579" s="65" t="b">
        <f>FALSE()</f>
        <v>0</v>
      </c>
      <c r="O1579" s="65"/>
      <c r="P1579" s="65"/>
      <c r="Q1579" s="65" t="s">
        <v>236</v>
      </c>
      <c r="R1579" s="65" t="s">
        <v>236</v>
      </c>
      <c r="S1579" s="65"/>
      <c r="T1579" s="65" t="b">
        <f>FALSE()</f>
        <v>0</v>
      </c>
      <c r="U1579" s="65" t="b">
        <f>FALSE()</f>
        <v>0</v>
      </c>
      <c r="V1579" s="65">
        <v>716</v>
      </c>
      <c r="W1579" s="67" t="s">
        <v>5762</v>
      </c>
      <c r="X1579" s="65">
        <v>33</v>
      </c>
      <c r="Y1579" s="68">
        <v>57.75</v>
      </c>
      <c r="Z1579" s="65" t="b">
        <f>FALSE()</f>
        <v>0</v>
      </c>
      <c r="AA1579" s="65" t="b">
        <f>TRUE()</f>
        <v>1</v>
      </c>
      <c r="AB1579" s="65" t="b">
        <f>FALSE()</f>
        <v>0</v>
      </c>
      <c r="AC1579" s="65" t="b">
        <f>TRUE()</f>
        <v>1</v>
      </c>
      <c r="AD1579" s="65" t="b">
        <f>FALSE()</f>
        <v>0</v>
      </c>
      <c r="AE1579" s="65">
        <v>2</v>
      </c>
      <c r="AF1579" s="69">
        <v>28.6</v>
      </c>
      <c r="AG1579" s="65" t="s">
        <v>73</v>
      </c>
      <c r="AH1579" s="65" t="s">
        <v>5791</v>
      </c>
      <c r="AI1579">
        <f>IF(AND(OR(Company_Explorer!$B$5="All Companies",$E1579=Company_Explorer!$B$5),OR(Company_Explorer!$B$6="All Platforms",$B1579=Company_Explorer!$B$6),OR(Company_Explorer!$B$7="All Roles",$D1579=Company_Explorer!$B$7),OR(Company_Explorer!$B$8="All Ghost Labels",$AG1579=Company_Explorer!$B$8)),1,0)</f>
        <v>0</v>
      </c>
    </row>
    <row r="1580" spans="1:35" ht="15" customHeight="1" x14ac:dyDescent="0.3">
      <c r="A1580" s="60" t="s">
        <v>5792</v>
      </c>
      <c r="B1580" s="60" t="s">
        <v>81</v>
      </c>
      <c r="C1580" s="60" t="s">
        <v>5793</v>
      </c>
      <c r="D1580" s="60" t="s">
        <v>126</v>
      </c>
      <c r="E1580" s="60" t="s">
        <v>5794</v>
      </c>
      <c r="F1580" s="60" t="b">
        <f>TRUE()</f>
        <v>1</v>
      </c>
      <c r="G1580" s="60" t="s">
        <v>165</v>
      </c>
      <c r="H1580" s="60" t="s">
        <v>3805</v>
      </c>
      <c r="I1580" s="61">
        <v>46210.040002002301</v>
      </c>
      <c r="J1580" s="61">
        <v>46210.283156400503</v>
      </c>
      <c r="K1580" s="60">
        <v>0.2</v>
      </c>
      <c r="L1580" s="60" t="s">
        <v>183</v>
      </c>
      <c r="M1580" s="60" t="s">
        <v>183</v>
      </c>
      <c r="N1580" s="60" t="b">
        <f>FALSE()</f>
        <v>0</v>
      </c>
      <c r="O1580" s="60"/>
      <c r="P1580" s="60"/>
      <c r="Q1580" s="60" t="s">
        <v>236</v>
      </c>
      <c r="R1580" s="60" t="s">
        <v>236</v>
      </c>
      <c r="S1580" s="60"/>
      <c r="T1580" s="60" t="b">
        <f>FALSE()</f>
        <v>0</v>
      </c>
      <c r="U1580" s="60" t="b">
        <f>FALSE()</f>
        <v>0</v>
      </c>
      <c r="V1580" s="60">
        <v>268</v>
      </c>
      <c r="W1580" s="62" t="s">
        <v>5795</v>
      </c>
      <c r="X1580" s="60">
        <v>1</v>
      </c>
      <c r="Y1580" s="63">
        <v>1.75</v>
      </c>
      <c r="Z1580" s="60" t="b">
        <f>FALSE()</f>
        <v>0</v>
      </c>
      <c r="AA1580" s="60" t="b">
        <f>TRUE()</f>
        <v>1</v>
      </c>
      <c r="AB1580" s="60" t="b">
        <f>TRUE()</f>
        <v>1</v>
      </c>
      <c r="AC1580" s="60" t="b">
        <f>FALSE()</f>
        <v>0</v>
      </c>
      <c r="AD1580" s="60" t="b">
        <f>FALSE()</f>
        <v>0</v>
      </c>
      <c r="AE1580" s="60">
        <v>2</v>
      </c>
      <c r="AF1580" s="64">
        <v>28.6</v>
      </c>
      <c r="AG1580" s="60" t="s">
        <v>73</v>
      </c>
      <c r="AH1580" s="60" t="s">
        <v>5796</v>
      </c>
      <c r="AI1580">
        <f>IF(AND(OR(Company_Explorer!$B$5="All Companies",$E1580=Company_Explorer!$B$5),OR(Company_Explorer!$B$6="All Platforms",$B1580=Company_Explorer!$B$6),OR(Company_Explorer!$B$7="All Roles",$D1580=Company_Explorer!$B$7),OR(Company_Explorer!$B$8="All Ghost Labels",$AG1580=Company_Explorer!$B$8)),1,0)</f>
        <v>0</v>
      </c>
    </row>
    <row r="1581" spans="1:35" ht="15" customHeight="1" x14ac:dyDescent="0.3">
      <c r="A1581" s="65" t="s">
        <v>5797</v>
      </c>
      <c r="B1581" s="65" t="s">
        <v>81</v>
      </c>
      <c r="C1581" s="65" t="s">
        <v>5798</v>
      </c>
      <c r="D1581" s="65" t="s">
        <v>126</v>
      </c>
      <c r="E1581" s="65" t="s">
        <v>5799</v>
      </c>
      <c r="F1581" s="65" t="b">
        <f>TRUE()</f>
        <v>1</v>
      </c>
      <c r="G1581" s="65" t="s">
        <v>165</v>
      </c>
      <c r="H1581" s="65" t="s">
        <v>3620</v>
      </c>
      <c r="I1581" s="66">
        <v>46207.3183585648</v>
      </c>
      <c r="J1581" s="66">
        <v>46210.283158726903</v>
      </c>
      <c r="K1581" s="65">
        <v>3</v>
      </c>
      <c r="L1581" s="65" t="s">
        <v>183</v>
      </c>
      <c r="M1581" s="65" t="s">
        <v>183</v>
      </c>
      <c r="N1581" s="65" t="b">
        <f>FALSE()</f>
        <v>0</v>
      </c>
      <c r="O1581" s="65"/>
      <c r="P1581" s="65"/>
      <c r="Q1581" s="65" t="s">
        <v>236</v>
      </c>
      <c r="R1581" s="65" t="s">
        <v>236</v>
      </c>
      <c r="S1581" s="65"/>
      <c r="T1581" s="65" t="b">
        <f>FALSE()</f>
        <v>0</v>
      </c>
      <c r="U1581" s="65" t="b">
        <f>FALSE()</f>
        <v>0</v>
      </c>
      <c r="V1581" s="65">
        <v>898</v>
      </c>
      <c r="W1581" s="67" t="s">
        <v>5800</v>
      </c>
      <c r="X1581" s="65">
        <v>4</v>
      </c>
      <c r="Y1581" s="68">
        <v>7</v>
      </c>
      <c r="Z1581" s="65" t="b">
        <f>FALSE()</f>
        <v>0</v>
      </c>
      <c r="AA1581" s="65" t="b">
        <f>TRUE()</f>
        <v>1</v>
      </c>
      <c r="AB1581" s="65" t="b">
        <f>FALSE()</f>
        <v>0</v>
      </c>
      <c r="AC1581" s="65" t="b">
        <f>TRUE()</f>
        <v>1</v>
      </c>
      <c r="AD1581" s="65" t="b">
        <f>FALSE()</f>
        <v>0</v>
      </c>
      <c r="AE1581" s="65">
        <v>2</v>
      </c>
      <c r="AF1581" s="69">
        <v>28.6</v>
      </c>
      <c r="AG1581" s="65" t="s">
        <v>73</v>
      </c>
      <c r="AH1581" s="65" t="s">
        <v>5801</v>
      </c>
      <c r="AI1581">
        <f>IF(AND(OR(Company_Explorer!$B$5="All Companies",$E1581=Company_Explorer!$B$5),OR(Company_Explorer!$B$6="All Platforms",$B1581=Company_Explorer!$B$6),OR(Company_Explorer!$B$7="All Roles",$D1581=Company_Explorer!$B$7),OR(Company_Explorer!$B$8="All Ghost Labels",$AG1581=Company_Explorer!$B$8)),1,0)</f>
        <v>0</v>
      </c>
    </row>
    <row r="1582" spans="1:35" ht="15" customHeight="1" x14ac:dyDescent="0.3">
      <c r="A1582" s="60" t="s">
        <v>5802</v>
      </c>
      <c r="B1582" s="60" t="s">
        <v>81</v>
      </c>
      <c r="C1582" s="60" t="s">
        <v>5803</v>
      </c>
      <c r="D1582" s="60" t="s">
        <v>126</v>
      </c>
      <c r="E1582" s="60" t="s">
        <v>5799</v>
      </c>
      <c r="F1582" s="60" t="b">
        <f>TRUE()</f>
        <v>1</v>
      </c>
      <c r="G1582" s="60" t="s">
        <v>165</v>
      </c>
      <c r="H1582" s="60" t="s">
        <v>3620</v>
      </c>
      <c r="I1582" s="61">
        <v>46207.318351192102</v>
      </c>
      <c r="J1582" s="61">
        <v>46210.2831587037</v>
      </c>
      <c r="K1582" s="60">
        <v>3</v>
      </c>
      <c r="L1582" s="60" t="s">
        <v>183</v>
      </c>
      <c r="M1582" s="60" t="s">
        <v>183</v>
      </c>
      <c r="N1582" s="60" t="b">
        <f>FALSE()</f>
        <v>0</v>
      </c>
      <c r="O1582" s="60"/>
      <c r="P1582" s="60"/>
      <c r="Q1582" s="60" t="s">
        <v>236</v>
      </c>
      <c r="R1582" s="60" t="s">
        <v>236</v>
      </c>
      <c r="S1582" s="60"/>
      <c r="T1582" s="60" t="b">
        <f>FALSE()</f>
        <v>0</v>
      </c>
      <c r="U1582" s="60" t="b">
        <f>FALSE()</f>
        <v>0</v>
      </c>
      <c r="V1582" s="60">
        <v>1053</v>
      </c>
      <c r="W1582" s="62" t="s">
        <v>5804</v>
      </c>
      <c r="X1582" s="60">
        <v>4</v>
      </c>
      <c r="Y1582" s="63">
        <v>7</v>
      </c>
      <c r="Z1582" s="60" t="b">
        <f>FALSE()</f>
        <v>0</v>
      </c>
      <c r="AA1582" s="60" t="b">
        <f>TRUE()</f>
        <v>1</v>
      </c>
      <c r="AB1582" s="60" t="b">
        <f>FALSE()</f>
        <v>0</v>
      </c>
      <c r="AC1582" s="60" t="b">
        <f>TRUE()</f>
        <v>1</v>
      </c>
      <c r="AD1582" s="60" t="b">
        <f>FALSE()</f>
        <v>0</v>
      </c>
      <c r="AE1582" s="60">
        <v>2</v>
      </c>
      <c r="AF1582" s="64">
        <v>28.6</v>
      </c>
      <c r="AG1582" s="60" t="s">
        <v>73</v>
      </c>
      <c r="AH1582" s="60" t="s">
        <v>5805</v>
      </c>
      <c r="AI1582">
        <f>IF(AND(OR(Company_Explorer!$B$5="All Companies",$E1582=Company_Explorer!$B$5),OR(Company_Explorer!$B$6="All Platforms",$B1582=Company_Explorer!$B$6),OR(Company_Explorer!$B$7="All Roles",$D1582=Company_Explorer!$B$7),OR(Company_Explorer!$B$8="All Ghost Labels",$AG1582=Company_Explorer!$B$8)),1,0)</f>
        <v>0</v>
      </c>
    </row>
    <row r="1583" spans="1:35" ht="15" customHeight="1" x14ac:dyDescent="0.3">
      <c r="A1583" s="65" t="s">
        <v>5806</v>
      </c>
      <c r="B1583" s="65" t="s">
        <v>81</v>
      </c>
      <c r="C1583" s="65" t="s">
        <v>5807</v>
      </c>
      <c r="D1583" s="65" t="s">
        <v>127</v>
      </c>
      <c r="E1583" s="65" t="s">
        <v>3726</v>
      </c>
      <c r="F1583" s="65" t="b">
        <f>FALSE()</f>
        <v>0</v>
      </c>
      <c r="G1583" s="65" t="s">
        <v>165</v>
      </c>
      <c r="H1583" s="65" t="s">
        <v>3655</v>
      </c>
      <c r="I1583" s="66">
        <v>46207.309690624999</v>
      </c>
      <c r="J1583" s="66">
        <v>46210.283158784703</v>
      </c>
      <c r="K1583" s="65">
        <v>3</v>
      </c>
      <c r="L1583" s="65" t="s">
        <v>183</v>
      </c>
      <c r="M1583" s="65" t="s">
        <v>183</v>
      </c>
      <c r="N1583" s="65" t="b">
        <f>FALSE()</f>
        <v>0</v>
      </c>
      <c r="O1583" s="65"/>
      <c r="P1583" s="65"/>
      <c r="Q1583" s="65" t="s">
        <v>236</v>
      </c>
      <c r="R1583" s="65" t="s">
        <v>236</v>
      </c>
      <c r="S1583" s="65"/>
      <c r="T1583" s="65" t="b">
        <f>FALSE()</f>
        <v>0</v>
      </c>
      <c r="U1583" s="65" t="b">
        <f>FALSE()</f>
        <v>0</v>
      </c>
      <c r="V1583" s="65">
        <v>317</v>
      </c>
      <c r="W1583" s="67" t="s">
        <v>5808</v>
      </c>
      <c r="X1583" s="65"/>
      <c r="Y1583" s="68"/>
      <c r="Z1583" s="65" t="b">
        <f>TRUE()</f>
        <v>1</v>
      </c>
      <c r="AA1583" s="65" t="b">
        <f>TRUE()</f>
        <v>1</v>
      </c>
      <c r="AB1583" s="65" t="b">
        <f>FALSE()</f>
        <v>0</v>
      </c>
      <c r="AC1583" s="65" t="b">
        <f>TRUE()</f>
        <v>1</v>
      </c>
      <c r="AD1583" s="65" t="b">
        <f>FALSE()</f>
        <v>0</v>
      </c>
      <c r="AE1583" s="65">
        <v>4</v>
      </c>
      <c r="AF1583" s="69">
        <v>57.1</v>
      </c>
      <c r="AG1583" s="65" t="s">
        <v>72</v>
      </c>
      <c r="AH1583" s="65" t="s">
        <v>5809</v>
      </c>
      <c r="AI1583">
        <f>IF(AND(OR(Company_Explorer!$B$5="All Companies",$E1583=Company_Explorer!$B$5),OR(Company_Explorer!$B$6="All Platforms",$B1583=Company_Explorer!$B$6),OR(Company_Explorer!$B$7="All Roles",$D1583=Company_Explorer!$B$7),OR(Company_Explorer!$B$8="All Ghost Labels",$AG1583=Company_Explorer!$B$8)),1,0)</f>
        <v>0</v>
      </c>
    </row>
    <row r="1584" spans="1:35" ht="15" customHeight="1" x14ac:dyDescent="0.3">
      <c r="A1584" s="60" t="s">
        <v>5810</v>
      </c>
      <c r="B1584" s="60" t="s">
        <v>81</v>
      </c>
      <c r="C1584" s="60" t="s">
        <v>5811</v>
      </c>
      <c r="D1584" s="60" t="s">
        <v>126</v>
      </c>
      <c r="E1584" s="60" t="s">
        <v>3726</v>
      </c>
      <c r="F1584" s="60" t="b">
        <f>FALSE()</f>
        <v>0</v>
      </c>
      <c r="G1584" s="60" t="s">
        <v>177</v>
      </c>
      <c r="H1584" s="60" t="s">
        <v>165</v>
      </c>
      <c r="I1584" s="61">
        <v>46207.316359270801</v>
      </c>
      <c r="J1584" s="61">
        <v>46210.283158807899</v>
      </c>
      <c r="K1584" s="60">
        <v>3</v>
      </c>
      <c r="L1584" s="60" t="s">
        <v>183</v>
      </c>
      <c r="M1584" s="60" t="s">
        <v>183</v>
      </c>
      <c r="N1584" s="60" t="b">
        <f>FALSE()</f>
        <v>0</v>
      </c>
      <c r="O1584" s="60"/>
      <c r="P1584" s="60"/>
      <c r="Q1584" s="60" t="s">
        <v>3663</v>
      </c>
      <c r="R1584" s="60" t="s">
        <v>3664</v>
      </c>
      <c r="S1584" s="60"/>
      <c r="T1584" s="60" t="b">
        <f>FALSE()</f>
        <v>0</v>
      </c>
      <c r="U1584" s="60" t="b">
        <f>FALSE()</f>
        <v>0</v>
      </c>
      <c r="V1584" s="60">
        <v>213</v>
      </c>
      <c r="W1584" s="62" t="s">
        <v>5812</v>
      </c>
      <c r="X1584" s="60"/>
      <c r="Y1584" s="63"/>
      <c r="Z1584" s="60" t="b">
        <f>TRUE()</f>
        <v>1</v>
      </c>
      <c r="AA1584" s="60" t="b">
        <f>TRUE()</f>
        <v>1</v>
      </c>
      <c r="AB1584" s="60" t="b">
        <f>TRUE()</f>
        <v>1</v>
      </c>
      <c r="AC1584" s="60" t="b">
        <f>TRUE()</f>
        <v>1</v>
      </c>
      <c r="AD1584" s="60" t="b">
        <f>FALSE()</f>
        <v>0</v>
      </c>
      <c r="AE1584" s="60">
        <v>5</v>
      </c>
      <c r="AF1584" s="64">
        <v>71.400000000000006</v>
      </c>
      <c r="AG1584" s="60" t="s">
        <v>72</v>
      </c>
      <c r="AH1584" s="60" t="s">
        <v>5813</v>
      </c>
      <c r="AI1584">
        <f>IF(AND(OR(Company_Explorer!$B$5="All Companies",$E1584=Company_Explorer!$B$5),OR(Company_Explorer!$B$6="All Platforms",$B1584=Company_Explorer!$B$6),OR(Company_Explorer!$B$7="All Roles",$D1584=Company_Explorer!$B$7),OR(Company_Explorer!$B$8="All Ghost Labels",$AG1584=Company_Explorer!$B$8)),1,0)</f>
        <v>0</v>
      </c>
    </row>
    <row r="1585" spans="1:35" ht="15" customHeight="1" x14ac:dyDescent="0.3">
      <c r="A1585" s="65" t="s">
        <v>5814</v>
      </c>
      <c r="B1585" s="65" t="s">
        <v>81</v>
      </c>
      <c r="C1585" s="65" t="s">
        <v>127</v>
      </c>
      <c r="D1585" s="65" t="s">
        <v>127</v>
      </c>
      <c r="E1585" s="65" t="s">
        <v>5815</v>
      </c>
      <c r="F1585" s="65" t="b">
        <f>TRUE()</f>
        <v>1</v>
      </c>
      <c r="G1585" s="65" t="s">
        <v>165</v>
      </c>
      <c r="H1585" s="65" t="s">
        <v>3805</v>
      </c>
      <c r="I1585" s="66">
        <v>46207.307505138902</v>
      </c>
      <c r="J1585" s="66">
        <v>46210.283158831</v>
      </c>
      <c r="K1585" s="65">
        <v>3</v>
      </c>
      <c r="L1585" s="65" t="s">
        <v>183</v>
      </c>
      <c r="M1585" s="65" t="s">
        <v>183</v>
      </c>
      <c r="N1585" s="65" t="b">
        <f>FALSE()</f>
        <v>0</v>
      </c>
      <c r="O1585" s="65"/>
      <c r="P1585" s="65"/>
      <c r="Q1585" s="65" t="s">
        <v>236</v>
      </c>
      <c r="R1585" s="65" t="s">
        <v>236</v>
      </c>
      <c r="S1585" s="65"/>
      <c r="T1585" s="65" t="b">
        <f>FALSE()</f>
        <v>0</v>
      </c>
      <c r="U1585" s="65" t="b">
        <f>FALSE()</f>
        <v>0</v>
      </c>
      <c r="V1585" s="65">
        <v>180</v>
      </c>
      <c r="W1585" s="67" t="s">
        <v>5816</v>
      </c>
      <c r="X1585" s="65">
        <v>1</v>
      </c>
      <c r="Y1585" s="68">
        <v>1.75</v>
      </c>
      <c r="Z1585" s="65" t="b">
        <f>FALSE()</f>
        <v>0</v>
      </c>
      <c r="AA1585" s="65" t="b">
        <f>TRUE()</f>
        <v>1</v>
      </c>
      <c r="AB1585" s="65" t="b">
        <f>TRUE()</f>
        <v>1</v>
      </c>
      <c r="AC1585" s="65" t="b">
        <f>TRUE()</f>
        <v>1</v>
      </c>
      <c r="AD1585" s="65" t="b">
        <f>FALSE()</f>
        <v>0</v>
      </c>
      <c r="AE1585" s="65">
        <v>3</v>
      </c>
      <c r="AF1585" s="69">
        <v>42.9</v>
      </c>
      <c r="AG1585" s="65" t="s">
        <v>73</v>
      </c>
      <c r="AH1585" s="65" t="s">
        <v>5817</v>
      </c>
      <c r="AI1585">
        <f>IF(AND(OR(Company_Explorer!$B$5="All Companies",$E1585=Company_Explorer!$B$5),OR(Company_Explorer!$B$6="All Platforms",$B1585=Company_Explorer!$B$6),OR(Company_Explorer!$B$7="All Roles",$D1585=Company_Explorer!$B$7),OR(Company_Explorer!$B$8="All Ghost Labels",$AG1585=Company_Explorer!$B$8)),1,0)</f>
        <v>0</v>
      </c>
    </row>
    <row r="1586" spans="1:35" ht="15" customHeight="1" x14ac:dyDescent="0.3">
      <c r="A1586" s="60" t="s">
        <v>5818</v>
      </c>
      <c r="B1586" s="60" t="s">
        <v>81</v>
      </c>
      <c r="C1586" s="60" t="s">
        <v>5819</v>
      </c>
      <c r="D1586" s="60" t="s">
        <v>126</v>
      </c>
      <c r="E1586" s="60" t="s">
        <v>5820</v>
      </c>
      <c r="F1586" s="60" t="b">
        <f>TRUE()</f>
        <v>1</v>
      </c>
      <c r="G1586" s="60" t="s">
        <v>165</v>
      </c>
      <c r="H1586" s="60" t="s">
        <v>3805</v>
      </c>
      <c r="I1586" s="61">
        <v>46207.288828472199</v>
      </c>
      <c r="J1586" s="61">
        <v>46210.283158865699</v>
      </c>
      <c r="K1586" s="60">
        <v>3</v>
      </c>
      <c r="L1586" s="60" t="s">
        <v>183</v>
      </c>
      <c r="M1586" s="60" t="s">
        <v>183</v>
      </c>
      <c r="N1586" s="60" t="b">
        <f>TRUE()</f>
        <v>1</v>
      </c>
      <c r="O1586" s="70">
        <v>300000</v>
      </c>
      <c r="P1586" s="70">
        <v>500000</v>
      </c>
      <c r="Q1586" s="60" t="s">
        <v>3663</v>
      </c>
      <c r="R1586" s="60" t="s">
        <v>3961</v>
      </c>
      <c r="S1586" s="70">
        <v>400000</v>
      </c>
      <c r="T1586" s="60" t="b">
        <f>TRUE()</f>
        <v>1</v>
      </c>
      <c r="U1586" s="60" t="b">
        <f>FALSE()</f>
        <v>0</v>
      </c>
      <c r="V1586" s="60">
        <v>348</v>
      </c>
      <c r="W1586" s="62" t="s">
        <v>5821</v>
      </c>
      <c r="X1586" s="60">
        <v>1</v>
      </c>
      <c r="Y1586" s="63">
        <v>1.75</v>
      </c>
      <c r="Z1586" s="60" t="b">
        <f>FALSE()</f>
        <v>0</v>
      </c>
      <c r="AA1586" s="60" t="b">
        <f>FALSE()</f>
        <v>0</v>
      </c>
      <c r="AB1586" s="60" t="b">
        <f>FALSE()</f>
        <v>0</v>
      </c>
      <c r="AC1586" s="60" t="b">
        <f>TRUE()</f>
        <v>1</v>
      </c>
      <c r="AD1586" s="60" t="b">
        <f>FALSE()</f>
        <v>0</v>
      </c>
      <c r="AE1586" s="60">
        <v>1</v>
      </c>
      <c r="AF1586" s="64">
        <v>14.3</v>
      </c>
      <c r="AG1586" s="60" t="s">
        <v>74</v>
      </c>
      <c r="AH1586" s="60" t="s">
        <v>5822</v>
      </c>
      <c r="AI1586">
        <f>IF(AND(OR(Company_Explorer!$B$5="All Companies",$E1586=Company_Explorer!$B$5),OR(Company_Explorer!$B$6="All Platforms",$B1586=Company_Explorer!$B$6),OR(Company_Explorer!$B$7="All Roles",$D1586=Company_Explorer!$B$7),OR(Company_Explorer!$B$8="All Ghost Labels",$AG1586=Company_Explorer!$B$8)),1,0)</f>
        <v>0</v>
      </c>
    </row>
    <row r="1587" spans="1:35" ht="15" customHeight="1" x14ac:dyDescent="0.3">
      <c r="A1587" s="65" t="s">
        <v>5823</v>
      </c>
      <c r="B1587" s="65" t="s">
        <v>81</v>
      </c>
      <c r="C1587" s="65" t="s">
        <v>5824</v>
      </c>
      <c r="D1587" s="65" t="s">
        <v>126</v>
      </c>
      <c r="E1587" s="65" t="s">
        <v>143</v>
      </c>
      <c r="F1587" s="65" t="b">
        <f>TRUE()</f>
        <v>1</v>
      </c>
      <c r="G1587" s="65" t="s">
        <v>165</v>
      </c>
      <c r="H1587" s="65" t="s">
        <v>3620</v>
      </c>
      <c r="I1587" s="66">
        <v>46207.053461226897</v>
      </c>
      <c r="J1587" s="66">
        <v>46210.283161550899</v>
      </c>
      <c r="K1587" s="65">
        <v>3.2</v>
      </c>
      <c r="L1587" s="65" t="s">
        <v>183</v>
      </c>
      <c r="M1587" s="65" t="s">
        <v>183</v>
      </c>
      <c r="N1587" s="65" t="b">
        <f>FALSE()</f>
        <v>0</v>
      </c>
      <c r="O1587" s="65"/>
      <c r="P1587" s="65"/>
      <c r="Q1587" s="65" t="s">
        <v>236</v>
      </c>
      <c r="R1587" s="65" t="s">
        <v>236</v>
      </c>
      <c r="S1587" s="65"/>
      <c r="T1587" s="65" t="b">
        <f>FALSE()</f>
        <v>0</v>
      </c>
      <c r="U1587" s="65" t="b">
        <f>FALSE()</f>
        <v>0</v>
      </c>
      <c r="V1587" s="65">
        <v>524</v>
      </c>
      <c r="W1587" s="67" t="s">
        <v>5825</v>
      </c>
      <c r="X1587" s="65">
        <v>64</v>
      </c>
      <c r="Y1587" s="68">
        <v>112</v>
      </c>
      <c r="Z1587" s="65" t="b">
        <f>FALSE()</f>
        <v>0</v>
      </c>
      <c r="AA1587" s="65" t="b">
        <f>TRUE()</f>
        <v>1</v>
      </c>
      <c r="AB1587" s="65" t="b">
        <f>FALSE()</f>
        <v>0</v>
      </c>
      <c r="AC1587" s="65" t="b">
        <f>TRUE()</f>
        <v>1</v>
      </c>
      <c r="AD1587" s="65" t="b">
        <f>TRUE()</f>
        <v>1</v>
      </c>
      <c r="AE1587" s="65">
        <v>4</v>
      </c>
      <c r="AF1587" s="69">
        <v>57.1</v>
      </c>
      <c r="AG1587" s="65" t="s">
        <v>72</v>
      </c>
      <c r="AH1587" s="65" t="s">
        <v>5826</v>
      </c>
      <c r="AI1587">
        <f>IF(AND(OR(Company_Explorer!$B$5="All Companies",$E1587=Company_Explorer!$B$5),OR(Company_Explorer!$B$6="All Platforms",$B1587=Company_Explorer!$B$6),OR(Company_Explorer!$B$7="All Roles",$D1587=Company_Explorer!$B$7),OR(Company_Explorer!$B$8="All Ghost Labels",$AG1587=Company_Explorer!$B$8)),1,0)</f>
        <v>0</v>
      </c>
    </row>
    <row r="1588" spans="1:35" ht="15" customHeight="1" x14ac:dyDescent="0.3">
      <c r="A1588" s="60" t="s">
        <v>5827</v>
      </c>
      <c r="B1588" s="60" t="s">
        <v>81</v>
      </c>
      <c r="C1588" s="60" t="s">
        <v>5828</v>
      </c>
      <c r="D1588" s="60" t="s">
        <v>126</v>
      </c>
      <c r="E1588" s="60" t="s">
        <v>143</v>
      </c>
      <c r="F1588" s="60" t="b">
        <f>TRUE()</f>
        <v>1</v>
      </c>
      <c r="G1588" s="60" t="s">
        <v>165</v>
      </c>
      <c r="H1588" s="60" t="s">
        <v>3620</v>
      </c>
      <c r="I1588" s="61">
        <v>46207.053453553199</v>
      </c>
      <c r="J1588" s="61">
        <v>46210.283161956002</v>
      </c>
      <c r="K1588" s="60">
        <v>3.2</v>
      </c>
      <c r="L1588" s="60" t="s">
        <v>183</v>
      </c>
      <c r="M1588" s="60" t="s">
        <v>183</v>
      </c>
      <c r="N1588" s="60" t="b">
        <f>FALSE()</f>
        <v>0</v>
      </c>
      <c r="O1588" s="60"/>
      <c r="P1588" s="60"/>
      <c r="Q1588" s="60" t="s">
        <v>236</v>
      </c>
      <c r="R1588" s="60" t="s">
        <v>236</v>
      </c>
      <c r="S1588" s="60"/>
      <c r="T1588" s="60" t="b">
        <f>FALSE()</f>
        <v>0</v>
      </c>
      <c r="U1588" s="60" t="b">
        <f>FALSE()</f>
        <v>0</v>
      </c>
      <c r="V1588" s="60">
        <v>316</v>
      </c>
      <c r="W1588" s="62" t="s">
        <v>5829</v>
      </c>
      <c r="X1588" s="60">
        <v>64</v>
      </c>
      <c r="Y1588" s="63">
        <v>112</v>
      </c>
      <c r="Z1588" s="60" t="b">
        <f>FALSE()</f>
        <v>0</v>
      </c>
      <c r="AA1588" s="60" t="b">
        <f>TRUE()</f>
        <v>1</v>
      </c>
      <c r="AB1588" s="60" t="b">
        <f>FALSE()</f>
        <v>0</v>
      </c>
      <c r="AC1588" s="60" t="b">
        <f>TRUE()</f>
        <v>1</v>
      </c>
      <c r="AD1588" s="60" t="b">
        <f>TRUE()</f>
        <v>1</v>
      </c>
      <c r="AE1588" s="60">
        <v>4</v>
      </c>
      <c r="AF1588" s="64">
        <v>57.1</v>
      </c>
      <c r="AG1588" s="60" t="s">
        <v>72</v>
      </c>
      <c r="AH1588" s="60" t="s">
        <v>5830</v>
      </c>
      <c r="AI1588">
        <f>IF(AND(OR(Company_Explorer!$B$5="All Companies",$E1588=Company_Explorer!$B$5),OR(Company_Explorer!$B$6="All Platforms",$B1588=Company_Explorer!$B$6),OR(Company_Explorer!$B$7="All Roles",$D1588=Company_Explorer!$B$7),OR(Company_Explorer!$B$8="All Ghost Labels",$AG1588=Company_Explorer!$B$8)),1,0)</f>
        <v>0</v>
      </c>
    </row>
    <row r="1589" spans="1:35" ht="15" customHeight="1" x14ac:dyDescent="0.3">
      <c r="A1589" s="65" t="s">
        <v>5831</v>
      </c>
      <c r="B1589" s="65" t="s">
        <v>81</v>
      </c>
      <c r="C1589" s="65" t="s">
        <v>5832</v>
      </c>
      <c r="D1589" s="65" t="s">
        <v>126</v>
      </c>
      <c r="E1589" s="65" t="s">
        <v>5483</v>
      </c>
      <c r="F1589" s="65" t="b">
        <f>TRUE()</f>
        <v>1</v>
      </c>
      <c r="G1589" s="65" t="s">
        <v>165</v>
      </c>
      <c r="H1589" s="65" t="s">
        <v>3620</v>
      </c>
      <c r="I1589" s="66">
        <v>46207.034844027803</v>
      </c>
      <c r="J1589" s="66">
        <v>46210.283162048603</v>
      </c>
      <c r="K1589" s="65">
        <v>3.2</v>
      </c>
      <c r="L1589" s="65" t="s">
        <v>183</v>
      </c>
      <c r="M1589" s="65" t="s">
        <v>183</v>
      </c>
      <c r="N1589" s="65" t="b">
        <f>FALSE()</f>
        <v>0</v>
      </c>
      <c r="O1589" s="65"/>
      <c r="P1589" s="65"/>
      <c r="Q1589" s="65" t="s">
        <v>236</v>
      </c>
      <c r="R1589" s="65" t="s">
        <v>236</v>
      </c>
      <c r="S1589" s="65"/>
      <c r="T1589" s="65" t="b">
        <f>FALSE()</f>
        <v>0</v>
      </c>
      <c r="U1589" s="65" t="b">
        <f>FALSE()</f>
        <v>0</v>
      </c>
      <c r="V1589" s="65">
        <v>221</v>
      </c>
      <c r="W1589" s="67" t="s">
        <v>5833</v>
      </c>
      <c r="X1589" s="65">
        <v>3</v>
      </c>
      <c r="Y1589" s="68">
        <v>5.25</v>
      </c>
      <c r="Z1589" s="65" t="b">
        <f>FALSE()</f>
        <v>0</v>
      </c>
      <c r="AA1589" s="65" t="b">
        <f>TRUE()</f>
        <v>1</v>
      </c>
      <c r="AB1589" s="65" t="b">
        <f>TRUE()</f>
        <v>1</v>
      </c>
      <c r="AC1589" s="65" t="b">
        <f>TRUE()</f>
        <v>1</v>
      </c>
      <c r="AD1589" s="65" t="b">
        <f>FALSE()</f>
        <v>0</v>
      </c>
      <c r="AE1589" s="65">
        <v>3</v>
      </c>
      <c r="AF1589" s="69">
        <v>42.9</v>
      </c>
      <c r="AG1589" s="65" t="s">
        <v>73</v>
      </c>
      <c r="AH1589" s="65" t="s">
        <v>5834</v>
      </c>
      <c r="AI1589">
        <f>IF(AND(OR(Company_Explorer!$B$5="All Companies",$E1589=Company_Explorer!$B$5),OR(Company_Explorer!$B$6="All Platforms",$B1589=Company_Explorer!$B$6),OR(Company_Explorer!$B$7="All Roles",$D1589=Company_Explorer!$B$7),OR(Company_Explorer!$B$8="All Ghost Labels",$AG1589=Company_Explorer!$B$8)),1,0)</f>
        <v>0</v>
      </c>
    </row>
    <row r="1590" spans="1:35" ht="15" customHeight="1" x14ac:dyDescent="0.3">
      <c r="A1590" s="60" t="s">
        <v>5835</v>
      </c>
      <c r="B1590" s="60" t="s">
        <v>81</v>
      </c>
      <c r="C1590" s="60" t="s">
        <v>5836</v>
      </c>
      <c r="D1590" s="60" t="s">
        <v>126</v>
      </c>
      <c r="E1590" s="60" t="s">
        <v>149</v>
      </c>
      <c r="F1590" s="60" t="b">
        <f>TRUE()</f>
        <v>1</v>
      </c>
      <c r="G1590" s="60" t="s">
        <v>165</v>
      </c>
      <c r="H1590" s="60" t="s">
        <v>3655</v>
      </c>
      <c r="I1590" s="61">
        <v>46206.624420578701</v>
      </c>
      <c r="J1590" s="61">
        <v>46210.283162071799</v>
      </c>
      <c r="K1590" s="60">
        <v>3.7</v>
      </c>
      <c r="L1590" s="60" t="s">
        <v>183</v>
      </c>
      <c r="M1590" s="60" t="s">
        <v>183</v>
      </c>
      <c r="N1590" s="60" t="b">
        <f>FALSE()</f>
        <v>0</v>
      </c>
      <c r="O1590" s="60"/>
      <c r="P1590" s="60"/>
      <c r="Q1590" s="60" t="s">
        <v>236</v>
      </c>
      <c r="R1590" s="60" t="s">
        <v>236</v>
      </c>
      <c r="S1590" s="60"/>
      <c r="T1590" s="60" t="b">
        <f>FALSE()</f>
        <v>0</v>
      </c>
      <c r="U1590" s="60" t="b">
        <f>FALSE()</f>
        <v>0</v>
      </c>
      <c r="V1590" s="60">
        <v>422</v>
      </c>
      <c r="W1590" s="62" t="s">
        <v>3698</v>
      </c>
      <c r="X1590" s="60">
        <v>16</v>
      </c>
      <c r="Y1590" s="63">
        <v>28</v>
      </c>
      <c r="Z1590" s="60" t="b">
        <f>FALSE()</f>
        <v>0</v>
      </c>
      <c r="AA1590" s="60" t="b">
        <f>TRUE()</f>
        <v>1</v>
      </c>
      <c r="AB1590" s="60" t="b">
        <f>FALSE()</f>
        <v>0</v>
      </c>
      <c r="AC1590" s="60" t="b">
        <f>TRUE()</f>
        <v>1</v>
      </c>
      <c r="AD1590" s="60" t="b">
        <f>FALSE()</f>
        <v>0</v>
      </c>
      <c r="AE1590" s="60">
        <v>2</v>
      </c>
      <c r="AF1590" s="64">
        <v>28.6</v>
      </c>
      <c r="AG1590" s="60" t="s">
        <v>73</v>
      </c>
      <c r="AH1590" s="60" t="s">
        <v>5837</v>
      </c>
      <c r="AI1590">
        <f>IF(AND(OR(Company_Explorer!$B$5="All Companies",$E1590=Company_Explorer!$B$5),OR(Company_Explorer!$B$6="All Platforms",$B1590=Company_Explorer!$B$6),OR(Company_Explorer!$B$7="All Roles",$D1590=Company_Explorer!$B$7),OR(Company_Explorer!$B$8="All Ghost Labels",$AG1590=Company_Explorer!$B$8)),1,0)</f>
        <v>0</v>
      </c>
    </row>
    <row r="1591" spans="1:35" ht="15" customHeight="1" x14ac:dyDescent="0.3">
      <c r="A1591" s="65" t="s">
        <v>5838</v>
      </c>
      <c r="B1591" s="65" t="s">
        <v>81</v>
      </c>
      <c r="C1591" s="65" t="s">
        <v>5839</v>
      </c>
      <c r="D1591" s="65" t="s">
        <v>126</v>
      </c>
      <c r="E1591" s="65" t="s">
        <v>149</v>
      </c>
      <c r="F1591" s="65" t="b">
        <f>TRUE()</f>
        <v>1</v>
      </c>
      <c r="G1591" s="65" t="s">
        <v>165</v>
      </c>
      <c r="H1591" s="65" t="s">
        <v>3655</v>
      </c>
      <c r="I1591" s="66">
        <v>46206.624322002303</v>
      </c>
      <c r="J1591" s="66">
        <v>46210.283162106498</v>
      </c>
      <c r="K1591" s="65">
        <v>3.7</v>
      </c>
      <c r="L1591" s="65" t="s">
        <v>183</v>
      </c>
      <c r="M1591" s="65" t="s">
        <v>183</v>
      </c>
      <c r="N1591" s="65" t="b">
        <f>FALSE()</f>
        <v>0</v>
      </c>
      <c r="O1591" s="65"/>
      <c r="P1591" s="65"/>
      <c r="Q1591" s="65" t="s">
        <v>236</v>
      </c>
      <c r="R1591" s="65" t="s">
        <v>236</v>
      </c>
      <c r="S1591" s="65"/>
      <c r="T1591" s="65" t="b">
        <f>FALSE()</f>
        <v>0</v>
      </c>
      <c r="U1591" s="65" t="b">
        <f>FALSE()</f>
        <v>0</v>
      </c>
      <c r="V1591" s="65">
        <v>413</v>
      </c>
      <c r="W1591" s="67" t="s">
        <v>3698</v>
      </c>
      <c r="X1591" s="65">
        <v>16</v>
      </c>
      <c r="Y1591" s="68">
        <v>28</v>
      </c>
      <c r="Z1591" s="65" t="b">
        <f>FALSE()</f>
        <v>0</v>
      </c>
      <c r="AA1591" s="65" t="b">
        <f>TRUE()</f>
        <v>1</v>
      </c>
      <c r="AB1591" s="65" t="b">
        <f>FALSE()</f>
        <v>0</v>
      </c>
      <c r="AC1591" s="65" t="b">
        <f>TRUE()</f>
        <v>1</v>
      </c>
      <c r="AD1591" s="65" t="b">
        <f>FALSE()</f>
        <v>0</v>
      </c>
      <c r="AE1591" s="65">
        <v>2</v>
      </c>
      <c r="AF1591" s="69">
        <v>28.6</v>
      </c>
      <c r="AG1591" s="65" t="s">
        <v>73</v>
      </c>
      <c r="AH1591" s="65" t="s">
        <v>5840</v>
      </c>
      <c r="AI1591">
        <f>IF(AND(OR(Company_Explorer!$B$5="All Companies",$E1591=Company_Explorer!$B$5),OR(Company_Explorer!$B$6="All Platforms",$B1591=Company_Explorer!$B$6),OR(Company_Explorer!$B$7="All Roles",$D1591=Company_Explorer!$B$7),OR(Company_Explorer!$B$8="All Ghost Labels",$AG1591=Company_Explorer!$B$8)),1,0)</f>
        <v>0</v>
      </c>
    </row>
    <row r="1592" spans="1:35" ht="15" customHeight="1" x14ac:dyDescent="0.3">
      <c r="A1592" s="60" t="s">
        <v>5841</v>
      </c>
      <c r="B1592" s="60" t="s">
        <v>81</v>
      </c>
      <c r="C1592" s="60" t="s">
        <v>5842</v>
      </c>
      <c r="D1592" s="60" t="s">
        <v>126</v>
      </c>
      <c r="E1592" s="60" t="s">
        <v>143</v>
      </c>
      <c r="F1592" s="60" t="b">
        <f>TRUE()</f>
        <v>1</v>
      </c>
      <c r="G1592" s="60" t="s">
        <v>165</v>
      </c>
      <c r="H1592" s="60" t="s">
        <v>3620</v>
      </c>
      <c r="I1592" s="61">
        <v>46207.053430555599</v>
      </c>
      <c r="J1592" s="61">
        <v>46210.283162141197</v>
      </c>
      <c r="K1592" s="60">
        <v>3.2</v>
      </c>
      <c r="L1592" s="60" t="s">
        <v>183</v>
      </c>
      <c r="M1592" s="60" t="s">
        <v>183</v>
      </c>
      <c r="N1592" s="60" t="b">
        <f>FALSE()</f>
        <v>0</v>
      </c>
      <c r="O1592" s="60"/>
      <c r="P1592" s="60"/>
      <c r="Q1592" s="60" t="s">
        <v>236</v>
      </c>
      <c r="R1592" s="60" t="s">
        <v>236</v>
      </c>
      <c r="S1592" s="60"/>
      <c r="T1592" s="60" t="b">
        <f>FALSE()</f>
        <v>0</v>
      </c>
      <c r="U1592" s="60" t="b">
        <f>FALSE()</f>
        <v>0</v>
      </c>
      <c r="V1592" s="60">
        <v>445</v>
      </c>
      <c r="W1592" s="62" t="s">
        <v>5843</v>
      </c>
      <c r="X1592" s="60">
        <v>64</v>
      </c>
      <c r="Y1592" s="63">
        <v>112</v>
      </c>
      <c r="Z1592" s="60" t="b">
        <f>FALSE()</f>
        <v>0</v>
      </c>
      <c r="AA1592" s="60" t="b">
        <f>TRUE()</f>
        <v>1</v>
      </c>
      <c r="AB1592" s="60" t="b">
        <f>FALSE()</f>
        <v>0</v>
      </c>
      <c r="AC1592" s="60" t="b">
        <f>TRUE()</f>
        <v>1</v>
      </c>
      <c r="AD1592" s="60" t="b">
        <f>TRUE()</f>
        <v>1</v>
      </c>
      <c r="AE1592" s="60">
        <v>4</v>
      </c>
      <c r="AF1592" s="64">
        <v>57.1</v>
      </c>
      <c r="AG1592" s="60" t="s">
        <v>72</v>
      </c>
      <c r="AH1592" s="60" t="s">
        <v>5844</v>
      </c>
      <c r="AI1592">
        <f>IF(AND(OR(Company_Explorer!$B$5="All Companies",$E1592=Company_Explorer!$B$5),OR(Company_Explorer!$B$6="All Platforms",$B1592=Company_Explorer!$B$6),OR(Company_Explorer!$B$7="All Roles",$D1592=Company_Explorer!$B$7),OR(Company_Explorer!$B$8="All Ghost Labels",$AG1592=Company_Explorer!$B$8)),1,0)</f>
        <v>0</v>
      </c>
    </row>
    <row r="1593" spans="1:35" ht="15" customHeight="1" x14ac:dyDescent="0.3">
      <c r="A1593" s="65" t="s">
        <v>5845</v>
      </c>
      <c r="B1593" s="65" t="s">
        <v>81</v>
      </c>
      <c r="C1593" s="65" t="s">
        <v>5461</v>
      </c>
      <c r="D1593" s="65" t="s">
        <v>127</v>
      </c>
      <c r="E1593" s="65" t="s">
        <v>142</v>
      </c>
      <c r="F1593" s="65" t="b">
        <f>TRUE()</f>
        <v>1</v>
      </c>
      <c r="G1593" s="65" t="s">
        <v>165</v>
      </c>
      <c r="H1593" s="65" t="s">
        <v>3636</v>
      </c>
      <c r="I1593" s="66">
        <v>46207.0135012963</v>
      </c>
      <c r="J1593" s="66">
        <v>46210.283162129599</v>
      </c>
      <c r="K1593" s="65">
        <v>3.3</v>
      </c>
      <c r="L1593" s="65" t="s">
        <v>183</v>
      </c>
      <c r="M1593" s="65" t="s">
        <v>183</v>
      </c>
      <c r="N1593" s="65" t="b">
        <f>FALSE()</f>
        <v>0</v>
      </c>
      <c r="O1593" s="65"/>
      <c r="P1593" s="65"/>
      <c r="Q1593" s="65" t="s">
        <v>236</v>
      </c>
      <c r="R1593" s="65" t="s">
        <v>236</v>
      </c>
      <c r="S1593" s="65"/>
      <c r="T1593" s="65" t="b">
        <f>FALSE()</f>
        <v>0</v>
      </c>
      <c r="U1593" s="65" t="b">
        <f>FALSE()</f>
        <v>0</v>
      </c>
      <c r="V1593" s="65">
        <v>793</v>
      </c>
      <c r="W1593" s="67" t="s">
        <v>5462</v>
      </c>
      <c r="X1593" s="65">
        <v>81</v>
      </c>
      <c r="Y1593" s="68">
        <v>141.75</v>
      </c>
      <c r="Z1593" s="65" t="b">
        <f>FALSE()</f>
        <v>0</v>
      </c>
      <c r="AA1593" s="65" t="b">
        <f>TRUE()</f>
        <v>1</v>
      </c>
      <c r="AB1593" s="65" t="b">
        <f>FALSE()</f>
        <v>0</v>
      </c>
      <c r="AC1593" s="65" t="b">
        <f>TRUE()</f>
        <v>1</v>
      </c>
      <c r="AD1593" s="65" t="b">
        <f>TRUE()</f>
        <v>1</v>
      </c>
      <c r="AE1593" s="65">
        <v>4</v>
      </c>
      <c r="AF1593" s="69">
        <v>57.1</v>
      </c>
      <c r="AG1593" s="65" t="s">
        <v>72</v>
      </c>
      <c r="AH1593" s="65" t="s">
        <v>5846</v>
      </c>
      <c r="AI1593">
        <f>IF(AND(OR(Company_Explorer!$B$5="All Companies",$E1593=Company_Explorer!$B$5),OR(Company_Explorer!$B$6="All Platforms",$B1593=Company_Explorer!$B$6),OR(Company_Explorer!$B$7="All Roles",$D1593=Company_Explorer!$B$7),OR(Company_Explorer!$B$8="All Ghost Labels",$AG1593=Company_Explorer!$B$8)),1,0)</f>
        <v>0</v>
      </c>
    </row>
    <row r="1594" spans="1:35" ht="15" customHeight="1" x14ac:dyDescent="0.3">
      <c r="A1594" s="60" t="s">
        <v>5847</v>
      </c>
      <c r="B1594" s="60" t="s">
        <v>81</v>
      </c>
      <c r="C1594" s="60" t="s">
        <v>125</v>
      </c>
      <c r="D1594" s="60" t="s">
        <v>125</v>
      </c>
      <c r="E1594" s="60" t="s">
        <v>144</v>
      </c>
      <c r="F1594" s="60" t="b">
        <f>TRUE()</f>
        <v>1</v>
      </c>
      <c r="G1594" s="60" t="s">
        <v>165</v>
      </c>
      <c r="H1594" s="60" t="s">
        <v>3620</v>
      </c>
      <c r="I1594" s="61">
        <v>46209.929462847198</v>
      </c>
      <c r="J1594" s="61">
        <v>46210.283200439801</v>
      </c>
      <c r="K1594" s="60">
        <v>0.4</v>
      </c>
      <c r="L1594" s="60" t="s">
        <v>183</v>
      </c>
      <c r="M1594" s="60" t="s">
        <v>183</v>
      </c>
      <c r="N1594" s="60" t="b">
        <f>FALSE()</f>
        <v>0</v>
      </c>
      <c r="O1594" s="60"/>
      <c r="P1594" s="60"/>
      <c r="Q1594" s="60" t="s">
        <v>236</v>
      </c>
      <c r="R1594" s="60" t="s">
        <v>236</v>
      </c>
      <c r="S1594" s="60"/>
      <c r="T1594" s="60" t="b">
        <f>FALSE()</f>
        <v>0</v>
      </c>
      <c r="U1594" s="60" t="b">
        <f>FALSE()</f>
        <v>0</v>
      </c>
      <c r="V1594" s="60">
        <v>229</v>
      </c>
      <c r="W1594" s="62" t="s">
        <v>5848</v>
      </c>
      <c r="X1594" s="60">
        <v>41</v>
      </c>
      <c r="Y1594" s="63">
        <v>71.75</v>
      </c>
      <c r="Z1594" s="60" t="b">
        <f>FALSE()</f>
        <v>0</v>
      </c>
      <c r="AA1594" s="60" t="b">
        <f>TRUE()</f>
        <v>1</v>
      </c>
      <c r="AB1594" s="60" t="b">
        <f>TRUE()</f>
        <v>1</v>
      </c>
      <c r="AC1594" s="60" t="b">
        <f>FALSE()</f>
        <v>0</v>
      </c>
      <c r="AD1594" s="60" t="b">
        <f>FALSE()</f>
        <v>0</v>
      </c>
      <c r="AE1594" s="60">
        <v>2</v>
      </c>
      <c r="AF1594" s="64">
        <v>28.6</v>
      </c>
      <c r="AG1594" s="60" t="s">
        <v>73</v>
      </c>
      <c r="AH1594" s="60" t="s">
        <v>5849</v>
      </c>
      <c r="AI1594">
        <f>IF(AND(OR(Company_Explorer!$B$5="All Companies",$E1594=Company_Explorer!$B$5),OR(Company_Explorer!$B$6="All Platforms",$B1594=Company_Explorer!$B$6),OR(Company_Explorer!$B$7="All Roles",$D1594=Company_Explorer!$B$7),OR(Company_Explorer!$B$8="All Ghost Labels",$AG1594=Company_Explorer!$B$8)),1,0)</f>
        <v>0</v>
      </c>
    </row>
    <row r="1595" spans="1:35" ht="15" customHeight="1" x14ac:dyDescent="0.3">
      <c r="A1595" s="65" t="s">
        <v>5850</v>
      </c>
      <c r="B1595" s="65" t="s">
        <v>81</v>
      </c>
      <c r="C1595" s="65" t="s">
        <v>125</v>
      </c>
      <c r="D1595" s="65" t="s">
        <v>125</v>
      </c>
      <c r="E1595" s="65" t="s">
        <v>144</v>
      </c>
      <c r="F1595" s="65" t="b">
        <f>TRUE()</f>
        <v>1</v>
      </c>
      <c r="G1595" s="65" t="s">
        <v>165</v>
      </c>
      <c r="H1595" s="65" t="s">
        <v>3672</v>
      </c>
      <c r="I1595" s="66">
        <v>46209.929555335701</v>
      </c>
      <c r="J1595" s="66">
        <v>46210.283200393496</v>
      </c>
      <c r="K1595" s="65">
        <v>0.4</v>
      </c>
      <c r="L1595" s="65" t="s">
        <v>183</v>
      </c>
      <c r="M1595" s="65" t="s">
        <v>183</v>
      </c>
      <c r="N1595" s="65" t="b">
        <f>FALSE()</f>
        <v>0</v>
      </c>
      <c r="O1595" s="65"/>
      <c r="P1595" s="65"/>
      <c r="Q1595" s="65" t="s">
        <v>236</v>
      </c>
      <c r="R1595" s="65" t="s">
        <v>236</v>
      </c>
      <c r="S1595" s="65"/>
      <c r="T1595" s="65" t="b">
        <f>FALSE()</f>
        <v>0</v>
      </c>
      <c r="U1595" s="65" t="b">
        <f>FALSE()</f>
        <v>0</v>
      </c>
      <c r="V1595" s="65">
        <v>229</v>
      </c>
      <c r="W1595" s="67" t="s">
        <v>5848</v>
      </c>
      <c r="X1595" s="65">
        <v>41</v>
      </c>
      <c r="Y1595" s="68">
        <v>71.75</v>
      </c>
      <c r="Z1595" s="65" t="b">
        <f>FALSE()</f>
        <v>0</v>
      </c>
      <c r="AA1595" s="65" t="b">
        <f>TRUE()</f>
        <v>1</v>
      </c>
      <c r="AB1595" s="65" t="b">
        <f>TRUE()</f>
        <v>1</v>
      </c>
      <c r="AC1595" s="65" t="b">
        <f>FALSE()</f>
        <v>0</v>
      </c>
      <c r="AD1595" s="65" t="b">
        <f>FALSE()</f>
        <v>0</v>
      </c>
      <c r="AE1595" s="65">
        <v>2</v>
      </c>
      <c r="AF1595" s="69">
        <v>28.6</v>
      </c>
      <c r="AG1595" s="65" t="s">
        <v>73</v>
      </c>
      <c r="AH1595" s="65" t="s">
        <v>5851</v>
      </c>
      <c r="AI1595">
        <f>IF(AND(OR(Company_Explorer!$B$5="All Companies",$E1595=Company_Explorer!$B$5),OR(Company_Explorer!$B$6="All Platforms",$B1595=Company_Explorer!$B$6),OR(Company_Explorer!$B$7="All Roles",$D1595=Company_Explorer!$B$7),OR(Company_Explorer!$B$8="All Ghost Labels",$AG1595=Company_Explorer!$B$8)),1,0)</f>
        <v>0</v>
      </c>
    </row>
    <row r="1596" spans="1:35" ht="15" customHeight="1" x14ac:dyDescent="0.3">
      <c r="A1596" s="60" t="s">
        <v>5852</v>
      </c>
      <c r="B1596" s="60" t="s">
        <v>81</v>
      </c>
      <c r="C1596" s="60" t="s">
        <v>1811</v>
      </c>
      <c r="D1596" s="60" t="s">
        <v>125</v>
      </c>
      <c r="E1596" s="60" t="s">
        <v>144</v>
      </c>
      <c r="F1596" s="60" t="b">
        <f>TRUE()</f>
        <v>1</v>
      </c>
      <c r="G1596" s="60" t="s">
        <v>165</v>
      </c>
      <c r="H1596" s="60" t="s">
        <v>3655</v>
      </c>
      <c r="I1596" s="61">
        <v>46209.9295052546</v>
      </c>
      <c r="J1596" s="61">
        <v>46210.283200509301</v>
      </c>
      <c r="K1596" s="60">
        <v>0.4</v>
      </c>
      <c r="L1596" s="60" t="s">
        <v>183</v>
      </c>
      <c r="M1596" s="60" t="s">
        <v>183</v>
      </c>
      <c r="N1596" s="60" t="b">
        <f>FALSE()</f>
        <v>0</v>
      </c>
      <c r="O1596" s="60"/>
      <c r="P1596" s="60"/>
      <c r="Q1596" s="60" t="s">
        <v>236</v>
      </c>
      <c r="R1596" s="60" t="s">
        <v>236</v>
      </c>
      <c r="S1596" s="60"/>
      <c r="T1596" s="60" t="b">
        <f>FALSE()</f>
        <v>0</v>
      </c>
      <c r="U1596" s="60" t="b">
        <f>FALSE()</f>
        <v>0</v>
      </c>
      <c r="V1596" s="60">
        <v>135</v>
      </c>
      <c r="W1596" s="62" t="s">
        <v>5853</v>
      </c>
      <c r="X1596" s="60">
        <v>41</v>
      </c>
      <c r="Y1596" s="63">
        <v>71.75</v>
      </c>
      <c r="Z1596" s="60" t="b">
        <f>FALSE()</f>
        <v>0</v>
      </c>
      <c r="AA1596" s="60" t="b">
        <f>TRUE()</f>
        <v>1</v>
      </c>
      <c r="AB1596" s="60" t="b">
        <f>TRUE()</f>
        <v>1</v>
      </c>
      <c r="AC1596" s="60" t="b">
        <f>FALSE()</f>
        <v>0</v>
      </c>
      <c r="AD1596" s="60" t="b">
        <f>FALSE()</f>
        <v>0</v>
      </c>
      <c r="AE1596" s="60">
        <v>2</v>
      </c>
      <c r="AF1596" s="64">
        <v>28.6</v>
      </c>
      <c r="AG1596" s="60" t="s">
        <v>73</v>
      </c>
      <c r="AH1596" s="60" t="s">
        <v>5854</v>
      </c>
      <c r="AI1596">
        <f>IF(AND(OR(Company_Explorer!$B$5="All Companies",$E1596=Company_Explorer!$B$5),OR(Company_Explorer!$B$6="All Platforms",$B1596=Company_Explorer!$B$6),OR(Company_Explorer!$B$7="All Roles",$D1596=Company_Explorer!$B$7),OR(Company_Explorer!$B$8="All Ghost Labels",$AG1596=Company_Explorer!$B$8)),1,0)</f>
        <v>0</v>
      </c>
    </row>
    <row r="1597" spans="1:35" ht="15" customHeight="1" x14ac:dyDescent="0.3">
      <c r="A1597" s="65" t="s">
        <v>5855</v>
      </c>
      <c r="B1597" s="65" t="s">
        <v>81</v>
      </c>
      <c r="C1597" s="65" t="s">
        <v>125</v>
      </c>
      <c r="D1597" s="65" t="s">
        <v>125</v>
      </c>
      <c r="E1597" s="65" t="s">
        <v>144</v>
      </c>
      <c r="F1597" s="65" t="b">
        <f>TRUE()</f>
        <v>1</v>
      </c>
      <c r="G1597" s="65" t="s">
        <v>165</v>
      </c>
      <c r="H1597" s="65" t="s">
        <v>3655</v>
      </c>
      <c r="I1597" s="66">
        <v>46209.929462754597</v>
      </c>
      <c r="J1597" s="66">
        <v>46210.2832004745</v>
      </c>
      <c r="K1597" s="65">
        <v>0.4</v>
      </c>
      <c r="L1597" s="65" t="s">
        <v>183</v>
      </c>
      <c r="M1597" s="65" t="s">
        <v>183</v>
      </c>
      <c r="N1597" s="65" t="b">
        <f>FALSE()</f>
        <v>0</v>
      </c>
      <c r="O1597" s="65"/>
      <c r="P1597" s="65"/>
      <c r="Q1597" s="65" t="s">
        <v>236</v>
      </c>
      <c r="R1597" s="65" t="s">
        <v>236</v>
      </c>
      <c r="S1597" s="65"/>
      <c r="T1597" s="65" t="b">
        <f>FALSE()</f>
        <v>0</v>
      </c>
      <c r="U1597" s="65" t="b">
        <f>FALSE()</f>
        <v>0</v>
      </c>
      <c r="V1597" s="65">
        <v>229</v>
      </c>
      <c r="W1597" s="67" t="s">
        <v>5848</v>
      </c>
      <c r="X1597" s="65">
        <v>41</v>
      </c>
      <c r="Y1597" s="68">
        <v>71.75</v>
      </c>
      <c r="Z1597" s="65" t="b">
        <f>FALSE()</f>
        <v>0</v>
      </c>
      <c r="AA1597" s="65" t="b">
        <f>TRUE()</f>
        <v>1</v>
      </c>
      <c r="AB1597" s="65" t="b">
        <f>TRUE()</f>
        <v>1</v>
      </c>
      <c r="AC1597" s="65" t="b">
        <f>FALSE()</f>
        <v>0</v>
      </c>
      <c r="AD1597" s="65" t="b">
        <f>FALSE()</f>
        <v>0</v>
      </c>
      <c r="AE1597" s="65">
        <v>2</v>
      </c>
      <c r="AF1597" s="69">
        <v>28.6</v>
      </c>
      <c r="AG1597" s="65" t="s">
        <v>73</v>
      </c>
      <c r="AH1597" s="65" t="s">
        <v>5856</v>
      </c>
      <c r="AI1597">
        <f>IF(AND(OR(Company_Explorer!$B$5="All Companies",$E1597=Company_Explorer!$B$5),OR(Company_Explorer!$B$6="All Platforms",$B1597=Company_Explorer!$B$6),OR(Company_Explorer!$B$7="All Roles",$D1597=Company_Explorer!$B$7),OR(Company_Explorer!$B$8="All Ghost Labels",$AG1597=Company_Explorer!$B$8)),1,0)</f>
        <v>0</v>
      </c>
    </row>
    <row r="1598" spans="1:35" ht="15" customHeight="1" x14ac:dyDescent="0.3">
      <c r="A1598" s="60" t="s">
        <v>5857</v>
      </c>
      <c r="B1598" s="60" t="s">
        <v>81</v>
      </c>
      <c r="C1598" s="60" t="s">
        <v>5858</v>
      </c>
      <c r="D1598" s="60" t="s">
        <v>126</v>
      </c>
      <c r="E1598" s="60" t="s">
        <v>5859</v>
      </c>
      <c r="F1598" s="60" t="b">
        <f>TRUE()</f>
        <v>1</v>
      </c>
      <c r="G1598" s="60" t="s">
        <v>165</v>
      </c>
      <c r="H1598" s="60" t="s">
        <v>3620</v>
      </c>
      <c r="I1598" s="61">
        <v>46209.873016678197</v>
      </c>
      <c r="J1598" s="61">
        <v>46210.283200567101</v>
      </c>
      <c r="K1598" s="60">
        <v>0.4</v>
      </c>
      <c r="L1598" s="60" t="s">
        <v>183</v>
      </c>
      <c r="M1598" s="60" t="s">
        <v>183</v>
      </c>
      <c r="N1598" s="60" t="b">
        <f>FALSE()</f>
        <v>0</v>
      </c>
      <c r="O1598" s="60"/>
      <c r="P1598" s="60"/>
      <c r="Q1598" s="60" t="s">
        <v>236</v>
      </c>
      <c r="R1598" s="60" t="s">
        <v>236</v>
      </c>
      <c r="S1598" s="60"/>
      <c r="T1598" s="60" t="b">
        <f>FALSE()</f>
        <v>0</v>
      </c>
      <c r="U1598" s="60" t="b">
        <f>FALSE()</f>
        <v>0</v>
      </c>
      <c r="V1598" s="60">
        <v>1145</v>
      </c>
      <c r="W1598" s="62" t="s">
        <v>5860</v>
      </c>
      <c r="X1598" s="60">
        <v>2</v>
      </c>
      <c r="Y1598" s="63">
        <v>3.5</v>
      </c>
      <c r="Z1598" s="60" t="b">
        <f>FALSE()</f>
        <v>0</v>
      </c>
      <c r="AA1598" s="60" t="b">
        <f>TRUE()</f>
        <v>1</v>
      </c>
      <c r="AB1598" s="60" t="b">
        <f>FALSE()</f>
        <v>0</v>
      </c>
      <c r="AC1598" s="60" t="b">
        <f>FALSE()</f>
        <v>0</v>
      </c>
      <c r="AD1598" s="60" t="b">
        <f>FALSE()</f>
        <v>0</v>
      </c>
      <c r="AE1598" s="60">
        <v>1</v>
      </c>
      <c r="AF1598" s="64">
        <v>14.3</v>
      </c>
      <c r="AG1598" s="60" t="s">
        <v>74</v>
      </c>
      <c r="AH1598" s="60" t="s">
        <v>5861</v>
      </c>
      <c r="AI1598">
        <f>IF(AND(OR(Company_Explorer!$B$5="All Companies",$E1598=Company_Explorer!$B$5),OR(Company_Explorer!$B$6="All Platforms",$B1598=Company_Explorer!$B$6),OR(Company_Explorer!$B$7="All Roles",$D1598=Company_Explorer!$B$7),OR(Company_Explorer!$B$8="All Ghost Labels",$AG1598=Company_Explorer!$B$8)),1,0)</f>
        <v>0</v>
      </c>
    </row>
    <row r="1599" spans="1:35" ht="15" customHeight="1" x14ac:dyDescent="0.3">
      <c r="A1599" s="65" t="s">
        <v>5862</v>
      </c>
      <c r="B1599" s="65" t="s">
        <v>81</v>
      </c>
      <c r="C1599" s="65" t="s">
        <v>1811</v>
      </c>
      <c r="D1599" s="65" t="s">
        <v>125</v>
      </c>
      <c r="E1599" s="65" t="s">
        <v>144</v>
      </c>
      <c r="F1599" s="65" t="b">
        <f>TRUE()</f>
        <v>1</v>
      </c>
      <c r="G1599" s="65" t="s">
        <v>165</v>
      </c>
      <c r="H1599" s="65" t="s">
        <v>3655</v>
      </c>
      <c r="I1599" s="66">
        <v>46209.929517338001</v>
      </c>
      <c r="J1599" s="66">
        <v>46210.283201331004</v>
      </c>
      <c r="K1599" s="65">
        <v>0.4</v>
      </c>
      <c r="L1599" s="65" t="s">
        <v>183</v>
      </c>
      <c r="M1599" s="65" t="s">
        <v>183</v>
      </c>
      <c r="N1599" s="65" t="b">
        <f>FALSE()</f>
        <v>0</v>
      </c>
      <c r="O1599" s="65"/>
      <c r="P1599" s="65"/>
      <c r="Q1599" s="65" t="s">
        <v>236</v>
      </c>
      <c r="R1599" s="65" t="s">
        <v>236</v>
      </c>
      <c r="S1599" s="65"/>
      <c r="T1599" s="65" t="b">
        <f>FALSE()</f>
        <v>0</v>
      </c>
      <c r="U1599" s="65" t="b">
        <f>FALSE()</f>
        <v>0</v>
      </c>
      <c r="V1599" s="65">
        <v>135</v>
      </c>
      <c r="W1599" s="67" t="s">
        <v>5853</v>
      </c>
      <c r="X1599" s="65">
        <v>41</v>
      </c>
      <c r="Y1599" s="68">
        <v>71.75</v>
      </c>
      <c r="Z1599" s="65" t="b">
        <f>FALSE()</f>
        <v>0</v>
      </c>
      <c r="AA1599" s="65" t="b">
        <f>TRUE()</f>
        <v>1</v>
      </c>
      <c r="AB1599" s="65" t="b">
        <f>TRUE()</f>
        <v>1</v>
      </c>
      <c r="AC1599" s="65" t="b">
        <f>FALSE()</f>
        <v>0</v>
      </c>
      <c r="AD1599" s="65" t="b">
        <f>FALSE()</f>
        <v>0</v>
      </c>
      <c r="AE1599" s="65">
        <v>2</v>
      </c>
      <c r="AF1599" s="69">
        <v>28.6</v>
      </c>
      <c r="AG1599" s="65" t="s">
        <v>73</v>
      </c>
      <c r="AH1599" s="65" t="s">
        <v>5863</v>
      </c>
      <c r="AI1599">
        <f>IF(AND(OR(Company_Explorer!$B$5="All Companies",$E1599=Company_Explorer!$B$5),OR(Company_Explorer!$B$6="All Platforms",$B1599=Company_Explorer!$B$6),OR(Company_Explorer!$B$7="All Roles",$D1599=Company_Explorer!$B$7),OR(Company_Explorer!$B$8="All Ghost Labels",$AG1599=Company_Explorer!$B$8)),1,0)</f>
        <v>0</v>
      </c>
    </row>
    <row r="1600" spans="1:35" ht="15" customHeight="1" x14ac:dyDescent="0.3">
      <c r="A1600" s="60" t="s">
        <v>5864</v>
      </c>
      <c r="B1600" s="60" t="s">
        <v>81</v>
      </c>
      <c r="C1600" s="60" t="s">
        <v>5865</v>
      </c>
      <c r="D1600" s="60" t="s">
        <v>125</v>
      </c>
      <c r="E1600" s="60" t="s">
        <v>5866</v>
      </c>
      <c r="F1600" s="60" t="b">
        <f>TRUE()</f>
        <v>1</v>
      </c>
      <c r="G1600" s="60" t="s">
        <v>165</v>
      </c>
      <c r="H1600" s="60" t="s">
        <v>3636</v>
      </c>
      <c r="I1600" s="61">
        <v>46209.875330405099</v>
      </c>
      <c r="J1600" s="61">
        <v>46210.283201493097</v>
      </c>
      <c r="K1600" s="60">
        <v>0.4</v>
      </c>
      <c r="L1600" s="60" t="s">
        <v>183</v>
      </c>
      <c r="M1600" s="60" t="s">
        <v>183</v>
      </c>
      <c r="N1600" s="60" t="b">
        <f>FALSE()</f>
        <v>0</v>
      </c>
      <c r="O1600" s="60"/>
      <c r="P1600" s="60"/>
      <c r="Q1600" s="60" t="s">
        <v>236</v>
      </c>
      <c r="R1600" s="60" t="s">
        <v>236</v>
      </c>
      <c r="S1600" s="60"/>
      <c r="T1600" s="60" t="b">
        <f>FALSE()</f>
        <v>0</v>
      </c>
      <c r="U1600" s="60" t="b">
        <f>FALSE()</f>
        <v>0</v>
      </c>
      <c r="V1600" s="60">
        <v>826</v>
      </c>
      <c r="W1600" s="62" t="s">
        <v>5867</v>
      </c>
      <c r="X1600" s="60">
        <v>3</v>
      </c>
      <c r="Y1600" s="63">
        <v>5.25</v>
      </c>
      <c r="Z1600" s="60" t="b">
        <f>FALSE()</f>
        <v>0</v>
      </c>
      <c r="AA1600" s="60" t="b">
        <f>TRUE()</f>
        <v>1</v>
      </c>
      <c r="AB1600" s="60" t="b">
        <f>FALSE()</f>
        <v>0</v>
      </c>
      <c r="AC1600" s="60" t="b">
        <f>FALSE()</f>
        <v>0</v>
      </c>
      <c r="AD1600" s="60" t="b">
        <f>FALSE()</f>
        <v>0</v>
      </c>
      <c r="AE1600" s="60">
        <v>1</v>
      </c>
      <c r="AF1600" s="64">
        <v>14.3</v>
      </c>
      <c r="AG1600" s="60" t="s">
        <v>74</v>
      </c>
      <c r="AH1600" s="60" t="s">
        <v>5868</v>
      </c>
      <c r="AI1600">
        <f>IF(AND(OR(Company_Explorer!$B$5="All Companies",$E1600=Company_Explorer!$B$5),OR(Company_Explorer!$B$6="All Platforms",$B1600=Company_Explorer!$B$6),OR(Company_Explorer!$B$7="All Roles",$D1600=Company_Explorer!$B$7),OR(Company_Explorer!$B$8="All Ghost Labels",$AG1600=Company_Explorer!$B$8)),1,0)</f>
        <v>0</v>
      </c>
    </row>
    <row r="1601" spans="1:35" ht="15" customHeight="1" x14ac:dyDescent="0.3">
      <c r="A1601" s="65" t="s">
        <v>5869</v>
      </c>
      <c r="B1601" s="65" t="s">
        <v>81</v>
      </c>
      <c r="C1601" s="65" t="s">
        <v>5870</v>
      </c>
      <c r="D1601" s="65" t="s">
        <v>135</v>
      </c>
      <c r="E1601" s="65" t="s">
        <v>5866</v>
      </c>
      <c r="F1601" s="65" t="b">
        <f>TRUE()</f>
        <v>1</v>
      </c>
      <c r="G1601" s="65" t="s">
        <v>165</v>
      </c>
      <c r="H1601" s="65" t="s">
        <v>3620</v>
      </c>
      <c r="I1601" s="66">
        <v>46209.875217245397</v>
      </c>
      <c r="J1601" s="66">
        <v>46210.283201423597</v>
      </c>
      <c r="K1601" s="65">
        <v>0.4</v>
      </c>
      <c r="L1601" s="65" t="s">
        <v>183</v>
      </c>
      <c r="M1601" s="65" t="s">
        <v>183</v>
      </c>
      <c r="N1601" s="65" t="b">
        <f>FALSE()</f>
        <v>0</v>
      </c>
      <c r="O1601" s="65"/>
      <c r="P1601" s="65"/>
      <c r="Q1601" s="65" t="s">
        <v>236</v>
      </c>
      <c r="R1601" s="65" t="s">
        <v>236</v>
      </c>
      <c r="S1601" s="65"/>
      <c r="T1601" s="65" t="b">
        <f>FALSE()</f>
        <v>0</v>
      </c>
      <c r="U1601" s="65" t="b">
        <f>FALSE()</f>
        <v>0</v>
      </c>
      <c r="V1601" s="65">
        <v>618</v>
      </c>
      <c r="W1601" s="67" t="s">
        <v>5871</v>
      </c>
      <c r="X1601" s="65">
        <v>3</v>
      </c>
      <c r="Y1601" s="68">
        <v>5.25</v>
      </c>
      <c r="Z1601" s="65" t="b">
        <f>FALSE()</f>
        <v>0</v>
      </c>
      <c r="AA1601" s="65" t="b">
        <f>TRUE()</f>
        <v>1</v>
      </c>
      <c r="AB1601" s="65" t="b">
        <f>FALSE()</f>
        <v>0</v>
      </c>
      <c r="AC1601" s="65" t="b">
        <f>FALSE()</f>
        <v>0</v>
      </c>
      <c r="AD1601" s="65" t="b">
        <f>FALSE()</f>
        <v>0</v>
      </c>
      <c r="AE1601" s="65">
        <v>1</v>
      </c>
      <c r="AF1601" s="69">
        <v>14.3</v>
      </c>
      <c r="AG1601" s="65" t="s">
        <v>74</v>
      </c>
      <c r="AH1601" s="65" t="s">
        <v>5872</v>
      </c>
      <c r="AI1601">
        <f>IF(AND(OR(Company_Explorer!$B$5="All Companies",$E1601=Company_Explorer!$B$5),OR(Company_Explorer!$B$6="All Platforms",$B1601=Company_Explorer!$B$6),OR(Company_Explorer!$B$7="All Roles",$D1601=Company_Explorer!$B$7),OR(Company_Explorer!$B$8="All Ghost Labels",$AG1601=Company_Explorer!$B$8)),1,0)</f>
        <v>0</v>
      </c>
    </row>
    <row r="1602" spans="1:35" ht="15" customHeight="1" x14ac:dyDescent="0.3">
      <c r="A1602" s="60" t="s">
        <v>5873</v>
      </c>
      <c r="B1602" s="60" t="s">
        <v>81</v>
      </c>
      <c r="C1602" s="60" t="s">
        <v>5874</v>
      </c>
      <c r="D1602" s="60" t="s">
        <v>126</v>
      </c>
      <c r="E1602" s="60" t="s">
        <v>5875</v>
      </c>
      <c r="F1602" s="60" t="b">
        <f>TRUE()</f>
        <v>1</v>
      </c>
      <c r="G1602" s="60" t="s">
        <v>165</v>
      </c>
      <c r="H1602" s="60" t="s">
        <v>3636</v>
      </c>
      <c r="I1602" s="61">
        <v>46209.863883171303</v>
      </c>
      <c r="J1602" s="61">
        <v>46210.283201388898</v>
      </c>
      <c r="K1602" s="60">
        <v>0.4</v>
      </c>
      <c r="L1602" s="60" t="s">
        <v>183</v>
      </c>
      <c r="M1602" s="60" t="s">
        <v>183</v>
      </c>
      <c r="N1602" s="60" t="b">
        <f>FALSE()</f>
        <v>0</v>
      </c>
      <c r="O1602" s="60"/>
      <c r="P1602" s="60"/>
      <c r="Q1602" s="60" t="s">
        <v>236</v>
      </c>
      <c r="R1602" s="60" t="s">
        <v>236</v>
      </c>
      <c r="S1602" s="60"/>
      <c r="T1602" s="60" t="b">
        <f>FALSE()</f>
        <v>0</v>
      </c>
      <c r="U1602" s="60" t="b">
        <f>FALSE()</f>
        <v>0</v>
      </c>
      <c r="V1602" s="60">
        <v>948</v>
      </c>
      <c r="W1602" s="62" t="s">
        <v>5876</v>
      </c>
      <c r="X1602" s="60">
        <v>1</v>
      </c>
      <c r="Y1602" s="63">
        <v>1.75</v>
      </c>
      <c r="Z1602" s="60" t="b">
        <f>FALSE()</f>
        <v>0</v>
      </c>
      <c r="AA1602" s="60" t="b">
        <f>TRUE()</f>
        <v>1</v>
      </c>
      <c r="AB1602" s="60" t="b">
        <f>FALSE()</f>
        <v>0</v>
      </c>
      <c r="AC1602" s="60" t="b">
        <f>FALSE()</f>
        <v>0</v>
      </c>
      <c r="AD1602" s="60" t="b">
        <f>FALSE()</f>
        <v>0</v>
      </c>
      <c r="AE1602" s="60">
        <v>1</v>
      </c>
      <c r="AF1602" s="64">
        <v>14.3</v>
      </c>
      <c r="AG1602" s="60" t="s">
        <v>74</v>
      </c>
      <c r="AH1602" s="60" t="s">
        <v>5877</v>
      </c>
      <c r="AI1602">
        <f>IF(AND(OR(Company_Explorer!$B$5="All Companies",$E1602=Company_Explorer!$B$5),OR(Company_Explorer!$B$6="All Platforms",$B1602=Company_Explorer!$B$6),OR(Company_Explorer!$B$7="All Roles",$D1602=Company_Explorer!$B$7),OR(Company_Explorer!$B$8="All Ghost Labels",$AG1602=Company_Explorer!$B$8)),1,0)</f>
        <v>0</v>
      </c>
    </row>
    <row r="1603" spans="1:35" ht="15" customHeight="1" x14ac:dyDescent="0.3">
      <c r="A1603" s="65" t="s">
        <v>5878</v>
      </c>
      <c r="B1603" s="65" t="s">
        <v>81</v>
      </c>
      <c r="C1603" s="65" t="s">
        <v>5879</v>
      </c>
      <c r="D1603" s="65" t="s">
        <v>134</v>
      </c>
      <c r="E1603" s="65" t="s">
        <v>5135</v>
      </c>
      <c r="F1603" s="65" t="b">
        <f>TRUE()</f>
        <v>1</v>
      </c>
      <c r="G1603" s="65" t="s">
        <v>165</v>
      </c>
      <c r="H1603" s="65" t="s">
        <v>3620</v>
      </c>
      <c r="I1603" s="66">
        <v>46209.861088819503</v>
      </c>
      <c r="J1603" s="66">
        <v>46210.283202569401</v>
      </c>
      <c r="K1603" s="65">
        <v>0.4</v>
      </c>
      <c r="L1603" s="65" t="s">
        <v>183</v>
      </c>
      <c r="M1603" s="65" t="s">
        <v>183</v>
      </c>
      <c r="N1603" s="65" t="b">
        <f>FALSE()</f>
        <v>0</v>
      </c>
      <c r="O1603" s="65"/>
      <c r="P1603" s="65"/>
      <c r="Q1603" s="65" t="s">
        <v>236</v>
      </c>
      <c r="R1603" s="65" t="s">
        <v>236</v>
      </c>
      <c r="S1603" s="65"/>
      <c r="T1603" s="65" t="b">
        <f>FALSE()</f>
        <v>0</v>
      </c>
      <c r="U1603" s="65" t="b">
        <f>FALSE()</f>
        <v>0</v>
      </c>
      <c r="V1603" s="65">
        <v>182</v>
      </c>
      <c r="W1603" s="67" t="s">
        <v>5880</v>
      </c>
      <c r="X1603" s="65">
        <v>8</v>
      </c>
      <c r="Y1603" s="68">
        <v>14</v>
      </c>
      <c r="Z1603" s="65" t="b">
        <f>FALSE()</f>
        <v>0</v>
      </c>
      <c r="AA1603" s="65" t="b">
        <f>TRUE()</f>
        <v>1</v>
      </c>
      <c r="AB1603" s="65" t="b">
        <f>TRUE()</f>
        <v>1</v>
      </c>
      <c r="AC1603" s="65" t="b">
        <f>FALSE()</f>
        <v>0</v>
      </c>
      <c r="AD1603" s="65" t="b">
        <f>FALSE()</f>
        <v>0</v>
      </c>
      <c r="AE1603" s="65">
        <v>2</v>
      </c>
      <c r="AF1603" s="69">
        <v>28.6</v>
      </c>
      <c r="AG1603" s="65" t="s">
        <v>73</v>
      </c>
      <c r="AH1603" s="65" t="s">
        <v>5881</v>
      </c>
      <c r="AI1603">
        <f>IF(AND(OR(Company_Explorer!$B$5="All Companies",$E1603=Company_Explorer!$B$5),OR(Company_Explorer!$B$6="All Platforms",$B1603=Company_Explorer!$B$6),OR(Company_Explorer!$B$7="All Roles",$D1603=Company_Explorer!$B$7),OR(Company_Explorer!$B$8="All Ghost Labels",$AG1603=Company_Explorer!$B$8)),1,0)</f>
        <v>0</v>
      </c>
    </row>
    <row r="1604" spans="1:35" ht="15" customHeight="1" x14ac:dyDescent="0.3">
      <c r="A1604" s="60" t="s">
        <v>5882</v>
      </c>
      <c r="B1604" s="60" t="s">
        <v>81</v>
      </c>
      <c r="C1604" s="60" t="s">
        <v>125</v>
      </c>
      <c r="D1604" s="60" t="s">
        <v>125</v>
      </c>
      <c r="E1604" s="60" t="s">
        <v>144</v>
      </c>
      <c r="F1604" s="60" t="b">
        <f>TRUE()</f>
        <v>1</v>
      </c>
      <c r="G1604" s="60" t="s">
        <v>165</v>
      </c>
      <c r="H1604" s="60" t="s">
        <v>3655</v>
      </c>
      <c r="I1604" s="61">
        <v>46209.929412372701</v>
      </c>
      <c r="J1604" s="61">
        <v>46210.283203715298</v>
      </c>
      <c r="K1604" s="60">
        <v>0.4</v>
      </c>
      <c r="L1604" s="60" t="s">
        <v>183</v>
      </c>
      <c r="M1604" s="60" t="s">
        <v>183</v>
      </c>
      <c r="N1604" s="60" t="b">
        <f>FALSE()</f>
        <v>0</v>
      </c>
      <c r="O1604" s="60"/>
      <c r="P1604" s="60"/>
      <c r="Q1604" s="60" t="s">
        <v>236</v>
      </c>
      <c r="R1604" s="60" t="s">
        <v>236</v>
      </c>
      <c r="S1604" s="60"/>
      <c r="T1604" s="60" t="b">
        <f>FALSE()</f>
        <v>0</v>
      </c>
      <c r="U1604" s="60" t="b">
        <f>FALSE()</f>
        <v>0</v>
      </c>
      <c r="V1604" s="60">
        <v>229</v>
      </c>
      <c r="W1604" s="62" t="s">
        <v>5848</v>
      </c>
      <c r="X1604" s="60">
        <v>41</v>
      </c>
      <c r="Y1604" s="63">
        <v>71.75</v>
      </c>
      <c r="Z1604" s="60" t="b">
        <f>FALSE()</f>
        <v>0</v>
      </c>
      <c r="AA1604" s="60" t="b">
        <f>TRUE()</f>
        <v>1</v>
      </c>
      <c r="AB1604" s="60" t="b">
        <f>TRUE()</f>
        <v>1</v>
      </c>
      <c r="AC1604" s="60" t="b">
        <f>FALSE()</f>
        <v>0</v>
      </c>
      <c r="AD1604" s="60" t="b">
        <f>FALSE()</f>
        <v>0</v>
      </c>
      <c r="AE1604" s="60">
        <v>2</v>
      </c>
      <c r="AF1604" s="64">
        <v>28.6</v>
      </c>
      <c r="AG1604" s="60" t="s">
        <v>73</v>
      </c>
      <c r="AH1604" s="60" t="s">
        <v>5883</v>
      </c>
      <c r="AI1604">
        <f>IF(AND(OR(Company_Explorer!$B$5="All Companies",$E1604=Company_Explorer!$B$5),OR(Company_Explorer!$B$6="All Platforms",$B1604=Company_Explorer!$B$6),OR(Company_Explorer!$B$7="All Roles",$D1604=Company_Explorer!$B$7),OR(Company_Explorer!$B$8="All Ghost Labels",$AG1604=Company_Explorer!$B$8)),1,0)</f>
        <v>0</v>
      </c>
    </row>
    <row r="1605" spans="1:35" ht="15" customHeight="1" x14ac:dyDescent="0.3">
      <c r="A1605" s="65" t="s">
        <v>5884</v>
      </c>
      <c r="B1605" s="65" t="s">
        <v>81</v>
      </c>
      <c r="C1605" s="65" t="s">
        <v>241</v>
      </c>
      <c r="D1605" s="65" t="s">
        <v>125</v>
      </c>
      <c r="E1605" s="65" t="s">
        <v>1197</v>
      </c>
      <c r="F1605" s="65" t="b">
        <f>TRUE()</f>
        <v>1</v>
      </c>
      <c r="G1605" s="65" t="s">
        <v>165</v>
      </c>
      <c r="H1605" s="65" t="s">
        <v>3655</v>
      </c>
      <c r="I1605" s="66">
        <v>46209.860203657401</v>
      </c>
      <c r="J1605" s="66">
        <v>46210.2832037384</v>
      </c>
      <c r="K1605" s="65">
        <v>0.4</v>
      </c>
      <c r="L1605" s="65" t="s">
        <v>183</v>
      </c>
      <c r="M1605" s="65" t="s">
        <v>183</v>
      </c>
      <c r="N1605" s="65" t="b">
        <f>FALSE()</f>
        <v>0</v>
      </c>
      <c r="O1605" s="65"/>
      <c r="P1605" s="65"/>
      <c r="Q1605" s="65" t="s">
        <v>236</v>
      </c>
      <c r="R1605" s="65" t="s">
        <v>236</v>
      </c>
      <c r="S1605" s="65"/>
      <c r="T1605" s="65" t="b">
        <f>FALSE()</f>
        <v>0</v>
      </c>
      <c r="U1605" s="65" t="b">
        <f>FALSE()</f>
        <v>0</v>
      </c>
      <c r="V1605" s="65">
        <v>406</v>
      </c>
      <c r="W1605" s="67" t="s">
        <v>5885</v>
      </c>
      <c r="X1605" s="65">
        <v>1</v>
      </c>
      <c r="Y1605" s="68">
        <v>1.75</v>
      </c>
      <c r="Z1605" s="65" t="b">
        <f>FALSE()</f>
        <v>0</v>
      </c>
      <c r="AA1605" s="65" t="b">
        <f>TRUE()</f>
        <v>1</v>
      </c>
      <c r="AB1605" s="65" t="b">
        <f>FALSE()</f>
        <v>0</v>
      </c>
      <c r="AC1605" s="65" t="b">
        <f>FALSE()</f>
        <v>0</v>
      </c>
      <c r="AD1605" s="65" t="b">
        <f>FALSE()</f>
        <v>0</v>
      </c>
      <c r="AE1605" s="65">
        <v>1</v>
      </c>
      <c r="AF1605" s="69">
        <v>14.3</v>
      </c>
      <c r="AG1605" s="65" t="s">
        <v>74</v>
      </c>
      <c r="AH1605" s="65" t="s">
        <v>5886</v>
      </c>
      <c r="AI1605">
        <f>IF(AND(OR(Company_Explorer!$B$5="All Companies",$E1605=Company_Explorer!$B$5),OR(Company_Explorer!$B$6="All Platforms",$B1605=Company_Explorer!$B$6),OR(Company_Explorer!$B$7="All Roles",$D1605=Company_Explorer!$B$7),OR(Company_Explorer!$B$8="All Ghost Labels",$AG1605=Company_Explorer!$B$8)),1,0)</f>
        <v>0</v>
      </c>
    </row>
    <row r="1606" spans="1:35" ht="15" customHeight="1" x14ac:dyDescent="0.3">
      <c r="A1606" s="60" t="s">
        <v>5887</v>
      </c>
      <c r="B1606" s="60" t="s">
        <v>81</v>
      </c>
      <c r="C1606" s="60" t="s">
        <v>5888</v>
      </c>
      <c r="D1606" s="60" t="s">
        <v>134</v>
      </c>
      <c r="E1606" s="60" t="s">
        <v>3745</v>
      </c>
      <c r="F1606" s="60" t="b">
        <f>TRUE()</f>
        <v>1</v>
      </c>
      <c r="G1606" s="60" t="s">
        <v>165</v>
      </c>
      <c r="H1606" s="60" t="s">
        <v>3620</v>
      </c>
      <c r="I1606" s="61">
        <v>46209.857559259297</v>
      </c>
      <c r="J1606" s="61">
        <v>46210.283203784697</v>
      </c>
      <c r="K1606" s="60">
        <v>0.4</v>
      </c>
      <c r="L1606" s="60" t="s">
        <v>183</v>
      </c>
      <c r="M1606" s="60" t="s">
        <v>183</v>
      </c>
      <c r="N1606" s="60" t="b">
        <f>FALSE()</f>
        <v>0</v>
      </c>
      <c r="O1606" s="60"/>
      <c r="P1606" s="60"/>
      <c r="Q1606" s="60" t="s">
        <v>236</v>
      </c>
      <c r="R1606" s="60" t="s">
        <v>236</v>
      </c>
      <c r="S1606" s="60"/>
      <c r="T1606" s="60" t="b">
        <f>FALSE()</f>
        <v>0</v>
      </c>
      <c r="U1606" s="60" t="b">
        <f>FALSE()</f>
        <v>0</v>
      </c>
      <c r="V1606" s="60">
        <v>734</v>
      </c>
      <c r="W1606" s="60" t="s">
        <v>5889</v>
      </c>
      <c r="X1606" s="60">
        <v>2</v>
      </c>
      <c r="Y1606" s="63">
        <v>3.5</v>
      </c>
      <c r="Z1606" s="60" t="b">
        <f>FALSE()</f>
        <v>0</v>
      </c>
      <c r="AA1606" s="60" t="b">
        <f>TRUE()</f>
        <v>1</v>
      </c>
      <c r="AB1606" s="60" t="b">
        <f>FALSE()</f>
        <v>0</v>
      </c>
      <c r="AC1606" s="60" t="b">
        <f>FALSE()</f>
        <v>0</v>
      </c>
      <c r="AD1606" s="60" t="b">
        <f>FALSE()</f>
        <v>0</v>
      </c>
      <c r="AE1606" s="60">
        <v>1</v>
      </c>
      <c r="AF1606" s="64">
        <v>14.3</v>
      </c>
      <c r="AG1606" s="60" t="s">
        <v>74</v>
      </c>
      <c r="AH1606" s="60" t="s">
        <v>5890</v>
      </c>
      <c r="AI1606">
        <f>IF(AND(OR(Company_Explorer!$B$5="All Companies",$E1606=Company_Explorer!$B$5),OR(Company_Explorer!$B$6="All Platforms",$B1606=Company_Explorer!$B$6),OR(Company_Explorer!$B$7="All Roles",$D1606=Company_Explorer!$B$7),OR(Company_Explorer!$B$8="All Ghost Labels",$AG1606=Company_Explorer!$B$8)),1,0)</f>
        <v>0</v>
      </c>
    </row>
    <row r="1607" spans="1:35" ht="15" customHeight="1" x14ac:dyDescent="0.3">
      <c r="A1607" s="65" t="s">
        <v>5891</v>
      </c>
      <c r="B1607" s="65" t="s">
        <v>81</v>
      </c>
      <c r="C1607" s="65" t="s">
        <v>1811</v>
      </c>
      <c r="D1607" s="65" t="s">
        <v>125</v>
      </c>
      <c r="E1607" s="65" t="s">
        <v>144</v>
      </c>
      <c r="F1607" s="65" t="b">
        <f>TRUE()</f>
        <v>1</v>
      </c>
      <c r="G1607" s="65" t="s">
        <v>165</v>
      </c>
      <c r="H1607" s="65" t="s">
        <v>3655</v>
      </c>
      <c r="I1607" s="66">
        <v>46209.929376527798</v>
      </c>
      <c r="J1607" s="66">
        <v>46210.2832038079</v>
      </c>
      <c r="K1607" s="65">
        <v>0.4</v>
      </c>
      <c r="L1607" s="65" t="s">
        <v>183</v>
      </c>
      <c r="M1607" s="65" t="s">
        <v>183</v>
      </c>
      <c r="N1607" s="65" t="b">
        <f>FALSE()</f>
        <v>0</v>
      </c>
      <c r="O1607" s="65"/>
      <c r="P1607" s="65"/>
      <c r="Q1607" s="65" t="s">
        <v>236</v>
      </c>
      <c r="R1607" s="65" t="s">
        <v>236</v>
      </c>
      <c r="S1607" s="65"/>
      <c r="T1607" s="65" t="b">
        <f>FALSE()</f>
        <v>0</v>
      </c>
      <c r="U1607" s="65" t="b">
        <f>FALSE()</f>
        <v>0</v>
      </c>
      <c r="V1607" s="65">
        <v>135</v>
      </c>
      <c r="W1607" s="67" t="s">
        <v>5853</v>
      </c>
      <c r="X1607" s="65">
        <v>41</v>
      </c>
      <c r="Y1607" s="68">
        <v>71.75</v>
      </c>
      <c r="Z1607" s="65" t="b">
        <f>FALSE()</f>
        <v>0</v>
      </c>
      <c r="AA1607" s="65" t="b">
        <f>TRUE()</f>
        <v>1</v>
      </c>
      <c r="AB1607" s="65" t="b">
        <f>TRUE()</f>
        <v>1</v>
      </c>
      <c r="AC1607" s="65" t="b">
        <f>FALSE()</f>
        <v>0</v>
      </c>
      <c r="AD1607" s="65" t="b">
        <f>FALSE()</f>
        <v>0</v>
      </c>
      <c r="AE1607" s="65">
        <v>2</v>
      </c>
      <c r="AF1607" s="69">
        <v>28.6</v>
      </c>
      <c r="AG1607" s="65" t="s">
        <v>73</v>
      </c>
      <c r="AH1607" s="65" t="s">
        <v>5892</v>
      </c>
      <c r="AI1607">
        <f>IF(AND(OR(Company_Explorer!$B$5="All Companies",$E1607=Company_Explorer!$B$5),OR(Company_Explorer!$B$6="All Platforms",$B1607=Company_Explorer!$B$6),OR(Company_Explorer!$B$7="All Roles",$D1607=Company_Explorer!$B$7),OR(Company_Explorer!$B$8="All Ghost Labels",$AG1607=Company_Explorer!$B$8)),1,0)</f>
        <v>0</v>
      </c>
    </row>
    <row r="1608" spans="1:35" ht="15" customHeight="1" x14ac:dyDescent="0.3">
      <c r="A1608" s="60" t="s">
        <v>5893</v>
      </c>
      <c r="B1608" s="60" t="s">
        <v>81</v>
      </c>
      <c r="C1608" s="60" t="s">
        <v>5894</v>
      </c>
      <c r="D1608" s="60" t="s">
        <v>125</v>
      </c>
      <c r="E1608" s="60" t="s">
        <v>4384</v>
      </c>
      <c r="F1608" s="60" t="b">
        <f>TRUE()</f>
        <v>1</v>
      </c>
      <c r="G1608" s="60" t="s">
        <v>165</v>
      </c>
      <c r="H1608" s="60" t="s">
        <v>3636</v>
      </c>
      <c r="I1608" s="61">
        <v>46209.847153101902</v>
      </c>
      <c r="J1608" s="61">
        <v>46210.283203854196</v>
      </c>
      <c r="K1608" s="60">
        <v>0.4</v>
      </c>
      <c r="L1608" s="60" t="s">
        <v>183</v>
      </c>
      <c r="M1608" s="60" t="s">
        <v>183</v>
      </c>
      <c r="N1608" s="60" t="b">
        <f>FALSE()</f>
        <v>0</v>
      </c>
      <c r="O1608" s="60"/>
      <c r="P1608" s="60"/>
      <c r="Q1608" s="60" t="s">
        <v>236</v>
      </c>
      <c r="R1608" s="60" t="s">
        <v>236</v>
      </c>
      <c r="S1608" s="60"/>
      <c r="T1608" s="60" t="b">
        <f>FALSE()</f>
        <v>0</v>
      </c>
      <c r="U1608" s="60" t="b">
        <f>FALSE()</f>
        <v>0</v>
      </c>
      <c r="V1608" s="60">
        <v>504</v>
      </c>
      <c r="W1608" s="60" t="s">
        <v>5895</v>
      </c>
      <c r="X1608" s="60">
        <v>2</v>
      </c>
      <c r="Y1608" s="63">
        <v>3.5</v>
      </c>
      <c r="Z1608" s="60" t="b">
        <f>FALSE()</f>
        <v>0</v>
      </c>
      <c r="AA1608" s="60" t="b">
        <f>TRUE()</f>
        <v>1</v>
      </c>
      <c r="AB1608" s="60" t="b">
        <f>FALSE()</f>
        <v>0</v>
      </c>
      <c r="AC1608" s="60" t="b">
        <f>FALSE()</f>
        <v>0</v>
      </c>
      <c r="AD1608" s="60" t="b">
        <f>FALSE()</f>
        <v>0</v>
      </c>
      <c r="AE1608" s="60">
        <v>1</v>
      </c>
      <c r="AF1608" s="64">
        <v>14.3</v>
      </c>
      <c r="AG1608" s="60" t="s">
        <v>74</v>
      </c>
      <c r="AH1608" s="60" t="s">
        <v>5896</v>
      </c>
      <c r="AI1608">
        <f>IF(AND(OR(Company_Explorer!$B$5="All Companies",$E1608=Company_Explorer!$B$5),OR(Company_Explorer!$B$6="All Platforms",$B1608=Company_Explorer!$B$6),OR(Company_Explorer!$B$7="All Roles",$D1608=Company_Explorer!$B$7),OR(Company_Explorer!$B$8="All Ghost Labels",$AG1608=Company_Explorer!$B$8)),1,0)</f>
        <v>0</v>
      </c>
    </row>
    <row r="1609" spans="1:35" ht="15" customHeight="1" x14ac:dyDescent="0.3">
      <c r="A1609" s="65" t="s">
        <v>5897</v>
      </c>
      <c r="B1609" s="65" t="s">
        <v>81</v>
      </c>
      <c r="C1609" s="65" t="s">
        <v>1811</v>
      </c>
      <c r="D1609" s="65" t="s">
        <v>125</v>
      </c>
      <c r="E1609" s="65" t="s">
        <v>144</v>
      </c>
      <c r="F1609" s="65" t="b">
        <f>TRUE()</f>
        <v>1</v>
      </c>
      <c r="G1609" s="65" t="s">
        <v>165</v>
      </c>
      <c r="H1609" s="65" t="s">
        <v>3655</v>
      </c>
      <c r="I1609" s="66">
        <v>46209.929375856504</v>
      </c>
      <c r="J1609" s="66">
        <v>46210.283203911997</v>
      </c>
      <c r="K1609" s="65">
        <v>0.4</v>
      </c>
      <c r="L1609" s="65" t="s">
        <v>183</v>
      </c>
      <c r="M1609" s="65" t="s">
        <v>183</v>
      </c>
      <c r="N1609" s="65" t="b">
        <f>FALSE()</f>
        <v>0</v>
      </c>
      <c r="O1609" s="65"/>
      <c r="P1609" s="65"/>
      <c r="Q1609" s="65" t="s">
        <v>236</v>
      </c>
      <c r="R1609" s="65" t="s">
        <v>236</v>
      </c>
      <c r="S1609" s="65"/>
      <c r="T1609" s="65" t="b">
        <f>FALSE()</f>
        <v>0</v>
      </c>
      <c r="U1609" s="65" t="b">
        <f>FALSE()</f>
        <v>0</v>
      </c>
      <c r="V1609" s="65">
        <v>135</v>
      </c>
      <c r="W1609" s="67" t="s">
        <v>5853</v>
      </c>
      <c r="X1609" s="65">
        <v>41</v>
      </c>
      <c r="Y1609" s="68">
        <v>71.75</v>
      </c>
      <c r="Z1609" s="65" t="b">
        <f>FALSE()</f>
        <v>0</v>
      </c>
      <c r="AA1609" s="65" t="b">
        <f>TRUE()</f>
        <v>1</v>
      </c>
      <c r="AB1609" s="65" t="b">
        <f>TRUE()</f>
        <v>1</v>
      </c>
      <c r="AC1609" s="65" t="b">
        <f>FALSE()</f>
        <v>0</v>
      </c>
      <c r="AD1609" s="65" t="b">
        <f>FALSE()</f>
        <v>0</v>
      </c>
      <c r="AE1609" s="65">
        <v>2</v>
      </c>
      <c r="AF1609" s="69">
        <v>28.6</v>
      </c>
      <c r="AG1609" s="65" t="s">
        <v>73</v>
      </c>
      <c r="AH1609" s="65" t="s">
        <v>5898</v>
      </c>
      <c r="AI1609">
        <f>IF(AND(OR(Company_Explorer!$B$5="All Companies",$E1609=Company_Explorer!$B$5),OR(Company_Explorer!$B$6="All Platforms",$B1609=Company_Explorer!$B$6),OR(Company_Explorer!$B$7="All Roles",$D1609=Company_Explorer!$B$7),OR(Company_Explorer!$B$8="All Ghost Labels",$AG1609=Company_Explorer!$B$8)),1,0)</f>
        <v>0</v>
      </c>
    </row>
    <row r="1610" spans="1:35" ht="15" customHeight="1" x14ac:dyDescent="0.3">
      <c r="A1610" s="60" t="s">
        <v>5899</v>
      </c>
      <c r="B1610" s="60" t="s">
        <v>81</v>
      </c>
      <c r="C1610" s="60" t="s">
        <v>5900</v>
      </c>
      <c r="D1610" s="60" t="s">
        <v>126</v>
      </c>
      <c r="E1610" s="60" t="s">
        <v>1958</v>
      </c>
      <c r="F1610" s="60" t="b">
        <f>TRUE()</f>
        <v>1</v>
      </c>
      <c r="G1610" s="60" t="s">
        <v>165</v>
      </c>
      <c r="H1610" s="60" t="s">
        <v>3620</v>
      </c>
      <c r="I1610" s="61">
        <v>46209.832846006997</v>
      </c>
      <c r="J1610" s="61">
        <v>46210.283203877298</v>
      </c>
      <c r="K1610" s="60">
        <v>0.5</v>
      </c>
      <c r="L1610" s="60" t="s">
        <v>183</v>
      </c>
      <c r="M1610" s="60" t="s">
        <v>183</v>
      </c>
      <c r="N1610" s="60" t="b">
        <f>FALSE()</f>
        <v>0</v>
      </c>
      <c r="O1610" s="60"/>
      <c r="P1610" s="60"/>
      <c r="Q1610" s="60" t="s">
        <v>236</v>
      </c>
      <c r="R1610" s="60" t="s">
        <v>236</v>
      </c>
      <c r="S1610" s="60"/>
      <c r="T1610" s="60" t="b">
        <f>FALSE()</f>
        <v>0</v>
      </c>
      <c r="U1610" s="60" t="b">
        <f>FALSE()</f>
        <v>0</v>
      </c>
      <c r="V1610" s="60">
        <v>518</v>
      </c>
      <c r="W1610" s="62" t="s">
        <v>5901</v>
      </c>
      <c r="X1610" s="60">
        <v>1</v>
      </c>
      <c r="Y1610" s="63">
        <v>1.75</v>
      </c>
      <c r="Z1610" s="60" t="b">
        <f>FALSE()</f>
        <v>0</v>
      </c>
      <c r="AA1610" s="60" t="b">
        <f>TRUE()</f>
        <v>1</v>
      </c>
      <c r="AB1610" s="60" t="b">
        <f>FALSE()</f>
        <v>0</v>
      </c>
      <c r="AC1610" s="60" t="b">
        <f>FALSE()</f>
        <v>0</v>
      </c>
      <c r="AD1610" s="60" t="b">
        <f>FALSE()</f>
        <v>0</v>
      </c>
      <c r="AE1610" s="60">
        <v>1</v>
      </c>
      <c r="AF1610" s="64">
        <v>14.3</v>
      </c>
      <c r="AG1610" s="60" t="s">
        <v>74</v>
      </c>
      <c r="AH1610" s="60" t="s">
        <v>5902</v>
      </c>
      <c r="AI1610">
        <f>IF(AND(OR(Company_Explorer!$B$5="All Companies",$E1610=Company_Explorer!$B$5),OR(Company_Explorer!$B$6="All Platforms",$B1610=Company_Explorer!$B$6),OR(Company_Explorer!$B$7="All Roles",$D1610=Company_Explorer!$B$7),OR(Company_Explorer!$B$8="All Ghost Labels",$AG1610=Company_Explorer!$B$8)),1,0)</f>
        <v>0</v>
      </c>
    </row>
    <row r="1611" spans="1:35" ht="15" customHeight="1" x14ac:dyDescent="0.3">
      <c r="A1611" s="65" t="s">
        <v>5903</v>
      </c>
      <c r="B1611" s="65" t="s">
        <v>81</v>
      </c>
      <c r="C1611" s="65" t="s">
        <v>5904</v>
      </c>
      <c r="D1611" s="65" t="s">
        <v>125</v>
      </c>
      <c r="E1611" s="65" t="s">
        <v>144</v>
      </c>
      <c r="F1611" s="65" t="b">
        <f>TRUE()</f>
        <v>1</v>
      </c>
      <c r="G1611" s="65" t="s">
        <v>165</v>
      </c>
      <c r="H1611" s="65" t="s">
        <v>3672</v>
      </c>
      <c r="I1611" s="66">
        <v>46209.929375798602</v>
      </c>
      <c r="J1611" s="66">
        <v>46210.283203761603</v>
      </c>
      <c r="K1611" s="65">
        <v>0.4</v>
      </c>
      <c r="L1611" s="65" t="s">
        <v>183</v>
      </c>
      <c r="M1611" s="65" t="s">
        <v>183</v>
      </c>
      <c r="N1611" s="65" t="b">
        <f>FALSE()</f>
        <v>0</v>
      </c>
      <c r="O1611" s="65"/>
      <c r="P1611" s="65"/>
      <c r="Q1611" s="65" t="s">
        <v>236</v>
      </c>
      <c r="R1611" s="65" t="s">
        <v>236</v>
      </c>
      <c r="S1611" s="65"/>
      <c r="T1611" s="65" t="b">
        <f>FALSE()</f>
        <v>0</v>
      </c>
      <c r="U1611" s="65" t="b">
        <f>FALSE()</f>
        <v>0</v>
      </c>
      <c r="V1611" s="65">
        <v>220</v>
      </c>
      <c r="W1611" s="67" t="s">
        <v>5905</v>
      </c>
      <c r="X1611" s="65">
        <v>41</v>
      </c>
      <c r="Y1611" s="68">
        <v>71.75</v>
      </c>
      <c r="Z1611" s="65" t="b">
        <f>FALSE()</f>
        <v>0</v>
      </c>
      <c r="AA1611" s="65" t="b">
        <f>TRUE()</f>
        <v>1</v>
      </c>
      <c r="AB1611" s="65" t="b">
        <f>TRUE()</f>
        <v>1</v>
      </c>
      <c r="AC1611" s="65" t="b">
        <f>FALSE()</f>
        <v>0</v>
      </c>
      <c r="AD1611" s="65" t="b">
        <f>FALSE()</f>
        <v>0</v>
      </c>
      <c r="AE1611" s="65">
        <v>2</v>
      </c>
      <c r="AF1611" s="69">
        <v>28.6</v>
      </c>
      <c r="AG1611" s="65" t="s">
        <v>73</v>
      </c>
      <c r="AH1611" s="65" t="s">
        <v>5906</v>
      </c>
      <c r="AI1611">
        <f>IF(AND(OR(Company_Explorer!$B$5="All Companies",$E1611=Company_Explorer!$B$5),OR(Company_Explorer!$B$6="All Platforms",$B1611=Company_Explorer!$B$6),OR(Company_Explorer!$B$7="All Roles",$D1611=Company_Explorer!$B$7),OR(Company_Explorer!$B$8="All Ghost Labels",$AG1611=Company_Explorer!$B$8)),1,0)</f>
        <v>0</v>
      </c>
    </row>
    <row r="1612" spans="1:35" ht="15" customHeight="1" x14ac:dyDescent="0.3">
      <c r="A1612" s="60" t="s">
        <v>5907</v>
      </c>
      <c r="B1612" s="60" t="s">
        <v>81</v>
      </c>
      <c r="C1612" s="60" t="s">
        <v>5908</v>
      </c>
      <c r="D1612" s="60" t="s">
        <v>125</v>
      </c>
      <c r="E1612" s="60" t="s">
        <v>435</v>
      </c>
      <c r="F1612" s="60" t="b">
        <f>TRUE()</f>
        <v>1</v>
      </c>
      <c r="G1612" s="60" t="s">
        <v>165</v>
      </c>
      <c r="H1612" s="60" t="s">
        <v>3620</v>
      </c>
      <c r="I1612" s="61">
        <v>46209.8320559028</v>
      </c>
      <c r="J1612" s="61">
        <v>46210.283204942098</v>
      </c>
      <c r="K1612" s="60">
        <v>0.5</v>
      </c>
      <c r="L1612" s="60" t="s">
        <v>183</v>
      </c>
      <c r="M1612" s="60" t="s">
        <v>183</v>
      </c>
      <c r="N1612" s="60" t="b">
        <f>FALSE()</f>
        <v>0</v>
      </c>
      <c r="O1612" s="60"/>
      <c r="P1612" s="60"/>
      <c r="Q1612" s="60" t="s">
        <v>236</v>
      </c>
      <c r="R1612" s="60" t="s">
        <v>236</v>
      </c>
      <c r="S1612" s="60"/>
      <c r="T1612" s="60" t="b">
        <f>FALSE()</f>
        <v>0</v>
      </c>
      <c r="U1612" s="60" t="b">
        <f>FALSE()</f>
        <v>0</v>
      </c>
      <c r="V1612" s="60">
        <v>323</v>
      </c>
      <c r="W1612" s="62" t="s">
        <v>5909</v>
      </c>
      <c r="X1612" s="60">
        <v>3</v>
      </c>
      <c r="Y1612" s="63">
        <v>5.25</v>
      </c>
      <c r="Z1612" s="60" t="b">
        <f>FALSE()</f>
        <v>0</v>
      </c>
      <c r="AA1612" s="60" t="b">
        <f>TRUE()</f>
        <v>1</v>
      </c>
      <c r="AB1612" s="60" t="b">
        <f>FALSE()</f>
        <v>0</v>
      </c>
      <c r="AC1612" s="60" t="b">
        <f>FALSE()</f>
        <v>0</v>
      </c>
      <c r="AD1612" s="60" t="b">
        <f>FALSE()</f>
        <v>0</v>
      </c>
      <c r="AE1612" s="60">
        <v>1</v>
      </c>
      <c r="AF1612" s="64">
        <v>14.3</v>
      </c>
      <c r="AG1612" s="60" t="s">
        <v>74</v>
      </c>
      <c r="AH1612" s="60" t="s">
        <v>5910</v>
      </c>
      <c r="AI1612">
        <f>IF(AND(OR(Company_Explorer!$B$5="All Companies",$E1612=Company_Explorer!$B$5),OR(Company_Explorer!$B$6="All Platforms",$B1612=Company_Explorer!$B$6),OR(Company_Explorer!$B$7="All Roles",$D1612=Company_Explorer!$B$7),OR(Company_Explorer!$B$8="All Ghost Labels",$AG1612=Company_Explorer!$B$8)),1,0)</f>
        <v>0</v>
      </c>
    </row>
    <row r="1613" spans="1:35" ht="15" customHeight="1" x14ac:dyDescent="0.3">
      <c r="A1613" s="65" t="s">
        <v>5911</v>
      </c>
      <c r="B1613" s="65" t="s">
        <v>81</v>
      </c>
      <c r="C1613" s="65" t="s">
        <v>5912</v>
      </c>
      <c r="D1613" s="65" t="s">
        <v>133</v>
      </c>
      <c r="E1613" s="65" t="s">
        <v>5421</v>
      </c>
      <c r="F1613" s="65" t="b">
        <f>TRUE()</f>
        <v>1</v>
      </c>
      <c r="G1613" s="65" t="s">
        <v>165</v>
      </c>
      <c r="H1613" s="65" t="s">
        <v>3655</v>
      </c>
      <c r="I1613" s="66">
        <v>46209.959403449102</v>
      </c>
      <c r="J1613" s="66">
        <v>46210.283205150503</v>
      </c>
      <c r="K1613" s="65">
        <v>0.3</v>
      </c>
      <c r="L1613" s="65" t="s">
        <v>183</v>
      </c>
      <c r="M1613" s="65" t="s">
        <v>183</v>
      </c>
      <c r="N1613" s="65" t="b">
        <f>FALSE()</f>
        <v>0</v>
      </c>
      <c r="O1613" s="65"/>
      <c r="P1613" s="65"/>
      <c r="Q1613" s="65" t="s">
        <v>236</v>
      </c>
      <c r="R1613" s="65" t="s">
        <v>236</v>
      </c>
      <c r="S1613" s="65"/>
      <c r="T1613" s="65" t="b">
        <f>FALSE()</f>
        <v>0</v>
      </c>
      <c r="U1613" s="65" t="b">
        <f>FALSE()</f>
        <v>0</v>
      </c>
      <c r="V1613" s="65">
        <v>457</v>
      </c>
      <c r="W1613" s="67" t="s">
        <v>5913</v>
      </c>
      <c r="X1613" s="65">
        <v>9</v>
      </c>
      <c r="Y1613" s="68">
        <v>15.75</v>
      </c>
      <c r="Z1613" s="65" t="b">
        <f>FALSE()</f>
        <v>0</v>
      </c>
      <c r="AA1613" s="65" t="b">
        <f>TRUE()</f>
        <v>1</v>
      </c>
      <c r="AB1613" s="65" t="b">
        <f>FALSE()</f>
        <v>0</v>
      </c>
      <c r="AC1613" s="65" t="b">
        <f>FALSE()</f>
        <v>0</v>
      </c>
      <c r="AD1613" s="65" t="b">
        <f>FALSE()</f>
        <v>0</v>
      </c>
      <c r="AE1613" s="65">
        <v>1</v>
      </c>
      <c r="AF1613" s="69">
        <v>14.3</v>
      </c>
      <c r="AG1613" s="65" t="s">
        <v>74</v>
      </c>
      <c r="AH1613" s="65" t="s">
        <v>5914</v>
      </c>
      <c r="AI1613">
        <f>IF(AND(OR(Company_Explorer!$B$5="All Companies",$E1613=Company_Explorer!$B$5),OR(Company_Explorer!$B$6="All Platforms",$B1613=Company_Explorer!$B$6),OR(Company_Explorer!$B$7="All Roles",$D1613=Company_Explorer!$B$7),OR(Company_Explorer!$B$8="All Ghost Labels",$AG1613=Company_Explorer!$B$8)),1,0)</f>
        <v>0</v>
      </c>
    </row>
    <row r="1614" spans="1:35" ht="15" customHeight="1" x14ac:dyDescent="0.3">
      <c r="A1614" s="60" t="s">
        <v>5915</v>
      </c>
      <c r="B1614" s="60" t="s">
        <v>81</v>
      </c>
      <c r="C1614" s="60" t="s">
        <v>4796</v>
      </c>
      <c r="D1614" s="60" t="s">
        <v>125</v>
      </c>
      <c r="E1614" s="60" t="s">
        <v>5916</v>
      </c>
      <c r="F1614" s="60" t="b">
        <f>TRUE()</f>
        <v>1</v>
      </c>
      <c r="G1614" s="60" t="s">
        <v>165</v>
      </c>
      <c r="H1614" s="60" t="s">
        <v>3655</v>
      </c>
      <c r="I1614" s="61">
        <v>46209.951806909703</v>
      </c>
      <c r="J1614" s="61">
        <v>46210.2832063889</v>
      </c>
      <c r="K1614" s="60">
        <v>0.3</v>
      </c>
      <c r="L1614" s="60" t="s">
        <v>183</v>
      </c>
      <c r="M1614" s="60" t="s">
        <v>183</v>
      </c>
      <c r="N1614" s="60" t="b">
        <f>FALSE()</f>
        <v>0</v>
      </c>
      <c r="O1614" s="60"/>
      <c r="P1614" s="60"/>
      <c r="Q1614" s="60" t="s">
        <v>236</v>
      </c>
      <c r="R1614" s="60" t="s">
        <v>236</v>
      </c>
      <c r="S1614" s="60"/>
      <c r="T1614" s="60" t="b">
        <f>FALSE()</f>
        <v>0</v>
      </c>
      <c r="U1614" s="60" t="b">
        <f>FALSE()</f>
        <v>0</v>
      </c>
      <c r="V1614" s="60">
        <v>902</v>
      </c>
      <c r="W1614" s="62" t="s">
        <v>4798</v>
      </c>
      <c r="X1614" s="60">
        <v>1</v>
      </c>
      <c r="Y1614" s="63">
        <v>1.75</v>
      </c>
      <c r="Z1614" s="60" t="b">
        <f>FALSE()</f>
        <v>0</v>
      </c>
      <c r="AA1614" s="60" t="b">
        <f>TRUE()</f>
        <v>1</v>
      </c>
      <c r="AB1614" s="60" t="b">
        <f>FALSE()</f>
        <v>0</v>
      </c>
      <c r="AC1614" s="60" t="b">
        <f>FALSE()</f>
        <v>0</v>
      </c>
      <c r="AD1614" s="60" t="b">
        <f>FALSE()</f>
        <v>0</v>
      </c>
      <c r="AE1614" s="60">
        <v>1</v>
      </c>
      <c r="AF1614" s="64">
        <v>14.3</v>
      </c>
      <c r="AG1614" s="60" t="s">
        <v>74</v>
      </c>
      <c r="AH1614" s="60" t="s">
        <v>5917</v>
      </c>
      <c r="AI1614">
        <f>IF(AND(OR(Company_Explorer!$B$5="All Companies",$E1614=Company_Explorer!$B$5),OR(Company_Explorer!$B$6="All Platforms",$B1614=Company_Explorer!$B$6),OR(Company_Explorer!$B$7="All Roles",$D1614=Company_Explorer!$B$7),OR(Company_Explorer!$B$8="All Ghost Labels",$AG1614=Company_Explorer!$B$8)),1,0)</f>
        <v>0</v>
      </c>
    </row>
    <row r="1615" spans="1:35" ht="15" customHeight="1" x14ac:dyDescent="0.3">
      <c r="A1615" s="65" t="s">
        <v>5918</v>
      </c>
      <c r="B1615" s="65" t="s">
        <v>81</v>
      </c>
      <c r="C1615" s="65" t="s">
        <v>125</v>
      </c>
      <c r="D1615" s="65" t="s">
        <v>125</v>
      </c>
      <c r="E1615" s="65" t="s">
        <v>144</v>
      </c>
      <c r="F1615" s="65" t="b">
        <f>TRUE()</f>
        <v>1</v>
      </c>
      <c r="G1615" s="65" t="s">
        <v>165</v>
      </c>
      <c r="H1615" s="65" t="s">
        <v>3655</v>
      </c>
      <c r="I1615" s="66">
        <v>46209.9293264468</v>
      </c>
      <c r="J1615" s="66">
        <v>46210.283206423599</v>
      </c>
      <c r="K1615" s="65">
        <v>0.4</v>
      </c>
      <c r="L1615" s="65" t="s">
        <v>183</v>
      </c>
      <c r="M1615" s="65" t="s">
        <v>183</v>
      </c>
      <c r="N1615" s="65" t="b">
        <f>FALSE()</f>
        <v>0</v>
      </c>
      <c r="O1615" s="65"/>
      <c r="P1615" s="65"/>
      <c r="Q1615" s="65" t="s">
        <v>236</v>
      </c>
      <c r="R1615" s="65" t="s">
        <v>236</v>
      </c>
      <c r="S1615" s="65"/>
      <c r="T1615" s="65" t="b">
        <f>FALSE()</f>
        <v>0</v>
      </c>
      <c r="U1615" s="65" t="b">
        <f>FALSE()</f>
        <v>0</v>
      </c>
      <c r="V1615" s="65">
        <v>229</v>
      </c>
      <c r="W1615" s="67" t="s">
        <v>5848</v>
      </c>
      <c r="X1615" s="65">
        <v>41</v>
      </c>
      <c r="Y1615" s="68">
        <v>71.75</v>
      </c>
      <c r="Z1615" s="65" t="b">
        <f>FALSE()</f>
        <v>0</v>
      </c>
      <c r="AA1615" s="65" t="b">
        <f>TRUE()</f>
        <v>1</v>
      </c>
      <c r="AB1615" s="65" t="b">
        <f>TRUE()</f>
        <v>1</v>
      </c>
      <c r="AC1615" s="65" t="b">
        <f>FALSE()</f>
        <v>0</v>
      </c>
      <c r="AD1615" s="65" t="b">
        <f>FALSE()</f>
        <v>0</v>
      </c>
      <c r="AE1615" s="65">
        <v>2</v>
      </c>
      <c r="AF1615" s="69">
        <v>28.6</v>
      </c>
      <c r="AG1615" s="65" t="s">
        <v>73</v>
      </c>
      <c r="AH1615" s="65" t="s">
        <v>5919</v>
      </c>
      <c r="AI1615">
        <f>IF(AND(OR(Company_Explorer!$B$5="All Companies",$E1615=Company_Explorer!$B$5),OR(Company_Explorer!$B$6="All Platforms",$B1615=Company_Explorer!$B$6),OR(Company_Explorer!$B$7="All Roles",$D1615=Company_Explorer!$B$7),OR(Company_Explorer!$B$8="All Ghost Labels",$AG1615=Company_Explorer!$B$8)),1,0)</f>
        <v>0</v>
      </c>
    </row>
    <row r="1616" spans="1:35" ht="15" customHeight="1" x14ac:dyDescent="0.3">
      <c r="A1616" s="60" t="s">
        <v>5920</v>
      </c>
      <c r="B1616" s="60" t="s">
        <v>81</v>
      </c>
      <c r="C1616" s="60" t="s">
        <v>5921</v>
      </c>
      <c r="D1616" s="60" t="s">
        <v>126</v>
      </c>
      <c r="E1616" s="60" t="s">
        <v>3847</v>
      </c>
      <c r="F1616" s="60" t="b">
        <f>TRUE()</f>
        <v>1</v>
      </c>
      <c r="G1616" s="60" t="s">
        <v>165</v>
      </c>
      <c r="H1616" s="60" t="s">
        <v>4661</v>
      </c>
      <c r="I1616" s="61">
        <v>46209.831363518497</v>
      </c>
      <c r="J1616" s="61">
        <v>46210.283206296299</v>
      </c>
      <c r="K1616" s="60">
        <v>0.5</v>
      </c>
      <c r="L1616" s="60" t="s">
        <v>183</v>
      </c>
      <c r="M1616" s="60" t="s">
        <v>183</v>
      </c>
      <c r="N1616" s="60" t="b">
        <f>FALSE()</f>
        <v>0</v>
      </c>
      <c r="O1616" s="60"/>
      <c r="P1616" s="60"/>
      <c r="Q1616" s="60" t="s">
        <v>236</v>
      </c>
      <c r="R1616" s="60" t="s">
        <v>236</v>
      </c>
      <c r="S1616" s="60"/>
      <c r="T1616" s="60" t="b">
        <f>FALSE()</f>
        <v>0</v>
      </c>
      <c r="U1616" s="60" t="b">
        <f>FALSE()</f>
        <v>0</v>
      </c>
      <c r="V1616" s="60">
        <v>677</v>
      </c>
      <c r="W1616" s="62" t="s">
        <v>3848</v>
      </c>
      <c r="X1616" s="60">
        <v>5</v>
      </c>
      <c r="Y1616" s="63">
        <v>8.75</v>
      </c>
      <c r="Z1616" s="60" t="b">
        <f>FALSE()</f>
        <v>0</v>
      </c>
      <c r="AA1616" s="60" t="b">
        <f>TRUE()</f>
        <v>1</v>
      </c>
      <c r="AB1616" s="60" t="b">
        <f>FALSE()</f>
        <v>0</v>
      </c>
      <c r="AC1616" s="60" t="b">
        <f>FALSE()</f>
        <v>0</v>
      </c>
      <c r="AD1616" s="60" t="b">
        <f>FALSE()</f>
        <v>0</v>
      </c>
      <c r="AE1616" s="60">
        <v>1</v>
      </c>
      <c r="AF1616" s="64">
        <v>14.3</v>
      </c>
      <c r="AG1616" s="60" t="s">
        <v>74</v>
      </c>
      <c r="AH1616" s="60" t="s">
        <v>5922</v>
      </c>
      <c r="AI1616">
        <f>IF(AND(OR(Company_Explorer!$B$5="All Companies",$E1616=Company_Explorer!$B$5),OR(Company_Explorer!$B$6="All Platforms",$B1616=Company_Explorer!$B$6),OR(Company_Explorer!$B$7="All Roles",$D1616=Company_Explorer!$B$7),OR(Company_Explorer!$B$8="All Ghost Labels",$AG1616=Company_Explorer!$B$8)),1,0)</f>
        <v>0</v>
      </c>
    </row>
    <row r="1617" spans="1:35" ht="15" customHeight="1" x14ac:dyDescent="0.3">
      <c r="A1617" s="65" t="s">
        <v>5923</v>
      </c>
      <c r="B1617" s="65" t="s">
        <v>81</v>
      </c>
      <c r="C1617" s="65" t="s">
        <v>125</v>
      </c>
      <c r="D1617" s="65" t="s">
        <v>125</v>
      </c>
      <c r="E1617" s="65" t="s">
        <v>144</v>
      </c>
      <c r="F1617" s="65" t="b">
        <f>TRUE()</f>
        <v>1</v>
      </c>
      <c r="G1617" s="65" t="s">
        <v>165</v>
      </c>
      <c r="H1617" s="65" t="s">
        <v>3655</v>
      </c>
      <c r="I1617" s="66">
        <v>46209.929289074098</v>
      </c>
      <c r="J1617" s="66">
        <v>46210.283207106499</v>
      </c>
      <c r="K1617" s="65">
        <v>0.4</v>
      </c>
      <c r="L1617" s="65" t="s">
        <v>183</v>
      </c>
      <c r="M1617" s="65" t="s">
        <v>183</v>
      </c>
      <c r="N1617" s="65" t="b">
        <f>FALSE()</f>
        <v>0</v>
      </c>
      <c r="O1617" s="65"/>
      <c r="P1617" s="65"/>
      <c r="Q1617" s="65" t="s">
        <v>236</v>
      </c>
      <c r="R1617" s="65" t="s">
        <v>236</v>
      </c>
      <c r="S1617" s="65"/>
      <c r="T1617" s="65" t="b">
        <f>FALSE()</f>
        <v>0</v>
      </c>
      <c r="U1617" s="65" t="b">
        <f>FALSE()</f>
        <v>0</v>
      </c>
      <c r="V1617" s="65">
        <v>229</v>
      </c>
      <c r="W1617" s="67" t="s">
        <v>5848</v>
      </c>
      <c r="X1617" s="65">
        <v>41</v>
      </c>
      <c r="Y1617" s="68">
        <v>71.75</v>
      </c>
      <c r="Z1617" s="65" t="b">
        <f>FALSE()</f>
        <v>0</v>
      </c>
      <c r="AA1617" s="65" t="b">
        <f>TRUE()</f>
        <v>1</v>
      </c>
      <c r="AB1617" s="65" t="b">
        <f>TRUE()</f>
        <v>1</v>
      </c>
      <c r="AC1617" s="65" t="b">
        <f>FALSE()</f>
        <v>0</v>
      </c>
      <c r="AD1617" s="65" t="b">
        <f>FALSE()</f>
        <v>0</v>
      </c>
      <c r="AE1617" s="65">
        <v>2</v>
      </c>
      <c r="AF1617" s="69">
        <v>28.6</v>
      </c>
      <c r="AG1617" s="65" t="s">
        <v>73</v>
      </c>
      <c r="AH1617" s="65" t="s">
        <v>5924</v>
      </c>
      <c r="AI1617">
        <f>IF(AND(OR(Company_Explorer!$B$5="All Companies",$E1617=Company_Explorer!$B$5),OR(Company_Explorer!$B$6="All Platforms",$B1617=Company_Explorer!$B$6),OR(Company_Explorer!$B$7="All Roles",$D1617=Company_Explorer!$B$7),OR(Company_Explorer!$B$8="All Ghost Labels",$AG1617=Company_Explorer!$B$8)),1,0)</f>
        <v>0</v>
      </c>
    </row>
    <row r="1618" spans="1:35" ht="15" customHeight="1" x14ac:dyDescent="0.3">
      <c r="A1618" s="60" t="s">
        <v>5925</v>
      </c>
      <c r="B1618" s="60" t="s">
        <v>81</v>
      </c>
      <c r="C1618" s="60" t="s">
        <v>125</v>
      </c>
      <c r="D1618" s="60" t="s">
        <v>125</v>
      </c>
      <c r="E1618" s="60" t="s">
        <v>144</v>
      </c>
      <c r="F1618" s="60" t="b">
        <f>TRUE()</f>
        <v>1</v>
      </c>
      <c r="G1618" s="60" t="s">
        <v>165</v>
      </c>
      <c r="H1618" s="60" t="s">
        <v>3620</v>
      </c>
      <c r="I1618" s="61">
        <v>46209.929255080999</v>
      </c>
      <c r="J1618" s="61">
        <v>46210.283208495399</v>
      </c>
      <c r="K1618" s="60">
        <v>0.4</v>
      </c>
      <c r="L1618" s="60" t="s">
        <v>183</v>
      </c>
      <c r="M1618" s="60" t="s">
        <v>183</v>
      </c>
      <c r="N1618" s="60" t="b">
        <f>FALSE()</f>
        <v>0</v>
      </c>
      <c r="O1618" s="60"/>
      <c r="P1618" s="60"/>
      <c r="Q1618" s="60" t="s">
        <v>236</v>
      </c>
      <c r="R1618" s="60" t="s">
        <v>236</v>
      </c>
      <c r="S1618" s="60"/>
      <c r="T1618" s="60" t="b">
        <f>FALSE()</f>
        <v>0</v>
      </c>
      <c r="U1618" s="60" t="b">
        <f>FALSE()</f>
        <v>0</v>
      </c>
      <c r="V1618" s="60">
        <v>229</v>
      </c>
      <c r="W1618" s="62" t="s">
        <v>5848</v>
      </c>
      <c r="X1618" s="60">
        <v>41</v>
      </c>
      <c r="Y1618" s="63">
        <v>71.75</v>
      </c>
      <c r="Z1618" s="60" t="b">
        <f>FALSE()</f>
        <v>0</v>
      </c>
      <c r="AA1618" s="60" t="b">
        <f>TRUE()</f>
        <v>1</v>
      </c>
      <c r="AB1618" s="60" t="b">
        <f>TRUE()</f>
        <v>1</v>
      </c>
      <c r="AC1618" s="60" t="b">
        <f>FALSE()</f>
        <v>0</v>
      </c>
      <c r="AD1618" s="60" t="b">
        <f>FALSE()</f>
        <v>0</v>
      </c>
      <c r="AE1618" s="60">
        <v>2</v>
      </c>
      <c r="AF1618" s="64">
        <v>28.6</v>
      </c>
      <c r="AG1618" s="60" t="s">
        <v>73</v>
      </c>
      <c r="AH1618" s="60" t="s">
        <v>5926</v>
      </c>
      <c r="AI1618">
        <f>IF(AND(OR(Company_Explorer!$B$5="All Companies",$E1618=Company_Explorer!$B$5),OR(Company_Explorer!$B$6="All Platforms",$B1618=Company_Explorer!$B$6),OR(Company_Explorer!$B$7="All Roles",$D1618=Company_Explorer!$B$7),OR(Company_Explorer!$B$8="All Ghost Labels",$AG1618=Company_Explorer!$B$8)),1,0)</f>
        <v>0</v>
      </c>
    </row>
    <row r="1619" spans="1:35" ht="15" customHeight="1" x14ac:dyDescent="0.3">
      <c r="A1619" s="65" t="s">
        <v>5927</v>
      </c>
      <c r="B1619" s="65" t="s">
        <v>81</v>
      </c>
      <c r="C1619" s="65" t="s">
        <v>125</v>
      </c>
      <c r="D1619" s="65" t="s">
        <v>125</v>
      </c>
      <c r="E1619" s="65" t="s">
        <v>144</v>
      </c>
      <c r="F1619" s="65" t="b">
        <f>TRUE()</f>
        <v>1</v>
      </c>
      <c r="G1619" s="65" t="s">
        <v>165</v>
      </c>
      <c r="H1619" s="65" t="s">
        <v>3672</v>
      </c>
      <c r="I1619" s="66">
        <v>46209.9304660532</v>
      </c>
      <c r="J1619" s="66">
        <v>46210.2832084607</v>
      </c>
      <c r="K1619" s="65">
        <v>0.4</v>
      </c>
      <c r="L1619" s="65" t="s">
        <v>183</v>
      </c>
      <c r="M1619" s="65" t="s">
        <v>183</v>
      </c>
      <c r="N1619" s="65" t="b">
        <f>FALSE()</f>
        <v>0</v>
      </c>
      <c r="O1619" s="65"/>
      <c r="P1619" s="65"/>
      <c r="Q1619" s="65" t="s">
        <v>236</v>
      </c>
      <c r="R1619" s="65" t="s">
        <v>236</v>
      </c>
      <c r="S1619" s="65"/>
      <c r="T1619" s="65" t="b">
        <f>FALSE()</f>
        <v>0</v>
      </c>
      <c r="U1619" s="65" t="b">
        <f>FALSE()</f>
        <v>0</v>
      </c>
      <c r="V1619" s="65">
        <v>229</v>
      </c>
      <c r="W1619" s="67" t="s">
        <v>5848</v>
      </c>
      <c r="X1619" s="65">
        <v>41</v>
      </c>
      <c r="Y1619" s="68">
        <v>71.75</v>
      </c>
      <c r="Z1619" s="65" t="b">
        <f>FALSE()</f>
        <v>0</v>
      </c>
      <c r="AA1619" s="65" t="b">
        <f>TRUE()</f>
        <v>1</v>
      </c>
      <c r="AB1619" s="65" t="b">
        <f>TRUE()</f>
        <v>1</v>
      </c>
      <c r="AC1619" s="65" t="b">
        <f>FALSE()</f>
        <v>0</v>
      </c>
      <c r="AD1619" s="65" t="b">
        <f>FALSE()</f>
        <v>0</v>
      </c>
      <c r="AE1619" s="65">
        <v>2</v>
      </c>
      <c r="AF1619" s="69">
        <v>28.6</v>
      </c>
      <c r="AG1619" s="65" t="s">
        <v>73</v>
      </c>
      <c r="AH1619" s="65" t="s">
        <v>5928</v>
      </c>
      <c r="AI1619">
        <f>IF(AND(OR(Company_Explorer!$B$5="All Companies",$E1619=Company_Explorer!$B$5),OR(Company_Explorer!$B$6="All Platforms",$B1619=Company_Explorer!$B$6),OR(Company_Explorer!$B$7="All Roles",$D1619=Company_Explorer!$B$7),OR(Company_Explorer!$B$8="All Ghost Labels",$AG1619=Company_Explorer!$B$8)),1,0)</f>
        <v>0</v>
      </c>
    </row>
    <row r="1620" spans="1:35" ht="15" customHeight="1" x14ac:dyDescent="0.3">
      <c r="A1620" s="60" t="s">
        <v>5929</v>
      </c>
      <c r="B1620" s="60" t="s">
        <v>81</v>
      </c>
      <c r="C1620" s="60" t="s">
        <v>125</v>
      </c>
      <c r="D1620" s="60" t="s">
        <v>125</v>
      </c>
      <c r="E1620" s="60" t="s">
        <v>144</v>
      </c>
      <c r="F1620" s="60" t="b">
        <f>TRUE()</f>
        <v>1</v>
      </c>
      <c r="G1620" s="60" t="s">
        <v>165</v>
      </c>
      <c r="H1620" s="60" t="s">
        <v>3672</v>
      </c>
      <c r="I1620" s="61">
        <v>46209.929230810201</v>
      </c>
      <c r="J1620" s="61">
        <v>46210.2832085185</v>
      </c>
      <c r="K1620" s="60">
        <v>0.4</v>
      </c>
      <c r="L1620" s="60" t="s">
        <v>183</v>
      </c>
      <c r="M1620" s="60" t="s">
        <v>183</v>
      </c>
      <c r="N1620" s="60" t="b">
        <f>FALSE()</f>
        <v>0</v>
      </c>
      <c r="O1620" s="60"/>
      <c r="P1620" s="60"/>
      <c r="Q1620" s="60" t="s">
        <v>236</v>
      </c>
      <c r="R1620" s="60" t="s">
        <v>236</v>
      </c>
      <c r="S1620" s="60"/>
      <c r="T1620" s="60" t="b">
        <f>FALSE()</f>
        <v>0</v>
      </c>
      <c r="U1620" s="60" t="b">
        <f>FALSE()</f>
        <v>0</v>
      </c>
      <c r="V1620" s="60">
        <v>229</v>
      </c>
      <c r="W1620" s="62" t="s">
        <v>5848</v>
      </c>
      <c r="X1620" s="60">
        <v>41</v>
      </c>
      <c r="Y1620" s="63">
        <v>71.75</v>
      </c>
      <c r="Z1620" s="60" t="b">
        <f>FALSE()</f>
        <v>0</v>
      </c>
      <c r="AA1620" s="60" t="b">
        <f>TRUE()</f>
        <v>1</v>
      </c>
      <c r="AB1620" s="60" t="b">
        <f>TRUE()</f>
        <v>1</v>
      </c>
      <c r="AC1620" s="60" t="b">
        <f>FALSE()</f>
        <v>0</v>
      </c>
      <c r="AD1620" s="60" t="b">
        <f>FALSE()</f>
        <v>0</v>
      </c>
      <c r="AE1620" s="60">
        <v>2</v>
      </c>
      <c r="AF1620" s="64">
        <v>28.6</v>
      </c>
      <c r="AG1620" s="60" t="s">
        <v>73</v>
      </c>
      <c r="AH1620" s="60" t="s">
        <v>5930</v>
      </c>
      <c r="AI1620">
        <f>IF(AND(OR(Company_Explorer!$B$5="All Companies",$E1620=Company_Explorer!$B$5),OR(Company_Explorer!$B$6="All Platforms",$B1620=Company_Explorer!$B$6),OR(Company_Explorer!$B$7="All Roles",$D1620=Company_Explorer!$B$7),OR(Company_Explorer!$B$8="All Ghost Labels",$AG1620=Company_Explorer!$B$8)),1,0)</f>
        <v>0</v>
      </c>
    </row>
    <row r="1621" spans="1:35" ht="15" customHeight="1" x14ac:dyDescent="0.3">
      <c r="A1621" s="65" t="s">
        <v>5931</v>
      </c>
      <c r="B1621" s="65" t="s">
        <v>81</v>
      </c>
      <c r="C1621" s="65" t="s">
        <v>5932</v>
      </c>
      <c r="D1621" s="65" t="s">
        <v>125</v>
      </c>
      <c r="E1621" s="65" t="s">
        <v>3847</v>
      </c>
      <c r="F1621" s="65" t="b">
        <f>TRUE()</f>
        <v>1</v>
      </c>
      <c r="G1621" s="65" t="s">
        <v>165</v>
      </c>
      <c r="H1621" s="65" t="s">
        <v>4661</v>
      </c>
      <c r="I1621" s="66">
        <v>46209.831359699099</v>
      </c>
      <c r="J1621" s="66">
        <v>46210.283208576402</v>
      </c>
      <c r="K1621" s="65">
        <v>0.5</v>
      </c>
      <c r="L1621" s="65" t="s">
        <v>183</v>
      </c>
      <c r="M1621" s="65" t="s">
        <v>183</v>
      </c>
      <c r="N1621" s="65" t="b">
        <f>FALSE()</f>
        <v>0</v>
      </c>
      <c r="O1621" s="65"/>
      <c r="P1621" s="65"/>
      <c r="Q1621" s="65" t="s">
        <v>236</v>
      </c>
      <c r="R1621" s="65" t="s">
        <v>236</v>
      </c>
      <c r="S1621" s="65"/>
      <c r="T1621" s="65" t="b">
        <f>FALSE()</f>
        <v>0</v>
      </c>
      <c r="U1621" s="65" t="b">
        <f>FALSE()</f>
        <v>0</v>
      </c>
      <c r="V1621" s="65">
        <v>829</v>
      </c>
      <c r="W1621" s="67" t="s">
        <v>3848</v>
      </c>
      <c r="X1621" s="65">
        <v>5</v>
      </c>
      <c r="Y1621" s="68">
        <v>8.75</v>
      </c>
      <c r="Z1621" s="65" t="b">
        <f>FALSE()</f>
        <v>0</v>
      </c>
      <c r="AA1621" s="65" t="b">
        <f>TRUE()</f>
        <v>1</v>
      </c>
      <c r="AB1621" s="65" t="b">
        <f>FALSE()</f>
        <v>0</v>
      </c>
      <c r="AC1621" s="65" t="b">
        <f>FALSE()</f>
        <v>0</v>
      </c>
      <c r="AD1621" s="65" t="b">
        <f>FALSE()</f>
        <v>0</v>
      </c>
      <c r="AE1621" s="65">
        <v>1</v>
      </c>
      <c r="AF1621" s="69">
        <v>14.3</v>
      </c>
      <c r="AG1621" s="65" t="s">
        <v>74</v>
      </c>
      <c r="AH1621" s="65" t="s">
        <v>5933</v>
      </c>
      <c r="AI1621">
        <f>IF(AND(OR(Company_Explorer!$B$5="All Companies",$E1621=Company_Explorer!$B$5),OR(Company_Explorer!$B$6="All Platforms",$B1621=Company_Explorer!$B$6),OR(Company_Explorer!$B$7="All Roles",$D1621=Company_Explorer!$B$7),OR(Company_Explorer!$B$8="All Ghost Labels",$AG1621=Company_Explorer!$B$8)),1,0)</f>
        <v>0</v>
      </c>
    </row>
    <row r="1622" spans="1:35" ht="15" customHeight="1" x14ac:dyDescent="0.3">
      <c r="A1622" s="60" t="s">
        <v>5934</v>
      </c>
      <c r="B1622" s="60" t="s">
        <v>81</v>
      </c>
      <c r="C1622" s="60" t="s">
        <v>125</v>
      </c>
      <c r="D1622" s="60" t="s">
        <v>125</v>
      </c>
      <c r="E1622" s="60" t="s">
        <v>144</v>
      </c>
      <c r="F1622" s="60" t="b">
        <f>TRUE()</f>
        <v>1</v>
      </c>
      <c r="G1622" s="60" t="s">
        <v>165</v>
      </c>
      <c r="H1622" s="60" t="s">
        <v>3655</v>
      </c>
      <c r="I1622" s="61">
        <v>46209.929218692101</v>
      </c>
      <c r="J1622" s="61">
        <v>46210.283209432899</v>
      </c>
      <c r="K1622" s="60">
        <v>0.4</v>
      </c>
      <c r="L1622" s="60" t="s">
        <v>183</v>
      </c>
      <c r="M1622" s="60" t="s">
        <v>183</v>
      </c>
      <c r="N1622" s="60" t="b">
        <f>FALSE()</f>
        <v>0</v>
      </c>
      <c r="O1622" s="60"/>
      <c r="P1622" s="60"/>
      <c r="Q1622" s="60" t="s">
        <v>236</v>
      </c>
      <c r="R1622" s="60" t="s">
        <v>236</v>
      </c>
      <c r="S1622" s="60"/>
      <c r="T1622" s="60" t="b">
        <f>FALSE()</f>
        <v>0</v>
      </c>
      <c r="U1622" s="60" t="b">
        <f>FALSE()</f>
        <v>0</v>
      </c>
      <c r="V1622" s="60">
        <v>229</v>
      </c>
      <c r="W1622" s="62" t="s">
        <v>5848</v>
      </c>
      <c r="X1622" s="60">
        <v>41</v>
      </c>
      <c r="Y1622" s="63">
        <v>71.75</v>
      </c>
      <c r="Z1622" s="60" t="b">
        <f>FALSE()</f>
        <v>0</v>
      </c>
      <c r="AA1622" s="60" t="b">
        <f>TRUE()</f>
        <v>1</v>
      </c>
      <c r="AB1622" s="60" t="b">
        <f>TRUE()</f>
        <v>1</v>
      </c>
      <c r="AC1622" s="60" t="b">
        <f>FALSE()</f>
        <v>0</v>
      </c>
      <c r="AD1622" s="60" t="b">
        <f>FALSE()</f>
        <v>0</v>
      </c>
      <c r="AE1622" s="60">
        <v>2</v>
      </c>
      <c r="AF1622" s="64">
        <v>28.6</v>
      </c>
      <c r="AG1622" s="60" t="s">
        <v>73</v>
      </c>
      <c r="AH1622" s="60" t="s">
        <v>5935</v>
      </c>
      <c r="AI1622">
        <f>IF(AND(OR(Company_Explorer!$B$5="All Companies",$E1622=Company_Explorer!$B$5),OR(Company_Explorer!$B$6="All Platforms",$B1622=Company_Explorer!$B$6),OR(Company_Explorer!$B$7="All Roles",$D1622=Company_Explorer!$B$7),OR(Company_Explorer!$B$8="All Ghost Labels",$AG1622=Company_Explorer!$B$8)),1,0)</f>
        <v>0</v>
      </c>
    </row>
    <row r="1623" spans="1:35" ht="15" customHeight="1" x14ac:dyDescent="0.3">
      <c r="A1623" s="65" t="s">
        <v>5936</v>
      </c>
      <c r="B1623" s="65" t="s">
        <v>81</v>
      </c>
      <c r="C1623" s="65" t="s">
        <v>125</v>
      </c>
      <c r="D1623" s="65" t="s">
        <v>125</v>
      </c>
      <c r="E1623" s="65" t="s">
        <v>144</v>
      </c>
      <c r="F1623" s="65" t="b">
        <f>TRUE()</f>
        <v>1</v>
      </c>
      <c r="G1623" s="65" t="s">
        <v>165</v>
      </c>
      <c r="H1623" s="65" t="s">
        <v>3655</v>
      </c>
      <c r="I1623" s="66">
        <v>46209.930420821802</v>
      </c>
      <c r="J1623" s="66">
        <v>46210.283209606503</v>
      </c>
      <c r="K1623" s="65">
        <v>0.4</v>
      </c>
      <c r="L1623" s="65" t="s">
        <v>183</v>
      </c>
      <c r="M1623" s="65" t="s">
        <v>183</v>
      </c>
      <c r="N1623" s="65" t="b">
        <f>FALSE()</f>
        <v>0</v>
      </c>
      <c r="O1623" s="65"/>
      <c r="P1623" s="65"/>
      <c r="Q1623" s="65" t="s">
        <v>236</v>
      </c>
      <c r="R1623" s="65" t="s">
        <v>236</v>
      </c>
      <c r="S1623" s="65"/>
      <c r="T1623" s="65" t="b">
        <f>FALSE()</f>
        <v>0</v>
      </c>
      <c r="U1623" s="65" t="b">
        <f>FALSE()</f>
        <v>0</v>
      </c>
      <c r="V1623" s="65">
        <v>229</v>
      </c>
      <c r="W1623" s="67" t="s">
        <v>5848</v>
      </c>
      <c r="X1623" s="65">
        <v>41</v>
      </c>
      <c r="Y1623" s="68">
        <v>71.75</v>
      </c>
      <c r="Z1623" s="65" t="b">
        <f>FALSE()</f>
        <v>0</v>
      </c>
      <c r="AA1623" s="65" t="b">
        <f>TRUE()</f>
        <v>1</v>
      </c>
      <c r="AB1623" s="65" t="b">
        <f>TRUE()</f>
        <v>1</v>
      </c>
      <c r="AC1623" s="65" t="b">
        <f>FALSE()</f>
        <v>0</v>
      </c>
      <c r="AD1623" s="65" t="b">
        <f>FALSE()</f>
        <v>0</v>
      </c>
      <c r="AE1623" s="65">
        <v>2</v>
      </c>
      <c r="AF1623" s="69">
        <v>28.6</v>
      </c>
      <c r="AG1623" s="65" t="s">
        <v>73</v>
      </c>
      <c r="AH1623" s="65" t="s">
        <v>5937</v>
      </c>
      <c r="AI1623">
        <f>IF(AND(OR(Company_Explorer!$B$5="All Companies",$E1623=Company_Explorer!$B$5),OR(Company_Explorer!$B$6="All Platforms",$B1623=Company_Explorer!$B$6),OR(Company_Explorer!$B$7="All Roles",$D1623=Company_Explorer!$B$7),OR(Company_Explorer!$B$8="All Ghost Labels",$AG1623=Company_Explorer!$B$8)),1,0)</f>
        <v>0</v>
      </c>
    </row>
    <row r="1624" spans="1:35" ht="15" customHeight="1" x14ac:dyDescent="0.3">
      <c r="A1624" s="60" t="s">
        <v>5938</v>
      </c>
      <c r="B1624" s="60" t="s">
        <v>81</v>
      </c>
      <c r="C1624" s="60" t="s">
        <v>5939</v>
      </c>
      <c r="D1624" s="60" t="s">
        <v>126</v>
      </c>
      <c r="E1624" s="60" t="s">
        <v>2758</v>
      </c>
      <c r="F1624" s="60" t="b">
        <f>TRUE()</f>
        <v>1</v>
      </c>
      <c r="G1624" s="60" t="s">
        <v>165</v>
      </c>
      <c r="H1624" s="60" t="s">
        <v>3636</v>
      </c>
      <c r="I1624" s="61">
        <v>46209.918383020799</v>
      </c>
      <c r="J1624" s="61">
        <v>46210.283209571797</v>
      </c>
      <c r="K1624" s="60">
        <v>0.4</v>
      </c>
      <c r="L1624" s="60" t="s">
        <v>183</v>
      </c>
      <c r="M1624" s="60" t="s">
        <v>183</v>
      </c>
      <c r="N1624" s="60" t="b">
        <f>FALSE()</f>
        <v>0</v>
      </c>
      <c r="O1624" s="60"/>
      <c r="P1624" s="60"/>
      <c r="Q1624" s="60" t="s">
        <v>236</v>
      </c>
      <c r="R1624" s="60" t="s">
        <v>236</v>
      </c>
      <c r="S1624" s="60"/>
      <c r="T1624" s="60" t="b">
        <f>FALSE()</f>
        <v>0</v>
      </c>
      <c r="U1624" s="60" t="b">
        <f>FALSE()</f>
        <v>0</v>
      </c>
      <c r="V1624" s="60">
        <v>659</v>
      </c>
      <c r="W1624" s="62" t="s">
        <v>5940</v>
      </c>
      <c r="X1624" s="60">
        <v>11</v>
      </c>
      <c r="Y1624" s="63">
        <v>19.25</v>
      </c>
      <c r="Z1624" s="60" t="b">
        <f>FALSE()</f>
        <v>0</v>
      </c>
      <c r="AA1624" s="60" t="b">
        <f>TRUE()</f>
        <v>1</v>
      </c>
      <c r="AB1624" s="60" t="b">
        <f>FALSE()</f>
        <v>0</v>
      </c>
      <c r="AC1624" s="60" t="b">
        <f>FALSE()</f>
        <v>0</v>
      </c>
      <c r="AD1624" s="60" t="b">
        <f>FALSE()</f>
        <v>0</v>
      </c>
      <c r="AE1624" s="60">
        <v>1</v>
      </c>
      <c r="AF1624" s="64">
        <v>14.3</v>
      </c>
      <c r="AG1624" s="60" t="s">
        <v>74</v>
      </c>
      <c r="AH1624" s="60" t="s">
        <v>5941</v>
      </c>
      <c r="AI1624">
        <f>IF(AND(OR(Company_Explorer!$B$5="All Companies",$E1624=Company_Explorer!$B$5),OR(Company_Explorer!$B$6="All Platforms",$B1624=Company_Explorer!$B$6),OR(Company_Explorer!$B$7="All Roles",$D1624=Company_Explorer!$B$7),OR(Company_Explorer!$B$8="All Ghost Labels",$AG1624=Company_Explorer!$B$8)),1,0)</f>
        <v>0</v>
      </c>
    </row>
    <row r="1625" spans="1:35" ht="15" customHeight="1" x14ac:dyDescent="0.3">
      <c r="A1625" s="65" t="s">
        <v>5942</v>
      </c>
      <c r="B1625" s="65" t="s">
        <v>81</v>
      </c>
      <c r="C1625" s="65" t="s">
        <v>5943</v>
      </c>
      <c r="D1625" s="65" t="s">
        <v>134</v>
      </c>
      <c r="E1625" s="65" t="s">
        <v>5058</v>
      </c>
      <c r="F1625" s="65" t="b">
        <f>TRUE()</f>
        <v>1</v>
      </c>
      <c r="G1625" s="65" t="s">
        <v>165</v>
      </c>
      <c r="H1625" s="65" t="s">
        <v>3620</v>
      </c>
      <c r="I1625" s="66">
        <v>46209.917239872702</v>
      </c>
      <c r="J1625" s="66">
        <v>46210.283210729198</v>
      </c>
      <c r="K1625" s="65">
        <v>0.4</v>
      </c>
      <c r="L1625" s="65" t="s">
        <v>183</v>
      </c>
      <c r="M1625" s="65" t="s">
        <v>183</v>
      </c>
      <c r="N1625" s="65" t="b">
        <f>FALSE()</f>
        <v>0</v>
      </c>
      <c r="O1625" s="65"/>
      <c r="P1625" s="65"/>
      <c r="Q1625" s="65" t="s">
        <v>236</v>
      </c>
      <c r="R1625" s="65" t="s">
        <v>236</v>
      </c>
      <c r="S1625" s="65"/>
      <c r="T1625" s="65" t="b">
        <f>FALSE()</f>
        <v>0</v>
      </c>
      <c r="U1625" s="65" t="b">
        <f>FALSE()</f>
        <v>0</v>
      </c>
      <c r="V1625" s="65">
        <v>316</v>
      </c>
      <c r="W1625" s="67" t="s">
        <v>5944</v>
      </c>
      <c r="X1625" s="65">
        <v>12</v>
      </c>
      <c r="Y1625" s="68">
        <v>21</v>
      </c>
      <c r="Z1625" s="65" t="b">
        <f>FALSE()</f>
        <v>0</v>
      </c>
      <c r="AA1625" s="65" t="b">
        <f>TRUE()</f>
        <v>1</v>
      </c>
      <c r="AB1625" s="65" t="b">
        <f>FALSE()</f>
        <v>0</v>
      </c>
      <c r="AC1625" s="65" t="b">
        <f>FALSE()</f>
        <v>0</v>
      </c>
      <c r="AD1625" s="65" t="b">
        <f>FALSE()</f>
        <v>0</v>
      </c>
      <c r="AE1625" s="65">
        <v>1</v>
      </c>
      <c r="AF1625" s="69">
        <v>14.3</v>
      </c>
      <c r="AG1625" s="65" t="s">
        <v>74</v>
      </c>
      <c r="AH1625" s="65" t="s">
        <v>5945</v>
      </c>
      <c r="AI1625">
        <f>IF(AND(OR(Company_Explorer!$B$5="All Companies",$E1625=Company_Explorer!$B$5),OR(Company_Explorer!$B$6="All Platforms",$B1625=Company_Explorer!$B$6),OR(Company_Explorer!$B$7="All Roles",$D1625=Company_Explorer!$B$7),OR(Company_Explorer!$B$8="All Ghost Labels",$AG1625=Company_Explorer!$B$8)),1,0)</f>
        <v>0</v>
      </c>
    </row>
    <row r="1626" spans="1:35" ht="15" customHeight="1" x14ac:dyDescent="0.3">
      <c r="A1626" s="60" t="s">
        <v>5946</v>
      </c>
      <c r="B1626" s="60" t="s">
        <v>81</v>
      </c>
      <c r="C1626" s="60" t="s">
        <v>1811</v>
      </c>
      <c r="D1626" s="60" t="s">
        <v>125</v>
      </c>
      <c r="E1626" s="60" t="s">
        <v>144</v>
      </c>
      <c r="F1626" s="60" t="b">
        <f>TRUE()</f>
        <v>1</v>
      </c>
      <c r="G1626" s="60" t="s">
        <v>165</v>
      </c>
      <c r="H1626" s="60" t="s">
        <v>3655</v>
      </c>
      <c r="I1626" s="61">
        <v>46209.930349062503</v>
      </c>
      <c r="J1626" s="61">
        <v>46210.283210706002</v>
      </c>
      <c r="K1626" s="60">
        <v>0.4</v>
      </c>
      <c r="L1626" s="60" t="s">
        <v>183</v>
      </c>
      <c r="M1626" s="60" t="s">
        <v>183</v>
      </c>
      <c r="N1626" s="60" t="b">
        <f>FALSE()</f>
        <v>0</v>
      </c>
      <c r="O1626" s="60"/>
      <c r="P1626" s="60"/>
      <c r="Q1626" s="60" t="s">
        <v>236</v>
      </c>
      <c r="R1626" s="60" t="s">
        <v>236</v>
      </c>
      <c r="S1626" s="60"/>
      <c r="T1626" s="60" t="b">
        <f>FALSE()</f>
        <v>0</v>
      </c>
      <c r="U1626" s="60" t="b">
        <f>FALSE()</f>
        <v>0</v>
      </c>
      <c r="V1626" s="60">
        <v>135</v>
      </c>
      <c r="W1626" s="62" t="s">
        <v>5853</v>
      </c>
      <c r="X1626" s="60">
        <v>41</v>
      </c>
      <c r="Y1626" s="63">
        <v>71.75</v>
      </c>
      <c r="Z1626" s="60" t="b">
        <f>FALSE()</f>
        <v>0</v>
      </c>
      <c r="AA1626" s="60" t="b">
        <f>TRUE()</f>
        <v>1</v>
      </c>
      <c r="AB1626" s="60" t="b">
        <f>TRUE()</f>
        <v>1</v>
      </c>
      <c r="AC1626" s="60" t="b">
        <f>FALSE()</f>
        <v>0</v>
      </c>
      <c r="AD1626" s="60" t="b">
        <f>FALSE()</f>
        <v>0</v>
      </c>
      <c r="AE1626" s="60">
        <v>2</v>
      </c>
      <c r="AF1626" s="64">
        <v>28.6</v>
      </c>
      <c r="AG1626" s="60" t="s">
        <v>73</v>
      </c>
      <c r="AH1626" s="60" t="s">
        <v>5947</v>
      </c>
      <c r="AI1626">
        <f>IF(AND(OR(Company_Explorer!$B$5="All Companies",$E1626=Company_Explorer!$B$5),OR(Company_Explorer!$B$6="All Platforms",$B1626=Company_Explorer!$B$6),OR(Company_Explorer!$B$7="All Roles",$D1626=Company_Explorer!$B$7),OR(Company_Explorer!$B$8="All Ghost Labels",$AG1626=Company_Explorer!$B$8)),1,0)</f>
        <v>0</v>
      </c>
    </row>
    <row r="1627" spans="1:35" ht="15" customHeight="1" x14ac:dyDescent="0.3">
      <c r="A1627" s="65" t="s">
        <v>5948</v>
      </c>
      <c r="B1627" s="65" t="s">
        <v>81</v>
      </c>
      <c r="C1627" s="65" t="s">
        <v>1811</v>
      </c>
      <c r="D1627" s="65" t="s">
        <v>125</v>
      </c>
      <c r="E1627" s="65" t="s">
        <v>144</v>
      </c>
      <c r="F1627" s="65" t="b">
        <f>TRUE()</f>
        <v>1</v>
      </c>
      <c r="G1627" s="65" t="s">
        <v>165</v>
      </c>
      <c r="H1627" s="65" t="s">
        <v>3655</v>
      </c>
      <c r="I1627" s="66">
        <v>46209.930408437504</v>
      </c>
      <c r="J1627" s="66">
        <v>46210.283210682901</v>
      </c>
      <c r="K1627" s="65">
        <v>0.4</v>
      </c>
      <c r="L1627" s="65" t="s">
        <v>183</v>
      </c>
      <c r="M1627" s="65" t="s">
        <v>183</v>
      </c>
      <c r="N1627" s="65" t="b">
        <f>FALSE()</f>
        <v>0</v>
      </c>
      <c r="O1627" s="65"/>
      <c r="P1627" s="65"/>
      <c r="Q1627" s="65" t="s">
        <v>236</v>
      </c>
      <c r="R1627" s="65" t="s">
        <v>236</v>
      </c>
      <c r="S1627" s="65"/>
      <c r="T1627" s="65" t="b">
        <f>FALSE()</f>
        <v>0</v>
      </c>
      <c r="U1627" s="65" t="b">
        <f>FALSE()</f>
        <v>0</v>
      </c>
      <c r="V1627" s="65">
        <v>135</v>
      </c>
      <c r="W1627" s="67" t="s">
        <v>5853</v>
      </c>
      <c r="X1627" s="65">
        <v>41</v>
      </c>
      <c r="Y1627" s="68">
        <v>71.75</v>
      </c>
      <c r="Z1627" s="65" t="b">
        <f>FALSE()</f>
        <v>0</v>
      </c>
      <c r="AA1627" s="65" t="b">
        <f>TRUE()</f>
        <v>1</v>
      </c>
      <c r="AB1627" s="65" t="b">
        <f>TRUE()</f>
        <v>1</v>
      </c>
      <c r="AC1627" s="65" t="b">
        <f>FALSE()</f>
        <v>0</v>
      </c>
      <c r="AD1627" s="65" t="b">
        <f>FALSE()</f>
        <v>0</v>
      </c>
      <c r="AE1627" s="65">
        <v>2</v>
      </c>
      <c r="AF1627" s="69">
        <v>28.6</v>
      </c>
      <c r="AG1627" s="65" t="s">
        <v>73</v>
      </c>
      <c r="AH1627" s="65" t="s">
        <v>5949</v>
      </c>
      <c r="AI1627">
        <f>IF(AND(OR(Company_Explorer!$B$5="All Companies",$E1627=Company_Explorer!$B$5),OR(Company_Explorer!$B$6="All Platforms",$B1627=Company_Explorer!$B$6),OR(Company_Explorer!$B$7="All Roles",$D1627=Company_Explorer!$B$7),OR(Company_Explorer!$B$8="All Ghost Labels",$AG1627=Company_Explorer!$B$8)),1,0)</f>
        <v>0</v>
      </c>
    </row>
    <row r="1628" spans="1:35" ht="15" customHeight="1" x14ac:dyDescent="0.3">
      <c r="A1628" s="60" t="s">
        <v>5950</v>
      </c>
      <c r="B1628" s="60" t="s">
        <v>81</v>
      </c>
      <c r="C1628" s="60" t="s">
        <v>5951</v>
      </c>
      <c r="D1628" s="60" t="s">
        <v>126</v>
      </c>
      <c r="E1628" s="60" t="s">
        <v>146</v>
      </c>
      <c r="F1628" s="60" t="b">
        <f>TRUE()</f>
        <v>1</v>
      </c>
      <c r="G1628" s="60" t="s">
        <v>165</v>
      </c>
      <c r="H1628" s="60" t="s">
        <v>3636</v>
      </c>
      <c r="I1628" s="61">
        <v>46209.9109128009</v>
      </c>
      <c r="J1628" s="61">
        <v>46210.283211886599</v>
      </c>
      <c r="K1628" s="60">
        <v>0.4</v>
      </c>
      <c r="L1628" s="60" t="s">
        <v>183</v>
      </c>
      <c r="M1628" s="60" t="s">
        <v>183</v>
      </c>
      <c r="N1628" s="60" t="b">
        <f>FALSE()</f>
        <v>0</v>
      </c>
      <c r="O1628" s="60"/>
      <c r="P1628" s="60"/>
      <c r="Q1628" s="60" t="s">
        <v>236</v>
      </c>
      <c r="R1628" s="60" t="s">
        <v>236</v>
      </c>
      <c r="S1628" s="60"/>
      <c r="T1628" s="60" t="b">
        <f>FALSE()</f>
        <v>0</v>
      </c>
      <c r="U1628" s="60" t="b">
        <f>FALSE()</f>
        <v>0</v>
      </c>
      <c r="V1628" s="60">
        <v>316</v>
      </c>
      <c r="W1628" s="62" t="s">
        <v>5952</v>
      </c>
      <c r="X1628" s="60">
        <v>33</v>
      </c>
      <c r="Y1628" s="63">
        <v>57.75</v>
      </c>
      <c r="Z1628" s="60" t="b">
        <f>FALSE()</f>
        <v>0</v>
      </c>
      <c r="AA1628" s="60" t="b">
        <f>TRUE()</f>
        <v>1</v>
      </c>
      <c r="AB1628" s="60" t="b">
        <f>FALSE()</f>
        <v>0</v>
      </c>
      <c r="AC1628" s="60" t="b">
        <f>FALSE()</f>
        <v>0</v>
      </c>
      <c r="AD1628" s="60" t="b">
        <f>FALSE()</f>
        <v>0</v>
      </c>
      <c r="AE1628" s="60">
        <v>1</v>
      </c>
      <c r="AF1628" s="64">
        <v>14.3</v>
      </c>
      <c r="AG1628" s="60" t="s">
        <v>74</v>
      </c>
      <c r="AH1628" s="60" t="s">
        <v>5953</v>
      </c>
      <c r="AI1628">
        <f>IF(AND(OR(Company_Explorer!$B$5="All Companies",$E1628=Company_Explorer!$B$5),OR(Company_Explorer!$B$6="All Platforms",$B1628=Company_Explorer!$B$6),OR(Company_Explorer!$B$7="All Roles",$D1628=Company_Explorer!$B$7),OR(Company_Explorer!$B$8="All Ghost Labels",$AG1628=Company_Explorer!$B$8)),1,0)</f>
        <v>0</v>
      </c>
    </row>
    <row r="1629" spans="1:35" ht="15" customHeight="1" x14ac:dyDescent="0.3">
      <c r="A1629" s="65" t="s">
        <v>5954</v>
      </c>
      <c r="B1629" s="65" t="s">
        <v>81</v>
      </c>
      <c r="C1629" s="65" t="s">
        <v>1811</v>
      </c>
      <c r="D1629" s="65" t="s">
        <v>125</v>
      </c>
      <c r="E1629" s="65" t="s">
        <v>144</v>
      </c>
      <c r="F1629" s="65" t="b">
        <f>TRUE()</f>
        <v>1</v>
      </c>
      <c r="G1629" s="65" t="s">
        <v>165</v>
      </c>
      <c r="H1629" s="65" t="s">
        <v>3672</v>
      </c>
      <c r="I1629" s="66">
        <v>46209.930299432897</v>
      </c>
      <c r="J1629" s="66">
        <v>46210.2832119097</v>
      </c>
      <c r="K1629" s="65">
        <v>0.4</v>
      </c>
      <c r="L1629" s="65" t="s">
        <v>183</v>
      </c>
      <c r="M1629" s="65" t="s">
        <v>183</v>
      </c>
      <c r="N1629" s="65" t="b">
        <f>FALSE()</f>
        <v>0</v>
      </c>
      <c r="O1629" s="65"/>
      <c r="P1629" s="65"/>
      <c r="Q1629" s="65" t="s">
        <v>236</v>
      </c>
      <c r="R1629" s="65" t="s">
        <v>236</v>
      </c>
      <c r="S1629" s="65"/>
      <c r="T1629" s="65" t="b">
        <f>FALSE()</f>
        <v>0</v>
      </c>
      <c r="U1629" s="65" t="b">
        <f>FALSE()</f>
        <v>0</v>
      </c>
      <c r="V1629" s="65">
        <v>135</v>
      </c>
      <c r="W1629" s="67" t="s">
        <v>5853</v>
      </c>
      <c r="X1629" s="65">
        <v>41</v>
      </c>
      <c r="Y1629" s="68">
        <v>71.75</v>
      </c>
      <c r="Z1629" s="65" t="b">
        <f>FALSE()</f>
        <v>0</v>
      </c>
      <c r="AA1629" s="65" t="b">
        <f>TRUE()</f>
        <v>1</v>
      </c>
      <c r="AB1629" s="65" t="b">
        <f>TRUE()</f>
        <v>1</v>
      </c>
      <c r="AC1629" s="65" t="b">
        <f>FALSE()</f>
        <v>0</v>
      </c>
      <c r="AD1629" s="65" t="b">
        <f>FALSE()</f>
        <v>0</v>
      </c>
      <c r="AE1629" s="65">
        <v>2</v>
      </c>
      <c r="AF1629" s="69">
        <v>28.6</v>
      </c>
      <c r="AG1629" s="65" t="s">
        <v>73</v>
      </c>
      <c r="AH1629" s="65" t="s">
        <v>5955</v>
      </c>
      <c r="AI1629">
        <f>IF(AND(OR(Company_Explorer!$B$5="All Companies",$E1629=Company_Explorer!$B$5),OR(Company_Explorer!$B$6="All Platforms",$B1629=Company_Explorer!$B$6),OR(Company_Explorer!$B$7="All Roles",$D1629=Company_Explorer!$B$7),OR(Company_Explorer!$B$8="All Ghost Labels",$AG1629=Company_Explorer!$B$8)),1,0)</f>
        <v>0</v>
      </c>
    </row>
    <row r="1630" spans="1:35" ht="15" customHeight="1" x14ac:dyDescent="0.3">
      <c r="A1630" s="60" t="s">
        <v>5956</v>
      </c>
      <c r="B1630" s="60" t="s">
        <v>81</v>
      </c>
      <c r="C1630" s="60" t="s">
        <v>5957</v>
      </c>
      <c r="D1630" s="60" t="s">
        <v>126</v>
      </c>
      <c r="E1630" s="60" t="s">
        <v>146</v>
      </c>
      <c r="F1630" s="60" t="b">
        <f>TRUE()</f>
        <v>1</v>
      </c>
      <c r="G1630" s="60" t="s">
        <v>165</v>
      </c>
      <c r="H1630" s="60" t="s">
        <v>3702</v>
      </c>
      <c r="I1630" s="61">
        <v>46209.910898078699</v>
      </c>
      <c r="J1630" s="61">
        <v>46210.283211967602</v>
      </c>
      <c r="K1630" s="60">
        <v>0.4</v>
      </c>
      <c r="L1630" s="60" t="s">
        <v>183</v>
      </c>
      <c r="M1630" s="60" t="s">
        <v>183</v>
      </c>
      <c r="N1630" s="60" t="b">
        <f>FALSE()</f>
        <v>0</v>
      </c>
      <c r="O1630" s="60"/>
      <c r="P1630" s="60"/>
      <c r="Q1630" s="60" t="s">
        <v>236</v>
      </c>
      <c r="R1630" s="60" t="s">
        <v>236</v>
      </c>
      <c r="S1630" s="60"/>
      <c r="T1630" s="60" t="b">
        <f>FALSE()</f>
        <v>0</v>
      </c>
      <c r="U1630" s="60" t="b">
        <f>FALSE()</f>
        <v>0</v>
      </c>
      <c r="V1630" s="60">
        <v>708</v>
      </c>
      <c r="W1630" s="62" t="s">
        <v>5958</v>
      </c>
      <c r="X1630" s="60">
        <v>33</v>
      </c>
      <c r="Y1630" s="63">
        <v>57.75</v>
      </c>
      <c r="Z1630" s="60" t="b">
        <f>FALSE()</f>
        <v>0</v>
      </c>
      <c r="AA1630" s="60" t="b">
        <f>TRUE()</f>
        <v>1</v>
      </c>
      <c r="AB1630" s="60" t="b">
        <f>FALSE()</f>
        <v>0</v>
      </c>
      <c r="AC1630" s="60" t="b">
        <f>FALSE()</f>
        <v>0</v>
      </c>
      <c r="AD1630" s="60" t="b">
        <f>FALSE()</f>
        <v>0</v>
      </c>
      <c r="AE1630" s="60">
        <v>1</v>
      </c>
      <c r="AF1630" s="64">
        <v>14.3</v>
      </c>
      <c r="AG1630" s="60" t="s">
        <v>74</v>
      </c>
      <c r="AH1630" s="60" t="s">
        <v>5959</v>
      </c>
      <c r="AI1630">
        <f>IF(AND(OR(Company_Explorer!$B$5="All Companies",$E1630=Company_Explorer!$B$5),OR(Company_Explorer!$B$6="All Platforms",$B1630=Company_Explorer!$B$6),OR(Company_Explorer!$B$7="All Roles",$D1630=Company_Explorer!$B$7),OR(Company_Explorer!$B$8="All Ghost Labels",$AG1630=Company_Explorer!$B$8)),1,0)</f>
        <v>0</v>
      </c>
    </row>
    <row r="1631" spans="1:35" ht="15" customHeight="1" x14ac:dyDescent="0.3">
      <c r="A1631" s="65" t="s">
        <v>5960</v>
      </c>
      <c r="B1631" s="65" t="s">
        <v>81</v>
      </c>
      <c r="C1631" s="65" t="s">
        <v>5904</v>
      </c>
      <c r="D1631" s="65" t="s">
        <v>125</v>
      </c>
      <c r="E1631" s="65" t="s">
        <v>144</v>
      </c>
      <c r="F1631" s="65" t="b">
        <f>TRUE()</f>
        <v>1</v>
      </c>
      <c r="G1631" s="65" t="s">
        <v>165</v>
      </c>
      <c r="H1631" s="65" t="s">
        <v>3655</v>
      </c>
      <c r="I1631" s="66">
        <v>46209.930269328703</v>
      </c>
      <c r="J1631" s="66">
        <v>46210.283212025497</v>
      </c>
      <c r="K1631" s="65">
        <v>0.4</v>
      </c>
      <c r="L1631" s="65" t="s">
        <v>183</v>
      </c>
      <c r="M1631" s="65" t="s">
        <v>183</v>
      </c>
      <c r="N1631" s="65" t="b">
        <f>FALSE()</f>
        <v>0</v>
      </c>
      <c r="O1631" s="65"/>
      <c r="P1631" s="65"/>
      <c r="Q1631" s="65" t="s">
        <v>236</v>
      </c>
      <c r="R1631" s="65" t="s">
        <v>236</v>
      </c>
      <c r="S1631" s="65"/>
      <c r="T1631" s="65" t="b">
        <f>FALSE()</f>
        <v>0</v>
      </c>
      <c r="U1631" s="65" t="b">
        <f>FALSE()</f>
        <v>0</v>
      </c>
      <c r="V1631" s="65">
        <v>220</v>
      </c>
      <c r="W1631" s="67" t="s">
        <v>5905</v>
      </c>
      <c r="X1631" s="65">
        <v>41</v>
      </c>
      <c r="Y1631" s="68">
        <v>71.75</v>
      </c>
      <c r="Z1631" s="65" t="b">
        <f>FALSE()</f>
        <v>0</v>
      </c>
      <c r="AA1631" s="65" t="b">
        <f>TRUE()</f>
        <v>1</v>
      </c>
      <c r="AB1631" s="65" t="b">
        <f>TRUE()</f>
        <v>1</v>
      </c>
      <c r="AC1631" s="65" t="b">
        <f>FALSE()</f>
        <v>0</v>
      </c>
      <c r="AD1631" s="65" t="b">
        <f>FALSE()</f>
        <v>0</v>
      </c>
      <c r="AE1631" s="65">
        <v>2</v>
      </c>
      <c r="AF1631" s="69">
        <v>28.6</v>
      </c>
      <c r="AG1631" s="65" t="s">
        <v>73</v>
      </c>
      <c r="AH1631" s="65" t="s">
        <v>5961</v>
      </c>
      <c r="AI1631">
        <f>IF(AND(OR(Company_Explorer!$B$5="All Companies",$E1631=Company_Explorer!$B$5),OR(Company_Explorer!$B$6="All Platforms",$B1631=Company_Explorer!$B$6),OR(Company_Explorer!$B$7="All Roles",$D1631=Company_Explorer!$B$7),OR(Company_Explorer!$B$8="All Ghost Labels",$AG1631=Company_Explorer!$B$8)),1,0)</f>
        <v>0</v>
      </c>
    </row>
    <row r="1632" spans="1:35" ht="15" customHeight="1" x14ac:dyDescent="0.3">
      <c r="A1632" s="60" t="s">
        <v>5962</v>
      </c>
      <c r="B1632" s="60" t="s">
        <v>81</v>
      </c>
      <c r="C1632" s="60" t="s">
        <v>5904</v>
      </c>
      <c r="D1632" s="60" t="s">
        <v>125</v>
      </c>
      <c r="E1632" s="60" t="s">
        <v>144</v>
      </c>
      <c r="F1632" s="60" t="b">
        <f>TRUE()</f>
        <v>1</v>
      </c>
      <c r="G1632" s="60" t="s">
        <v>165</v>
      </c>
      <c r="H1632" s="60" t="s">
        <v>3672</v>
      </c>
      <c r="I1632" s="61">
        <v>46209.930135532399</v>
      </c>
      <c r="J1632" s="61">
        <v>46210.2832129745</v>
      </c>
      <c r="K1632" s="60">
        <v>0.4</v>
      </c>
      <c r="L1632" s="60" t="s">
        <v>183</v>
      </c>
      <c r="M1632" s="60" t="s">
        <v>183</v>
      </c>
      <c r="N1632" s="60" t="b">
        <f>FALSE()</f>
        <v>0</v>
      </c>
      <c r="O1632" s="60"/>
      <c r="P1632" s="60"/>
      <c r="Q1632" s="60" t="s">
        <v>236</v>
      </c>
      <c r="R1632" s="60" t="s">
        <v>236</v>
      </c>
      <c r="S1632" s="60"/>
      <c r="T1632" s="60" t="b">
        <f>FALSE()</f>
        <v>0</v>
      </c>
      <c r="U1632" s="60" t="b">
        <f>FALSE()</f>
        <v>0</v>
      </c>
      <c r="V1632" s="60">
        <v>220</v>
      </c>
      <c r="W1632" s="62" t="s">
        <v>5905</v>
      </c>
      <c r="X1632" s="60">
        <v>41</v>
      </c>
      <c r="Y1632" s="63">
        <v>71.75</v>
      </c>
      <c r="Z1632" s="60" t="b">
        <f>FALSE()</f>
        <v>0</v>
      </c>
      <c r="AA1632" s="60" t="b">
        <f>TRUE()</f>
        <v>1</v>
      </c>
      <c r="AB1632" s="60" t="b">
        <f>TRUE()</f>
        <v>1</v>
      </c>
      <c r="AC1632" s="60" t="b">
        <f>FALSE()</f>
        <v>0</v>
      </c>
      <c r="AD1632" s="60" t="b">
        <f>FALSE()</f>
        <v>0</v>
      </c>
      <c r="AE1632" s="60">
        <v>2</v>
      </c>
      <c r="AF1632" s="64">
        <v>28.6</v>
      </c>
      <c r="AG1632" s="60" t="s">
        <v>73</v>
      </c>
      <c r="AH1632" s="60" t="s">
        <v>5963</v>
      </c>
      <c r="AI1632">
        <f>IF(AND(OR(Company_Explorer!$B$5="All Companies",$E1632=Company_Explorer!$B$5),OR(Company_Explorer!$B$6="All Platforms",$B1632=Company_Explorer!$B$6),OR(Company_Explorer!$B$7="All Roles",$D1632=Company_Explorer!$B$7),OR(Company_Explorer!$B$8="All Ghost Labels",$AG1632=Company_Explorer!$B$8)),1,0)</f>
        <v>0</v>
      </c>
    </row>
    <row r="1633" spans="1:35" ht="15" customHeight="1" x14ac:dyDescent="0.3">
      <c r="A1633" s="65" t="s">
        <v>5964</v>
      </c>
      <c r="B1633" s="65" t="s">
        <v>81</v>
      </c>
      <c r="C1633" s="65" t="s">
        <v>5957</v>
      </c>
      <c r="D1633" s="65" t="s">
        <v>126</v>
      </c>
      <c r="E1633" s="65" t="s">
        <v>146</v>
      </c>
      <c r="F1633" s="65" t="b">
        <f>TRUE()</f>
        <v>1</v>
      </c>
      <c r="G1633" s="65" t="s">
        <v>165</v>
      </c>
      <c r="H1633" s="65" t="s">
        <v>3678</v>
      </c>
      <c r="I1633" s="66">
        <v>46209.910915405097</v>
      </c>
      <c r="J1633" s="66">
        <v>46210.283213009301</v>
      </c>
      <c r="K1633" s="65">
        <v>0.4</v>
      </c>
      <c r="L1633" s="65" t="s">
        <v>183</v>
      </c>
      <c r="M1633" s="65" t="s">
        <v>183</v>
      </c>
      <c r="N1633" s="65" t="b">
        <f>FALSE()</f>
        <v>0</v>
      </c>
      <c r="O1633" s="65"/>
      <c r="P1633" s="65"/>
      <c r="Q1633" s="65" t="s">
        <v>236</v>
      </c>
      <c r="R1633" s="65" t="s">
        <v>236</v>
      </c>
      <c r="S1633" s="65"/>
      <c r="T1633" s="65" t="b">
        <f>FALSE()</f>
        <v>0</v>
      </c>
      <c r="U1633" s="65" t="b">
        <f>FALSE()</f>
        <v>0</v>
      </c>
      <c r="V1633" s="65">
        <v>708</v>
      </c>
      <c r="W1633" s="67" t="s">
        <v>5958</v>
      </c>
      <c r="X1633" s="65">
        <v>33</v>
      </c>
      <c r="Y1633" s="68">
        <v>57.75</v>
      </c>
      <c r="Z1633" s="65" t="b">
        <f>FALSE()</f>
        <v>0</v>
      </c>
      <c r="AA1633" s="65" t="b">
        <f>TRUE()</f>
        <v>1</v>
      </c>
      <c r="AB1633" s="65" t="b">
        <f>FALSE()</f>
        <v>0</v>
      </c>
      <c r="AC1633" s="65" t="b">
        <f>FALSE()</f>
        <v>0</v>
      </c>
      <c r="AD1633" s="65" t="b">
        <f>FALSE()</f>
        <v>0</v>
      </c>
      <c r="AE1633" s="65">
        <v>1</v>
      </c>
      <c r="AF1633" s="69">
        <v>14.3</v>
      </c>
      <c r="AG1633" s="65" t="s">
        <v>74</v>
      </c>
      <c r="AH1633" s="65" t="s">
        <v>5965</v>
      </c>
      <c r="AI1633">
        <f>IF(AND(OR(Company_Explorer!$B$5="All Companies",$E1633=Company_Explorer!$B$5),OR(Company_Explorer!$B$6="All Platforms",$B1633=Company_Explorer!$B$6),OR(Company_Explorer!$B$7="All Roles",$D1633=Company_Explorer!$B$7),OR(Company_Explorer!$B$8="All Ghost Labels",$AG1633=Company_Explorer!$B$8)),1,0)</f>
        <v>0</v>
      </c>
    </row>
    <row r="1634" spans="1:35" ht="15" customHeight="1" x14ac:dyDescent="0.3">
      <c r="A1634" s="60" t="s">
        <v>5966</v>
      </c>
      <c r="B1634" s="60" t="s">
        <v>81</v>
      </c>
      <c r="C1634" s="60" t="s">
        <v>5967</v>
      </c>
      <c r="D1634" s="60" t="s">
        <v>126</v>
      </c>
      <c r="E1634" s="60" t="s">
        <v>146</v>
      </c>
      <c r="F1634" s="60" t="b">
        <f>TRUE()</f>
        <v>1</v>
      </c>
      <c r="G1634" s="60" t="s">
        <v>165</v>
      </c>
      <c r="H1634" s="60" t="s">
        <v>3620</v>
      </c>
      <c r="I1634" s="61">
        <v>46209.910871145803</v>
      </c>
      <c r="J1634" s="61">
        <v>46210.283213217597</v>
      </c>
      <c r="K1634" s="60">
        <v>0.4</v>
      </c>
      <c r="L1634" s="60" t="s">
        <v>183</v>
      </c>
      <c r="M1634" s="60" t="s">
        <v>183</v>
      </c>
      <c r="N1634" s="60" t="b">
        <f>FALSE()</f>
        <v>0</v>
      </c>
      <c r="O1634" s="60"/>
      <c r="P1634" s="60"/>
      <c r="Q1634" s="60" t="s">
        <v>236</v>
      </c>
      <c r="R1634" s="60" t="s">
        <v>236</v>
      </c>
      <c r="S1634" s="60"/>
      <c r="T1634" s="60" t="b">
        <f>FALSE()</f>
        <v>0</v>
      </c>
      <c r="U1634" s="60" t="b">
        <f>FALSE()</f>
        <v>0</v>
      </c>
      <c r="V1634" s="60">
        <v>672</v>
      </c>
      <c r="W1634" s="62" t="s">
        <v>5968</v>
      </c>
      <c r="X1634" s="60">
        <v>33</v>
      </c>
      <c r="Y1634" s="63">
        <v>57.75</v>
      </c>
      <c r="Z1634" s="60" t="b">
        <f>FALSE()</f>
        <v>0</v>
      </c>
      <c r="AA1634" s="60" t="b">
        <f>TRUE()</f>
        <v>1</v>
      </c>
      <c r="AB1634" s="60" t="b">
        <f>FALSE()</f>
        <v>0</v>
      </c>
      <c r="AC1634" s="60" t="b">
        <f>FALSE()</f>
        <v>0</v>
      </c>
      <c r="AD1634" s="60" t="b">
        <f>FALSE()</f>
        <v>0</v>
      </c>
      <c r="AE1634" s="60">
        <v>1</v>
      </c>
      <c r="AF1634" s="64">
        <v>14.3</v>
      </c>
      <c r="AG1634" s="60" t="s">
        <v>74</v>
      </c>
      <c r="AH1634" s="60" t="s">
        <v>5969</v>
      </c>
      <c r="AI1634">
        <f>IF(AND(OR(Company_Explorer!$B$5="All Companies",$E1634=Company_Explorer!$B$5),OR(Company_Explorer!$B$6="All Platforms",$B1634=Company_Explorer!$B$6),OR(Company_Explorer!$B$7="All Roles",$D1634=Company_Explorer!$B$7),OR(Company_Explorer!$B$8="All Ghost Labels",$AG1634=Company_Explorer!$B$8)),1,0)</f>
        <v>0</v>
      </c>
    </row>
    <row r="1635" spans="1:35" ht="15" customHeight="1" x14ac:dyDescent="0.3">
      <c r="A1635" s="65" t="s">
        <v>5970</v>
      </c>
      <c r="B1635" s="65" t="s">
        <v>81</v>
      </c>
      <c r="C1635" s="65" t="s">
        <v>5971</v>
      </c>
      <c r="D1635" s="65" t="s">
        <v>126</v>
      </c>
      <c r="E1635" s="65" t="s">
        <v>146</v>
      </c>
      <c r="F1635" s="65" t="b">
        <f>TRUE()</f>
        <v>1</v>
      </c>
      <c r="G1635" s="65" t="s">
        <v>165</v>
      </c>
      <c r="H1635" s="65" t="s">
        <v>3620</v>
      </c>
      <c r="I1635" s="66">
        <v>46209.910864618098</v>
      </c>
      <c r="J1635" s="66">
        <v>46210.283214178198</v>
      </c>
      <c r="K1635" s="65">
        <v>0.4</v>
      </c>
      <c r="L1635" s="65" t="s">
        <v>183</v>
      </c>
      <c r="M1635" s="65" t="s">
        <v>183</v>
      </c>
      <c r="N1635" s="65" t="b">
        <f>FALSE()</f>
        <v>0</v>
      </c>
      <c r="O1635" s="65"/>
      <c r="P1635" s="65"/>
      <c r="Q1635" s="65" t="s">
        <v>236</v>
      </c>
      <c r="R1635" s="65" t="s">
        <v>236</v>
      </c>
      <c r="S1635" s="65"/>
      <c r="T1635" s="65" t="b">
        <f>FALSE()</f>
        <v>0</v>
      </c>
      <c r="U1635" s="65" t="b">
        <f>FALSE()</f>
        <v>0</v>
      </c>
      <c r="V1635" s="65">
        <v>713</v>
      </c>
      <c r="W1635" s="67" t="s">
        <v>5968</v>
      </c>
      <c r="X1635" s="65">
        <v>33</v>
      </c>
      <c r="Y1635" s="68">
        <v>57.75</v>
      </c>
      <c r="Z1635" s="65" t="b">
        <f>FALSE()</f>
        <v>0</v>
      </c>
      <c r="AA1635" s="65" t="b">
        <f>TRUE()</f>
        <v>1</v>
      </c>
      <c r="AB1635" s="65" t="b">
        <f>FALSE()</f>
        <v>0</v>
      </c>
      <c r="AC1635" s="65" t="b">
        <f>FALSE()</f>
        <v>0</v>
      </c>
      <c r="AD1635" s="65" t="b">
        <f>FALSE()</f>
        <v>0</v>
      </c>
      <c r="AE1635" s="65">
        <v>1</v>
      </c>
      <c r="AF1635" s="69">
        <v>14.3</v>
      </c>
      <c r="AG1635" s="65" t="s">
        <v>74</v>
      </c>
      <c r="AH1635" s="65" t="s">
        <v>5972</v>
      </c>
      <c r="AI1635">
        <f>IF(AND(OR(Company_Explorer!$B$5="All Companies",$E1635=Company_Explorer!$B$5),OR(Company_Explorer!$B$6="All Platforms",$B1635=Company_Explorer!$B$6),OR(Company_Explorer!$B$7="All Roles",$D1635=Company_Explorer!$B$7),OR(Company_Explorer!$B$8="All Ghost Labels",$AG1635=Company_Explorer!$B$8)),1,0)</f>
        <v>0</v>
      </c>
    </row>
    <row r="1636" spans="1:35" ht="15" customHeight="1" x14ac:dyDescent="0.3">
      <c r="A1636" s="60" t="s">
        <v>5973</v>
      </c>
      <c r="B1636" s="60" t="s">
        <v>81</v>
      </c>
      <c r="C1636" s="60" t="s">
        <v>1811</v>
      </c>
      <c r="D1636" s="60" t="s">
        <v>125</v>
      </c>
      <c r="E1636" s="60" t="s">
        <v>144</v>
      </c>
      <c r="F1636" s="60" t="b">
        <f>TRUE()</f>
        <v>1</v>
      </c>
      <c r="G1636" s="60" t="s">
        <v>165</v>
      </c>
      <c r="H1636" s="60" t="s">
        <v>3655</v>
      </c>
      <c r="I1636" s="61">
        <v>46209.930233749998</v>
      </c>
      <c r="J1636" s="61">
        <v>46210.283214212999</v>
      </c>
      <c r="K1636" s="60">
        <v>0.4</v>
      </c>
      <c r="L1636" s="60" t="s">
        <v>183</v>
      </c>
      <c r="M1636" s="60" t="s">
        <v>183</v>
      </c>
      <c r="N1636" s="60" t="b">
        <f>FALSE()</f>
        <v>0</v>
      </c>
      <c r="O1636" s="60"/>
      <c r="P1636" s="60"/>
      <c r="Q1636" s="60" t="s">
        <v>236</v>
      </c>
      <c r="R1636" s="60" t="s">
        <v>236</v>
      </c>
      <c r="S1636" s="60"/>
      <c r="T1636" s="60" t="b">
        <f>FALSE()</f>
        <v>0</v>
      </c>
      <c r="U1636" s="60" t="b">
        <f>FALSE()</f>
        <v>0</v>
      </c>
      <c r="V1636" s="60">
        <v>135</v>
      </c>
      <c r="W1636" s="62" t="s">
        <v>5853</v>
      </c>
      <c r="X1636" s="60">
        <v>41</v>
      </c>
      <c r="Y1636" s="63">
        <v>71.75</v>
      </c>
      <c r="Z1636" s="60" t="b">
        <f>FALSE()</f>
        <v>0</v>
      </c>
      <c r="AA1636" s="60" t="b">
        <f>TRUE()</f>
        <v>1</v>
      </c>
      <c r="AB1636" s="60" t="b">
        <f>TRUE()</f>
        <v>1</v>
      </c>
      <c r="AC1636" s="60" t="b">
        <f>FALSE()</f>
        <v>0</v>
      </c>
      <c r="AD1636" s="60" t="b">
        <f>FALSE()</f>
        <v>0</v>
      </c>
      <c r="AE1636" s="60">
        <v>2</v>
      </c>
      <c r="AF1636" s="64">
        <v>28.6</v>
      </c>
      <c r="AG1636" s="60" t="s">
        <v>73</v>
      </c>
      <c r="AH1636" s="60" t="s">
        <v>5974</v>
      </c>
      <c r="AI1636">
        <f>IF(AND(OR(Company_Explorer!$B$5="All Companies",$E1636=Company_Explorer!$B$5),OR(Company_Explorer!$B$6="All Platforms",$B1636=Company_Explorer!$B$6),OR(Company_Explorer!$B$7="All Roles",$D1636=Company_Explorer!$B$7),OR(Company_Explorer!$B$8="All Ghost Labels",$AG1636=Company_Explorer!$B$8)),1,0)</f>
        <v>0</v>
      </c>
    </row>
    <row r="1637" spans="1:35" ht="15" customHeight="1" x14ac:dyDescent="0.3">
      <c r="A1637" s="65" t="s">
        <v>5975</v>
      </c>
      <c r="B1637" s="65" t="s">
        <v>81</v>
      </c>
      <c r="C1637" s="65" t="s">
        <v>125</v>
      </c>
      <c r="D1637" s="65" t="s">
        <v>125</v>
      </c>
      <c r="E1637" s="65" t="s">
        <v>144</v>
      </c>
      <c r="F1637" s="65" t="b">
        <f>TRUE()</f>
        <v>1</v>
      </c>
      <c r="G1637" s="65" t="s">
        <v>165</v>
      </c>
      <c r="H1637" s="65" t="s">
        <v>3655</v>
      </c>
      <c r="I1637" s="66">
        <v>46209.930072187497</v>
      </c>
      <c r="J1637" s="66">
        <v>46210.283214224502</v>
      </c>
      <c r="K1637" s="65">
        <v>0.4</v>
      </c>
      <c r="L1637" s="65" t="s">
        <v>183</v>
      </c>
      <c r="M1637" s="65" t="s">
        <v>183</v>
      </c>
      <c r="N1637" s="65" t="b">
        <f>FALSE()</f>
        <v>0</v>
      </c>
      <c r="O1637" s="65"/>
      <c r="P1637" s="65"/>
      <c r="Q1637" s="65" t="s">
        <v>236</v>
      </c>
      <c r="R1637" s="65" t="s">
        <v>236</v>
      </c>
      <c r="S1637" s="65"/>
      <c r="T1637" s="65" t="b">
        <f>FALSE()</f>
        <v>0</v>
      </c>
      <c r="U1637" s="65" t="b">
        <f>FALSE()</f>
        <v>0</v>
      </c>
      <c r="V1637" s="65">
        <v>229</v>
      </c>
      <c r="W1637" s="67" t="s">
        <v>5848</v>
      </c>
      <c r="X1637" s="65">
        <v>41</v>
      </c>
      <c r="Y1637" s="68">
        <v>71.75</v>
      </c>
      <c r="Z1637" s="65" t="b">
        <f>FALSE()</f>
        <v>0</v>
      </c>
      <c r="AA1637" s="65" t="b">
        <f>TRUE()</f>
        <v>1</v>
      </c>
      <c r="AB1637" s="65" t="b">
        <f>TRUE()</f>
        <v>1</v>
      </c>
      <c r="AC1637" s="65" t="b">
        <f>FALSE()</f>
        <v>0</v>
      </c>
      <c r="AD1637" s="65" t="b">
        <f>FALSE()</f>
        <v>0</v>
      </c>
      <c r="AE1637" s="65">
        <v>2</v>
      </c>
      <c r="AF1637" s="69">
        <v>28.6</v>
      </c>
      <c r="AG1637" s="65" t="s">
        <v>73</v>
      </c>
      <c r="AH1637" s="65" t="s">
        <v>5976</v>
      </c>
      <c r="AI1637">
        <f>IF(AND(OR(Company_Explorer!$B$5="All Companies",$E1637=Company_Explorer!$B$5),OR(Company_Explorer!$B$6="All Platforms",$B1637=Company_Explorer!$B$6),OR(Company_Explorer!$B$7="All Roles",$D1637=Company_Explorer!$B$7),OR(Company_Explorer!$B$8="All Ghost Labels",$AG1637=Company_Explorer!$B$8)),1,0)</f>
        <v>0</v>
      </c>
    </row>
    <row r="1638" spans="1:35" ht="15" customHeight="1" x14ac:dyDescent="0.3">
      <c r="A1638" s="60" t="s">
        <v>5977</v>
      </c>
      <c r="B1638" s="60" t="s">
        <v>81</v>
      </c>
      <c r="C1638" s="60" t="s">
        <v>125</v>
      </c>
      <c r="D1638" s="60" t="s">
        <v>125</v>
      </c>
      <c r="E1638" s="60" t="s">
        <v>144</v>
      </c>
      <c r="F1638" s="60" t="b">
        <f>TRUE()</f>
        <v>1</v>
      </c>
      <c r="G1638" s="60" t="s">
        <v>165</v>
      </c>
      <c r="H1638" s="60" t="s">
        <v>3655</v>
      </c>
      <c r="I1638" s="61">
        <v>46209.929969328703</v>
      </c>
      <c r="J1638" s="61">
        <v>46210.283215405099</v>
      </c>
      <c r="K1638" s="60">
        <v>0.4</v>
      </c>
      <c r="L1638" s="60" t="s">
        <v>183</v>
      </c>
      <c r="M1638" s="60" t="s">
        <v>183</v>
      </c>
      <c r="N1638" s="60" t="b">
        <f>FALSE()</f>
        <v>0</v>
      </c>
      <c r="O1638" s="60"/>
      <c r="P1638" s="60"/>
      <c r="Q1638" s="60" t="s">
        <v>236</v>
      </c>
      <c r="R1638" s="60" t="s">
        <v>236</v>
      </c>
      <c r="S1638" s="60"/>
      <c r="T1638" s="60" t="b">
        <f>FALSE()</f>
        <v>0</v>
      </c>
      <c r="U1638" s="60" t="b">
        <f>FALSE()</f>
        <v>0</v>
      </c>
      <c r="V1638" s="60">
        <v>229</v>
      </c>
      <c r="W1638" s="62" t="s">
        <v>5848</v>
      </c>
      <c r="X1638" s="60">
        <v>41</v>
      </c>
      <c r="Y1638" s="63">
        <v>71.75</v>
      </c>
      <c r="Z1638" s="60" t="b">
        <f>FALSE()</f>
        <v>0</v>
      </c>
      <c r="AA1638" s="60" t="b">
        <f>TRUE()</f>
        <v>1</v>
      </c>
      <c r="AB1638" s="60" t="b">
        <f>TRUE()</f>
        <v>1</v>
      </c>
      <c r="AC1638" s="60" t="b">
        <f>FALSE()</f>
        <v>0</v>
      </c>
      <c r="AD1638" s="60" t="b">
        <f>FALSE()</f>
        <v>0</v>
      </c>
      <c r="AE1638" s="60">
        <v>2</v>
      </c>
      <c r="AF1638" s="64">
        <v>28.6</v>
      </c>
      <c r="AG1638" s="60" t="s">
        <v>73</v>
      </c>
      <c r="AH1638" s="60" t="s">
        <v>5978</v>
      </c>
      <c r="AI1638">
        <f>IF(AND(OR(Company_Explorer!$B$5="All Companies",$E1638=Company_Explorer!$B$5),OR(Company_Explorer!$B$6="All Platforms",$B1638=Company_Explorer!$B$6),OR(Company_Explorer!$B$7="All Roles",$D1638=Company_Explorer!$B$7),OR(Company_Explorer!$B$8="All Ghost Labels",$AG1638=Company_Explorer!$B$8)),1,0)</f>
        <v>0</v>
      </c>
    </row>
    <row r="1639" spans="1:35" ht="15" customHeight="1" x14ac:dyDescent="0.3">
      <c r="A1639" s="65" t="s">
        <v>5979</v>
      </c>
      <c r="B1639" s="65" t="s">
        <v>81</v>
      </c>
      <c r="C1639" s="65" t="s">
        <v>125</v>
      </c>
      <c r="D1639" s="65" t="s">
        <v>125</v>
      </c>
      <c r="E1639" s="65" t="s">
        <v>144</v>
      </c>
      <c r="F1639" s="65" t="b">
        <f>TRUE()</f>
        <v>1</v>
      </c>
      <c r="G1639" s="65" t="s">
        <v>165</v>
      </c>
      <c r="H1639" s="65" t="s">
        <v>3655</v>
      </c>
      <c r="I1639" s="66">
        <v>46209.930027604198</v>
      </c>
      <c r="J1639" s="66">
        <v>46210.283216458301</v>
      </c>
      <c r="K1639" s="65">
        <v>0.4</v>
      </c>
      <c r="L1639" s="65" t="s">
        <v>183</v>
      </c>
      <c r="M1639" s="65" t="s">
        <v>183</v>
      </c>
      <c r="N1639" s="65" t="b">
        <f>FALSE()</f>
        <v>0</v>
      </c>
      <c r="O1639" s="65"/>
      <c r="P1639" s="65"/>
      <c r="Q1639" s="65" t="s">
        <v>236</v>
      </c>
      <c r="R1639" s="65" t="s">
        <v>236</v>
      </c>
      <c r="S1639" s="65"/>
      <c r="T1639" s="65" t="b">
        <f>FALSE()</f>
        <v>0</v>
      </c>
      <c r="U1639" s="65" t="b">
        <f>FALSE()</f>
        <v>0</v>
      </c>
      <c r="V1639" s="65">
        <v>229</v>
      </c>
      <c r="W1639" s="67" t="s">
        <v>5848</v>
      </c>
      <c r="X1639" s="65">
        <v>41</v>
      </c>
      <c r="Y1639" s="68">
        <v>71.75</v>
      </c>
      <c r="Z1639" s="65" t="b">
        <f>FALSE()</f>
        <v>0</v>
      </c>
      <c r="AA1639" s="65" t="b">
        <f>TRUE()</f>
        <v>1</v>
      </c>
      <c r="AB1639" s="65" t="b">
        <f>TRUE()</f>
        <v>1</v>
      </c>
      <c r="AC1639" s="65" t="b">
        <f>FALSE()</f>
        <v>0</v>
      </c>
      <c r="AD1639" s="65" t="b">
        <f>FALSE()</f>
        <v>0</v>
      </c>
      <c r="AE1639" s="65">
        <v>2</v>
      </c>
      <c r="AF1639" s="69">
        <v>28.6</v>
      </c>
      <c r="AG1639" s="65" t="s">
        <v>73</v>
      </c>
      <c r="AH1639" s="65" t="s">
        <v>5980</v>
      </c>
      <c r="AI1639">
        <f>IF(AND(OR(Company_Explorer!$B$5="All Companies",$E1639=Company_Explorer!$B$5),OR(Company_Explorer!$B$6="All Platforms",$B1639=Company_Explorer!$B$6),OR(Company_Explorer!$B$7="All Roles",$D1639=Company_Explorer!$B$7),OR(Company_Explorer!$B$8="All Ghost Labels",$AG1639=Company_Explorer!$B$8)),1,0)</f>
        <v>0</v>
      </c>
    </row>
    <row r="1640" spans="1:35" ht="15" customHeight="1" x14ac:dyDescent="0.3">
      <c r="A1640" s="60" t="s">
        <v>5981</v>
      </c>
      <c r="B1640" s="60" t="s">
        <v>81</v>
      </c>
      <c r="C1640" s="60" t="s">
        <v>5982</v>
      </c>
      <c r="D1640" s="60" t="s">
        <v>130</v>
      </c>
      <c r="E1640" s="60" t="s">
        <v>156</v>
      </c>
      <c r="F1640" s="60" t="b">
        <f>TRUE()</f>
        <v>1</v>
      </c>
      <c r="G1640" s="60" t="s">
        <v>165</v>
      </c>
      <c r="H1640" s="60" t="s">
        <v>3620</v>
      </c>
      <c r="I1640" s="61">
        <v>46209.8985952199</v>
      </c>
      <c r="J1640" s="61">
        <v>46210.283216493102</v>
      </c>
      <c r="K1640" s="60">
        <v>0.4</v>
      </c>
      <c r="L1640" s="60" t="s">
        <v>183</v>
      </c>
      <c r="M1640" s="60" t="s">
        <v>183</v>
      </c>
      <c r="N1640" s="60" t="b">
        <f>FALSE()</f>
        <v>0</v>
      </c>
      <c r="O1640" s="60"/>
      <c r="P1640" s="60"/>
      <c r="Q1640" s="60" t="s">
        <v>236</v>
      </c>
      <c r="R1640" s="60" t="s">
        <v>236</v>
      </c>
      <c r="S1640" s="60"/>
      <c r="T1640" s="60" t="b">
        <f>FALSE()</f>
        <v>0</v>
      </c>
      <c r="U1640" s="60" t="b">
        <f>FALSE()</f>
        <v>0</v>
      </c>
      <c r="V1640" s="60">
        <v>490</v>
      </c>
      <c r="W1640" s="62" t="s">
        <v>5983</v>
      </c>
      <c r="X1640" s="60">
        <v>14</v>
      </c>
      <c r="Y1640" s="63">
        <v>24.5</v>
      </c>
      <c r="Z1640" s="60" t="b">
        <f>FALSE()</f>
        <v>0</v>
      </c>
      <c r="AA1640" s="60" t="b">
        <f>TRUE()</f>
        <v>1</v>
      </c>
      <c r="AB1640" s="60" t="b">
        <f>FALSE()</f>
        <v>0</v>
      </c>
      <c r="AC1640" s="60" t="b">
        <f>FALSE()</f>
        <v>0</v>
      </c>
      <c r="AD1640" s="60" t="b">
        <f>FALSE()</f>
        <v>0</v>
      </c>
      <c r="AE1640" s="60">
        <v>1</v>
      </c>
      <c r="AF1640" s="64">
        <v>14.3</v>
      </c>
      <c r="AG1640" s="60" t="s">
        <v>74</v>
      </c>
      <c r="AH1640" s="60" t="s">
        <v>5984</v>
      </c>
      <c r="AI1640">
        <f>IF(AND(OR(Company_Explorer!$B$5="All Companies",$E1640=Company_Explorer!$B$5),OR(Company_Explorer!$B$6="All Platforms",$B1640=Company_Explorer!$B$6),OR(Company_Explorer!$B$7="All Roles",$D1640=Company_Explorer!$B$7),OR(Company_Explorer!$B$8="All Ghost Labels",$AG1640=Company_Explorer!$B$8)),1,0)</f>
        <v>0</v>
      </c>
    </row>
    <row r="1641" spans="1:35" ht="15" customHeight="1" x14ac:dyDescent="0.3">
      <c r="A1641" s="65" t="s">
        <v>5985</v>
      </c>
      <c r="B1641" s="65" t="s">
        <v>81</v>
      </c>
      <c r="C1641" s="65" t="s">
        <v>5986</v>
      </c>
      <c r="D1641" s="65" t="s">
        <v>125</v>
      </c>
      <c r="E1641" s="65" t="s">
        <v>5058</v>
      </c>
      <c r="F1641" s="65" t="b">
        <f>TRUE()</f>
        <v>1</v>
      </c>
      <c r="G1641" s="65" t="s">
        <v>165</v>
      </c>
      <c r="H1641" s="65" t="s">
        <v>3672</v>
      </c>
      <c r="I1641" s="66">
        <v>46209.900106643501</v>
      </c>
      <c r="J1641" s="66">
        <v>46210.283216574098</v>
      </c>
      <c r="K1641" s="65">
        <v>0.4</v>
      </c>
      <c r="L1641" s="65" t="s">
        <v>183</v>
      </c>
      <c r="M1641" s="65" t="s">
        <v>183</v>
      </c>
      <c r="N1641" s="65" t="b">
        <f>FALSE()</f>
        <v>0</v>
      </c>
      <c r="O1641" s="65"/>
      <c r="P1641" s="65"/>
      <c r="Q1641" s="65" t="s">
        <v>236</v>
      </c>
      <c r="R1641" s="65" t="s">
        <v>236</v>
      </c>
      <c r="S1641" s="65"/>
      <c r="T1641" s="65" t="b">
        <f>FALSE()</f>
        <v>0</v>
      </c>
      <c r="U1641" s="65" t="b">
        <f>FALSE()</f>
        <v>0</v>
      </c>
      <c r="V1641" s="65">
        <v>565</v>
      </c>
      <c r="W1641" s="67" t="s">
        <v>5987</v>
      </c>
      <c r="X1641" s="65">
        <v>12</v>
      </c>
      <c r="Y1641" s="68">
        <v>21</v>
      </c>
      <c r="Z1641" s="65" t="b">
        <f>FALSE()</f>
        <v>0</v>
      </c>
      <c r="AA1641" s="65" t="b">
        <f>TRUE()</f>
        <v>1</v>
      </c>
      <c r="AB1641" s="65" t="b">
        <f>FALSE()</f>
        <v>0</v>
      </c>
      <c r="AC1641" s="65" t="b">
        <f>FALSE()</f>
        <v>0</v>
      </c>
      <c r="AD1641" s="65" t="b">
        <f>FALSE()</f>
        <v>0</v>
      </c>
      <c r="AE1641" s="65">
        <v>1</v>
      </c>
      <c r="AF1641" s="69">
        <v>14.3</v>
      </c>
      <c r="AG1641" s="65" t="s">
        <v>74</v>
      </c>
      <c r="AH1641" s="65" t="s">
        <v>5988</v>
      </c>
      <c r="AI1641">
        <f>IF(AND(OR(Company_Explorer!$B$5="All Companies",$E1641=Company_Explorer!$B$5),OR(Company_Explorer!$B$6="All Platforms",$B1641=Company_Explorer!$B$6),OR(Company_Explorer!$B$7="All Roles",$D1641=Company_Explorer!$B$7),OR(Company_Explorer!$B$8="All Ghost Labels",$AG1641=Company_Explorer!$B$8)),1,0)</f>
        <v>0</v>
      </c>
    </row>
    <row r="1642" spans="1:35" ht="15" customHeight="1" x14ac:dyDescent="0.3">
      <c r="A1642" s="60" t="s">
        <v>5989</v>
      </c>
      <c r="B1642" s="60" t="s">
        <v>81</v>
      </c>
      <c r="C1642" s="60" t="s">
        <v>1811</v>
      </c>
      <c r="D1642" s="60" t="s">
        <v>125</v>
      </c>
      <c r="E1642" s="60" t="s">
        <v>144</v>
      </c>
      <c r="F1642" s="60" t="b">
        <f>TRUE()</f>
        <v>1</v>
      </c>
      <c r="G1642" s="60" t="s">
        <v>165</v>
      </c>
      <c r="H1642" s="60" t="s">
        <v>3655</v>
      </c>
      <c r="I1642" s="61">
        <v>46209.929975613399</v>
      </c>
      <c r="J1642" s="61">
        <v>46210.283217650504</v>
      </c>
      <c r="K1642" s="60">
        <v>0.4</v>
      </c>
      <c r="L1642" s="60" t="s">
        <v>183</v>
      </c>
      <c r="M1642" s="60" t="s">
        <v>183</v>
      </c>
      <c r="N1642" s="60" t="b">
        <f>FALSE()</f>
        <v>0</v>
      </c>
      <c r="O1642" s="60"/>
      <c r="P1642" s="60"/>
      <c r="Q1642" s="60" t="s">
        <v>236</v>
      </c>
      <c r="R1642" s="60" t="s">
        <v>236</v>
      </c>
      <c r="S1642" s="60"/>
      <c r="T1642" s="60" t="b">
        <f>FALSE()</f>
        <v>0</v>
      </c>
      <c r="U1642" s="60" t="b">
        <f>FALSE()</f>
        <v>0</v>
      </c>
      <c r="V1642" s="60">
        <v>135</v>
      </c>
      <c r="W1642" s="62" t="s">
        <v>5853</v>
      </c>
      <c r="X1642" s="60">
        <v>41</v>
      </c>
      <c r="Y1642" s="63">
        <v>71.75</v>
      </c>
      <c r="Z1642" s="60" t="b">
        <f>FALSE()</f>
        <v>0</v>
      </c>
      <c r="AA1642" s="60" t="b">
        <f>TRUE()</f>
        <v>1</v>
      </c>
      <c r="AB1642" s="60" t="b">
        <f>TRUE()</f>
        <v>1</v>
      </c>
      <c r="AC1642" s="60" t="b">
        <f>FALSE()</f>
        <v>0</v>
      </c>
      <c r="AD1642" s="60" t="b">
        <f>FALSE()</f>
        <v>0</v>
      </c>
      <c r="AE1642" s="60">
        <v>2</v>
      </c>
      <c r="AF1642" s="64">
        <v>28.6</v>
      </c>
      <c r="AG1642" s="60" t="s">
        <v>73</v>
      </c>
      <c r="AH1642" s="60" t="s">
        <v>5990</v>
      </c>
      <c r="AI1642">
        <f>IF(AND(OR(Company_Explorer!$B$5="All Companies",$E1642=Company_Explorer!$B$5),OR(Company_Explorer!$B$6="All Platforms",$B1642=Company_Explorer!$B$6),OR(Company_Explorer!$B$7="All Roles",$D1642=Company_Explorer!$B$7),OR(Company_Explorer!$B$8="All Ghost Labels",$AG1642=Company_Explorer!$B$8)),1,0)</f>
        <v>0</v>
      </c>
    </row>
    <row r="1643" spans="1:35" ht="15" customHeight="1" x14ac:dyDescent="0.3">
      <c r="A1643" s="65" t="s">
        <v>5991</v>
      </c>
      <c r="B1643" s="65" t="s">
        <v>81</v>
      </c>
      <c r="C1643" s="65" t="s">
        <v>5992</v>
      </c>
      <c r="D1643" s="65" t="s">
        <v>125</v>
      </c>
      <c r="E1643" s="65" t="s">
        <v>156</v>
      </c>
      <c r="F1643" s="65" t="b">
        <f>TRUE()</f>
        <v>1</v>
      </c>
      <c r="G1643" s="65" t="s">
        <v>165</v>
      </c>
      <c r="H1643" s="65" t="s">
        <v>3620</v>
      </c>
      <c r="I1643" s="66">
        <v>46209.898472349501</v>
      </c>
      <c r="J1643" s="66">
        <v>46210.283218796299</v>
      </c>
      <c r="K1643" s="65">
        <v>0.4</v>
      </c>
      <c r="L1643" s="65" t="s">
        <v>183</v>
      </c>
      <c r="M1643" s="65" t="s">
        <v>183</v>
      </c>
      <c r="N1643" s="65" t="b">
        <f>FALSE()</f>
        <v>0</v>
      </c>
      <c r="O1643" s="65"/>
      <c r="P1643" s="65"/>
      <c r="Q1643" s="65" t="s">
        <v>236</v>
      </c>
      <c r="R1643" s="65" t="s">
        <v>236</v>
      </c>
      <c r="S1643" s="65"/>
      <c r="T1643" s="65" t="b">
        <f>FALSE()</f>
        <v>0</v>
      </c>
      <c r="U1643" s="65" t="b">
        <f>FALSE()</f>
        <v>0</v>
      </c>
      <c r="V1643" s="65">
        <v>606</v>
      </c>
      <c r="W1643" s="67" t="s">
        <v>5993</v>
      </c>
      <c r="X1643" s="65">
        <v>14</v>
      </c>
      <c r="Y1643" s="68">
        <v>24.5</v>
      </c>
      <c r="Z1643" s="65" t="b">
        <f>FALSE()</f>
        <v>0</v>
      </c>
      <c r="AA1643" s="65" t="b">
        <f>TRUE()</f>
        <v>1</v>
      </c>
      <c r="AB1643" s="65" t="b">
        <f>FALSE()</f>
        <v>0</v>
      </c>
      <c r="AC1643" s="65" t="b">
        <f>FALSE()</f>
        <v>0</v>
      </c>
      <c r="AD1643" s="65" t="b">
        <f>FALSE()</f>
        <v>0</v>
      </c>
      <c r="AE1643" s="65">
        <v>1</v>
      </c>
      <c r="AF1643" s="69">
        <v>14.3</v>
      </c>
      <c r="AG1643" s="65" t="s">
        <v>74</v>
      </c>
      <c r="AH1643" s="65" t="s">
        <v>5994</v>
      </c>
      <c r="AI1643">
        <f>IF(AND(OR(Company_Explorer!$B$5="All Companies",$E1643=Company_Explorer!$B$5),OR(Company_Explorer!$B$6="All Platforms",$B1643=Company_Explorer!$B$6),OR(Company_Explorer!$B$7="All Roles",$D1643=Company_Explorer!$B$7),OR(Company_Explorer!$B$8="All Ghost Labels",$AG1643=Company_Explorer!$B$8)),1,0)</f>
        <v>0</v>
      </c>
    </row>
    <row r="1644" spans="1:35" ht="15" customHeight="1" x14ac:dyDescent="0.3">
      <c r="A1644" s="60" t="s">
        <v>5995</v>
      </c>
      <c r="B1644" s="60" t="s">
        <v>81</v>
      </c>
      <c r="C1644" s="60" t="s">
        <v>125</v>
      </c>
      <c r="D1644" s="60" t="s">
        <v>125</v>
      </c>
      <c r="E1644" s="60" t="s">
        <v>144</v>
      </c>
      <c r="F1644" s="60" t="b">
        <f>TRUE()</f>
        <v>1</v>
      </c>
      <c r="G1644" s="60" t="s">
        <v>165</v>
      </c>
      <c r="H1644" s="60" t="s">
        <v>3672</v>
      </c>
      <c r="I1644" s="61">
        <v>46209.929926712997</v>
      </c>
      <c r="J1644" s="61">
        <v>46210.283218830999</v>
      </c>
      <c r="K1644" s="60">
        <v>0.4</v>
      </c>
      <c r="L1644" s="60" t="s">
        <v>183</v>
      </c>
      <c r="M1644" s="60" t="s">
        <v>183</v>
      </c>
      <c r="N1644" s="60" t="b">
        <f>FALSE()</f>
        <v>0</v>
      </c>
      <c r="O1644" s="60"/>
      <c r="P1644" s="60"/>
      <c r="Q1644" s="60" t="s">
        <v>236</v>
      </c>
      <c r="R1644" s="60" t="s">
        <v>236</v>
      </c>
      <c r="S1644" s="60"/>
      <c r="T1644" s="60" t="b">
        <f>FALSE()</f>
        <v>0</v>
      </c>
      <c r="U1644" s="60" t="b">
        <f>FALSE()</f>
        <v>0</v>
      </c>
      <c r="V1644" s="60">
        <v>229</v>
      </c>
      <c r="W1644" s="62" t="s">
        <v>5848</v>
      </c>
      <c r="X1644" s="60">
        <v>41</v>
      </c>
      <c r="Y1644" s="63">
        <v>71.75</v>
      </c>
      <c r="Z1644" s="60" t="b">
        <f>FALSE()</f>
        <v>0</v>
      </c>
      <c r="AA1644" s="60" t="b">
        <f>TRUE()</f>
        <v>1</v>
      </c>
      <c r="AB1644" s="60" t="b">
        <f>TRUE()</f>
        <v>1</v>
      </c>
      <c r="AC1644" s="60" t="b">
        <f>FALSE()</f>
        <v>0</v>
      </c>
      <c r="AD1644" s="60" t="b">
        <f>FALSE()</f>
        <v>0</v>
      </c>
      <c r="AE1644" s="60">
        <v>2</v>
      </c>
      <c r="AF1644" s="64">
        <v>28.6</v>
      </c>
      <c r="AG1644" s="60" t="s">
        <v>73</v>
      </c>
      <c r="AH1644" s="60" t="s">
        <v>5996</v>
      </c>
      <c r="AI1644">
        <f>IF(AND(OR(Company_Explorer!$B$5="All Companies",$E1644=Company_Explorer!$B$5),OR(Company_Explorer!$B$6="All Platforms",$B1644=Company_Explorer!$B$6),OR(Company_Explorer!$B$7="All Roles",$D1644=Company_Explorer!$B$7),OR(Company_Explorer!$B$8="All Ghost Labels",$AG1644=Company_Explorer!$B$8)),1,0)</f>
        <v>0</v>
      </c>
    </row>
    <row r="1645" spans="1:35" ht="15" customHeight="1" x14ac:dyDescent="0.3">
      <c r="A1645" s="65" t="s">
        <v>5997</v>
      </c>
      <c r="B1645" s="65" t="s">
        <v>81</v>
      </c>
      <c r="C1645" s="65" t="s">
        <v>5998</v>
      </c>
      <c r="D1645" s="65" t="s">
        <v>125</v>
      </c>
      <c r="E1645" s="65" t="s">
        <v>156</v>
      </c>
      <c r="F1645" s="65" t="b">
        <f>TRUE()</f>
        <v>1</v>
      </c>
      <c r="G1645" s="65" t="s">
        <v>165</v>
      </c>
      <c r="H1645" s="65" t="s">
        <v>3655</v>
      </c>
      <c r="I1645" s="66">
        <v>46209.898583611102</v>
      </c>
      <c r="J1645" s="66">
        <v>46210.283218900498</v>
      </c>
      <c r="K1645" s="65">
        <v>0.4</v>
      </c>
      <c r="L1645" s="65" t="s">
        <v>183</v>
      </c>
      <c r="M1645" s="65" t="s">
        <v>183</v>
      </c>
      <c r="N1645" s="65" t="b">
        <f>FALSE()</f>
        <v>0</v>
      </c>
      <c r="O1645" s="65"/>
      <c r="P1645" s="65"/>
      <c r="Q1645" s="65" t="s">
        <v>236</v>
      </c>
      <c r="R1645" s="65" t="s">
        <v>236</v>
      </c>
      <c r="S1645" s="65"/>
      <c r="T1645" s="65" t="b">
        <f>FALSE()</f>
        <v>0</v>
      </c>
      <c r="U1645" s="65" t="b">
        <f>FALSE()</f>
        <v>0</v>
      </c>
      <c r="V1645" s="65">
        <v>548</v>
      </c>
      <c r="W1645" s="67" t="s">
        <v>5999</v>
      </c>
      <c r="X1645" s="65">
        <v>14</v>
      </c>
      <c r="Y1645" s="68">
        <v>24.5</v>
      </c>
      <c r="Z1645" s="65" t="b">
        <f>FALSE()</f>
        <v>0</v>
      </c>
      <c r="AA1645" s="65" t="b">
        <f>TRUE()</f>
        <v>1</v>
      </c>
      <c r="AB1645" s="65" t="b">
        <f>FALSE()</f>
        <v>0</v>
      </c>
      <c r="AC1645" s="65" t="b">
        <f>FALSE()</f>
        <v>0</v>
      </c>
      <c r="AD1645" s="65" t="b">
        <f>FALSE()</f>
        <v>0</v>
      </c>
      <c r="AE1645" s="65">
        <v>1</v>
      </c>
      <c r="AF1645" s="69">
        <v>14.3</v>
      </c>
      <c r="AG1645" s="65" t="s">
        <v>74</v>
      </c>
      <c r="AH1645" s="65" t="s">
        <v>6000</v>
      </c>
      <c r="AI1645">
        <f>IF(AND(OR(Company_Explorer!$B$5="All Companies",$E1645=Company_Explorer!$B$5),OR(Company_Explorer!$B$6="All Platforms",$B1645=Company_Explorer!$B$6),OR(Company_Explorer!$B$7="All Roles",$D1645=Company_Explorer!$B$7),OR(Company_Explorer!$B$8="All Ghost Labels",$AG1645=Company_Explorer!$B$8)),1,0)</f>
        <v>0</v>
      </c>
    </row>
    <row r="1646" spans="1:35" ht="15" customHeight="1" x14ac:dyDescent="0.3">
      <c r="A1646" s="60" t="s">
        <v>6001</v>
      </c>
      <c r="B1646" s="60" t="s">
        <v>81</v>
      </c>
      <c r="C1646" s="60" t="s">
        <v>125</v>
      </c>
      <c r="D1646" s="60" t="s">
        <v>125</v>
      </c>
      <c r="E1646" s="60" t="s">
        <v>144</v>
      </c>
      <c r="F1646" s="60" t="b">
        <f>TRUE()</f>
        <v>1</v>
      </c>
      <c r="G1646" s="60" t="s">
        <v>165</v>
      </c>
      <c r="H1646" s="60" t="s">
        <v>3655</v>
      </c>
      <c r="I1646" s="61">
        <v>46209.929909675899</v>
      </c>
      <c r="J1646" s="61">
        <v>46210.2832189236</v>
      </c>
      <c r="K1646" s="60">
        <v>0.4</v>
      </c>
      <c r="L1646" s="60" t="s">
        <v>183</v>
      </c>
      <c r="M1646" s="60" t="s">
        <v>183</v>
      </c>
      <c r="N1646" s="60" t="b">
        <f>FALSE()</f>
        <v>0</v>
      </c>
      <c r="O1646" s="60"/>
      <c r="P1646" s="60"/>
      <c r="Q1646" s="60" t="s">
        <v>236</v>
      </c>
      <c r="R1646" s="60" t="s">
        <v>236</v>
      </c>
      <c r="S1646" s="60"/>
      <c r="T1646" s="60" t="b">
        <f>FALSE()</f>
        <v>0</v>
      </c>
      <c r="U1646" s="60" t="b">
        <f>FALSE()</f>
        <v>0</v>
      </c>
      <c r="V1646" s="60">
        <v>229</v>
      </c>
      <c r="W1646" s="62" t="s">
        <v>5848</v>
      </c>
      <c r="X1646" s="60">
        <v>41</v>
      </c>
      <c r="Y1646" s="63">
        <v>71.75</v>
      </c>
      <c r="Z1646" s="60" t="b">
        <f>FALSE()</f>
        <v>0</v>
      </c>
      <c r="AA1646" s="60" t="b">
        <f>TRUE()</f>
        <v>1</v>
      </c>
      <c r="AB1646" s="60" t="b">
        <f>TRUE()</f>
        <v>1</v>
      </c>
      <c r="AC1646" s="60" t="b">
        <f>FALSE()</f>
        <v>0</v>
      </c>
      <c r="AD1646" s="60" t="b">
        <f>FALSE()</f>
        <v>0</v>
      </c>
      <c r="AE1646" s="60">
        <v>2</v>
      </c>
      <c r="AF1646" s="64">
        <v>28.6</v>
      </c>
      <c r="AG1646" s="60" t="s">
        <v>73</v>
      </c>
      <c r="AH1646" s="60" t="s">
        <v>6002</v>
      </c>
      <c r="AI1646">
        <f>IF(AND(OR(Company_Explorer!$B$5="All Companies",$E1646=Company_Explorer!$B$5),OR(Company_Explorer!$B$6="All Platforms",$B1646=Company_Explorer!$B$6),OR(Company_Explorer!$B$7="All Roles",$D1646=Company_Explorer!$B$7),OR(Company_Explorer!$B$8="All Ghost Labels",$AG1646=Company_Explorer!$B$8)),1,0)</f>
        <v>0</v>
      </c>
    </row>
    <row r="1647" spans="1:35" ht="15" customHeight="1" x14ac:dyDescent="0.3">
      <c r="A1647" s="65" t="s">
        <v>6003</v>
      </c>
      <c r="B1647" s="65" t="s">
        <v>81</v>
      </c>
      <c r="C1647" s="65" t="s">
        <v>1811</v>
      </c>
      <c r="D1647" s="65" t="s">
        <v>125</v>
      </c>
      <c r="E1647" s="65" t="s">
        <v>144</v>
      </c>
      <c r="F1647" s="65" t="b">
        <f>TRUE()</f>
        <v>1</v>
      </c>
      <c r="G1647" s="65" t="s">
        <v>165</v>
      </c>
      <c r="H1647" s="65" t="s">
        <v>3655</v>
      </c>
      <c r="I1647" s="66">
        <v>46209.9298562037</v>
      </c>
      <c r="J1647" s="66">
        <v>46210.283218981502</v>
      </c>
      <c r="K1647" s="65">
        <v>0.4</v>
      </c>
      <c r="L1647" s="65" t="s">
        <v>183</v>
      </c>
      <c r="M1647" s="65" t="s">
        <v>183</v>
      </c>
      <c r="N1647" s="65" t="b">
        <f>FALSE()</f>
        <v>0</v>
      </c>
      <c r="O1647" s="65"/>
      <c r="P1647" s="65"/>
      <c r="Q1647" s="65" t="s">
        <v>236</v>
      </c>
      <c r="R1647" s="65" t="s">
        <v>236</v>
      </c>
      <c r="S1647" s="65"/>
      <c r="T1647" s="65" t="b">
        <f>FALSE()</f>
        <v>0</v>
      </c>
      <c r="U1647" s="65" t="b">
        <f>FALSE()</f>
        <v>0</v>
      </c>
      <c r="V1647" s="65">
        <v>135</v>
      </c>
      <c r="W1647" s="67" t="s">
        <v>5853</v>
      </c>
      <c r="X1647" s="65">
        <v>41</v>
      </c>
      <c r="Y1647" s="68">
        <v>71.75</v>
      </c>
      <c r="Z1647" s="65" t="b">
        <f>FALSE()</f>
        <v>0</v>
      </c>
      <c r="AA1647" s="65" t="b">
        <f>TRUE()</f>
        <v>1</v>
      </c>
      <c r="AB1647" s="65" t="b">
        <f>TRUE()</f>
        <v>1</v>
      </c>
      <c r="AC1647" s="65" t="b">
        <f>FALSE()</f>
        <v>0</v>
      </c>
      <c r="AD1647" s="65" t="b">
        <f>FALSE()</f>
        <v>0</v>
      </c>
      <c r="AE1647" s="65">
        <v>2</v>
      </c>
      <c r="AF1647" s="69">
        <v>28.6</v>
      </c>
      <c r="AG1647" s="65" t="s">
        <v>73</v>
      </c>
      <c r="AH1647" s="65" t="s">
        <v>6004</v>
      </c>
      <c r="AI1647">
        <f>IF(AND(OR(Company_Explorer!$B$5="All Companies",$E1647=Company_Explorer!$B$5),OR(Company_Explorer!$B$6="All Platforms",$B1647=Company_Explorer!$B$6),OR(Company_Explorer!$B$7="All Roles",$D1647=Company_Explorer!$B$7),OR(Company_Explorer!$B$8="All Ghost Labels",$AG1647=Company_Explorer!$B$8)),1,0)</f>
        <v>0</v>
      </c>
    </row>
    <row r="1648" spans="1:35" ht="15" customHeight="1" x14ac:dyDescent="0.3">
      <c r="A1648" s="60" t="s">
        <v>6005</v>
      </c>
      <c r="B1648" s="60" t="s">
        <v>81</v>
      </c>
      <c r="C1648" s="60" t="s">
        <v>125</v>
      </c>
      <c r="D1648" s="60" t="s">
        <v>125</v>
      </c>
      <c r="E1648" s="60" t="s">
        <v>144</v>
      </c>
      <c r="F1648" s="60" t="b">
        <f>TRUE()</f>
        <v>1</v>
      </c>
      <c r="G1648" s="60" t="s">
        <v>165</v>
      </c>
      <c r="H1648" s="60" t="s">
        <v>3655</v>
      </c>
      <c r="I1648" s="61">
        <v>46209.929813125003</v>
      </c>
      <c r="J1648" s="61">
        <v>46210.283219942103</v>
      </c>
      <c r="K1648" s="60">
        <v>0.4</v>
      </c>
      <c r="L1648" s="60" t="s">
        <v>183</v>
      </c>
      <c r="M1648" s="60" t="s">
        <v>183</v>
      </c>
      <c r="N1648" s="60" t="b">
        <f>FALSE()</f>
        <v>0</v>
      </c>
      <c r="O1648" s="60"/>
      <c r="P1648" s="60"/>
      <c r="Q1648" s="60" t="s">
        <v>236</v>
      </c>
      <c r="R1648" s="60" t="s">
        <v>236</v>
      </c>
      <c r="S1648" s="60"/>
      <c r="T1648" s="60" t="b">
        <f>FALSE()</f>
        <v>0</v>
      </c>
      <c r="U1648" s="60" t="b">
        <f>FALSE()</f>
        <v>0</v>
      </c>
      <c r="V1648" s="60">
        <v>229</v>
      </c>
      <c r="W1648" s="62" t="s">
        <v>5848</v>
      </c>
      <c r="X1648" s="60">
        <v>41</v>
      </c>
      <c r="Y1648" s="63">
        <v>71.75</v>
      </c>
      <c r="Z1648" s="60" t="b">
        <f>FALSE()</f>
        <v>0</v>
      </c>
      <c r="AA1648" s="60" t="b">
        <f>TRUE()</f>
        <v>1</v>
      </c>
      <c r="AB1648" s="60" t="b">
        <f>TRUE()</f>
        <v>1</v>
      </c>
      <c r="AC1648" s="60" t="b">
        <f>FALSE()</f>
        <v>0</v>
      </c>
      <c r="AD1648" s="60" t="b">
        <f>FALSE()</f>
        <v>0</v>
      </c>
      <c r="AE1648" s="60">
        <v>2</v>
      </c>
      <c r="AF1648" s="64">
        <v>28.6</v>
      </c>
      <c r="AG1648" s="60" t="s">
        <v>73</v>
      </c>
      <c r="AH1648" s="60" t="s">
        <v>6006</v>
      </c>
      <c r="AI1648">
        <f>IF(AND(OR(Company_Explorer!$B$5="All Companies",$E1648=Company_Explorer!$B$5),OR(Company_Explorer!$B$6="All Platforms",$B1648=Company_Explorer!$B$6),OR(Company_Explorer!$B$7="All Roles",$D1648=Company_Explorer!$B$7),OR(Company_Explorer!$B$8="All Ghost Labels",$AG1648=Company_Explorer!$B$8)),1,0)</f>
        <v>0</v>
      </c>
    </row>
    <row r="1649" spans="1:35" ht="15" customHeight="1" x14ac:dyDescent="0.3">
      <c r="A1649" s="65" t="s">
        <v>6007</v>
      </c>
      <c r="B1649" s="65" t="s">
        <v>81</v>
      </c>
      <c r="C1649" s="65" t="s">
        <v>5904</v>
      </c>
      <c r="D1649" s="65" t="s">
        <v>125</v>
      </c>
      <c r="E1649" s="65" t="s">
        <v>144</v>
      </c>
      <c r="F1649" s="65" t="b">
        <f>TRUE()</f>
        <v>1</v>
      </c>
      <c r="G1649" s="65" t="s">
        <v>165</v>
      </c>
      <c r="H1649" s="65" t="s">
        <v>3672</v>
      </c>
      <c r="I1649" s="66">
        <v>46209.929798634301</v>
      </c>
      <c r="J1649" s="66">
        <v>46210.283219976904</v>
      </c>
      <c r="K1649" s="65">
        <v>0.4</v>
      </c>
      <c r="L1649" s="65" t="s">
        <v>183</v>
      </c>
      <c r="M1649" s="65" t="s">
        <v>183</v>
      </c>
      <c r="N1649" s="65" t="b">
        <f>FALSE()</f>
        <v>0</v>
      </c>
      <c r="O1649" s="65"/>
      <c r="P1649" s="65"/>
      <c r="Q1649" s="65" t="s">
        <v>236</v>
      </c>
      <c r="R1649" s="65" t="s">
        <v>236</v>
      </c>
      <c r="S1649" s="65"/>
      <c r="T1649" s="65" t="b">
        <f>FALSE()</f>
        <v>0</v>
      </c>
      <c r="U1649" s="65" t="b">
        <f>FALSE()</f>
        <v>0</v>
      </c>
      <c r="V1649" s="65">
        <v>431</v>
      </c>
      <c r="W1649" s="67" t="s">
        <v>5905</v>
      </c>
      <c r="X1649" s="65">
        <v>41</v>
      </c>
      <c r="Y1649" s="68">
        <v>71.75</v>
      </c>
      <c r="Z1649" s="65" t="b">
        <f>FALSE()</f>
        <v>0</v>
      </c>
      <c r="AA1649" s="65" t="b">
        <f>TRUE()</f>
        <v>1</v>
      </c>
      <c r="AB1649" s="65" t="b">
        <f>FALSE()</f>
        <v>0</v>
      </c>
      <c r="AC1649" s="65" t="b">
        <f>FALSE()</f>
        <v>0</v>
      </c>
      <c r="AD1649" s="65" t="b">
        <f>FALSE()</f>
        <v>0</v>
      </c>
      <c r="AE1649" s="65">
        <v>1</v>
      </c>
      <c r="AF1649" s="69">
        <v>14.3</v>
      </c>
      <c r="AG1649" s="65" t="s">
        <v>74</v>
      </c>
      <c r="AH1649" s="65" t="s">
        <v>6008</v>
      </c>
      <c r="AI1649">
        <f>IF(AND(OR(Company_Explorer!$B$5="All Companies",$E1649=Company_Explorer!$B$5),OR(Company_Explorer!$B$6="All Platforms",$B1649=Company_Explorer!$B$6),OR(Company_Explorer!$B$7="All Roles",$D1649=Company_Explorer!$B$7),OR(Company_Explorer!$B$8="All Ghost Labels",$AG1649=Company_Explorer!$B$8)),1,0)</f>
        <v>0</v>
      </c>
    </row>
    <row r="1650" spans="1:35" ht="15" customHeight="1" x14ac:dyDescent="0.3">
      <c r="A1650" s="60" t="s">
        <v>6009</v>
      </c>
      <c r="B1650" s="60" t="s">
        <v>81</v>
      </c>
      <c r="C1650" s="60" t="s">
        <v>390</v>
      </c>
      <c r="D1650" s="60" t="s">
        <v>125</v>
      </c>
      <c r="E1650" s="60" t="s">
        <v>144</v>
      </c>
      <c r="F1650" s="60" t="b">
        <f>TRUE()</f>
        <v>1</v>
      </c>
      <c r="G1650" s="60" t="s">
        <v>165</v>
      </c>
      <c r="H1650" s="60" t="s">
        <v>3655</v>
      </c>
      <c r="I1650" s="61">
        <v>46209.929868055602</v>
      </c>
      <c r="J1650" s="61">
        <v>46210.2832201157</v>
      </c>
      <c r="K1650" s="60">
        <v>0.4</v>
      </c>
      <c r="L1650" s="60" t="s">
        <v>183</v>
      </c>
      <c r="M1650" s="60" t="s">
        <v>183</v>
      </c>
      <c r="N1650" s="60" t="b">
        <f>FALSE()</f>
        <v>0</v>
      </c>
      <c r="O1650" s="60"/>
      <c r="P1650" s="60"/>
      <c r="Q1650" s="60" t="s">
        <v>236</v>
      </c>
      <c r="R1650" s="60" t="s">
        <v>236</v>
      </c>
      <c r="S1650" s="60"/>
      <c r="T1650" s="60" t="b">
        <f>FALSE()</f>
        <v>0</v>
      </c>
      <c r="U1650" s="60" t="b">
        <f>FALSE()</f>
        <v>0</v>
      </c>
      <c r="V1650" s="60">
        <v>239</v>
      </c>
      <c r="W1650" s="62" t="s">
        <v>5905</v>
      </c>
      <c r="X1650" s="60">
        <v>41</v>
      </c>
      <c r="Y1650" s="63">
        <v>71.75</v>
      </c>
      <c r="Z1650" s="60" t="b">
        <f>FALSE()</f>
        <v>0</v>
      </c>
      <c r="AA1650" s="60" t="b">
        <f>TRUE()</f>
        <v>1</v>
      </c>
      <c r="AB1650" s="60" t="b">
        <f>TRUE()</f>
        <v>1</v>
      </c>
      <c r="AC1650" s="60" t="b">
        <f>FALSE()</f>
        <v>0</v>
      </c>
      <c r="AD1650" s="60" t="b">
        <f>FALSE()</f>
        <v>0</v>
      </c>
      <c r="AE1650" s="60">
        <v>2</v>
      </c>
      <c r="AF1650" s="64">
        <v>28.6</v>
      </c>
      <c r="AG1650" s="60" t="s">
        <v>73</v>
      </c>
      <c r="AH1650" s="60" t="s">
        <v>6010</v>
      </c>
      <c r="AI1650">
        <f>IF(AND(OR(Company_Explorer!$B$5="All Companies",$E1650=Company_Explorer!$B$5),OR(Company_Explorer!$B$6="All Platforms",$B1650=Company_Explorer!$B$6),OR(Company_Explorer!$B$7="All Roles",$D1650=Company_Explorer!$B$7),OR(Company_Explorer!$B$8="All Ghost Labels",$AG1650=Company_Explorer!$B$8)),1,0)</f>
        <v>0</v>
      </c>
    </row>
    <row r="1651" spans="1:35" ht="15" customHeight="1" x14ac:dyDescent="0.3">
      <c r="A1651" s="65" t="s">
        <v>6011</v>
      </c>
      <c r="B1651" s="65" t="s">
        <v>81</v>
      </c>
      <c r="C1651" s="65" t="s">
        <v>125</v>
      </c>
      <c r="D1651" s="65" t="s">
        <v>125</v>
      </c>
      <c r="E1651" s="65" t="s">
        <v>144</v>
      </c>
      <c r="F1651" s="65" t="b">
        <f>TRUE()</f>
        <v>1</v>
      </c>
      <c r="G1651" s="65" t="s">
        <v>165</v>
      </c>
      <c r="H1651" s="65" t="s">
        <v>3655</v>
      </c>
      <c r="I1651" s="66">
        <v>46209.929770972201</v>
      </c>
      <c r="J1651" s="66">
        <v>46210.283220150501</v>
      </c>
      <c r="K1651" s="65">
        <v>0.4</v>
      </c>
      <c r="L1651" s="65" t="s">
        <v>183</v>
      </c>
      <c r="M1651" s="65" t="s">
        <v>183</v>
      </c>
      <c r="N1651" s="65" t="b">
        <f>FALSE()</f>
        <v>0</v>
      </c>
      <c r="O1651" s="65"/>
      <c r="P1651" s="65"/>
      <c r="Q1651" s="65" t="s">
        <v>236</v>
      </c>
      <c r="R1651" s="65" t="s">
        <v>236</v>
      </c>
      <c r="S1651" s="65"/>
      <c r="T1651" s="65" t="b">
        <f>FALSE()</f>
        <v>0</v>
      </c>
      <c r="U1651" s="65" t="b">
        <f>FALSE()</f>
        <v>0</v>
      </c>
      <c r="V1651" s="65">
        <v>229</v>
      </c>
      <c r="W1651" s="67" t="s">
        <v>5848</v>
      </c>
      <c r="X1651" s="65">
        <v>41</v>
      </c>
      <c r="Y1651" s="68">
        <v>71.75</v>
      </c>
      <c r="Z1651" s="65" t="b">
        <f>FALSE()</f>
        <v>0</v>
      </c>
      <c r="AA1651" s="65" t="b">
        <f>TRUE()</f>
        <v>1</v>
      </c>
      <c r="AB1651" s="65" t="b">
        <f>TRUE()</f>
        <v>1</v>
      </c>
      <c r="AC1651" s="65" t="b">
        <f>FALSE()</f>
        <v>0</v>
      </c>
      <c r="AD1651" s="65" t="b">
        <f>FALSE()</f>
        <v>0</v>
      </c>
      <c r="AE1651" s="65">
        <v>2</v>
      </c>
      <c r="AF1651" s="69">
        <v>28.6</v>
      </c>
      <c r="AG1651" s="65" t="s">
        <v>73</v>
      </c>
      <c r="AH1651" s="65" t="s">
        <v>6012</v>
      </c>
      <c r="AI1651">
        <f>IF(AND(OR(Company_Explorer!$B$5="All Companies",$E1651=Company_Explorer!$B$5),OR(Company_Explorer!$B$6="All Platforms",$B1651=Company_Explorer!$B$6),OR(Company_Explorer!$B$7="All Roles",$D1651=Company_Explorer!$B$7),OR(Company_Explorer!$B$8="All Ghost Labels",$AG1651=Company_Explorer!$B$8)),1,0)</f>
        <v>0</v>
      </c>
    </row>
    <row r="1652" spans="1:35" ht="15" customHeight="1" x14ac:dyDescent="0.3">
      <c r="A1652" s="60" t="s">
        <v>6013</v>
      </c>
      <c r="B1652" s="60" t="s">
        <v>81</v>
      </c>
      <c r="C1652" s="60" t="s">
        <v>1811</v>
      </c>
      <c r="D1652" s="60" t="s">
        <v>125</v>
      </c>
      <c r="E1652" s="60" t="s">
        <v>144</v>
      </c>
      <c r="F1652" s="60" t="b">
        <f>TRUE()</f>
        <v>1</v>
      </c>
      <c r="G1652" s="60" t="s">
        <v>165</v>
      </c>
      <c r="H1652" s="60" t="s">
        <v>3655</v>
      </c>
      <c r="I1652" s="61">
        <v>46209.929654201398</v>
      </c>
      <c r="J1652" s="61">
        <v>46210.2832201852</v>
      </c>
      <c r="K1652" s="60">
        <v>0.4</v>
      </c>
      <c r="L1652" s="60" t="s">
        <v>183</v>
      </c>
      <c r="M1652" s="60" t="s">
        <v>183</v>
      </c>
      <c r="N1652" s="60" t="b">
        <f>FALSE()</f>
        <v>0</v>
      </c>
      <c r="O1652" s="60"/>
      <c r="P1652" s="60"/>
      <c r="Q1652" s="60" t="s">
        <v>236</v>
      </c>
      <c r="R1652" s="60" t="s">
        <v>236</v>
      </c>
      <c r="S1652" s="60"/>
      <c r="T1652" s="60" t="b">
        <f>FALSE()</f>
        <v>0</v>
      </c>
      <c r="U1652" s="60" t="b">
        <f>FALSE()</f>
        <v>0</v>
      </c>
      <c r="V1652" s="60">
        <v>135</v>
      </c>
      <c r="W1652" s="62" t="s">
        <v>5853</v>
      </c>
      <c r="X1652" s="60">
        <v>41</v>
      </c>
      <c r="Y1652" s="63">
        <v>71.75</v>
      </c>
      <c r="Z1652" s="60" t="b">
        <f>FALSE()</f>
        <v>0</v>
      </c>
      <c r="AA1652" s="60" t="b">
        <f>TRUE()</f>
        <v>1</v>
      </c>
      <c r="AB1652" s="60" t="b">
        <f>TRUE()</f>
        <v>1</v>
      </c>
      <c r="AC1652" s="60" t="b">
        <f>FALSE()</f>
        <v>0</v>
      </c>
      <c r="AD1652" s="60" t="b">
        <f>FALSE()</f>
        <v>0</v>
      </c>
      <c r="AE1652" s="60">
        <v>2</v>
      </c>
      <c r="AF1652" s="64">
        <v>28.6</v>
      </c>
      <c r="AG1652" s="60" t="s">
        <v>73</v>
      </c>
      <c r="AH1652" s="60" t="s">
        <v>6014</v>
      </c>
      <c r="AI1652">
        <f>IF(AND(OR(Company_Explorer!$B$5="All Companies",$E1652=Company_Explorer!$B$5),OR(Company_Explorer!$B$6="All Platforms",$B1652=Company_Explorer!$B$6),OR(Company_Explorer!$B$7="All Roles",$D1652=Company_Explorer!$B$7),OR(Company_Explorer!$B$8="All Ghost Labels",$AG1652=Company_Explorer!$B$8)),1,0)</f>
        <v>0</v>
      </c>
    </row>
    <row r="1653" spans="1:35" ht="15" customHeight="1" x14ac:dyDescent="0.3">
      <c r="A1653" s="65" t="s">
        <v>6015</v>
      </c>
      <c r="B1653" s="65" t="s">
        <v>81</v>
      </c>
      <c r="C1653" s="65" t="s">
        <v>1811</v>
      </c>
      <c r="D1653" s="65" t="s">
        <v>125</v>
      </c>
      <c r="E1653" s="65" t="s">
        <v>144</v>
      </c>
      <c r="F1653" s="65" t="b">
        <f>TRUE()</f>
        <v>1</v>
      </c>
      <c r="G1653" s="65" t="s">
        <v>165</v>
      </c>
      <c r="H1653" s="65" t="s">
        <v>3655</v>
      </c>
      <c r="I1653" s="66">
        <v>46209.929597013899</v>
      </c>
      <c r="J1653" s="66">
        <v>46210.283221099497</v>
      </c>
      <c r="K1653" s="65">
        <v>0.4</v>
      </c>
      <c r="L1653" s="65" t="s">
        <v>183</v>
      </c>
      <c r="M1653" s="65" t="s">
        <v>183</v>
      </c>
      <c r="N1653" s="65" t="b">
        <f>FALSE()</f>
        <v>0</v>
      </c>
      <c r="O1653" s="65"/>
      <c r="P1653" s="65"/>
      <c r="Q1653" s="65" t="s">
        <v>236</v>
      </c>
      <c r="R1653" s="65" t="s">
        <v>236</v>
      </c>
      <c r="S1653" s="65"/>
      <c r="T1653" s="65" t="b">
        <f>FALSE()</f>
        <v>0</v>
      </c>
      <c r="U1653" s="65" t="b">
        <f>FALSE()</f>
        <v>0</v>
      </c>
      <c r="V1653" s="65">
        <v>135</v>
      </c>
      <c r="W1653" s="67" t="s">
        <v>5853</v>
      </c>
      <c r="X1653" s="65">
        <v>41</v>
      </c>
      <c r="Y1653" s="68">
        <v>71.75</v>
      </c>
      <c r="Z1653" s="65" t="b">
        <f>FALSE()</f>
        <v>0</v>
      </c>
      <c r="AA1653" s="65" t="b">
        <f>TRUE()</f>
        <v>1</v>
      </c>
      <c r="AB1653" s="65" t="b">
        <f>TRUE()</f>
        <v>1</v>
      </c>
      <c r="AC1653" s="65" t="b">
        <f>FALSE()</f>
        <v>0</v>
      </c>
      <c r="AD1653" s="65" t="b">
        <f>FALSE()</f>
        <v>0</v>
      </c>
      <c r="AE1653" s="65">
        <v>2</v>
      </c>
      <c r="AF1653" s="69">
        <v>28.6</v>
      </c>
      <c r="AG1653" s="65" t="s">
        <v>73</v>
      </c>
      <c r="AH1653" s="65" t="s">
        <v>6016</v>
      </c>
      <c r="AI1653">
        <f>IF(AND(OR(Company_Explorer!$B$5="All Companies",$E1653=Company_Explorer!$B$5),OR(Company_Explorer!$B$6="All Platforms",$B1653=Company_Explorer!$B$6),OR(Company_Explorer!$B$7="All Roles",$D1653=Company_Explorer!$B$7),OR(Company_Explorer!$B$8="All Ghost Labels",$AG1653=Company_Explorer!$B$8)),1,0)</f>
        <v>0</v>
      </c>
    </row>
    <row r="1654" spans="1:35" ht="15" customHeight="1" x14ac:dyDescent="0.3">
      <c r="A1654" s="60" t="s">
        <v>6017</v>
      </c>
      <c r="B1654" s="60" t="s">
        <v>81</v>
      </c>
      <c r="C1654" s="60" t="s">
        <v>125</v>
      </c>
      <c r="D1654" s="60" t="s">
        <v>125</v>
      </c>
      <c r="E1654" s="60" t="s">
        <v>144</v>
      </c>
      <c r="F1654" s="60" t="b">
        <f>TRUE()</f>
        <v>1</v>
      </c>
      <c r="G1654" s="60" t="s">
        <v>165</v>
      </c>
      <c r="H1654" s="60" t="s">
        <v>3655</v>
      </c>
      <c r="I1654" s="61">
        <v>46209.929551724497</v>
      </c>
      <c r="J1654" s="61">
        <v>46210.283221331003</v>
      </c>
      <c r="K1654" s="60">
        <v>0.4</v>
      </c>
      <c r="L1654" s="60" t="s">
        <v>183</v>
      </c>
      <c r="M1654" s="60" t="s">
        <v>183</v>
      </c>
      <c r="N1654" s="60" t="b">
        <f>FALSE()</f>
        <v>0</v>
      </c>
      <c r="O1654" s="60"/>
      <c r="P1654" s="60"/>
      <c r="Q1654" s="60" t="s">
        <v>236</v>
      </c>
      <c r="R1654" s="60" t="s">
        <v>236</v>
      </c>
      <c r="S1654" s="60"/>
      <c r="T1654" s="60" t="b">
        <f>FALSE()</f>
        <v>0</v>
      </c>
      <c r="U1654" s="60" t="b">
        <f>FALSE()</f>
        <v>0</v>
      </c>
      <c r="V1654" s="60">
        <v>229</v>
      </c>
      <c r="W1654" s="62" t="s">
        <v>5848</v>
      </c>
      <c r="X1654" s="60">
        <v>41</v>
      </c>
      <c r="Y1654" s="63">
        <v>71.75</v>
      </c>
      <c r="Z1654" s="60" t="b">
        <f>FALSE()</f>
        <v>0</v>
      </c>
      <c r="AA1654" s="60" t="b">
        <f>TRUE()</f>
        <v>1</v>
      </c>
      <c r="AB1654" s="60" t="b">
        <f>TRUE()</f>
        <v>1</v>
      </c>
      <c r="AC1654" s="60" t="b">
        <f>FALSE()</f>
        <v>0</v>
      </c>
      <c r="AD1654" s="60" t="b">
        <f>FALSE()</f>
        <v>0</v>
      </c>
      <c r="AE1654" s="60">
        <v>2</v>
      </c>
      <c r="AF1654" s="64">
        <v>28.6</v>
      </c>
      <c r="AG1654" s="60" t="s">
        <v>73</v>
      </c>
      <c r="AH1654" s="60" t="s">
        <v>6018</v>
      </c>
      <c r="AI1654">
        <f>IF(AND(OR(Company_Explorer!$B$5="All Companies",$E1654=Company_Explorer!$B$5),OR(Company_Explorer!$B$6="All Platforms",$B1654=Company_Explorer!$B$6),OR(Company_Explorer!$B$7="All Roles",$D1654=Company_Explorer!$B$7),OR(Company_Explorer!$B$8="All Ghost Labels",$AG1654=Company_Explorer!$B$8)),1,0)</f>
        <v>0</v>
      </c>
    </row>
    <row r="1655" spans="1:35" ht="15" customHeight="1" x14ac:dyDescent="0.3">
      <c r="A1655" s="65" t="s">
        <v>6019</v>
      </c>
      <c r="B1655" s="65" t="s">
        <v>81</v>
      </c>
      <c r="C1655" s="65" t="s">
        <v>6020</v>
      </c>
      <c r="D1655" s="65" t="s">
        <v>126</v>
      </c>
      <c r="E1655" s="65" t="s">
        <v>6021</v>
      </c>
      <c r="F1655" s="65" t="b">
        <f>TRUE()</f>
        <v>1</v>
      </c>
      <c r="G1655" s="65" t="s">
        <v>165</v>
      </c>
      <c r="H1655" s="65" t="s">
        <v>165</v>
      </c>
      <c r="I1655" s="66">
        <v>46209.9952730324</v>
      </c>
      <c r="J1655" s="66">
        <v>46210.283222245402</v>
      </c>
      <c r="K1655" s="65">
        <v>0.3</v>
      </c>
      <c r="L1655" s="65" t="s">
        <v>183</v>
      </c>
      <c r="M1655" s="65" t="s">
        <v>183</v>
      </c>
      <c r="N1655" s="65" t="b">
        <f>FALSE()</f>
        <v>0</v>
      </c>
      <c r="O1655" s="65"/>
      <c r="P1655" s="65"/>
      <c r="Q1655" s="65" t="s">
        <v>236</v>
      </c>
      <c r="R1655" s="65" t="s">
        <v>236</v>
      </c>
      <c r="S1655" s="65"/>
      <c r="T1655" s="65" t="b">
        <f>FALSE()</f>
        <v>0</v>
      </c>
      <c r="U1655" s="65" t="b">
        <f>FALSE()</f>
        <v>0</v>
      </c>
      <c r="V1655" s="65">
        <v>587</v>
      </c>
      <c r="W1655" s="65" t="s">
        <v>6022</v>
      </c>
      <c r="X1655" s="65">
        <v>1</v>
      </c>
      <c r="Y1655" s="68">
        <v>1.75</v>
      </c>
      <c r="Z1655" s="65" t="b">
        <f>FALSE()</f>
        <v>0</v>
      </c>
      <c r="AA1655" s="65" t="b">
        <f>TRUE()</f>
        <v>1</v>
      </c>
      <c r="AB1655" s="65" t="b">
        <f>FALSE()</f>
        <v>0</v>
      </c>
      <c r="AC1655" s="65" t="b">
        <f>FALSE()</f>
        <v>0</v>
      </c>
      <c r="AD1655" s="65" t="b">
        <f>FALSE()</f>
        <v>0</v>
      </c>
      <c r="AE1655" s="65">
        <v>1</v>
      </c>
      <c r="AF1655" s="69">
        <v>14.3</v>
      </c>
      <c r="AG1655" s="65" t="s">
        <v>74</v>
      </c>
      <c r="AH1655" s="65" t="s">
        <v>6023</v>
      </c>
      <c r="AI1655">
        <f>IF(AND(OR(Company_Explorer!$B$5="All Companies",$E1655=Company_Explorer!$B$5),OR(Company_Explorer!$B$6="All Platforms",$B1655=Company_Explorer!$B$6),OR(Company_Explorer!$B$7="All Roles",$D1655=Company_Explorer!$B$7),OR(Company_Explorer!$B$8="All Ghost Labels",$AG1655=Company_Explorer!$B$8)),1,0)</f>
        <v>0</v>
      </c>
    </row>
    <row r="1656" spans="1:35" ht="15" customHeight="1" x14ac:dyDescent="0.3">
      <c r="A1656" s="60" t="s">
        <v>6024</v>
      </c>
      <c r="B1656" s="60" t="s">
        <v>81</v>
      </c>
      <c r="C1656" s="60" t="s">
        <v>4619</v>
      </c>
      <c r="D1656" s="60" t="s">
        <v>126</v>
      </c>
      <c r="E1656" s="60" t="s">
        <v>4620</v>
      </c>
      <c r="F1656" s="60" t="b">
        <f>TRUE()</f>
        <v>1</v>
      </c>
      <c r="G1656" s="60" t="s">
        <v>165</v>
      </c>
      <c r="H1656" s="60" t="s">
        <v>3620</v>
      </c>
      <c r="I1656" s="61">
        <v>46209.982783495398</v>
      </c>
      <c r="J1656" s="61">
        <v>46210.283222222199</v>
      </c>
      <c r="K1656" s="60">
        <v>0.3</v>
      </c>
      <c r="L1656" s="60" t="s">
        <v>183</v>
      </c>
      <c r="M1656" s="60" t="s">
        <v>183</v>
      </c>
      <c r="N1656" s="60" t="b">
        <f>FALSE()</f>
        <v>0</v>
      </c>
      <c r="O1656" s="60"/>
      <c r="P1656" s="60"/>
      <c r="Q1656" s="60" t="s">
        <v>236</v>
      </c>
      <c r="R1656" s="60" t="s">
        <v>236</v>
      </c>
      <c r="S1656" s="60"/>
      <c r="T1656" s="60" t="b">
        <f>FALSE()</f>
        <v>0</v>
      </c>
      <c r="U1656" s="60" t="b">
        <f>FALSE()</f>
        <v>0</v>
      </c>
      <c r="V1656" s="60">
        <v>908</v>
      </c>
      <c r="W1656" s="62" t="s">
        <v>6025</v>
      </c>
      <c r="X1656" s="60">
        <v>2</v>
      </c>
      <c r="Y1656" s="63">
        <v>3.5</v>
      </c>
      <c r="Z1656" s="60" t="b">
        <f>FALSE()</f>
        <v>0</v>
      </c>
      <c r="AA1656" s="60" t="b">
        <f>TRUE()</f>
        <v>1</v>
      </c>
      <c r="AB1656" s="60" t="b">
        <f>FALSE()</f>
        <v>0</v>
      </c>
      <c r="AC1656" s="60" t="b">
        <f>FALSE()</f>
        <v>0</v>
      </c>
      <c r="AD1656" s="60" t="b">
        <f>FALSE()</f>
        <v>0</v>
      </c>
      <c r="AE1656" s="60">
        <v>1</v>
      </c>
      <c r="AF1656" s="64">
        <v>14.3</v>
      </c>
      <c r="AG1656" s="60" t="s">
        <v>74</v>
      </c>
      <c r="AH1656" s="60" t="s">
        <v>6026</v>
      </c>
      <c r="AI1656">
        <f>IF(AND(OR(Company_Explorer!$B$5="All Companies",$E1656=Company_Explorer!$B$5),OR(Company_Explorer!$B$6="All Platforms",$B1656=Company_Explorer!$B$6),OR(Company_Explorer!$B$7="All Roles",$D1656=Company_Explorer!$B$7),OR(Company_Explorer!$B$8="All Ghost Labels",$AG1656=Company_Explorer!$B$8)),1,0)</f>
        <v>0</v>
      </c>
    </row>
    <row r="1657" spans="1:35" ht="15" customHeight="1" x14ac:dyDescent="0.3">
      <c r="A1657" s="65" t="s">
        <v>6027</v>
      </c>
      <c r="B1657" s="65" t="s">
        <v>81</v>
      </c>
      <c r="C1657" s="65" t="s">
        <v>6028</v>
      </c>
      <c r="D1657" s="65" t="s">
        <v>126</v>
      </c>
      <c r="E1657" s="65" t="s">
        <v>3013</v>
      </c>
      <c r="F1657" s="65" t="b">
        <f>TRUE()</f>
        <v>1</v>
      </c>
      <c r="G1657" s="65" t="s">
        <v>165</v>
      </c>
      <c r="H1657" s="65" t="s">
        <v>3620</v>
      </c>
      <c r="I1657" s="66">
        <v>46209.996413113397</v>
      </c>
      <c r="J1657" s="66">
        <v>46210.283222291699</v>
      </c>
      <c r="K1657" s="65">
        <v>0.3</v>
      </c>
      <c r="L1657" s="65" t="s">
        <v>183</v>
      </c>
      <c r="M1657" s="65" t="s">
        <v>183</v>
      </c>
      <c r="N1657" s="65" t="b">
        <f>FALSE()</f>
        <v>0</v>
      </c>
      <c r="O1657" s="65"/>
      <c r="P1657" s="65"/>
      <c r="Q1657" s="65" t="s">
        <v>236</v>
      </c>
      <c r="R1657" s="65" t="s">
        <v>236</v>
      </c>
      <c r="S1657" s="65"/>
      <c r="T1657" s="65" t="b">
        <f>FALSE()</f>
        <v>0</v>
      </c>
      <c r="U1657" s="65" t="b">
        <f>FALSE()</f>
        <v>0</v>
      </c>
      <c r="V1657" s="65">
        <v>965</v>
      </c>
      <c r="W1657" s="65" t="s">
        <v>3014</v>
      </c>
      <c r="X1657" s="65">
        <v>3</v>
      </c>
      <c r="Y1657" s="68">
        <v>5.25</v>
      </c>
      <c r="Z1657" s="65" t="b">
        <f>FALSE()</f>
        <v>0</v>
      </c>
      <c r="AA1657" s="65" t="b">
        <f>TRUE()</f>
        <v>1</v>
      </c>
      <c r="AB1657" s="65" t="b">
        <f>FALSE()</f>
        <v>0</v>
      </c>
      <c r="AC1657" s="65" t="b">
        <f>FALSE()</f>
        <v>0</v>
      </c>
      <c r="AD1657" s="65" t="b">
        <f>FALSE()</f>
        <v>0</v>
      </c>
      <c r="AE1657" s="65">
        <v>1</v>
      </c>
      <c r="AF1657" s="69">
        <v>14.3</v>
      </c>
      <c r="AG1657" s="65" t="s">
        <v>74</v>
      </c>
      <c r="AH1657" s="65" t="s">
        <v>6029</v>
      </c>
      <c r="AI1657">
        <f>IF(AND(OR(Company_Explorer!$B$5="All Companies",$E1657=Company_Explorer!$B$5),OR(Company_Explorer!$B$6="All Platforms",$B1657=Company_Explorer!$B$6),OR(Company_Explorer!$B$7="All Roles",$D1657=Company_Explorer!$B$7),OR(Company_Explorer!$B$8="All Ghost Labels",$AG1657=Company_Explorer!$B$8)),1,0)</f>
        <v>0</v>
      </c>
    </row>
    <row r="1658" spans="1:35" ht="15" customHeight="1" x14ac:dyDescent="0.3">
      <c r="A1658" s="60" t="s">
        <v>6030</v>
      </c>
      <c r="B1658" s="60" t="s">
        <v>81</v>
      </c>
      <c r="C1658" s="60" t="s">
        <v>6031</v>
      </c>
      <c r="D1658" s="60" t="s">
        <v>126</v>
      </c>
      <c r="E1658" s="60" t="s">
        <v>6032</v>
      </c>
      <c r="F1658" s="60" t="b">
        <f>TRUE()</f>
        <v>1</v>
      </c>
      <c r="G1658" s="60" t="s">
        <v>165</v>
      </c>
      <c r="H1658" s="60" t="s">
        <v>4442</v>
      </c>
      <c r="I1658" s="61">
        <v>46209.974585879601</v>
      </c>
      <c r="J1658" s="61">
        <v>46210.283222465303</v>
      </c>
      <c r="K1658" s="60">
        <v>0.3</v>
      </c>
      <c r="L1658" s="60" t="s">
        <v>183</v>
      </c>
      <c r="M1658" s="60" t="s">
        <v>183</v>
      </c>
      <c r="N1658" s="60" t="b">
        <f>FALSE()</f>
        <v>0</v>
      </c>
      <c r="O1658" s="60"/>
      <c r="P1658" s="60"/>
      <c r="Q1658" s="60" t="s">
        <v>236</v>
      </c>
      <c r="R1658" s="60" t="s">
        <v>236</v>
      </c>
      <c r="S1658" s="60"/>
      <c r="T1658" s="60" t="b">
        <f>FALSE()</f>
        <v>0</v>
      </c>
      <c r="U1658" s="60" t="b">
        <f>FALSE()</f>
        <v>0</v>
      </c>
      <c r="V1658" s="60">
        <v>354</v>
      </c>
      <c r="W1658" s="62" t="s">
        <v>6033</v>
      </c>
      <c r="X1658" s="60">
        <v>1</v>
      </c>
      <c r="Y1658" s="63">
        <v>1.75</v>
      </c>
      <c r="Z1658" s="60" t="b">
        <f>FALSE()</f>
        <v>0</v>
      </c>
      <c r="AA1658" s="60" t="b">
        <f>TRUE()</f>
        <v>1</v>
      </c>
      <c r="AB1658" s="60" t="b">
        <f>FALSE()</f>
        <v>0</v>
      </c>
      <c r="AC1658" s="60" t="b">
        <f>FALSE()</f>
        <v>0</v>
      </c>
      <c r="AD1658" s="60" t="b">
        <f>FALSE()</f>
        <v>0</v>
      </c>
      <c r="AE1658" s="60">
        <v>1</v>
      </c>
      <c r="AF1658" s="64">
        <v>14.3</v>
      </c>
      <c r="AG1658" s="60" t="s">
        <v>74</v>
      </c>
      <c r="AH1658" s="60" t="s">
        <v>6034</v>
      </c>
      <c r="AI1658">
        <f>IF(AND(OR(Company_Explorer!$B$5="All Companies",$E1658=Company_Explorer!$B$5),OR(Company_Explorer!$B$6="All Platforms",$B1658=Company_Explorer!$B$6),OR(Company_Explorer!$B$7="All Roles",$D1658=Company_Explorer!$B$7),OR(Company_Explorer!$B$8="All Ghost Labels",$AG1658=Company_Explorer!$B$8)),1,0)</f>
        <v>0</v>
      </c>
    </row>
    <row r="1659" spans="1:35" ht="15" customHeight="1" x14ac:dyDescent="0.3">
      <c r="A1659" s="65" t="s">
        <v>6035</v>
      </c>
      <c r="B1659" s="65" t="s">
        <v>81</v>
      </c>
      <c r="C1659" s="65" t="s">
        <v>6036</v>
      </c>
      <c r="D1659" s="65" t="s">
        <v>126</v>
      </c>
      <c r="E1659" s="65" t="s">
        <v>6037</v>
      </c>
      <c r="F1659" s="65" t="b">
        <f>TRUE()</f>
        <v>1</v>
      </c>
      <c r="G1659" s="65" t="s">
        <v>177</v>
      </c>
      <c r="H1659" s="65" t="s">
        <v>165</v>
      </c>
      <c r="I1659" s="66">
        <v>46209.971091689797</v>
      </c>
      <c r="J1659" s="66">
        <v>46210.283224479201</v>
      </c>
      <c r="K1659" s="65">
        <v>0.3</v>
      </c>
      <c r="L1659" s="65" t="s">
        <v>183</v>
      </c>
      <c r="M1659" s="65" t="s">
        <v>183</v>
      </c>
      <c r="N1659" s="65" t="b">
        <f>FALSE()</f>
        <v>0</v>
      </c>
      <c r="O1659" s="65"/>
      <c r="P1659" s="65"/>
      <c r="Q1659" s="65" t="s">
        <v>236</v>
      </c>
      <c r="R1659" s="65" t="s">
        <v>236</v>
      </c>
      <c r="S1659" s="65"/>
      <c r="T1659" s="65" t="b">
        <f>FALSE()</f>
        <v>0</v>
      </c>
      <c r="U1659" s="65" t="b">
        <f>FALSE()</f>
        <v>0</v>
      </c>
      <c r="V1659" s="65">
        <v>812</v>
      </c>
      <c r="W1659" s="67" t="s">
        <v>6038</v>
      </c>
      <c r="X1659" s="65">
        <v>1</v>
      </c>
      <c r="Y1659" s="68">
        <v>1.75</v>
      </c>
      <c r="Z1659" s="65" t="b">
        <f>FALSE()</f>
        <v>0</v>
      </c>
      <c r="AA1659" s="65" t="b">
        <f>TRUE()</f>
        <v>1</v>
      </c>
      <c r="AB1659" s="65" t="b">
        <f>FALSE()</f>
        <v>0</v>
      </c>
      <c r="AC1659" s="65" t="b">
        <f>FALSE()</f>
        <v>0</v>
      </c>
      <c r="AD1659" s="65" t="b">
        <f>FALSE()</f>
        <v>0</v>
      </c>
      <c r="AE1659" s="65">
        <v>1</v>
      </c>
      <c r="AF1659" s="69">
        <v>14.3</v>
      </c>
      <c r="AG1659" s="65" t="s">
        <v>74</v>
      </c>
      <c r="AH1659" s="65" t="s">
        <v>6039</v>
      </c>
      <c r="AI1659">
        <f>IF(AND(OR(Company_Explorer!$B$5="All Companies",$E1659=Company_Explorer!$B$5),OR(Company_Explorer!$B$6="All Platforms",$B1659=Company_Explorer!$B$6),OR(Company_Explorer!$B$7="All Roles",$D1659=Company_Explorer!$B$7),OR(Company_Explorer!$B$8="All Ghost Labels",$AG1659=Company_Explorer!$B$8)),1,0)</f>
        <v>0</v>
      </c>
    </row>
    <row r="1660" spans="1:35" ht="15" customHeight="1" x14ac:dyDescent="0.3">
      <c r="A1660" s="60" t="s">
        <v>6040</v>
      </c>
      <c r="B1660" s="60" t="s">
        <v>81</v>
      </c>
      <c r="C1660" s="60" t="s">
        <v>6041</v>
      </c>
      <c r="D1660" s="60" t="s">
        <v>126</v>
      </c>
      <c r="E1660" s="60" t="s">
        <v>3892</v>
      </c>
      <c r="F1660" s="60" t="b">
        <f>TRUE()</f>
        <v>1</v>
      </c>
      <c r="G1660" s="60" t="s">
        <v>165</v>
      </c>
      <c r="H1660" s="60" t="s">
        <v>3678</v>
      </c>
      <c r="I1660" s="61">
        <v>46209.9657976042</v>
      </c>
      <c r="J1660" s="61">
        <v>46210.283225370396</v>
      </c>
      <c r="K1660" s="60">
        <v>0.3</v>
      </c>
      <c r="L1660" s="60" t="s">
        <v>183</v>
      </c>
      <c r="M1660" s="60" t="s">
        <v>183</v>
      </c>
      <c r="N1660" s="60" t="b">
        <f>FALSE()</f>
        <v>0</v>
      </c>
      <c r="O1660" s="60"/>
      <c r="P1660" s="60"/>
      <c r="Q1660" s="60" t="s">
        <v>236</v>
      </c>
      <c r="R1660" s="60" t="s">
        <v>236</v>
      </c>
      <c r="S1660" s="60"/>
      <c r="T1660" s="60" t="b">
        <f>FALSE()</f>
        <v>0</v>
      </c>
      <c r="U1660" s="60" t="b">
        <f>FALSE()</f>
        <v>0</v>
      </c>
      <c r="V1660" s="60">
        <v>865</v>
      </c>
      <c r="W1660" s="60" t="s">
        <v>3893</v>
      </c>
      <c r="X1660" s="60">
        <v>9</v>
      </c>
      <c r="Y1660" s="63">
        <v>15.75</v>
      </c>
      <c r="Z1660" s="60" t="b">
        <f>FALSE()</f>
        <v>0</v>
      </c>
      <c r="AA1660" s="60" t="b">
        <f>TRUE()</f>
        <v>1</v>
      </c>
      <c r="AB1660" s="60" t="b">
        <f>FALSE()</f>
        <v>0</v>
      </c>
      <c r="AC1660" s="60" t="b">
        <f>FALSE()</f>
        <v>0</v>
      </c>
      <c r="AD1660" s="60" t="b">
        <f>FALSE()</f>
        <v>0</v>
      </c>
      <c r="AE1660" s="60">
        <v>1</v>
      </c>
      <c r="AF1660" s="64">
        <v>14.3</v>
      </c>
      <c r="AG1660" s="60" t="s">
        <v>74</v>
      </c>
      <c r="AH1660" s="60" t="s">
        <v>6042</v>
      </c>
      <c r="AI1660">
        <f>IF(AND(OR(Company_Explorer!$B$5="All Companies",$E1660=Company_Explorer!$B$5),OR(Company_Explorer!$B$6="All Platforms",$B1660=Company_Explorer!$B$6),OR(Company_Explorer!$B$7="All Roles",$D1660=Company_Explorer!$B$7),OR(Company_Explorer!$B$8="All Ghost Labels",$AG1660=Company_Explorer!$B$8)),1,0)</f>
        <v>0</v>
      </c>
    </row>
    <row r="1661" spans="1:35" ht="15" customHeight="1" x14ac:dyDescent="0.3">
      <c r="A1661" s="65" t="s">
        <v>6043</v>
      </c>
      <c r="B1661" s="65" t="s">
        <v>81</v>
      </c>
      <c r="C1661" s="65" t="s">
        <v>6044</v>
      </c>
      <c r="D1661" s="65" t="s">
        <v>126</v>
      </c>
      <c r="E1661" s="65" t="s">
        <v>6045</v>
      </c>
      <c r="F1661" s="65" t="b">
        <f>TRUE()</f>
        <v>1</v>
      </c>
      <c r="G1661" s="65" t="s">
        <v>165</v>
      </c>
      <c r="H1661" s="65" t="s">
        <v>3620</v>
      </c>
      <c r="I1661" s="66">
        <v>46209.9647369097</v>
      </c>
      <c r="J1661" s="66">
        <v>46210.283226342603</v>
      </c>
      <c r="K1661" s="65">
        <v>0.3</v>
      </c>
      <c r="L1661" s="65" t="s">
        <v>183</v>
      </c>
      <c r="M1661" s="65" t="s">
        <v>183</v>
      </c>
      <c r="N1661" s="65" t="b">
        <f>FALSE()</f>
        <v>0</v>
      </c>
      <c r="O1661" s="65"/>
      <c r="P1661" s="65"/>
      <c r="Q1661" s="65" t="s">
        <v>236</v>
      </c>
      <c r="R1661" s="65" t="s">
        <v>236</v>
      </c>
      <c r="S1661" s="65"/>
      <c r="T1661" s="65" t="b">
        <f>FALSE()</f>
        <v>0</v>
      </c>
      <c r="U1661" s="65" t="b">
        <f>FALSE()</f>
        <v>0</v>
      </c>
      <c r="V1661" s="65">
        <v>812</v>
      </c>
      <c r="W1661" s="67" t="s">
        <v>6046</v>
      </c>
      <c r="X1661" s="65">
        <v>1</v>
      </c>
      <c r="Y1661" s="68">
        <v>1.75</v>
      </c>
      <c r="Z1661" s="65" t="b">
        <f>FALSE()</f>
        <v>0</v>
      </c>
      <c r="AA1661" s="65" t="b">
        <f>TRUE()</f>
        <v>1</v>
      </c>
      <c r="AB1661" s="65" t="b">
        <f>FALSE()</f>
        <v>0</v>
      </c>
      <c r="AC1661" s="65" t="b">
        <f>FALSE()</f>
        <v>0</v>
      </c>
      <c r="AD1661" s="65" t="b">
        <f>FALSE()</f>
        <v>0</v>
      </c>
      <c r="AE1661" s="65">
        <v>1</v>
      </c>
      <c r="AF1661" s="69">
        <v>14.3</v>
      </c>
      <c r="AG1661" s="65" t="s">
        <v>74</v>
      </c>
      <c r="AH1661" s="65" t="s">
        <v>6047</v>
      </c>
      <c r="AI1661">
        <f>IF(AND(OR(Company_Explorer!$B$5="All Companies",$E1661=Company_Explorer!$B$5),OR(Company_Explorer!$B$6="All Platforms",$B1661=Company_Explorer!$B$6),OR(Company_Explorer!$B$7="All Roles",$D1661=Company_Explorer!$B$7),OR(Company_Explorer!$B$8="All Ghost Labels",$AG1661=Company_Explorer!$B$8)),1,0)</f>
        <v>0</v>
      </c>
    </row>
    <row r="1662" spans="1:35" ht="15" customHeight="1" x14ac:dyDescent="0.3">
      <c r="A1662" s="60" t="s">
        <v>6048</v>
      </c>
      <c r="B1662" s="60" t="s">
        <v>81</v>
      </c>
      <c r="C1662" s="60" t="s">
        <v>6049</v>
      </c>
      <c r="D1662" s="60" t="s">
        <v>126</v>
      </c>
      <c r="E1662" s="60" t="s">
        <v>5421</v>
      </c>
      <c r="F1662" s="60" t="b">
        <f>TRUE()</f>
        <v>1</v>
      </c>
      <c r="G1662" s="60" t="s">
        <v>165</v>
      </c>
      <c r="H1662" s="60" t="s">
        <v>3620</v>
      </c>
      <c r="I1662" s="61">
        <v>46209.959634618099</v>
      </c>
      <c r="J1662" s="61">
        <v>46210.283227442102</v>
      </c>
      <c r="K1662" s="60">
        <v>0.3</v>
      </c>
      <c r="L1662" s="60" t="s">
        <v>183</v>
      </c>
      <c r="M1662" s="60" t="s">
        <v>183</v>
      </c>
      <c r="N1662" s="60" t="b">
        <f>FALSE()</f>
        <v>0</v>
      </c>
      <c r="O1662" s="60"/>
      <c r="P1662" s="60"/>
      <c r="Q1662" s="60" t="s">
        <v>236</v>
      </c>
      <c r="R1662" s="60" t="s">
        <v>236</v>
      </c>
      <c r="S1662" s="60"/>
      <c r="T1662" s="60" t="b">
        <f>FALSE()</f>
        <v>0</v>
      </c>
      <c r="U1662" s="60" t="b">
        <f>FALSE()</f>
        <v>0</v>
      </c>
      <c r="V1662" s="60">
        <v>712</v>
      </c>
      <c r="W1662" s="62" t="s">
        <v>6050</v>
      </c>
      <c r="X1662" s="60">
        <v>9</v>
      </c>
      <c r="Y1662" s="63">
        <v>15.75</v>
      </c>
      <c r="Z1662" s="60" t="b">
        <f>FALSE()</f>
        <v>0</v>
      </c>
      <c r="AA1662" s="60" t="b">
        <f>TRUE()</f>
        <v>1</v>
      </c>
      <c r="AB1662" s="60" t="b">
        <f>FALSE()</f>
        <v>0</v>
      </c>
      <c r="AC1662" s="60" t="b">
        <f>FALSE()</f>
        <v>0</v>
      </c>
      <c r="AD1662" s="60" t="b">
        <f>FALSE()</f>
        <v>0</v>
      </c>
      <c r="AE1662" s="60">
        <v>1</v>
      </c>
      <c r="AF1662" s="64">
        <v>14.3</v>
      </c>
      <c r="AG1662" s="60" t="s">
        <v>74</v>
      </c>
      <c r="AH1662" s="60" t="s">
        <v>6051</v>
      </c>
      <c r="AI1662">
        <f>IF(AND(OR(Company_Explorer!$B$5="All Companies",$E1662=Company_Explorer!$B$5),OR(Company_Explorer!$B$6="All Platforms",$B1662=Company_Explorer!$B$6),OR(Company_Explorer!$B$7="All Roles",$D1662=Company_Explorer!$B$7),OR(Company_Explorer!$B$8="All Ghost Labels",$AG1662=Company_Explorer!$B$8)),1,0)</f>
        <v>0</v>
      </c>
    </row>
    <row r="1663" spans="1:35" ht="15" customHeight="1" x14ac:dyDescent="0.3">
      <c r="A1663" s="65" t="s">
        <v>6052</v>
      </c>
      <c r="B1663" s="65" t="s">
        <v>81</v>
      </c>
      <c r="C1663" s="65" t="s">
        <v>5420</v>
      </c>
      <c r="D1663" s="65" t="s">
        <v>126</v>
      </c>
      <c r="E1663" s="65" t="s">
        <v>5421</v>
      </c>
      <c r="F1663" s="65" t="b">
        <f>TRUE()</f>
        <v>1</v>
      </c>
      <c r="G1663" s="65" t="s">
        <v>165</v>
      </c>
      <c r="H1663" s="65" t="s">
        <v>3620</v>
      </c>
      <c r="I1663" s="66">
        <v>46209.959614213003</v>
      </c>
      <c r="J1663" s="66">
        <v>46210.283228796303</v>
      </c>
      <c r="K1663" s="65">
        <v>0.3</v>
      </c>
      <c r="L1663" s="65" t="s">
        <v>183</v>
      </c>
      <c r="M1663" s="65" t="s">
        <v>183</v>
      </c>
      <c r="N1663" s="65" t="b">
        <f>FALSE()</f>
        <v>0</v>
      </c>
      <c r="O1663" s="65"/>
      <c r="P1663" s="65"/>
      <c r="Q1663" s="65" t="s">
        <v>236</v>
      </c>
      <c r="R1663" s="65" t="s">
        <v>236</v>
      </c>
      <c r="S1663" s="65"/>
      <c r="T1663" s="65" t="b">
        <f>FALSE()</f>
        <v>0</v>
      </c>
      <c r="U1663" s="65" t="b">
        <f>FALSE()</f>
        <v>0</v>
      </c>
      <c r="V1663" s="65">
        <v>837</v>
      </c>
      <c r="W1663" s="67" t="s">
        <v>6053</v>
      </c>
      <c r="X1663" s="65">
        <v>9</v>
      </c>
      <c r="Y1663" s="68">
        <v>15.75</v>
      </c>
      <c r="Z1663" s="65" t="b">
        <f>FALSE()</f>
        <v>0</v>
      </c>
      <c r="AA1663" s="65" t="b">
        <f>TRUE()</f>
        <v>1</v>
      </c>
      <c r="AB1663" s="65" t="b">
        <f>FALSE()</f>
        <v>0</v>
      </c>
      <c r="AC1663" s="65" t="b">
        <f>FALSE()</f>
        <v>0</v>
      </c>
      <c r="AD1663" s="65" t="b">
        <f>FALSE()</f>
        <v>0</v>
      </c>
      <c r="AE1663" s="65">
        <v>1</v>
      </c>
      <c r="AF1663" s="69">
        <v>14.3</v>
      </c>
      <c r="AG1663" s="65" t="s">
        <v>74</v>
      </c>
      <c r="AH1663" s="65" t="s">
        <v>6054</v>
      </c>
      <c r="AI1663">
        <f>IF(AND(OR(Company_Explorer!$B$5="All Companies",$E1663=Company_Explorer!$B$5),OR(Company_Explorer!$B$6="All Platforms",$B1663=Company_Explorer!$B$6),OR(Company_Explorer!$B$7="All Roles",$D1663=Company_Explorer!$B$7),OR(Company_Explorer!$B$8="All Ghost Labels",$AG1663=Company_Explorer!$B$8)),1,0)</f>
        <v>0</v>
      </c>
    </row>
    <row r="1664" spans="1:35" ht="15" customHeight="1" x14ac:dyDescent="0.3">
      <c r="A1664" s="60" t="s">
        <v>6055</v>
      </c>
      <c r="B1664" s="60" t="s">
        <v>81</v>
      </c>
      <c r="C1664" s="60" t="s">
        <v>6056</v>
      </c>
      <c r="D1664" s="60" t="s">
        <v>126</v>
      </c>
      <c r="E1664" s="60" t="s">
        <v>5421</v>
      </c>
      <c r="F1664" s="60" t="b">
        <f>TRUE()</f>
        <v>1</v>
      </c>
      <c r="G1664" s="60" t="s">
        <v>165</v>
      </c>
      <c r="H1664" s="60" t="s">
        <v>3620</v>
      </c>
      <c r="I1664" s="61">
        <v>46209.959534803202</v>
      </c>
      <c r="J1664" s="61">
        <v>46210.283229710702</v>
      </c>
      <c r="K1664" s="60">
        <v>0.3</v>
      </c>
      <c r="L1664" s="60" t="s">
        <v>183</v>
      </c>
      <c r="M1664" s="60" t="s">
        <v>183</v>
      </c>
      <c r="N1664" s="60" t="b">
        <f>FALSE()</f>
        <v>0</v>
      </c>
      <c r="O1664" s="60"/>
      <c r="P1664" s="60"/>
      <c r="Q1664" s="60" t="s">
        <v>236</v>
      </c>
      <c r="R1664" s="60" t="s">
        <v>236</v>
      </c>
      <c r="S1664" s="60"/>
      <c r="T1664" s="60" t="b">
        <f>FALSE()</f>
        <v>0</v>
      </c>
      <c r="U1664" s="60" t="b">
        <f>FALSE()</f>
        <v>0</v>
      </c>
      <c r="V1664" s="60">
        <v>791</v>
      </c>
      <c r="W1664" s="62" t="s">
        <v>6057</v>
      </c>
      <c r="X1664" s="60">
        <v>9</v>
      </c>
      <c r="Y1664" s="63">
        <v>15.75</v>
      </c>
      <c r="Z1664" s="60" t="b">
        <f>FALSE()</f>
        <v>0</v>
      </c>
      <c r="AA1664" s="60" t="b">
        <f>TRUE()</f>
        <v>1</v>
      </c>
      <c r="AB1664" s="60" t="b">
        <f>FALSE()</f>
        <v>0</v>
      </c>
      <c r="AC1664" s="60" t="b">
        <f>FALSE()</f>
        <v>0</v>
      </c>
      <c r="AD1664" s="60" t="b">
        <f>FALSE()</f>
        <v>0</v>
      </c>
      <c r="AE1664" s="60">
        <v>1</v>
      </c>
      <c r="AF1664" s="64">
        <v>14.3</v>
      </c>
      <c r="AG1664" s="60" t="s">
        <v>74</v>
      </c>
      <c r="AH1664" s="60" t="s">
        <v>6058</v>
      </c>
      <c r="AI1664">
        <f>IF(AND(OR(Company_Explorer!$B$5="All Companies",$E1664=Company_Explorer!$B$5),OR(Company_Explorer!$B$6="All Platforms",$B1664=Company_Explorer!$B$6),OR(Company_Explorer!$B$7="All Roles",$D1664=Company_Explorer!$B$7),OR(Company_Explorer!$B$8="All Ghost Labels",$AG1664=Company_Explorer!$B$8)),1,0)</f>
        <v>0</v>
      </c>
    </row>
    <row r="1665" spans="1:35" ht="15" customHeight="1" x14ac:dyDescent="0.3">
      <c r="A1665" s="65" t="s">
        <v>6059</v>
      </c>
      <c r="B1665" s="65" t="s">
        <v>81</v>
      </c>
      <c r="C1665" s="65" t="s">
        <v>6049</v>
      </c>
      <c r="D1665" s="65" t="s">
        <v>126</v>
      </c>
      <c r="E1665" s="65" t="s">
        <v>5421</v>
      </c>
      <c r="F1665" s="65" t="b">
        <f>TRUE()</f>
        <v>1</v>
      </c>
      <c r="G1665" s="65" t="s">
        <v>165</v>
      </c>
      <c r="H1665" s="65" t="s">
        <v>3620</v>
      </c>
      <c r="I1665" s="66">
        <v>46209.959513159702</v>
      </c>
      <c r="J1665" s="66">
        <v>46210.283230648201</v>
      </c>
      <c r="K1665" s="65">
        <v>0.3</v>
      </c>
      <c r="L1665" s="65" t="s">
        <v>183</v>
      </c>
      <c r="M1665" s="65" t="s">
        <v>183</v>
      </c>
      <c r="N1665" s="65" t="b">
        <f>FALSE()</f>
        <v>0</v>
      </c>
      <c r="O1665" s="65"/>
      <c r="P1665" s="65"/>
      <c r="Q1665" s="65" t="s">
        <v>236</v>
      </c>
      <c r="R1665" s="65" t="s">
        <v>236</v>
      </c>
      <c r="S1665" s="65"/>
      <c r="T1665" s="65" t="b">
        <f>FALSE()</f>
        <v>0</v>
      </c>
      <c r="U1665" s="65" t="b">
        <f>FALSE()</f>
        <v>0</v>
      </c>
      <c r="V1665" s="65">
        <v>537</v>
      </c>
      <c r="W1665" s="67" t="s">
        <v>6060</v>
      </c>
      <c r="X1665" s="65">
        <v>9</v>
      </c>
      <c r="Y1665" s="68">
        <v>15.75</v>
      </c>
      <c r="Z1665" s="65" t="b">
        <f>FALSE()</f>
        <v>0</v>
      </c>
      <c r="AA1665" s="65" t="b">
        <f>TRUE()</f>
        <v>1</v>
      </c>
      <c r="AB1665" s="65" t="b">
        <f>FALSE()</f>
        <v>0</v>
      </c>
      <c r="AC1665" s="65" t="b">
        <f>FALSE()</f>
        <v>0</v>
      </c>
      <c r="AD1665" s="65" t="b">
        <f>FALSE()</f>
        <v>0</v>
      </c>
      <c r="AE1665" s="65">
        <v>1</v>
      </c>
      <c r="AF1665" s="69">
        <v>14.3</v>
      </c>
      <c r="AG1665" s="65" t="s">
        <v>74</v>
      </c>
      <c r="AH1665" s="65" t="s">
        <v>6061</v>
      </c>
      <c r="AI1665">
        <f>IF(AND(OR(Company_Explorer!$B$5="All Companies",$E1665=Company_Explorer!$B$5),OR(Company_Explorer!$B$6="All Platforms",$B1665=Company_Explorer!$B$6),OR(Company_Explorer!$B$7="All Roles",$D1665=Company_Explorer!$B$7),OR(Company_Explorer!$B$8="All Ghost Labels",$AG1665=Company_Explorer!$B$8)),1,0)</f>
        <v>0</v>
      </c>
    </row>
    <row r="1666" spans="1:35" ht="15" customHeight="1" x14ac:dyDescent="0.3">
      <c r="A1666" s="60" t="s">
        <v>6062</v>
      </c>
      <c r="B1666" s="60" t="s">
        <v>81</v>
      </c>
      <c r="C1666" s="60" t="s">
        <v>5420</v>
      </c>
      <c r="D1666" s="60" t="s">
        <v>126</v>
      </c>
      <c r="E1666" s="60" t="s">
        <v>5421</v>
      </c>
      <c r="F1666" s="60" t="b">
        <f>TRUE()</f>
        <v>1</v>
      </c>
      <c r="G1666" s="60" t="s">
        <v>165</v>
      </c>
      <c r="H1666" s="60" t="s">
        <v>3620</v>
      </c>
      <c r="I1666" s="61">
        <v>46209.959445694498</v>
      </c>
      <c r="J1666" s="61">
        <v>46210.283231458299</v>
      </c>
      <c r="K1666" s="60">
        <v>0.3</v>
      </c>
      <c r="L1666" s="60" t="s">
        <v>183</v>
      </c>
      <c r="M1666" s="60" t="s">
        <v>183</v>
      </c>
      <c r="N1666" s="60" t="b">
        <f>FALSE()</f>
        <v>0</v>
      </c>
      <c r="O1666" s="60"/>
      <c r="P1666" s="60"/>
      <c r="Q1666" s="60" t="s">
        <v>236</v>
      </c>
      <c r="R1666" s="60" t="s">
        <v>236</v>
      </c>
      <c r="S1666" s="60"/>
      <c r="T1666" s="60" t="b">
        <f>FALSE()</f>
        <v>0</v>
      </c>
      <c r="U1666" s="60" t="b">
        <f>FALSE()</f>
        <v>0</v>
      </c>
      <c r="V1666" s="60">
        <v>404</v>
      </c>
      <c r="W1666" s="62" t="s">
        <v>6063</v>
      </c>
      <c r="X1666" s="60">
        <v>9</v>
      </c>
      <c r="Y1666" s="63">
        <v>15.75</v>
      </c>
      <c r="Z1666" s="60" t="b">
        <f>FALSE()</f>
        <v>0</v>
      </c>
      <c r="AA1666" s="60" t="b">
        <f>TRUE()</f>
        <v>1</v>
      </c>
      <c r="AB1666" s="60" t="b">
        <f>FALSE()</f>
        <v>0</v>
      </c>
      <c r="AC1666" s="60" t="b">
        <f>FALSE()</f>
        <v>0</v>
      </c>
      <c r="AD1666" s="60" t="b">
        <f>FALSE()</f>
        <v>0</v>
      </c>
      <c r="AE1666" s="60">
        <v>1</v>
      </c>
      <c r="AF1666" s="64">
        <v>14.3</v>
      </c>
      <c r="AG1666" s="60" t="s">
        <v>74</v>
      </c>
      <c r="AH1666" s="60" t="s">
        <v>6064</v>
      </c>
      <c r="AI1666">
        <f>IF(AND(OR(Company_Explorer!$B$5="All Companies",$E1666=Company_Explorer!$B$5),OR(Company_Explorer!$B$6="All Platforms",$B1666=Company_Explorer!$B$6),OR(Company_Explorer!$B$7="All Roles",$D1666=Company_Explorer!$B$7),OR(Company_Explorer!$B$8="All Ghost Labels",$AG1666=Company_Explorer!$B$8)),1,0)</f>
        <v>0</v>
      </c>
    </row>
    <row r="1667" spans="1:35" ht="15" customHeight="1" x14ac:dyDescent="0.3">
      <c r="A1667" s="65" t="s">
        <v>6065</v>
      </c>
      <c r="B1667" s="65" t="s">
        <v>81</v>
      </c>
      <c r="C1667" s="65" t="s">
        <v>6066</v>
      </c>
      <c r="D1667" s="65" t="s">
        <v>126</v>
      </c>
      <c r="E1667" s="65" t="s">
        <v>145</v>
      </c>
      <c r="F1667" s="65" t="b">
        <f>TRUE()</f>
        <v>1</v>
      </c>
      <c r="G1667" s="65" t="s">
        <v>165</v>
      </c>
      <c r="H1667" s="65" t="s">
        <v>3620</v>
      </c>
      <c r="I1667" s="66">
        <v>46209.9193270139</v>
      </c>
      <c r="J1667" s="66">
        <v>46210.283232419002</v>
      </c>
      <c r="K1667" s="65">
        <v>0.4</v>
      </c>
      <c r="L1667" s="65" t="s">
        <v>183</v>
      </c>
      <c r="M1667" s="65" t="s">
        <v>183</v>
      </c>
      <c r="N1667" s="65" t="b">
        <f>FALSE()</f>
        <v>0</v>
      </c>
      <c r="O1667" s="65"/>
      <c r="P1667" s="65"/>
      <c r="Q1667" s="65" t="s">
        <v>236</v>
      </c>
      <c r="R1667" s="65" t="s">
        <v>236</v>
      </c>
      <c r="S1667" s="65"/>
      <c r="T1667" s="65" t="b">
        <f>FALSE()</f>
        <v>0</v>
      </c>
      <c r="U1667" s="65" t="b">
        <f>FALSE()</f>
        <v>0</v>
      </c>
      <c r="V1667" s="65">
        <v>576</v>
      </c>
      <c r="W1667" s="67" t="s">
        <v>3646</v>
      </c>
      <c r="X1667" s="65">
        <v>42</v>
      </c>
      <c r="Y1667" s="68">
        <v>73.5</v>
      </c>
      <c r="Z1667" s="65" t="b">
        <f>FALSE()</f>
        <v>0</v>
      </c>
      <c r="AA1667" s="65" t="b">
        <f>TRUE()</f>
        <v>1</v>
      </c>
      <c r="AB1667" s="65" t="b">
        <f>FALSE()</f>
        <v>0</v>
      </c>
      <c r="AC1667" s="65" t="b">
        <f>FALSE()</f>
        <v>0</v>
      </c>
      <c r="AD1667" s="65" t="b">
        <f>FALSE()</f>
        <v>0</v>
      </c>
      <c r="AE1667" s="65">
        <v>1</v>
      </c>
      <c r="AF1667" s="69">
        <v>14.3</v>
      </c>
      <c r="AG1667" s="65" t="s">
        <v>74</v>
      </c>
      <c r="AH1667" s="65" t="s">
        <v>6067</v>
      </c>
      <c r="AI1667">
        <f>IF(AND(OR(Company_Explorer!$B$5="All Companies",$E1667=Company_Explorer!$B$5),OR(Company_Explorer!$B$6="All Platforms",$B1667=Company_Explorer!$B$6),OR(Company_Explorer!$B$7="All Roles",$D1667=Company_Explorer!$B$7),OR(Company_Explorer!$B$8="All Ghost Labels",$AG1667=Company_Explorer!$B$8)),1,0)</f>
        <v>0</v>
      </c>
    </row>
    <row r="1668" spans="1:35" ht="15" customHeight="1" x14ac:dyDescent="0.3">
      <c r="A1668" s="60" t="s">
        <v>6068</v>
      </c>
      <c r="B1668" s="60" t="s">
        <v>81</v>
      </c>
      <c r="C1668" s="60" t="s">
        <v>6069</v>
      </c>
      <c r="D1668" s="60" t="s">
        <v>126</v>
      </c>
      <c r="E1668" s="60" t="s">
        <v>6070</v>
      </c>
      <c r="F1668" s="60" t="b">
        <f>TRUE()</f>
        <v>1</v>
      </c>
      <c r="G1668" s="60" t="s">
        <v>165</v>
      </c>
      <c r="H1668" s="60" t="s">
        <v>3678</v>
      </c>
      <c r="I1668" s="61">
        <v>46209.955715266202</v>
      </c>
      <c r="J1668" s="61">
        <v>46210.283234074101</v>
      </c>
      <c r="K1668" s="60">
        <v>0.3</v>
      </c>
      <c r="L1668" s="60" t="s">
        <v>183</v>
      </c>
      <c r="M1668" s="60" t="s">
        <v>183</v>
      </c>
      <c r="N1668" s="60" t="b">
        <f>FALSE()</f>
        <v>0</v>
      </c>
      <c r="O1668" s="60"/>
      <c r="P1668" s="60"/>
      <c r="Q1668" s="60" t="s">
        <v>236</v>
      </c>
      <c r="R1668" s="60" t="s">
        <v>236</v>
      </c>
      <c r="S1668" s="60"/>
      <c r="T1668" s="60" t="b">
        <f>FALSE()</f>
        <v>0</v>
      </c>
      <c r="U1668" s="60" t="b">
        <f>FALSE()</f>
        <v>0</v>
      </c>
      <c r="V1668" s="60">
        <v>461</v>
      </c>
      <c r="W1668" s="62" t="s">
        <v>6071</v>
      </c>
      <c r="X1668" s="60">
        <v>1</v>
      </c>
      <c r="Y1668" s="63">
        <v>1.75</v>
      </c>
      <c r="Z1668" s="60" t="b">
        <f>FALSE()</f>
        <v>0</v>
      </c>
      <c r="AA1668" s="60" t="b">
        <f>TRUE()</f>
        <v>1</v>
      </c>
      <c r="AB1668" s="60" t="b">
        <f>FALSE()</f>
        <v>0</v>
      </c>
      <c r="AC1668" s="60" t="b">
        <f>FALSE()</f>
        <v>0</v>
      </c>
      <c r="AD1668" s="60" t="b">
        <f>FALSE()</f>
        <v>0</v>
      </c>
      <c r="AE1668" s="60">
        <v>1</v>
      </c>
      <c r="AF1668" s="64">
        <v>14.3</v>
      </c>
      <c r="AG1668" s="60" t="s">
        <v>74</v>
      </c>
      <c r="AH1668" s="60" t="s">
        <v>6072</v>
      </c>
      <c r="AI1668">
        <f>IF(AND(OR(Company_Explorer!$B$5="All Companies",$E1668=Company_Explorer!$B$5),OR(Company_Explorer!$B$6="All Platforms",$B1668=Company_Explorer!$B$6),OR(Company_Explorer!$B$7="All Roles",$D1668=Company_Explorer!$B$7),OR(Company_Explorer!$B$8="All Ghost Labels",$AG1668=Company_Explorer!$B$8)),1,0)</f>
        <v>0</v>
      </c>
    </row>
    <row r="1669" spans="1:35" ht="15" customHeight="1" x14ac:dyDescent="0.3">
      <c r="A1669" s="65" t="s">
        <v>6073</v>
      </c>
      <c r="B1669" s="65" t="s">
        <v>81</v>
      </c>
      <c r="C1669" s="65" t="s">
        <v>6074</v>
      </c>
      <c r="D1669" s="65" t="s">
        <v>126</v>
      </c>
      <c r="E1669" s="65" t="s">
        <v>145</v>
      </c>
      <c r="F1669" s="65" t="b">
        <f>TRUE()</f>
        <v>1</v>
      </c>
      <c r="G1669" s="65" t="s">
        <v>165</v>
      </c>
      <c r="H1669" s="65" t="s">
        <v>3620</v>
      </c>
      <c r="I1669" s="66">
        <v>46209.919311597201</v>
      </c>
      <c r="J1669" s="66">
        <v>46210.2832350116</v>
      </c>
      <c r="K1669" s="65">
        <v>0.4</v>
      </c>
      <c r="L1669" s="65" t="s">
        <v>183</v>
      </c>
      <c r="M1669" s="65" t="s">
        <v>183</v>
      </c>
      <c r="N1669" s="65" t="b">
        <f>FALSE()</f>
        <v>0</v>
      </c>
      <c r="O1669" s="65"/>
      <c r="P1669" s="65"/>
      <c r="Q1669" s="65" t="s">
        <v>236</v>
      </c>
      <c r="R1669" s="65" t="s">
        <v>236</v>
      </c>
      <c r="S1669" s="65"/>
      <c r="T1669" s="65" t="b">
        <f>FALSE()</f>
        <v>0</v>
      </c>
      <c r="U1669" s="65" t="b">
        <f>FALSE()</f>
        <v>0</v>
      </c>
      <c r="V1669" s="65">
        <v>704</v>
      </c>
      <c r="W1669" s="65" t="s">
        <v>6075</v>
      </c>
      <c r="X1669" s="65">
        <v>42</v>
      </c>
      <c r="Y1669" s="68">
        <v>73.5</v>
      </c>
      <c r="Z1669" s="65" t="b">
        <f>FALSE()</f>
        <v>0</v>
      </c>
      <c r="AA1669" s="65" t="b">
        <f>TRUE()</f>
        <v>1</v>
      </c>
      <c r="AB1669" s="65" t="b">
        <f>FALSE()</f>
        <v>0</v>
      </c>
      <c r="AC1669" s="65" t="b">
        <f>FALSE()</f>
        <v>0</v>
      </c>
      <c r="AD1669" s="65" t="b">
        <f>FALSE()</f>
        <v>0</v>
      </c>
      <c r="AE1669" s="65">
        <v>1</v>
      </c>
      <c r="AF1669" s="69">
        <v>14.3</v>
      </c>
      <c r="AG1669" s="65" t="s">
        <v>74</v>
      </c>
      <c r="AH1669" s="65" t="s">
        <v>6076</v>
      </c>
      <c r="AI1669">
        <f>IF(AND(OR(Company_Explorer!$B$5="All Companies",$E1669=Company_Explorer!$B$5),OR(Company_Explorer!$B$6="All Platforms",$B1669=Company_Explorer!$B$6),OR(Company_Explorer!$B$7="All Roles",$D1669=Company_Explorer!$B$7),OR(Company_Explorer!$B$8="All Ghost Labels",$AG1669=Company_Explorer!$B$8)),1,0)</f>
        <v>0</v>
      </c>
    </row>
    <row r="1670" spans="1:35" ht="15" customHeight="1" x14ac:dyDescent="0.3">
      <c r="A1670" s="60" t="s">
        <v>6077</v>
      </c>
      <c r="B1670" s="60" t="s">
        <v>81</v>
      </c>
      <c r="C1670" s="60" t="s">
        <v>6078</v>
      </c>
      <c r="D1670" s="60" t="s">
        <v>126</v>
      </c>
      <c r="E1670" s="60" t="s">
        <v>145</v>
      </c>
      <c r="F1670" s="60" t="b">
        <f>TRUE()</f>
        <v>1</v>
      </c>
      <c r="G1670" s="60" t="s">
        <v>165</v>
      </c>
      <c r="H1670" s="60" t="s">
        <v>3620</v>
      </c>
      <c r="I1670" s="61">
        <v>46209.918994930602</v>
      </c>
      <c r="J1670" s="61">
        <v>46210.283236122697</v>
      </c>
      <c r="K1670" s="60">
        <v>0.4</v>
      </c>
      <c r="L1670" s="60" t="s">
        <v>183</v>
      </c>
      <c r="M1670" s="60" t="s">
        <v>183</v>
      </c>
      <c r="N1670" s="60" t="b">
        <f>FALSE()</f>
        <v>0</v>
      </c>
      <c r="O1670" s="60"/>
      <c r="P1670" s="60"/>
      <c r="Q1670" s="60" t="s">
        <v>236</v>
      </c>
      <c r="R1670" s="60" t="s">
        <v>236</v>
      </c>
      <c r="S1670" s="60"/>
      <c r="T1670" s="60" t="b">
        <f>FALSE()</f>
        <v>0</v>
      </c>
      <c r="U1670" s="60" t="b">
        <f>FALSE()</f>
        <v>0</v>
      </c>
      <c r="V1670" s="60">
        <v>819</v>
      </c>
      <c r="W1670" s="62" t="s">
        <v>3646</v>
      </c>
      <c r="X1670" s="60">
        <v>42</v>
      </c>
      <c r="Y1670" s="63">
        <v>73.5</v>
      </c>
      <c r="Z1670" s="60" t="b">
        <f>FALSE()</f>
        <v>0</v>
      </c>
      <c r="AA1670" s="60" t="b">
        <f>TRUE()</f>
        <v>1</v>
      </c>
      <c r="AB1670" s="60" t="b">
        <f>FALSE()</f>
        <v>0</v>
      </c>
      <c r="AC1670" s="60" t="b">
        <f>FALSE()</f>
        <v>0</v>
      </c>
      <c r="AD1670" s="60" t="b">
        <f>FALSE()</f>
        <v>0</v>
      </c>
      <c r="AE1670" s="60">
        <v>1</v>
      </c>
      <c r="AF1670" s="64">
        <v>14.3</v>
      </c>
      <c r="AG1670" s="60" t="s">
        <v>74</v>
      </c>
      <c r="AH1670" s="60" t="s">
        <v>6079</v>
      </c>
      <c r="AI1670">
        <f>IF(AND(OR(Company_Explorer!$B$5="All Companies",$E1670=Company_Explorer!$B$5),OR(Company_Explorer!$B$6="All Platforms",$B1670=Company_Explorer!$B$6),OR(Company_Explorer!$B$7="All Roles",$D1670=Company_Explorer!$B$7),OR(Company_Explorer!$B$8="All Ghost Labels",$AG1670=Company_Explorer!$B$8)),1,0)</f>
        <v>0</v>
      </c>
    </row>
    <row r="1671" spans="1:35" ht="15" customHeight="1" x14ac:dyDescent="0.3">
      <c r="A1671" s="65" t="s">
        <v>6080</v>
      </c>
      <c r="B1671" s="65" t="s">
        <v>81</v>
      </c>
      <c r="C1671" s="65" t="s">
        <v>6081</v>
      </c>
      <c r="D1671" s="65" t="s">
        <v>126</v>
      </c>
      <c r="E1671" s="65" t="s">
        <v>145</v>
      </c>
      <c r="F1671" s="65" t="b">
        <f>TRUE()</f>
        <v>1</v>
      </c>
      <c r="G1671" s="65" t="s">
        <v>165</v>
      </c>
      <c r="H1671" s="65" t="s">
        <v>3620</v>
      </c>
      <c r="I1671" s="66">
        <v>46209.919308541699</v>
      </c>
      <c r="J1671" s="66">
        <v>46210.283237581003</v>
      </c>
      <c r="K1671" s="65">
        <v>0.4</v>
      </c>
      <c r="L1671" s="65" t="s">
        <v>183</v>
      </c>
      <c r="M1671" s="65" t="s">
        <v>183</v>
      </c>
      <c r="N1671" s="65" t="b">
        <f>FALSE()</f>
        <v>0</v>
      </c>
      <c r="O1671" s="65"/>
      <c r="P1671" s="65"/>
      <c r="Q1671" s="65" t="s">
        <v>236</v>
      </c>
      <c r="R1671" s="65" t="s">
        <v>236</v>
      </c>
      <c r="S1671" s="65"/>
      <c r="T1671" s="65" t="b">
        <f>FALSE()</f>
        <v>0</v>
      </c>
      <c r="U1671" s="65" t="b">
        <f>FALSE()</f>
        <v>0</v>
      </c>
      <c r="V1671" s="65">
        <v>878</v>
      </c>
      <c r="W1671" s="67" t="s">
        <v>3646</v>
      </c>
      <c r="X1671" s="65">
        <v>42</v>
      </c>
      <c r="Y1671" s="68">
        <v>73.5</v>
      </c>
      <c r="Z1671" s="65" t="b">
        <f>FALSE()</f>
        <v>0</v>
      </c>
      <c r="AA1671" s="65" t="b">
        <f>TRUE()</f>
        <v>1</v>
      </c>
      <c r="AB1671" s="65" t="b">
        <f>FALSE()</f>
        <v>0</v>
      </c>
      <c r="AC1671" s="65" t="b">
        <f>FALSE()</f>
        <v>0</v>
      </c>
      <c r="AD1671" s="65" t="b">
        <f>FALSE()</f>
        <v>0</v>
      </c>
      <c r="AE1671" s="65">
        <v>1</v>
      </c>
      <c r="AF1671" s="69">
        <v>14.3</v>
      </c>
      <c r="AG1671" s="65" t="s">
        <v>74</v>
      </c>
      <c r="AH1671" s="65" t="s">
        <v>6082</v>
      </c>
      <c r="AI1671">
        <f>IF(AND(OR(Company_Explorer!$B$5="All Companies",$E1671=Company_Explorer!$B$5),OR(Company_Explorer!$B$6="All Platforms",$B1671=Company_Explorer!$B$6),OR(Company_Explorer!$B$7="All Roles",$D1671=Company_Explorer!$B$7),OR(Company_Explorer!$B$8="All Ghost Labels",$AG1671=Company_Explorer!$B$8)),1,0)</f>
        <v>0</v>
      </c>
    </row>
    <row r="1672" spans="1:35" ht="15" customHeight="1" x14ac:dyDescent="0.3">
      <c r="A1672" s="60" t="s">
        <v>6083</v>
      </c>
      <c r="B1672" s="60" t="s">
        <v>81</v>
      </c>
      <c r="C1672" s="60" t="s">
        <v>6084</v>
      </c>
      <c r="D1672" s="60" t="s">
        <v>126</v>
      </c>
      <c r="E1672" s="60" t="s">
        <v>4157</v>
      </c>
      <c r="F1672" s="60" t="b">
        <f>TRUE()</f>
        <v>1</v>
      </c>
      <c r="G1672" s="60" t="s">
        <v>165</v>
      </c>
      <c r="H1672" s="60" t="s">
        <v>3620</v>
      </c>
      <c r="I1672" s="61">
        <v>46209.955685544002</v>
      </c>
      <c r="J1672" s="61">
        <v>46210.283238726901</v>
      </c>
      <c r="K1672" s="60">
        <v>0.3</v>
      </c>
      <c r="L1672" s="60" t="s">
        <v>183</v>
      </c>
      <c r="M1672" s="60" t="s">
        <v>183</v>
      </c>
      <c r="N1672" s="60" t="b">
        <f>FALSE()</f>
        <v>0</v>
      </c>
      <c r="O1672" s="60"/>
      <c r="P1672" s="60"/>
      <c r="Q1672" s="60" t="s">
        <v>236</v>
      </c>
      <c r="R1672" s="60" t="s">
        <v>236</v>
      </c>
      <c r="S1672" s="60"/>
      <c r="T1672" s="60" t="b">
        <f>FALSE()</f>
        <v>0</v>
      </c>
      <c r="U1672" s="60" t="b">
        <f>FALSE()</f>
        <v>0</v>
      </c>
      <c r="V1672" s="60">
        <v>915</v>
      </c>
      <c r="W1672" s="60" t="s">
        <v>4158</v>
      </c>
      <c r="X1672" s="60">
        <v>5</v>
      </c>
      <c r="Y1672" s="63">
        <v>8.75</v>
      </c>
      <c r="Z1672" s="60" t="b">
        <f>FALSE()</f>
        <v>0</v>
      </c>
      <c r="AA1672" s="60" t="b">
        <f>TRUE()</f>
        <v>1</v>
      </c>
      <c r="AB1672" s="60" t="b">
        <f>FALSE()</f>
        <v>0</v>
      </c>
      <c r="AC1672" s="60" t="b">
        <f>FALSE()</f>
        <v>0</v>
      </c>
      <c r="AD1672" s="60" t="b">
        <f>FALSE()</f>
        <v>0</v>
      </c>
      <c r="AE1672" s="60">
        <v>1</v>
      </c>
      <c r="AF1672" s="64">
        <v>14.3</v>
      </c>
      <c r="AG1672" s="60" t="s">
        <v>74</v>
      </c>
      <c r="AH1672" s="60" t="s">
        <v>6085</v>
      </c>
      <c r="AI1672">
        <f>IF(AND(OR(Company_Explorer!$B$5="All Companies",$E1672=Company_Explorer!$B$5),OR(Company_Explorer!$B$6="All Platforms",$B1672=Company_Explorer!$B$6),OR(Company_Explorer!$B$7="All Roles",$D1672=Company_Explorer!$B$7),OR(Company_Explorer!$B$8="All Ghost Labels",$AG1672=Company_Explorer!$B$8)),1,0)</f>
        <v>0</v>
      </c>
    </row>
    <row r="1673" spans="1:35" ht="15" customHeight="1" x14ac:dyDescent="0.3">
      <c r="A1673" s="65" t="s">
        <v>6086</v>
      </c>
      <c r="B1673" s="65" t="s">
        <v>81</v>
      </c>
      <c r="C1673" s="65" t="s">
        <v>6087</v>
      </c>
      <c r="D1673" s="65" t="s">
        <v>126</v>
      </c>
      <c r="E1673" s="65" t="s">
        <v>145</v>
      </c>
      <c r="F1673" s="65" t="b">
        <f>TRUE()</f>
        <v>1</v>
      </c>
      <c r="G1673" s="65" t="s">
        <v>165</v>
      </c>
      <c r="H1673" s="65" t="s">
        <v>3620</v>
      </c>
      <c r="I1673" s="66">
        <v>46209.918986701399</v>
      </c>
      <c r="J1673" s="66">
        <v>46210.283239895798</v>
      </c>
      <c r="K1673" s="65">
        <v>0.4</v>
      </c>
      <c r="L1673" s="65" t="s">
        <v>183</v>
      </c>
      <c r="M1673" s="65" t="s">
        <v>183</v>
      </c>
      <c r="N1673" s="65" t="b">
        <f>FALSE()</f>
        <v>0</v>
      </c>
      <c r="O1673" s="65"/>
      <c r="P1673" s="65"/>
      <c r="Q1673" s="65" t="s">
        <v>236</v>
      </c>
      <c r="R1673" s="65" t="s">
        <v>236</v>
      </c>
      <c r="S1673" s="65"/>
      <c r="T1673" s="65" t="b">
        <f>FALSE()</f>
        <v>0</v>
      </c>
      <c r="U1673" s="65" t="b">
        <f>FALSE()</f>
        <v>0</v>
      </c>
      <c r="V1673" s="65">
        <v>747</v>
      </c>
      <c r="W1673" s="67" t="s">
        <v>3646</v>
      </c>
      <c r="X1673" s="65">
        <v>42</v>
      </c>
      <c r="Y1673" s="68">
        <v>73.5</v>
      </c>
      <c r="Z1673" s="65" t="b">
        <f>FALSE()</f>
        <v>0</v>
      </c>
      <c r="AA1673" s="65" t="b">
        <f>TRUE()</f>
        <v>1</v>
      </c>
      <c r="AB1673" s="65" t="b">
        <f>FALSE()</f>
        <v>0</v>
      </c>
      <c r="AC1673" s="65" t="b">
        <f>FALSE()</f>
        <v>0</v>
      </c>
      <c r="AD1673" s="65" t="b">
        <f>FALSE()</f>
        <v>0</v>
      </c>
      <c r="AE1673" s="65">
        <v>1</v>
      </c>
      <c r="AF1673" s="69">
        <v>14.3</v>
      </c>
      <c r="AG1673" s="65" t="s">
        <v>74</v>
      </c>
      <c r="AH1673" s="65" t="s">
        <v>6088</v>
      </c>
      <c r="AI1673">
        <f>IF(AND(OR(Company_Explorer!$B$5="All Companies",$E1673=Company_Explorer!$B$5),OR(Company_Explorer!$B$6="All Platforms",$B1673=Company_Explorer!$B$6),OR(Company_Explorer!$B$7="All Roles",$D1673=Company_Explorer!$B$7),OR(Company_Explorer!$B$8="All Ghost Labels",$AG1673=Company_Explorer!$B$8)),1,0)</f>
        <v>0</v>
      </c>
    </row>
    <row r="1674" spans="1:35" ht="15" customHeight="1" x14ac:dyDescent="0.3">
      <c r="A1674" s="60" t="s">
        <v>6089</v>
      </c>
      <c r="B1674" s="60" t="s">
        <v>81</v>
      </c>
      <c r="C1674" s="60" t="s">
        <v>6090</v>
      </c>
      <c r="D1674" s="60" t="s">
        <v>126</v>
      </c>
      <c r="E1674" s="60" t="s">
        <v>145</v>
      </c>
      <c r="F1674" s="60" t="b">
        <f>TRUE()</f>
        <v>1</v>
      </c>
      <c r="G1674" s="60" t="s">
        <v>165</v>
      </c>
      <c r="H1674" s="60" t="s">
        <v>3620</v>
      </c>
      <c r="I1674" s="61">
        <v>46209.919313044004</v>
      </c>
      <c r="J1674" s="61">
        <v>46210.283240787001</v>
      </c>
      <c r="K1674" s="60">
        <v>0.4</v>
      </c>
      <c r="L1674" s="60" t="s">
        <v>183</v>
      </c>
      <c r="M1674" s="60" t="s">
        <v>183</v>
      </c>
      <c r="N1674" s="60" t="b">
        <f>FALSE()</f>
        <v>0</v>
      </c>
      <c r="O1674" s="60"/>
      <c r="P1674" s="60"/>
      <c r="Q1674" s="60" t="s">
        <v>236</v>
      </c>
      <c r="R1674" s="60" t="s">
        <v>236</v>
      </c>
      <c r="S1674" s="60"/>
      <c r="T1674" s="60" t="b">
        <f>FALSE()</f>
        <v>0</v>
      </c>
      <c r="U1674" s="60" t="b">
        <f>FALSE()</f>
        <v>0</v>
      </c>
      <c r="V1674" s="60">
        <v>633</v>
      </c>
      <c r="W1674" s="62" t="s">
        <v>3646</v>
      </c>
      <c r="X1674" s="60">
        <v>42</v>
      </c>
      <c r="Y1674" s="63">
        <v>73.5</v>
      </c>
      <c r="Z1674" s="60" t="b">
        <f>FALSE()</f>
        <v>0</v>
      </c>
      <c r="AA1674" s="60" t="b">
        <f>TRUE()</f>
        <v>1</v>
      </c>
      <c r="AB1674" s="60" t="b">
        <f>FALSE()</f>
        <v>0</v>
      </c>
      <c r="AC1674" s="60" t="b">
        <f>FALSE()</f>
        <v>0</v>
      </c>
      <c r="AD1674" s="60" t="b">
        <f>FALSE()</f>
        <v>0</v>
      </c>
      <c r="AE1674" s="60">
        <v>1</v>
      </c>
      <c r="AF1674" s="64">
        <v>14.3</v>
      </c>
      <c r="AG1674" s="60" t="s">
        <v>74</v>
      </c>
      <c r="AH1674" s="60" t="s">
        <v>6091</v>
      </c>
      <c r="AI1674">
        <f>IF(AND(OR(Company_Explorer!$B$5="All Companies",$E1674=Company_Explorer!$B$5),OR(Company_Explorer!$B$6="All Platforms",$B1674=Company_Explorer!$B$6),OR(Company_Explorer!$B$7="All Roles",$D1674=Company_Explorer!$B$7),OR(Company_Explorer!$B$8="All Ghost Labels",$AG1674=Company_Explorer!$B$8)),1,0)</f>
        <v>0</v>
      </c>
    </row>
    <row r="1675" spans="1:35" ht="15" customHeight="1" x14ac:dyDescent="0.3">
      <c r="A1675" s="65" t="s">
        <v>6092</v>
      </c>
      <c r="B1675" s="65" t="s">
        <v>81</v>
      </c>
      <c r="C1675" s="65" t="s">
        <v>6093</v>
      </c>
      <c r="D1675" s="65" t="s">
        <v>126</v>
      </c>
      <c r="E1675" s="65" t="s">
        <v>4157</v>
      </c>
      <c r="F1675" s="65" t="b">
        <f>TRUE()</f>
        <v>1</v>
      </c>
      <c r="G1675" s="65" t="s">
        <v>165</v>
      </c>
      <c r="H1675" s="65" t="s">
        <v>3620</v>
      </c>
      <c r="I1675" s="66">
        <v>46209.955653344899</v>
      </c>
      <c r="J1675" s="66">
        <v>46210.283241678197</v>
      </c>
      <c r="K1675" s="65">
        <v>0.3</v>
      </c>
      <c r="L1675" s="65" t="s">
        <v>183</v>
      </c>
      <c r="M1675" s="65" t="s">
        <v>183</v>
      </c>
      <c r="N1675" s="65" t="b">
        <f>FALSE()</f>
        <v>0</v>
      </c>
      <c r="O1675" s="65"/>
      <c r="P1675" s="65"/>
      <c r="Q1675" s="65" t="s">
        <v>236</v>
      </c>
      <c r="R1675" s="65" t="s">
        <v>236</v>
      </c>
      <c r="S1675" s="65"/>
      <c r="T1675" s="65" t="b">
        <f>FALSE()</f>
        <v>0</v>
      </c>
      <c r="U1675" s="65" t="b">
        <f>FALSE()</f>
        <v>0</v>
      </c>
      <c r="V1675" s="65">
        <v>707</v>
      </c>
      <c r="W1675" s="65" t="s">
        <v>4158</v>
      </c>
      <c r="X1675" s="65">
        <v>5</v>
      </c>
      <c r="Y1675" s="68">
        <v>8.75</v>
      </c>
      <c r="Z1675" s="65" t="b">
        <f>FALSE()</f>
        <v>0</v>
      </c>
      <c r="AA1675" s="65" t="b">
        <f>TRUE()</f>
        <v>1</v>
      </c>
      <c r="AB1675" s="65" t="b">
        <f>FALSE()</f>
        <v>0</v>
      </c>
      <c r="AC1675" s="65" t="b">
        <f>FALSE()</f>
        <v>0</v>
      </c>
      <c r="AD1675" s="65" t="b">
        <f>FALSE()</f>
        <v>0</v>
      </c>
      <c r="AE1675" s="65">
        <v>1</v>
      </c>
      <c r="AF1675" s="69">
        <v>14.3</v>
      </c>
      <c r="AG1675" s="65" t="s">
        <v>74</v>
      </c>
      <c r="AH1675" s="65" t="s">
        <v>6094</v>
      </c>
      <c r="AI1675">
        <f>IF(AND(OR(Company_Explorer!$B$5="All Companies",$E1675=Company_Explorer!$B$5),OR(Company_Explorer!$B$6="All Platforms",$B1675=Company_Explorer!$B$6),OR(Company_Explorer!$B$7="All Roles",$D1675=Company_Explorer!$B$7),OR(Company_Explorer!$B$8="All Ghost Labels",$AG1675=Company_Explorer!$B$8)),1,0)</f>
        <v>0</v>
      </c>
    </row>
    <row r="1676" spans="1:35" ht="15" customHeight="1" x14ac:dyDescent="0.3">
      <c r="A1676" s="60" t="s">
        <v>6095</v>
      </c>
      <c r="B1676" s="60" t="s">
        <v>81</v>
      </c>
      <c r="C1676" s="60" t="s">
        <v>6096</v>
      </c>
      <c r="D1676" s="60" t="s">
        <v>126</v>
      </c>
      <c r="E1676" s="60" t="s">
        <v>145</v>
      </c>
      <c r="F1676" s="60" t="b">
        <f>TRUE()</f>
        <v>1</v>
      </c>
      <c r="G1676" s="60" t="s">
        <v>165</v>
      </c>
      <c r="H1676" s="60" t="s">
        <v>3620</v>
      </c>
      <c r="I1676" s="61">
        <v>46209.918981261602</v>
      </c>
      <c r="J1676" s="61">
        <v>46210.283242951402</v>
      </c>
      <c r="K1676" s="60">
        <v>0.4</v>
      </c>
      <c r="L1676" s="60" t="s">
        <v>183</v>
      </c>
      <c r="M1676" s="60" t="s">
        <v>183</v>
      </c>
      <c r="N1676" s="60" t="b">
        <f>FALSE()</f>
        <v>0</v>
      </c>
      <c r="O1676" s="60"/>
      <c r="P1676" s="60"/>
      <c r="Q1676" s="60" t="s">
        <v>236</v>
      </c>
      <c r="R1676" s="60" t="s">
        <v>236</v>
      </c>
      <c r="S1676" s="60"/>
      <c r="T1676" s="60" t="b">
        <f>FALSE()</f>
        <v>0</v>
      </c>
      <c r="U1676" s="60" t="b">
        <f>FALSE()</f>
        <v>0</v>
      </c>
      <c r="V1676" s="60">
        <v>961</v>
      </c>
      <c r="W1676" s="62" t="s">
        <v>3646</v>
      </c>
      <c r="X1676" s="60">
        <v>42</v>
      </c>
      <c r="Y1676" s="63">
        <v>73.5</v>
      </c>
      <c r="Z1676" s="60" t="b">
        <f>FALSE()</f>
        <v>0</v>
      </c>
      <c r="AA1676" s="60" t="b">
        <f>TRUE()</f>
        <v>1</v>
      </c>
      <c r="AB1676" s="60" t="b">
        <f>FALSE()</f>
        <v>0</v>
      </c>
      <c r="AC1676" s="60" t="b">
        <f>FALSE()</f>
        <v>0</v>
      </c>
      <c r="AD1676" s="60" t="b">
        <f>FALSE()</f>
        <v>0</v>
      </c>
      <c r="AE1676" s="60">
        <v>1</v>
      </c>
      <c r="AF1676" s="64">
        <v>14.3</v>
      </c>
      <c r="AG1676" s="60" t="s">
        <v>74</v>
      </c>
      <c r="AH1676" s="60" t="s">
        <v>6097</v>
      </c>
      <c r="AI1676">
        <f>IF(AND(OR(Company_Explorer!$B$5="All Companies",$E1676=Company_Explorer!$B$5),OR(Company_Explorer!$B$6="All Platforms",$B1676=Company_Explorer!$B$6),OR(Company_Explorer!$B$7="All Roles",$D1676=Company_Explorer!$B$7),OR(Company_Explorer!$B$8="All Ghost Labels",$AG1676=Company_Explorer!$B$8)),1,0)</f>
        <v>0</v>
      </c>
    </row>
    <row r="1677" spans="1:35" ht="15" customHeight="1" x14ac:dyDescent="0.3">
      <c r="A1677" s="65" t="s">
        <v>6098</v>
      </c>
      <c r="B1677" s="65" t="s">
        <v>81</v>
      </c>
      <c r="C1677" s="65" t="s">
        <v>6099</v>
      </c>
      <c r="D1677" s="65" t="s">
        <v>126</v>
      </c>
      <c r="E1677" s="65" t="s">
        <v>145</v>
      </c>
      <c r="F1677" s="65" t="b">
        <f>TRUE()</f>
        <v>1</v>
      </c>
      <c r="G1677" s="65" t="s">
        <v>165</v>
      </c>
      <c r="H1677" s="65" t="s">
        <v>3620</v>
      </c>
      <c r="I1677" s="66">
        <v>46209.919308680597</v>
      </c>
      <c r="J1677" s="66">
        <v>46210.283244213002</v>
      </c>
      <c r="K1677" s="65">
        <v>0.4</v>
      </c>
      <c r="L1677" s="65" t="s">
        <v>183</v>
      </c>
      <c r="M1677" s="65" t="s">
        <v>183</v>
      </c>
      <c r="N1677" s="65" t="b">
        <f>FALSE()</f>
        <v>0</v>
      </c>
      <c r="O1677" s="65"/>
      <c r="P1677" s="65"/>
      <c r="Q1677" s="65" t="s">
        <v>236</v>
      </c>
      <c r="R1677" s="65" t="s">
        <v>236</v>
      </c>
      <c r="S1677" s="65"/>
      <c r="T1677" s="65" t="b">
        <f>FALSE()</f>
        <v>0</v>
      </c>
      <c r="U1677" s="65" t="b">
        <f>FALSE()</f>
        <v>0</v>
      </c>
      <c r="V1677" s="65">
        <v>659</v>
      </c>
      <c r="W1677" s="67" t="s">
        <v>3646</v>
      </c>
      <c r="X1677" s="65">
        <v>42</v>
      </c>
      <c r="Y1677" s="68">
        <v>73.5</v>
      </c>
      <c r="Z1677" s="65" t="b">
        <f>FALSE()</f>
        <v>0</v>
      </c>
      <c r="AA1677" s="65" t="b">
        <f>TRUE()</f>
        <v>1</v>
      </c>
      <c r="AB1677" s="65" t="b">
        <f>FALSE()</f>
        <v>0</v>
      </c>
      <c r="AC1677" s="65" t="b">
        <f>FALSE()</f>
        <v>0</v>
      </c>
      <c r="AD1677" s="65" t="b">
        <f>FALSE()</f>
        <v>0</v>
      </c>
      <c r="AE1677" s="65">
        <v>1</v>
      </c>
      <c r="AF1677" s="69">
        <v>14.3</v>
      </c>
      <c r="AG1677" s="65" t="s">
        <v>74</v>
      </c>
      <c r="AH1677" s="65" t="s">
        <v>6100</v>
      </c>
      <c r="AI1677">
        <f>IF(AND(OR(Company_Explorer!$B$5="All Companies",$E1677=Company_Explorer!$B$5),OR(Company_Explorer!$B$6="All Platforms",$B1677=Company_Explorer!$B$6),OR(Company_Explorer!$B$7="All Roles",$D1677=Company_Explorer!$B$7),OR(Company_Explorer!$B$8="All Ghost Labels",$AG1677=Company_Explorer!$B$8)),1,0)</f>
        <v>0</v>
      </c>
    </row>
    <row r="1678" spans="1:35" ht="15" customHeight="1" x14ac:dyDescent="0.3">
      <c r="A1678" s="60" t="s">
        <v>6101</v>
      </c>
      <c r="B1678" s="60" t="s">
        <v>81</v>
      </c>
      <c r="C1678" s="60" t="s">
        <v>6102</v>
      </c>
      <c r="D1678" s="60" t="s">
        <v>126</v>
      </c>
      <c r="E1678" s="60" t="s">
        <v>145</v>
      </c>
      <c r="F1678" s="60" t="b">
        <f>TRUE()</f>
        <v>1</v>
      </c>
      <c r="G1678" s="60" t="s">
        <v>165</v>
      </c>
      <c r="H1678" s="60" t="s">
        <v>3620</v>
      </c>
      <c r="I1678" s="61">
        <v>46209.918994444401</v>
      </c>
      <c r="J1678" s="61">
        <v>46210.283245370403</v>
      </c>
      <c r="K1678" s="60">
        <v>0.4</v>
      </c>
      <c r="L1678" s="60" t="s">
        <v>183</v>
      </c>
      <c r="M1678" s="60" t="s">
        <v>183</v>
      </c>
      <c r="N1678" s="60" t="b">
        <f>FALSE()</f>
        <v>0</v>
      </c>
      <c r="O1678" s="60"/>
      <c r="P1678" s="60"/>
      <c r="Q1678" s="60" t="s">
        <v>236</v>
      </c>
      <c r="R1678" s="60" t="s">
        <v>236</v>
      </c>
      <c r="S1678" s="60"/>
      <c r="T1678" s="60" t="b">
        <f>FALSE()</f>
        <v>0</v>
      </c>
      <c r="U1678" s="60" t="b">
        <f>FALSE()</f>
        <v>0</v>
      </c>
      <c r="V1678" s="60">
        <v>562</v>
      </c>
      <c r="W1678" s="62" t="s">
        <v>3646</v>
      </c>
      <c r="X1678" s="60">
        <v>42</v>
      </c>
      <c r="Y1678" s="63">
        <v>73.5</v>
      </c>
      <c r="Z1678" s="60" t="b">
        <f>FALSE()</f>
        <v>0</v>
      </c>
      <c r="AA1678" s="60" t="b">
        <f>TRUE()</f>
        <v>1</v>
      </c>
      <c r="AB1678" s="60" t="b">
        <f>FALSE()</f>
        <v>0</v>
      </c>
      <c r="AC1678" s="60" t="b">
        <f>FALSE()</f>
        <v>0</v>
      </c>
      <c r="AD1678" s="60" t="b">
        <f>FALSE()</f>
        <v>0</v>
      </c>
      <c r="AE1678" s="60">
        <v>1</v>
      </c>
      <c r="AF1678" s="64">
        <v>14.3</v>
      </c>
      <c r="AG1678" s="60" t="s">
        <v>74</v>
      </c>
      <c r="AH1678" s="60" t="s">
        <v>6103</v>
      </c>
      <c r="AI1678">
        <f>IF(AND(OR(Company_Explorer!$B$5="All Companies",$E1678=Company_Explorer!$B$5),OR(Company_Explorer!$B$6="All Platforms",$B1678=Company_Explorer!$B$6),OR(Company_Explorer!$B$7="All Roles",$D1678=Company_Explorer!$B$7),OR(Company_Explorer!$B$8="All Ghost Labels",$AG1678=Company_Explorer!$B$8)),1,0)</f>
        <v>0</v>
      </c>
    </row>
    <row r="1679" spans="1:35" ht="15" customHeight="1" x14ac:dyDescent="0.3">
      <c r="A1679" s="65" t="s">
        <v>6104</v>
      </c>
      <c r="B1679" s="65" t="s">
        <v>81</v>
      </c>
      <c r="C1679" s="65" t="s">
        <v>6105</v>
      </c>
      <c r="D1679" s="65" t="s">
        <v>125</v>
      </c>
      <c r="E1679" s="65" t="s">
        <v>4157</v>
      </c>
      <c r="F1679" s="65" t="b">
        <f>TRUE()</f>
        <v>1</v>
      </c>
      <c r="G1679" s="65" t="s">
        <v>165</v>
      </c>
      <c r="H1679" s="65" t="s">
        <v>3620</v>
      </c>
      <c r="I1679" s="66">
        <v>46209.955653217599</v>
      </c>
      <c r="J1679" s="66">
        <v>46210.283246388899</v>
      </c>
      <c r="K1679" s="65">
        <v>0.3</v>
      </c>
      <c r="L1679" s="65" t="s">
        <v>183</v>
      </c>
      <c r="M1679" s="65" t="s">
        <v>183</v>
      </c>
      <c r="N1679" s="65" t="b">
        <f>FALSE()</f>
        <v>0</v>
      </c>
      <c r="O1679" s="65"/>
      <c r="P1679" s="65"/>
      <c r="Q1679" s="65" t="s">
        <v>236</v>
      </c>
      <c r="R1679" s="65" t="s">
        <v>236</v>
      </c>
      <c r="S1679" s="65"/>
      <c r="T1679" s="65" t="b">
        <f>FALSE()</f>
        <v>0</v>
      </c>
      <c r="U1679" s="65" t="b">
        <f>FALSE()</f>
        <v>0</v>
      </c>
      <c r="V1679" s="65">
        <v>695</v>
      </c>
      <c r="W1679" s="67" t="s">
        <v>6106</v>
      </c>
      <c r="X1679" s="65">
        <v>5</v>
      </c>
      <c r="Y1679" s="68">
        <v>8.75</v>
      </c>
      <c r="Z1679" s="65" t="b">
        <f>FALSE()</f>
        <v>0</v>
      </c>
      <c r="AA1679" s="65" t="b">
        <f>TRUE()</f>
        <v>1</v>
      </c>
      <c r="AB1679" s="65" t="b">
        <f>FALSE()</f>
        <v>0</v>
      </c>
      <c r="AC1679" s="65" t="b">
        <f>FALSE()</f>
        <v>0</v>
      </c>
      <c r="AD1679" s="65" t="b">
        <f>FALSE()</f>
        <v>0</v>
      </c>
      <c r="AE1679" s="65">
        <v>1</v>
      </c>
      <c r="AF1679" s="69">
        <v>14.3</v>
      </c>
      <c r="AG1679" s="65" t="s">
        <v>74</v>
      </c>
      <c r="AH1679" s="65" t="s">
        <v>6107</v>
      </c>
      <c r="AI1679">
        <f>IF(AND(OR(Company_Explorer!$B$5="All Companies",$E1679=Company_Explorer!$B$5),OR(Company_Explorer!$B$6="All Platforms",$B1679=Company_Explorer!$B$6),OR(Company_Explorer!$B$7="All Roles",$D1679=Company_Explorer!$B$7),OR(Company_Explorer!$B$8="All Ghost Labels",$AG1679=Company_Explorer!$B$8)),1,0)</f>
        <v>0</v>
      </c>
    </row>
    <row r="1680" spans="1:35" ht="15" customHeight="1" x14ac:dyDescent="0.3">
      <c r="A1680" s="60" t="s">
        <v>6108</v>
      </c>
      <c r="B1680" s="60" t="s">
        <v>81</v>
      </c>
      <c r="C1680" s="60" t="s">
        <v>6109</v>
      </c>
      <c r="D1680" s="60" t="s">
        <v>136</v>
      </c>
      <c r="E1680" s="60" t="s">
        <v>6110</v>
      </c>
      <c r="F1680" s="60" t="b">
        <f>TRUE()</f>
        <v>1</v>
      </c>
      <c r="G1680" s="60" t="s">
        <v>165</v>
      </c>
      <c r="H1680" s="60" t="s">
        <v>3620</v>
      </c>
      <c r="I1680" s="61">
        <v>46209.929887372702</v>
      </c>
      <c r="J1680" s="61">
        <v>46210.283247685198</v>
      </c>
      <c r="K1680" s="60">
        <v>0.4</v>
      </c>
      <c r="L1680" s="60" t="s">
        <v>183</v>
      </c>
      <c r="M1680" s="60" t="s">
        <v>183</v>
      </c>
      <c r="N1680" s="60" t="b">
        <f>FALSE()</f>
        <v>0</v>
      </c>
      <c r="O1680" s="60"/>
      <c r="P1680" s="60"/>
      <c r="Q1680" s="60" t="s">
        <v>3663</v>
      </c>
      <c r="R1680" s="60" t="s">
        <v>3961</v>
      </c>
      <c r="S1680" s="60"/>
      <c r="T1680" s="60" t="b">
        <f>FALSE()</f>
        <v>0</v>
      </c>
      <c r="U1680" s="60" t="b">
        <f>FALSE()</f>
        <v>0</v>
      </c>
      <c r="V1680" s="60">
        <v>590</v>
      </c>
      <c r="W1680" s="60" t="s">
        <v>6111</v>
      </c>
      <c r="X1680" s="60">
        <v>1</v>
      </c>
      <c r="Y1680" s="63">
        <v>1.75</v>
      </c>
      <c r="Z1680" s="60" t="b">
        <f>FALSE()</f>
        <v>0</v>
      </c>
      <c r="AA1680" s="60" t="b">
        <f>TRUE()</f>
        <v>1</v>
      </c>
      <c r="AB1680" s="60" t="b">
        <f>FALSE()</f>
        <v>0</v>
      </c>
      <c r="AC1680" s="60" t="b">
        <f>FALSE()</f>
        <v>0</v>
      </c>
      <c r="AD1680" s="60" t="b">
        <f>FALSE()</f>
        <v>0</v>
      </c>
      <c r="AE1680" s="60">
        <v>1</v>
      </c>
      <c r="AF1680" s="64">
        <v>14.3</v>
      </c>
      <c r="AG1680" s="60" t="s">
        <v>74</v>
      </c>
      <c r="AH1680" s="60" t="s">
        <v>6112</v>
      </c>
      <c r="AI1680">
        <f>IF(AND(OR(Company_Explorer!$B$5="All Companies",$E1680=Company_Explorer!$B$5),OR(Company_Explorer!$B$6="All Platforms",$B1680=Company_Explorer!$B$6),OR(Company_Explorer!$B$7="All Roles",$D1680=Company_Explorer!$B$7),OR(Company_Explorer!$B$8="All Ghost Labels",$AG1680=Company_Explorer!$B$8)),1,0)</f>
        <v>0</v>
      </c>
    </row>
    <row r="1681" spans="1:35" ht="15" customHeight="1" x14ac:dyDescent="0.3">
      <c r="A1681" s="65" t="s">
        <v>6113</v>
      </c>
      <c r="B1681" s="65" t="s">
        <v>81</v>
      </c>
      <c r="C1681" s="65" t="s">
        <v>6114</v>
      </c>
      <c r="D1681" s="65" t="s">
        <v>125</v>
      </c>
      <c r="E1681" s="65" t="s">
        <v>145</v>
      </c>
      <c r="F1681" s="65" t="b">
        <f>TRUE()</f>
        <v>1</v>
      </c>
      <c r="G1681" s="65" t="s">
        <v>165</v>
      </c>
      <c r="H1681" s="65" t="s">
        <v>3620</v>
      </c>
      <c r="I1681" s="66">
        <v>46209.919305937503</v>
      </c>
      <c r="J1681" s="66">
        <v>46210.283248715299</v>
      </c>
      <c r="K1681" s="65">
        <v>0.4</v>
      </c>
      <c r="L1681" s="65" t="s">
        <v>183</v>
      </c>
      <c r="M1681" s="65" t="s">
        <v>183</v>
      </c>
      <c r="N1681" s="65" t="b">
        <f>FALSE()</f>
        <v>0</v>
      </c>
      <c r="O1681" s="65"/>
      <c r="P1681" s="65"/>
      <c r="Q1681" s="65" t="s">
        <v>236</v>
      </c>
      <c r="R1681" s="65" t="s">
        <v>236</v>
      </c>
      <c r="S1681" s="65"/>
      <c r="T1681" s="65" t="b">
        <f>FALSE()</f>
        <v>0</v>
      </c>
      <c r="U1681" s="65" t="b">
        <f>FALSE()</f>
        <v>0</v>
      </c>
      <c r="V1681" s="65">
        <v>626</v>
      </c>
      <c r="W1681" s="67" t="s">
        <v>3646</v>
      </c>
      <c r="X1681" s="65">
        <v>42</v>
      </c>
      <c r="Y1681" s="68">
        <v>73.5</v>
      </c>
      <c r="Z1681" s="65" t="b">
        <f>FALSE()</f>
        <v>0</v>
      </c>
      <c r="AA1681" s="65" t="b">
        <f>TRUE()</f>
        <v>1</v>
      </c>
      <c r="AB1681" s="65" t="b">
        <f>FALSE()</f>
        <v>0</v>
      </c>
      <c r="AC1681" s="65" t="b">
        <f>FALSE()</f>
        <v>0</v>
      </c>
      <c r="AD1681" s="65" t="b">
        <f>FALSE()</f>
        <v>0</v>
      </c>
      <c r="AE1681" s="65">
        <v>1</v>
      </c>
      <c r="AF1681" s="69">
        <v>14.3</v>
      </c>
      <c r="AG1681" s="65" t="s">
        <v>74</v>
      </c>
      <c r="AH1681" s="65" t="s">
        <v>6115</v>
      </c>
      <c r="AI1681">
        <f>IF(AND(OR(Company_Explorer!$B$5="All Companies",$E1681=Company_Explorer!$B$5),OR(Company_Explorer!$B$6="All Platforms",$B1681=Company_Explorer!$B$6),OR(Company_Explorer!$B$7="All Roles",$D1681=Company_Explorer!$B$7),OR(Company_Explorer!$B$8="All Ghost Labels",$AG1681=Company_Explorer!$B$8)),1,0)</f>
        <v>0</v>
      </c>
    </row>
    <row r="1682" spans="1:35" ht="15" customHeight="1" x14ac:dyDescent="0.3">
      <c r="A1682" s="60" t="s">
        <v>6116</v>
      </c>
      <c r="B1682" s="60" t="s">
        <v>81</v>
      </c>
      <c r="C1682" s="60" t="s">
        <v>6117</v>
      </c>
      <c r="D1682" s="60" t="s">
        <v>125</v>
      </c>
      <c r="E1682" s="60" t="s">
        <v>145</v>
      </c>
      <c r="F1682" s="60" t="b">
        <f>TRUE()</f>
        <v>1</v>
      </c>
      <c r="G1682" s="60" t="s">
        <v>165</v>
      </c>
      <c r="H1682" s="60" t="s">
        <v>3620</v>
      </c>
      <c r="I1682" s="61">
        <v>46209.9189574306</v>
      </c>
      <c r="J1682" s="61">
        <v>46210.283249687498</v>
      </c>
      <c r="K1682" s="60">
        <v>0.4</v>
      </c>
      <c r="L1682" s="60" t="s">
        <v>183</v>
      </c>
      <c r="M1682" s="60" t="s">
        <v>183</v>
      </c>
      <c r="N1682" s="60" t="b">
        <f>FALSE()</f>
        <v>0</v>
      </c>
      <c r="O1682" s="60"/>
      <c r="P1682" s="60"/>
      <c r="Q1682" s="60" t="s">
        <v>236</v>
      </c>
      <c r="R1682" s="60" t="s">
        <v>236</v>
      </c>
      <c r="S1682" s="60"/>
      <c r="T1682" s="60" t="b">
        <f>FALSE()</f>
        <v>0</v>
      </c>
      <c r="U1682" s="60" t="b">
        <f>FALSE()</f>
        <v>0</v>
      </c>
      <c r="V1682" s="60">
        <v>867</v>
      </c>
      <c r="W1682" s="62" t="s">
        <v>3646</v>
      </c>
      <c r="X1682" s="60">
        <v>42</v>
      </c>
      <c r="Y1682" s="63">
        <v>73.5</v>
      </c>
      <c r="Z1682" s="60" t="b">
        <f>FALSE()</f>
        <v>0</v>
      </c>
      <c r="AA1682" s="60" t="b">
        <f>TRUE()</f>
        <v>1</v>
      </c>
      <c r="AB1682" s="60" t="b">
        <f>FALSE()</f>
        <v>0</v>
      </c>
      <c r="AC1682" s="60" t="b">
        <f>FALSE()</f>
        <v>0</v>
      </c>
      <c r="AD1682" s="60" t="b">
        <f>FALSE()</f>
        <v>0</v>
      </c>
      <c r="AE1682" s="60">
        <v>1</v>
      </c>
      <c r="AF1682" s="64">
        <v>14.3</v>
      </c>
      <c r="AG1682" s="60" t="s">
        <v>74</v>
      </c>
      <c r="AH1682" s="60" t="s">
        <v>6118</v>
      </c>
      <c r="AI1682">
        <f>IF(AND(OR(Company_Explorer!$B$5="All Companies",$E1682=Company_Explorer!$B$5),OR(Company_Explorer!$B$6="All Platforms",$B1682=Company_Explorer!$B$6),OR(Company_Explorer!$B$7="All Roles",$D1682=Company_Explorer!$B$7),OR(Company_Explorer!$B$8="All Ghost Labels",$AG1682=Company_Explorer!$B$8)),1,0)</f>
        <v>0</v>
      </c>
    </row>
    <row r="1683" spans="1:35" ht="15" customHeight="1" x14ac:dyDescent="0.3">
      <c r="A1683" s="65" t="s">
        <v>6119</v>
      </c>
      <c r="B1683" s="65" t="s">
        <v>81</v>
      </c>
      <c r="C1683" s="65" t="s">
        <v>6120</v>
      </c>
      <c r="D1683" s="65" t="s">
        <v>126</v>
      </c>
      <c r="E1683" s="65" t="s">
        <v>145</v>
      </c>
      <c r="F1683" s="65" t="b">
        <f>TRUE()</f>
        <v>1</v>
      </c>
      <c r="G1683" s="65" t="s">
        <v>165</v>
      </c>
      <c r="H1683" s="65" t="s">
        <v>3620</v>
      </c>
      <c r="I1683" s="66">
        <v>46209.918960451403</v>
      </c>
      <c r="J1683" s="66">
        <v>46210.283250636603</v>
      </c>
      <c r="K1683" s="65">
        <v>0.4</v>
      </c>
      <c r="L1683" s="65" t="s">
        <v>183</v>
      </c>
      <c r="M1683" s="65" t="s">
        <v>183</v>
      </c>
      <c r="N1683" s="65" t="b">
        <f>FALSE()</f>
        <v>0</v>
      </c>
      <c r="O1683" s="65"/>
      <c r="P1683" s="65"/>
      <c r="Q1683" s="65" t="s">
        <v>236</v>
      </c>
      <c r="R1683" s="65" t="s">
        <v>236</v>
      </c>
      <c r="S1683" s="65"/>
      <c r="T1683" s="65" t="b">
        <f>FALSE()</f>
        <v>0</v>
      </c>
      <c r="U1683" s="65" t="b">
        <f>FALSE()</f>
        <v>0</v>
      </c>
      <c r="V1683" s="65">
        <v>744</v>
      </c>
      <c r="W1683" s="67" t="s">
        <v>3646</v>
      </c>
      <c r="X1683" s="65">
        <v>42</v>
      </c>
      <c r="Y1683" s="68">
        <v>73.5</v>
      </c>
      <c r="Z1683" s="65" t="b">
        <f>FALSE()</f>
        <v>0</v>
      </c>
      <c r="AA1683" s="65" t="b">
        <f>TRUE()</f>
        <v>1</v>
      </c>
      <c r="AB1683" s="65" t="b">
        <f>FALSE()</f>
        <v>0</v>
      </c>
      <c r="AC1683" s="65" t="b">
        <f>FALSE()</f>
        <v>0</v>
      </c>
      <c r="AD1683" s="65" t="b">
        <f>FALSE()</f>
        <v>0</v>
      </c>
      <c r="AE1683" s="65">
        <v>1</v>
      </c>
      <c r="AF1683" s="69">
        <v>14.3</v>
      </c>
      <c r="AG1683" s="65" t="s">
        <v>74</v>
      </c>
      <c r="AH1683" s="65" t="s">
        <v>6121</v>
      </c>
      <c r="AI1683">
        <f>IF(AND(OR(Company_Explorer!$B$5="All Companies",$E1683=Company_Explorer!$B$5),OR(Company_Explorer!$B$6="All Platforms",$B1683=Company_Explorer!$B$6),OR(Company_Explorer!$B$7="All Roles",$D1683=Company_Explorer!$B$7),OR(Company_Explorer!$B$8="All Ghost Labels",$AG1683=Company_Explorer!$B$8)),1,0)</f>
        <v>0</v>
      </c>
    </row>
    <row r="1684" spans="1:35" ht="15" customHeight="1" x14ac:dyDescent="0.3">
      <c r="A1684" s="60" t="s">
        <v>6122</v>
      </c>
      <c r="B1684" s="60" t="s">
        <v>81</v>
      </c>
      <c r="C1684" s="60" t="s">
        <v>133</v>
      </c>
      <c r="D1684" s="60" t="s">
        <v>133</v>
      </c>
      <c r="E1684" s="60" t="s">
        <v>144</v>
      </c>
      <c r="F1684" s="60" t="b">
        <f>TRUE()</f>
        <v>1</v>
      </c>
      <c r="G1684" s="60" t="s">
        <v>165</v>
      </c>
      <c r="H1684" s="60" t="s">
        <v>3620</v>
      </c>
      <c r="I1684" s="61">
        <v>46209.928386365696</v>
      </c>
      <c r="J1684" s="61">
        <v>46210.2832515509</v>
      </c>
      <c r="K1684" s="60">
        <v>0.4</v>
      </c>
      <c r="L1684" s="60" t="s">
        <v>183</v>
      </c>
      <c r="M1684" s="60" t="s">
        <v>183</v>
      </c>
      <c r="N1684" s="60" t="b">
        <f>FALSE()</f>
        <v>0</v>
      </c>
      <c r="O1684" s="60"/>
      <c r="P1684" s="60"/>
      <c r="Q1684" s="60" t="s">
        <v>236</v>
      </c>
      <c r="R1684" s="60" t="s">
        <v>236</v>
      </c>
      <c r="S1684" s="60"/>
      <c r="T1684" s="60" t="b">
        <f>FALSE()</f>
        <v>0</v>
      </c>
      <c r="U1684" s="60" t="b">
        <f>FALSE()</f>
        <v>0</v>
      </c>
      <c r="V1684" s="60">
        <v>457</v>
      </c>
      <c r="W1684" s="60" t="s">
        <v>6123</v>
      </c>
      <c r="X1684" s="60">
        <v>41</v>
      </c>
      <c r="Y1684" s="63">
        <v>71.75</v>
      </c>
      <c r="Z1684" s="60" t="b">
        <f>FALSE()</f>
        <v>0</v>
      </c>
      <c r="AA1684" s="60" t="b">
        <f>TRUE()</f>
        <v>1</v>
      </c>
      <c r="AB1684" s="60" t="b">
        <f>FALSE()</f>
        <v>0</v>
      </c>
      <c r="AC1684" s="60" t="b">
        <f>FALSE()</f>
        <v>0</v>
      </c>
      <c r="AD1684" s="60" t="b">
        <f>FALSE()</f>
        <v>0</v>
      </c>
      <c r="AE1684" s="60">
        <v>1</v>
      </c>
      <c r="AF1684" s="64">
        <v>14.3</v>
      </c>
      <c r="AG1684" s="60" t="s">
        <v>74</v>
      </c>
      <c r="AH1684" s="60" t="s">
        <v>6124</v>
      </c>
      <c r="AI1684">
        <f>IF(AND(OR(Company_Explorer!$B$5="All Companies",$E1684=Company_Explorer!$B$5),OR(Company_Explorer!$B$6="All Platforms",$B1684=Company_Explorer!$B$6),OR(Company_Explorer!$B$7="All Roles",$D1684=Company_Explorer!$B$7),OR(Company_Explorer!$B$8="All Ghost Labels",$AG1684=Company_Explorer!$B$8)),1,0)</f>
        <v>0</v>
      </c>
    </row>
    <row r="1685" spans="1:35" ht="15" customHeight="1" x14ac:dyDescent="0.3">
      <c r="A1685" s="65" t="s">
        <v>6125</v>
      </c>
      <c r="B1685" s="65" t="s">
        <v>81</v>
      </c>
      <c r="C1685" s="65" t="s">
        <v>6126</v>
      </c>
      <c r="D1685" s="65" t="s">
        <v>126</v>
      </c>
      <c r="E1685" s="65" t="s">
        <v>145</v>
      </c>
      <c r="F1685" s="65" t="b">
        <f>TRUE()</f>
        <v>1</v>
      </c>
      <c r="G1685" s="65" t="s">
        <v>165</v>
      </c>
      <c r="H1685" s="65" t="s">
        <v>3620</v>
      </c>
      <c r="I1685" s="66">
        <v>46209.919308078701</v>
      </c>
      <c r="J1685" s="66">
        <v>46210.283252569498</v>
      </c>
      <c r="K1685" s="65">
        <v>0.4</v>
      </c>
      <c r="L1685" s="65" t="s">
        <v>183</v>
      </c>
      <c r="M1685" s="65" t="s">
        <v>183</v>
      </c>
      <c r="N1685" s="65" t="b">
        <f>FALSE()</f>
        <v>0</v>
      </c>
      <c r="O1685" s="65"/>
      <c r="P1685" s="65"/>
      <c r="Q1685" s="65" t="s">
        <v>236</v>
      </c>
      <c r="R1685" s="65" t="s">
        <v>236</v>
      </c>
      <c r="S1685" s="65"/>
      <c r="T1685" s="65" t="b">
        <f>FALSE()</f>
        <v>0</v>
      </c>
      <c r="U1685" s="65" t="b">
        <f>FALSE()</f>
        <v>0</v>
      </c>
      <c r="V1685" s="65">
        <v>659</v>
      </c>
      <c r="W1685" s="67" t="s">
        <v>3646</v>
      </c>
      <c r="X1685" s="65">
        <v>42</v>
      </c>
      <c r="Y1685" s="68">
        <v>73.5</v>
      </c>
      <c r="Z1685" s="65" t="b">
        <f>FALSE()</f>
        <v>0</v>
      </c>
      <c r="AA1685" s="65" t="b">
        <f>TRUE()</f>
        <v>1</v>
      </c>
      <c r="AB1685" s="65" t="b">
        <f>FALSE()</f>
        <v>0</v>
      </c>
      <c r="AC1685" s="65" t="b">
        <f>FALSE()</f>
        <v>0</v>
      </c>
      <c r="AD1685" s="65" t="b">
        <f>FALSE()</f>
        <v>0</v>
      </c>
      <c r="AE1685" s="65">
        <v>1</v>
      </c>
      <c r="AF1685" s="69">
        <v>14.3</v>
      </c>
      <c r="AG1685" s="65" t="s">
        <v>74</v>
      </c>
      <c r="AH1685" s="65" t="s">
        <v>6127</v>
      </c>
      <c r="AI1685">
        <f>IF(AND(OR(Company_Explorer!$B$5="All Companies",$E1685=Company_Explorer!$B$5),OR(Company_Explorer!$B$6="All Platforms",$B1685=Company_Explorer!$B$6),OR(Company_Explorer!$B$7="All Roles",$D1685=Company_Explorer!$B$7),OR(Company_Explorer!$B$8="All Ghost Labels",$AG1685=Company_Explorer!$B$8)),1,0)</f>
        <v>0</v>
      </c>
    </row>
    <row r="1686" spans="1:35" ht="15" customHeight="1" x14ac:dyDescent="0.3">
      <c r="A1686" s="60" t="s">
        <v>6128</v>
      </c>
      <c r="B1686" s="60" t="s">
        <v>81</v>
      </c>
      <c r="C1686" s="60" t="s">
        <v>6129</v>
      </c>
      <c r="D1686" s="60" t="s">
        <v>126</v>
      </c>
      <c r="E1686" s="60" t="s">
        <v>145</v>
      </c>
      <c r="F1686" s="60" t="b">
        <f>TRUE()</f>
        <v>1</v>
      </c>
      <c r="G1686" s="60" t="s">
        <v>165</v>
      </c>
      <c r="H1686" s="60" t="s">
        <v>3620</v>
      </c>
      <c r="I1686" s="61">
        <v>46209.918965219898</v>
      </c>
      <c r="J1686" s="61">
        <v>46210.283253703703</v>
      </c>
      <c r="K1686" s="60">
        <v>0.4</v>
      </c>
      <c r="L1686" s="60" t="s">
        <v>183</v>
      </c>
      <c r="M1686" s="60" t="s">
        <v>183</v>
      </c>
      <c r="N1686" s="60" t="b">
        <f>FALSE()</f>
        <v>0</v>
      </c>
      <c r="O1686" s="60"/>
      <c r="P1686" s="60"/>
      <c r="Q1686" s="60" t="s">
        <v>236</v>
      </c>
      <c r="R1686" s="60" t="s">
        <v>236</v>
      </c>
      <c r="S1686" s="60"/>
      <c r="T1686" s="60" t="b">
        <f>FALSE()</f>
        <v>0</v>
      </c>
      <c r="U1686" s="60" t="b">
        <f>FALSE()</f>
        <v>0</v>
      </c>
      <c r="V1686" s="60">
        <v>597</v>
      </c>
      <c r="W1686" s="62" t="s">
        <v>3646</v>
      </c>
      <c r="X1686" s="60">
        <v>42</v>
      </c>
      <c r="Y1686" s="63">
        <v>73.5</v>
      </c>
      <c r="Z1686" s="60" t="b">
        <f>FALSE()</f>
        <v>0</v>
      </c>
      <c r="AA1686" s="60" t="b">
        <f>TRUE()</f>
        <v>1</v>
      </c>
      <c r="AB1686" s="60" t="b">
        <f>FALSE()</f>
        <v>0</v>
      </c>
      <c r="AC1686" s="60" t="b">
        <f>FALSE()</f>
        <v>0</v>
      </c>
      <c r="AD1686" s="60" t="b">
        <f>FALSE()</f>
        <v>0</v>
      </c>
      <c r="AE1686" s="60">
        <v>1</v>
      </c>
      <c r="AF1686" s="64">
        <v>14.3</v>
      </c>
      <c r="AG1686" s="60" t="s">
        <v>74</v>
      </c>
      <c r="AH1686" s="60" t="s">
        <v>6130</v>
      </c>
      <c r="AI1686">
        <f>IF(AND(OR(Company_Explorer!$B$5="All Companies",$E1686=Company_Explorer!$B$5),OR(Company_Explorer!$B$6="All Platforms",$B1686=Company_Explorer!$B$6),OR(Company_Explorer!$B$7="All Roles",$D1686=Company_Explorer!$B$7),OR(Company_Explorer!$B$8="All Ghost Labels",$AG1686=Company_Explorer!$B$8)),1,0)</f>
        <v>0</v>
      </c>
    </row>
    <row r="1687" spans="1:35" ht="15" customHeight="1" x14ac:dyDescent="0.3">
      <c r="A1687" s="65" t="s">
        <v>6131</v>
      </c>
      <c r="B1687" s="65" t="s">
        <v>81</v>
      </c>
      <c r="C1687" s="65" t="s">
        <v>6132</v>
      </c>
      <c r="D1687" s="65" t="s">
        <v>126</v>
      </c>
      <c r="E1687" s="65" t="s">
        <v>145</v>
      </c>
      <c r="F1687" s="65" t="b">
        <f>TRUE()</f>
        <v>1</v>
      </c>
      <c r="G1687" s="65" t="s">
        <v>165</v>
      </c>
      <c r="H1687" s="65" t="s">
        <v>3620</v>
      </c>
      <c r="I1687" s="66">
        <v>46209.919294467603</v>
      </c>
      <c r="J1687" s="66">
        <v>46210.2832550694</v>
      </c>
      <c r="K1687" s="65">
        <v>0.4</v>
      </c>
      <c r="L1687" s="65" t="s">
        <v>183</v>
      </c>
      <c r="M1687" s="65" t="s">
        <v>183</v>
      </c>
      <c r="N1687" s="65" t="b">
        <f>FALSE()</f>
        <v>0</v>
      </c>
      <c r="O1687" s="65"/>
      <c r="P1687" s="65"/>
      <c r="Q1687" s="65" t="s">
        <v>236</v>
      </c>
      <c r="R1687" s="65" t="s">
        <v>236</v>
      </c>
      <c r="S1687" s="65"/>
      <c r="T1687" s="65" t="b">
        <f>FALSE()</f>
        <v>0</v>
      </c>
      <c r="U1687" s="65" t="b">
        <f>FALSE()</f>
        <v>0</v>
      </c>
      <c r="V1687" s="65">
        <v>665</v>
      </c>
      <c r="W1687" s="67" t="s">
        <v>3646</v>
      </c>
      <c r="X1687" s="65">
        <v>42</v>
      </c>
      <c r="Y1687" s="68">
        <v>73.5</v>
      </c>
      <c r="Z1687" s="65" t="b">
        <f>FALSE()</f>
        <v>0</v>
      </c>
      <c r="AA1687" s="65" t="b">
        <f>TRUE()</f>
        <v>1</v>
      </c>
      <c r="AB1687" s="65" t="b">
        <f>FALSE()</f>
        <v>0</v>
      </c>
      <c r="AC1687" s="65" t="b">
        <f>FALSE()</f>
        <v>0</v>
      </c>
      <c r="AD1687" s="65" t="b">
        <f>FALSE()</f>
        <v>0</v>
      </c>
      <c r="AE1687" s="65">
        <v>1</v>
      </c>
      <c r="AF1687" s="69">
        <v>14.3</v>
      </c>
      <c r="AG1687" s="65" t="s">
        <v>74</v>
      </c>
      <c r="AH1687" s="65" t="s">
        <v>6133</v>
      </c>
      <c r="AI1687">
        <f>IF(AND(OR(Company_Explorer!$B$5="All Companies",$E1687=Company_Explorer!$B$5),OR(Company_Explorer!$B$6="All Platforms",$B1687=Company_Explorer!$B$6),OR(Company_Explorer!$B$7="All Roles",$D1687=Company_Explorer!$B$7),OR(Company_Explorer!$B$8="All Ghost Labels",$AG1687=Company_Explorer!$B$8)),1,0)</f>
        <v>0</v>
      </c>
    </row>
    <row r="1688" spans="1:35" ht="15" customHeight="1" x14ac:dyDescent="0.3">
      <c r="A1688" s="60" t="s">
        <v>6134</v>
      </c>
      <c r="B1688" s="60" t="s">
        <v>81</v>
      </c>
      <c r="C1688" s="60" t="s">
        <v>4123</v>
      </c>
      <c r="D1688" s="60" t="s">
        <v>125</v>
      </c>
      <c r="E1688" s="60" t="s">
        <v>4124</v>
      </c>
      <c r="F1688" s="60" t="b">
        <f>TRUE()</f>
        <v>1</v>
      </c>
      <c r="G1688" s="60" t="s">
        <v>165</v>
      </c>
      <c r="H1688" s="60" t="s">
        <v>3620</v>
      </c>
      <c r="I1688" s="61">
        <v>46209.924908877299</v>
      </c>
      <c r="J1688" s="61">
        <v>46210.283256122697</v>
      </c>
      <c r="K1688" s="60">
        <v>0.4</v>
      </c>
      <c r="L1688" s="60" t="s">
        <v>183</v>
      </c>
      <c r="M1688" s="60" t="s">
        <v>183</v>
      </c>
      <c r="N1688" s="60" t="b">
        <f>FALSE()</f>
        <v>0</v>
      </c>
      <c r="O1688" s="60"/>
      <c r="P1688" s="60"/>
      <c r="Q1688" s="60" t="s">
        <v>236</v>
      </c>
      <c r="R1688" s="60" t="s">
        <v>236</v>
      </c>
      <c r="S1688" s="60"/>
      <c r="T1688" s="60" t="b">
        <f>FALSE()</f>
        <v>0</v>
      </c>
      <c r="U1688" s="60" t="b">
        <f>FALSE()</f>
        <v>0</v>
      </c>
      <c r="V1688" s="60">
        <v>459</v>
      </c>
      <c r="W1688" s="62" t="s">
        <v>6135</v>
      </c>
      <c r="X1688" s="60">
        <v>2</v>
      </c>
      <c r="Y1688" s="63">
        <v>3.5</v>
      </c>
      <c r="Z1688" s="60" t="b">
        <f>FALSE()</f>
        <v>0</v>
      </c>
      <c r="AA1688" s="60" t="b">
        <f>TRUE()</f>
        <v>1</v>
      </c>
      <c r="AB1688" s="60" t="b">
        <f>FALSE()</f>
        <v>0</v>
      </c>
      <c r="AC1688" s="60" t="b">
        <f>FALSE()</f>
        <v>0</v>
      </c>
      <c r="AD1688" s="60" t="b">
        <f>FALSE()</f>
        <v>0</v>
      </c>
      <c r="AE1688" s="60">
        <v>1</v>
      </c>
      <c r="AF1688" s="64">
        <v>14.3</v>
      </c>
      <c r="AG1688" s="60" t="s">
        <v>74</v>
      </c>
      <c r="AH1688" s="60" t="s">
        <v>6136</v>
      </c>
      <c r="AI1688">
        <f>IF(AND(OR(Company_Explorer!$B$5="All Companies",$E1688=Company_Explorer!$B$5),OR(Company_Explorer!$B$6="All Platforms",$B1688=Company_Explorer!$B$6),OR(Company_Explorer!$B$7="All Roles",$D1688=Company_Explorer!$B$7),OR(Company_Explorer!$B$8="All Ghost Labels",$AG1688=Company_Explorer!$B$8)),1,0)</f>
        <v>0</v>
      </c>
    </row>
    <row r="1689" spans="1:35" ht="15" customHeight="1" x14ac:dyDescent="0.3">
      <c r="A1689" s="65" t="s">
        <v>6137</v>
      </c>
      <c r="B1689" s="65" t="s">
        <v>81</v>
      </c>
      <c r="C1689" s="65" t="s">
        <v>6138</v>
      </c>
      <c r="D1689" s="65" t="s">
        <v>126</v>
      </c>
      <c r="E1689" s="65" t="s">
        <v>145</v>
      </c>
      <c r="F1689" s="65" t="b">
        <f>TRUE()</f>
        <v>1</v>
      </c>
      <c r="G1689" s="65" t="s">
        <v>165</v>
      </c>
      <c r="H1689" s="65" t="s">
        <v>3620</v>
      </c>
      <c r="I1689" s="66">
        <v>46209.918965705998</v>
      </c>
      <c r="J1689" s="66">
        <v>46210.283257152798</v>
      </c>
      <c r="K1689" s="65">
        <v>0.4</v>
      </c>
      <c r="L1689" s="65" t="s">
        <v>183</v>
      </c>
      <c r="M1689" s="65" t="s">
        <v>183</v>
      </c>
      <c r="N1689" s="65" t="b">
        <f>FALSE()</f>
        <v>0</v>
      </c>
      <c r="O1689" s="65"/>
      <c r="P1689" s="65"/>
      <c r="Q1689" s="65" t="s">
        <v>236</v>
      </c>
      <c r="R1689" s="65" t="s">
        <v>236</v>
      </c>
      <c r="S1689" s="65"/>
      <c r="T1689" s="65" t="b">
        <f>FALSE()</f>
        <v>0</v>
      </c>
      <c r="U1689" s="65" t="b">
        <f>FALSE()</f>
        <v>0</v>
      </c>
      <c r="V1689" s="65">
        <v>725</v>
      </c>
      <c r="W1689" s="67" t="s">
        <v>3646</v>
      </c>
      <c r="X1689" s="65">
        <v>42</v>
      </c>
      <c r="Y1689" s="68">
        <v>73.5</v>
      </c>
      <c r="Z1689" s="65" t="b">
        <f>FALSE()</f>
        <v>0</v>
      </c>
      <c r="AA1689" s="65" t="b">
        <f>TRUE()</f>
        <v>1</v>
      </c>
      <c r="AB1689" s="65" t="b">
        <f>FALSE()</f>
        <v>0</v>
      </c>
      <c r="AC1689" s="65" t="b">
        <f>FALSE()</f>
        <v>0</v>
      </c>
      <c r="AD1689" s="65" t="b">
        <f>FALSE()</f>
        <v>0</v>
      </c>
      <c r="AE1689" s="65">
        <v>1</v>
      </c>
      <c r="AF1689" s="69">
        <v>14.3</v>
      </c>
      <c r="AG1689" s="65" t="s">
        <v>74</v>
      </c>
      <c r="AH1689" s="65" t="s">
        <v>6139</v>
      </c>
      <c r="AI1689">
        <f>IF(AND(OR(Company_Explorer!$B$5="All Companies",$E1689=Company_Explorer!$B$5),OR(Company_Explorer!$B$6="All Platforms",$B1689=Company_Explorer!$B$6),OR(Company_Explorer!$B$7="All Roles",$D1689=Company_Explorer!$B$7),OR(Company_Explorer!$B$8="All Ghost Labels",$AG1689=Company_Explorer!$B$8)),1,0)</f>
        <v>0</v>
      </c>
    </row>
    <row r="1690" spans="1:35" ht="15" customHeight="1" x14ac:dyDescent="0.3">
      <c r="A1690" s="60" t="s">
        <v>6140</v>
      </c>
      <c r="B1690" s="60" t="s">
        <v>81</v>
      </c>
      <c r="C1690" s="60" t="s">
        <v>6141</v>
      </c>
      <c r="D1690" s="60" t="s">
        <v>126</v>
      </c>
      <c r="E1690" s="60" t="s">
        <v>6142</v>
      </c>
      <c r="F1690" s="60" t="b">
        <f>TRUE()</f>
        <v>1</v>
      </c>
      <c r="G1690" s="60" t="s">
        <v>177</v>
      </c>
      <c r="H1690" s="60" t="s">
        <v>165</v>
      </c>
      <c r="I1690" s="61">
        <v>46209.921978530103</v>
      </c>
      <c r="J1690" s="61">
        <v>46210.283257511597</v>
      </c>
      <c r="K1690" s="60">
        <v>0.4</v>
      </c>
      <c r="L1690" s="60" t="s">
        <v>183</v>
      </c>
      <c r="M1690" s="60" t="s">
        <v>183</v>
      </c>
      <c r="N1690" s="60" t="b">
        <f>FALSE()</f>
        <v>0</v>
      </c>
      <c r="O1690" s="60"/>
      <c r="P1690" s="60"/>
      <c r="Q1690" s="60" t="s">
        <v>236</v>
      </c>
      <c r="R1690" s="60" t="s">
        <v>236</v>
      </c>
      <c r="S1690" s="60"/>
      <c r="T1690" s="60" t="b">
        <f>FALSE()</f>
        <v>0</v>
      </c>
      <c r="U1690" s="60" t="b">
        <f>FALSE()</f>
        <v>0</v>
      </c>
      <c r="V1690" s="60">
        <v>924</v>
      </c>
      <c r="W1690" s="62" t="s">
        <v>6143</v>
      </c>
      <c r="X1690" s="60">
        <v>1</v>
      </c>
      <c r="Y1690" s="63">
        <v>1.75</v>
      </c>
      <c r="Z1690" s="60" t="b">
        <f>FALSE()</f>
        <v>0</v>
      </c>
      <c r="AA1690" s="60" t="b">
        <f>TRUE()</f>
        <v>1</v>
      </c>
      <c r="AB1690" s="60" t="b">
        <f>FALSE()</f>
        <v>0</v>
      </c>
      <c r="AC1690" s="60" t="b">
        <f>FALSE()</f>
        <v>0</v>
      </c>
      <c r="AD1690" s="60" t="b">
        <f>FALSE()</f>
        <v>0</v>
      </c>
      <c r="AE1690" s="60">
        <v>1</v>
      </c>
      <c r="AF1690" s="64">
        <v>14.3</v>
      </c>
      <c r="AG1690" s="60" t="s">
        <v>74</v>
      </c>
      <c r="AH1690" s="60" t="s">
        <v>6144</v>
      </c>
      <c r="AI1690">
        <f>IF(AND(OR(Company_Explorer!$B$5="All Companies",$E1690=Company_Explorer!$B$5),OR(Company_Explorer!$B$6="All Platforms",$B1690=Company_Explorer!$B$6),OR(Company_Explorer!$B$7="All Roles",$D1690=Company_Explorer!$B$7),OR(Company_Explorer!$B$8="All Ghost Labels",$AG1690=Company_Explorer!$B$8)),1,0)</f>
        <v>0</v>
      </c>
    </row>
    <row r="1691" spans="1:35" ht="15" customHeight="1" x14ac:dyDescent="0.3">
      <c r="A1691" s="65" t="s">
        <v>6145</v>
      </c>
      <c r="B1691" s="65" t="s">
        <v>81</v>
      </c>
      <c r="C1691" s="65" t="s">
        <v>6146</v>
      </c>
      <c r="D1691" s="65" t="s">
        <v>126</v>
      </c>
      <c r="E1691" s="65" t="s">
        <v>145</v>
      </c>
      <c r="F1691" s="65" t="b">
        <f>TRUE()</f>
        <v>1</v>
      </c>
      <c r="G1691" s="65" t="s">
        <v>165</v>
      </c>
      <c r="H1691" s="65" t="s">
        <v>3620</v>
      </c>
      <c r="I1691" s="66">
        <v>46209.919281111099</v>
      </c>
      <c r="J1691" s="66">
        <v>46210.283257569397</v>
      </c>
      <c r="K1691" s="65">
        <v>0.4</v>
      </c>
      <c r="L1691" s="65" t="s">
        <v>183</v>
      </c>
      <c r="M1691" s="65" t="s">
        <v>183</v>
      </c>
      <c r="N1691" s="65" t="b">
        <f>FALSE()</f>
        <v>0</v>
      </c>
      <c r="O1691" s="65"/>
      <c r="P1691" s="65"/>
      <c r="Q1691" s="65" t="s">
        <v>236</v>
      </c>
      <c r="R1691" s="65" t="s">
        <v>236</v>
      </c>
      <c r="S1691" s="65"/>
      <c r="T1691" s="65" t="b">
        <f>FALSE()</f>
        <v>0</v>
      </c>
      <c r="U1691" s="65" t="b">
        <f>FALSE()</f>
        <v>0</v>
      </c>
      <c r="V1691" s="65">
        <v>737</v>
      </c>
      <c r="W1691" s="67" t="s">
        <v>3646</v>
      </c>
      <c r="X1691" s="65">
        <v>42</v>
      </c>
      <c r="Y1691" s="68">
        <v>73.5</v>
      </c>
      <c r="Z1691" s="65" t="b">
        <f>FALSE()</f>
        <v>0</v>
      </c>
      <c r="AA1691" s="65" t="b">
        <f>TRUE()</f>
        <v>1</v>
      </c>
      <c r="AB1691" s="65" t="b">
        <f>FALSE()</f>
        <v>0</v>
      </c>
      <c r="AC1691" s="65" t="b">
        <f>FALSE()</f>
        <v>0</v>
      </c>
      <c r="AD1691" s="65" t="b">
        <f>FALSE()</f>
        <v>0</v>
      </c>
      <c r="AE1691" s="65">
        <v>1</v>
      </c>
      <c r="AF1691" s="69">
        <v>14.3</v>
      </c>
      <c r="AG1691" s="65" t="s">
        <v>74</v>
      </c>
      <c r="AH1691" s="65" t="s">
        <v>6147</v>
      </c>
      <c r="AI1691">
        <f>IF(AND(OR(Company_Explorer!$B$5="All Companies",$E1691=Company_Explorer!$B$5),OR(Company_Explorer!$B$6="All Platforms",$B1691=Company_Explorer!$B$6),OR(Company_Explorer!$B$7="All Roles",$D1691=Company_Explorer!$B$7),OR(Company_Explorer!$B$8="All Ghost Labels",$AG1691=Company_Explorer!$B$8)),1,0)</f>
        <v>0</v>
      </c>
    </row>
    <row r="1692" spans="1:35" ht="15" customHeight="1" x14ac:dyDescent="0.3">
      <c r="A1692" s="60" t="s">
        <v>6148</v>
      </c>
      <c r="B1692" s="60" t="s">
        <v>81</v>
      </c>
      <c r="C1692" s="60" t="s">
        <v>6149</v>
      </c>
      <c r="D1692" s="60" t="s">
        <v>126</v>
      </c>
      <c r="E1692" s="60" t="s">
        <v>145</v>
      </c>
      <c r="F1692" s="60" t="b">
        <f>TRUE()</f>
        <v>1</v>
      </c>
      <c r="G1692" s="60" t="s">
        <v>165</v>
      </c>
      <c r="H1692" s="60" t="s">
        <v>3620</v>
      </c>
      <c r="I1692" s="61">
        <v>46209.919294780098</v>
      </c>
      <c r="J1692" s="61">
        <v>46210.283257604198</v>
      </c>
      <c r="K1692" s="60">
        <v>0.4</v>
      </c>
      <c r="L1692" s="60" t="s">
        <v>183</v>
      </c>
      <c r="M1692" s="60" t="s">
        <v>183</v>
      </c>
      <c r="N1692" s="60" t="b">
        <f>FALSE()</f>
        <v>0</v>
      </c>
      <c r="O1692" s="60"/>
      <c r="P1692" s="60"/>
      <c r="Q1692" s="60" t="s">
        <v>236</v>
      </c>
      <c r="R1692" s="60" t="s">
        <v>236</v>
      </c>
      <c r="S1692" s="60"/>
      <c r="T1692" s="60" t="b">
        <f>FALSE()</f>
        <v>0</v>
      </c>
      <c r="U1692" s="60" t="b">
        <f>FALSE()</f>
        <v>0</v>
      </c>
      <c r="V1692" s="60">
        <v>713</v>
      </c>
      <c r="W1692" s="62" t="s">
        <v>3646</v>
      </c>
      <c r="X1692" s="60">
        <v>42</v>
      </c>
      <c r="Y1692" s="63">
        <v>73.5</v>
      </c>
      <c r="Z1692" s="60" t="b">
        <f>FALSE()</f>
        <v>0</v>
      </c>
      <c r="AA1692" s="60" t="b">
        <f>TRUE()</f>
        <v>1</v>
      </c>
      <c r="AB1692" s="60" t="b">
        <f>FALSE()</f>
        <v>0</v>
      </c>
      <c r="AC1692" s="60" t="b">
        <f>FALSE()</f>
        <v>0</v>
      </c>
      <c r="AD1692" s="60" t="b">
        <f>FALSE()</f>
        <v>0</v>
      </c>
      <c r="AE1692" s="60">
        <v>1</v>
      </c>
      <c r="AF1692" s="64">
        <v>14.3</v>
      </c>
      <c r="AG1692" s="60" t="s">
        <v>74</v>
      </c>
      <c r="AH1692" s="60" t="s">
        <v>6150</v>
      </c>
      <c r="AI1692">
        <f>IF(AND(OR(Company_Explorer!$B$5="All Companies",$E1692=Company_Explorer!$B$5),OR(Company_Explorer!$B$6="All Platforms",$B1692=Company_Explorer!$B$6),OR(Company_Explorer!$B$7="All Roles",$D1692=Company_Explorer!$B$7),OR(Company_Explorer!$B$8="All Ghost Labels",$AG1692=Company_Explorer!$B$8)),1,0)</f>
        <v>0</v>
      </c>
    </row>
    <row r="1693" spans="1:35" ht="15" customHeight="1" x14ac:dyDescent="0.3">
      <c r="A1693" s="65" t="s">
        <v>6151</v>
      </c>
      <c r="B1693" s="65" t="s">
        <v>81</v>
      </c>
      <c r="C1693" s="65" t="s">
        <v>5039</v>
      </c>
      <c r="D1693" s="65" t="s">
        <v>125</v>
      </c>
      <c r="E1693" s="65" t="s">
        <v>2758</v>
      </c>
      <c r="F1693" s="65" t="b">
        <f>TRUE()</f>
        <v>1</v>
      </c>
      <c r="G1693" s="65" t="s">
        <v>165</v>
      </c>
      <c r="H1693" s="65" t="s">
        <v>3630</v>
      </c>
      <c r="I1693" s="66">
        <v>46209.918569340298</v>
      </c>
      <c r="J1693" s="66">
        <v>46210.283258194497</v>
      </c>
      <c r="K1693" s="65">
        <v>0.4</v>
      </c>
      <c r="L1693" s="65" t="s">
        <v>183</v>
      </c>
      <c r="M1693" s="65" t="s">
        <v>183</v>
      </c>
      <c r="N1693" s="65" t="b">
        <f>FALSE()</f>
        <v>0</v>
      </c>
      <c r="O1693" s="65"/>
      <c r="P1693" s="65"/>
      <c r="Q1693" s="65" t="s">
        <v>236</v>
      </c>
      <c r="R1693" s="65" t="s">
        <v>236</v>
      </c>
      <c r="S1693" s="65"/>
      <c r="T1693" s="65" t="b">
        <f>FALSE()</f>
        <v>0</v>
      </c>
      <c r="U1693" s="65" t="b">
        <f>FALSE()</f>
        <v>0</v>
      </c>
      <c r="V1693" s="65">
        <v>423</v>
      </c>
      <c r="W1693" s="67" t="s">
        <v>6152</v>
      </c>
      <c r="X1693" s="65">
        <v>11</v>
      </c>
      <c r="Y1693" s="68">
        <v>19.25</v>
      </c>
      <c r="Z1693" s="65" t="b">
        <f>FALSE()</f>
        <v>0</v>
      </c>
      <c r="AA1693" s="65" t="b">
        <f>TRUE()</f>
        <v>1</v>
      </c>
      <c r="AB1693" s="65" t="b">
        <f>FALSE()</f>
        <v>0</v>
      </c>
      <c r="AC1693" s="65" t="b">
        <f>FALSE()</f>
        <v>0</v>
      </c>
      <c r="AD1693" s="65" t="b">
        <f>FALSE()</f>
        <v>0</v>
      </c>
      <c r="AE1693" s="65">
        <v>1</v>
      </c>
      <c r="AF1693" s="69">
        <v>14.3</v>
      </c>
      <c r="AG1693" s="65" t="s">
        <v>74</v>
      </c>
      <c r="AH1693" s="65" t="s">
        <v>6153</v>
      </c>
      <c r="AI1693">
        <f>IF(AND(OR(Company_Explorer!$B$5="All Companies",$E1693=Company_Explorer!$B$5),OR(Company_Explorer!$B$6="All Platforms",$B1693=Company_Explorer!$B$6),OR(Company_Explorer!$B$7="All Roles",$D1693=Company_Explorer!$B$7),OR(Company_Explorer!$B$8="All Ghost Labels",$AG1693=Company_Explorer!$B$8)),1,0)</f>
        <v>0</v>
      </c>
    </row>
    <row r="1694" spans="1:35" ht="15" customHeight="1" x14ac:dyDescent="0.3">
      <c r="A1694" s="60" t="s">
        <v>6154</v>
      </c>
      <c r="B1694" s="60" t="s">
        <v>81</v>
      </c>
      <c r="C1694" s="60" t="s">
        <v>6155</v>
      </c>
      <c r="D1694" s="60" t="s">
        <v>126</v>
      </c>
      <c r="E1694" s="60" t="s">
        <v>145</v>
      </c>
      <c r="F1694" s="60" t="b">
        <f>TRUE()</f>
        <v>1</v>
      </c>
      <c r="G1694" s="60" t="s">
        <v>165</v>
      </c>
      <c r="H1694" s="60" t="s">
        <v>3620</v>
      </c>
      <c r="I1694" s="61">
        <v>46209.919284953699</v>
      </c>
      <c r="J1694" s="61">
        <v>46210.283258263902</v>
      </c>
      <c r="K1694" s="60">
        <v>0.4</v>
      </c>
      <c r="L1694" s="60" t="s">
        <v>183</v>
      </c>
      <c r="M1694" s="60" t="s">
        <v>183</v>
      </c>
      <c r="N1694" s="60" t="b">
        <f>FALSE()</f>
        <v>0</v>
      </c>
      <c r="O1694" s="60"/>
      <c r="P1694" s="60"/>
      <c r="Q1694" s="60" t="s">
        <v>236</v>
      </c>
      <c r="R1694" s="60" t="s">
        <v>236</v>
      </c>
      <c r="S1694" s="60"/>
      <c r="T1694" s="60" t="b">
        <f>FALSE()</f>
        <v>0</v>
      </c>
      <c r="U1694" s="60" t="b">
        <f>FALSE()</f>
        <v>0</v>
      </c>
      <c r="V1694" s="60">
        <v>790</v>
      </c>
      <c r="W1694" s="62" t="s">
        <v>3646</v>
      </c>
      <c r="X1694" s="60">
        <v>42</v>
      </c>
      <c r="Y1694" s="63">
        <v>73.5</v>
      </c>
      <c r="Z1694" s="60" t="b">
        <f>FALSE()</f>
        <v>0</v>
      </c>
      <c r="AA1694" s="60" t="b">
        <f>TRUE()</f>
        <v>1</v>
      </c>
      <c r="AB1694" s="60" t="b">
        <f>FALSE()</f>
        <v>0</v>
      </c>
      <c r="AC1694" s="60" t="b">
        <f>FALSE()</f>
        <v>0</v>
      </c>
      <c r="AD1694" s="60" t="b">
        <f>FALSE()</f>
        <v>0</v>
      </c>
      <c r="AE1694" s="60">
        <v>1</v>
      </c>
      <c r="AF1694" s="64">
        <v>14.3</v>
      </c>
      <c r="AG1694" s="60" t="s">
        <v>74</v>
      </c>
      <c r="AH1694" s="60" t="s">
        <v>6156</v>
      </c>
      <c r="AI1694">
        <f>IF(AND(OR(Company_Explorer!$B$5="All Companies",$E1694=Company_Explorer!$B$5),OR(Company_Explorer!$B$6="All Platforms",$B1694=Company_Explorer!$B$6),OR(Company_Explorer!$B$7="All Roles",$D1694=Company_Explorer!$B$7),OR(Company_Explorer!$B$8="All Ghost Labels",$AG1694=Company_Explorer!$B$8)),1,0)</f>
        <v>0</v>
      </c>
    </row>
    <row r="1695" spans="1:35" ht="15" customHeight="1" x14ac:dyDescent="0.3">
      <c r="A1695" s="65" t="s">
        <v>6157</v>
      </c>
      <c r="B1695" s="65" t="s">
        <v>81</v>
      </c>
      <c r="C1695" s="65" t="s">
        <v>6158</v>
      </c>
      <c r="D1695" s="65" t="s">
        <v>126</v>
      </c>
      <c r="E1695" s="65" t="s">
        <v>6159</v>
      </c>
      <c r="F1695" s="65" t="b">
        <f>TRUE()</f>
        <v>1</v>
      </c>
      <c r="G1695" s="65" t="s">
        <v>165</v>
      </c>
      <c r="H1695" s="65" t="s">
        <v>3620</v>
      </c>
      <c r="I1695" s="66">
        <v>46209.919936319398</v>
      </c>
      <c r="J1695" s="66">
        <v>46210.283258298601</v>
      </c>
      <c r="K1695" s="65">
        <v>0.4</v>
      </c>
      <c r="L1695" s="65" t="s">
        <v>183</v>
      </c>
      <c r="M1695" s="65" t="s">
        <v>183</v>
      </c>
      <c r="N1695" s="65" t="b">
        <f>FALSE()</f>
        <v>0</v>
      </c>
      <c r="O1695" s="65"/>
      <c r="P1695" s="65"/>
      <c r="Q1695" s="65" t="s">
        <v>236</v>
      </c>
      <c r="R1695" s="65" t="s">
        <v>236</v>
      </c>
      <c r="S1695" s="65"/>
      <c r="T1695" s="65" t="b">
        <f>FALSE()</f>
        <v>0</v>
      </c>
      <c r="U1695" s="65" t="b">
        <f>FALSE()</f>
        <v>0</v>
      </c>
      <c r="V1695" s="65">
        <v>438</v>
      </c>
      <c r="W1695" s="65" t="s">
        <v>6160</v>
      </c>
      <c r="X1695" s="65">
        <v>1</v>
      </c>
      <c r="Y1695" s="68">
        <v>1.75</v>
      </c>
      <c r="Z1695" s="65" t="b">
        <f>FALSE()</f>
        <v>0</v>
      </c>
      <c r="AA1695" s="65" t="b">
        <f>TRUE()</f>
        <v>1</v>
      </c>
      <c r="AB1695" s="65" t="b">
        <f>FALSE()</f>
        <v>0</v>
      </c>
      <c r="AC1695" s="65" t="b">
        <f>FALSE()</f>
        <v>0</v>
      </c>
      <c r="AD1695" s="65" t="b">
        <f>FALSE()</f>
        <v>0</v>
      </c>
      <c r="AE1695" s="65">
        <v>1</v>
      </c>
      <c r="AF1695" s="69">
        <v>14.3</v>
      </c>
      <c r="AG1695" s="65" t="s">
        <v>74</v>
      </c>
      <c r="AH1695" s="65" t="s">
        <v>6161</v>
      </c>
      <c r="AI1695">
        <f>IF(AND(OR(Company_Explorer!$B$5="All Companies",$E1695=Company_Explorer!$B$5),OR(Company_Explorer!$B$6="All Platforms",$B1695=Company_Explorer!$B$6),OR(Company_Explorer!$B$7="All Roles",$D1695=Company_Explorer!$B$7),OR(Company_Explorer!$B$8="All Ghost Labels",$AG1695=Company_Explorer!$B$8)),1,0)</f>
        <v>0</v>
      </c>
    </row>
    <row r="1696" spans="1:35" ht="15" customHeight="1" x14ac:dyDescent="0.3">
      <c r="A1696" s="60" t="s">
        <v>6162</v>
      </c>
      <c r="B1696" s="60" t="s">
        <v>81</v>
      </c>
      <c r="C1696" s="60" t="s">
        <v>6163</v>
      </c>
      <c r="D1696" s="60" t="s">
        <v>126</v>
      </c>
      <c r="E1696" s="60" t="s">
        <v>146</v>
      </c>
      <c r="F1696" s="60" t="b">
        <f>TRUE()</f>
        <v>1</v>
      </c>
      <c r="G1696" s="60" t="s">
        <v>165</v>
      </c>
      <c r="H1696" s="60" t="s">
        <v>3636</v>
      </c>
      <c r="I1696" s="61">
        <v>46209.910871354201</v>
      </c>
      <c r="J1696" s="61">
        <v>46210.2832592708</v>
      </c>
      <c r="K1696" s="60">
        <v>0.4</v>
      </c>
      <c r="L1696" s="60" t="s">
        <v>183</v>
      </c>
      <c r="M1696" s="60" t="s">
        <v>183</v>
      </c>
      <c r="N1696" s="60" t="b">
        <f>FALSE()</f>
        <v>0</v>
      </c>
      <c r="O1696" s="60"/>
      <c r="P1696" s="60"/>
      <c r="Q1696" s="60" t="s">
        <v>236</v>
      </c>
      <c r="R1696" s="60" t="s">
        <v>236</v>
      </c>
      <c r="S1696" s="60"/>
      <c r="T1696" s="60" t="b">
        <f>FALSE()</f>
        <v>0</v>
      </c>
      <c r="U1696" s="60" t="b">
        <f>FALSE()</f>
        <v>0</v>
      </c>
      <c r="V1696" s="60">
        <v>577</v>
      </c>
      <c r="W1696" s="62" t="s">
        <v>6164</v>
      </c>
      <c r="X1696" s="60">
        <v>33</v>
      </c>
      <c r="Y1696" s="63">
        <v>57.75</v>
      </c>
      <c r="Z1696" s="60" t="b">
        <f>FALSE()</f>
        <v>0</v>
      </c>
      <c r="AA1696" s="60" t="b">
        <f>TRUE()</f>
        <v>1</v>
      </c>
      <c r="AB1696" s="60" t="b">
        <f>FALSE()</f>
        <v>0</v>
      </c>
      <c r="AC1696" s="60" t="b">
        <f>FALSE()</f>
        <v>0</v>
      </c>
      <c r="AD1696" s="60" t="b">
        <f>FALSE()</f>
        <v>0</v>
      </c>
      <c r="AE1696" s="60">
        <v>1</v>
      </c>
      <c r="AF1696" s="64">
        <v>14.3</v>
      </c>
      <c r="AG1696" s="60" t="s">
        <v>74</v>
      </c>
      <c r="AH1696" s="60" t="s">
        <v>6165</v>
      </c>
      <c r="AI1696">
        <f>IF(AND(OR(Company_Explorer!$B$5="All Companies",$E1696=Company_Explorer!$B$5),OR(Company_Explorer!$B$6="All Platforms",$B1696=Company_Explorer!$B$6),OR(Company_Explorer!$B$7="All Roles",$D1696=Company_Explorer!$B$7),OR(Company_Explorer!$B$8="All Ghost Labels",$AG1696=Company_Explorer!$B$8)),1,0)</f>
        <v>0</v>
      </c>
    </row>
    <row r="1697" spans="1:35" ht="15" customHeight="1" x14ac:dyDescent="0.3">
      <c r="A1697" s="65" t="s">
        <v>6166</v>
      </c>
      <c r="B1697" s="65" t="s">
        <v>81</v>
      </c>
      <c r="C1697" s="65" t="s">
        <v>6167</v>
      </c>
      <c r="D1697" s="65" t="s">
        <v>126</v>
      </c>
      <c r="E1697" s="65" t="s">
        <v>6168</v>
      </c>
      <c r="F1697" s="65" t="b">
        <f>TRUE()</f>
        <v>1</v>
      </c>
      <c r="G1697" s="65" t="s">
        <v>165</v>
      </c>
      <c r="H1697" s="65" t="s">
        <v>3702</v>
      </c>
      <c r="I1697" s="66">
        <v>46209.920593310198</v>
      </c>
      <c r="J1697" s="66">
        <v>46210.283259201402</v>
      </c>
      <c r="K1697" s="65">
        <v>0.4</v>
      </c>
      <c r="L1697" s="65" t="s">
        <v>183</v>
      </c>
      <c r="M1697" s="65" t="s">
        <v>183</v>
      </c>
      <c r="N1697" s="65" t="b">
        <f>FALSE()</f>
        <v>0</v>
      </c>
      <c r="O1697" s="65"/>
      <c r="P1697" s="65"/>
      <c r="Q1697" s="65" t="s">
        <v>236</v>
      </c>
      <c r="R1697" s="65" t="s">
        <v>236</v>
      </c>
      <c r="S1697" s="65"/>
      <c r="T1697" s="65" t="b">
        <f>FALSE()</f>
        <v>0</v>
      </c>
      <c r="U1697" s="65" t="b">
        <f>FALSE()</f>
        <v>0</v>
      </c>
      <c r="V1697" s="65">
        <v>831</v>
      </c>
      <c r="W1697" s="67" t="s">
        <v>6169</v>
      </c>
      <c r="X1697" s="65">
        <v>1</v>
      </c>
      <c r="Y1697" s="68">
        <v>1.75</v>
      </c>
      <c r="Z1697" s="65" t="b">
        <f>FALSE()</f>
        <v>0</v>
      </c>
      <c r="AA1697" s="65" t="b">
        <f>TRUE()</f>
        <v>1</v>
      </c>
      <c r="AB1697" s="65" t="b">
        <f>FALSE()</f>
        <v>0</v>
      </c>
      <c r="AC1697" s="65" t="b">
        <f>FALSE()</f>
        <v>0</v>
      </c>
      <c r="AD1697" s="65" t="b">
        <f>FALSE()</f>
        <v>0</v>
      </c>
      <c r="AE1697" s="65">
        <v>1</v>
      </c>
      <c r="AF1697" s="69">
        <v>14.3</v>
      </c>
      <c r="AG1697" s="65" t="s">
        <v>74</v>
      </c>
      <c r="AH1697" s="65" t="s">
        <v>6170</v>
      </c>
      <c r="AI1697">
        <f>IF(AND(OR(Company_Explorer!$B$5="All Companies",$E1697=Company_Explorer!$B$5),OR(Company_Explorer!$B$6="All Platforms",$B1697=Company_Explorer!$B$6),OR(Company_Explorer!$B$7="All Roles",$D1697=Company_Explorer!$B$7),OR(Company_Explorer!$B$8="All Ghost Labels",$AG1697=Company_Explorer!$B$8)),1,0)</f>
        <v>0</v>
      </c>
    </row>
    <row r="1698" spans="1:35" ht="15" customHeight="1" x14ac:dyDescent="0.3">
      <c r="A1698" s="60" t="s">
        <v>6171</v>
      </c>
      <c r="B1698" s="60" t="s">
        <v>81</v>
      </c>
      <c r="C1698" s="60" t="s">
        <v>6172</v>
      </c>
      <c r="D1698" s="60" t="s">
        <v>126</v>
      </c>
      <c r="E1698" s="60" t="s">
        <v>6173</v>
      </c>
      <c r="F1698" s="60" t="b">
        <f>TRUE()</f>
        <v>1</v>
      </c>
      <c r="G1698" s="60" t="s">
        <v>165</v>
      </c>
      <c r="H1698" s="60" t="s">
        <v>3630</v>
      </c>
      <c r="I1698" s="61">
        <v>46209.9185910995</v>
      </c>
      <c r="J1698" s="61">
        <v>46210.283259294003</v>
      </c>
      <c r="K1698" s="60">
        <v>0.4</v>
      </c>
      <c r="L1698" s="60" t="s">
        <v>183</v>
      </c>
      <c r="M1698" s="60" t="s">
        <v>183</v>
      </c>
      <c r="N1698" s="60" t="b">
        <f>FALSE()</f>
        <v>0</v>
      </c>
      <c r="O1698" s="60"/>
      <c r="P1698" s="60"/>
      <c r="Q1698" s="60" t="s">
        <v>236</v>
      </c>
      <c r="R1698" s="60" t="s">
        <v>236</v>
      </c>
      <c r="S1698" s="60"/>
      <c r="T1698" s="60" t="b">
        <f>FALSE()</f>
        <v>0</v>
      </c>
      <c r="U1698" s="60" t="b">
        <f>FALSE()</f>
        <v>0</v>
      </c>
      <c r="V1698" s="60">
        <v>303</v>
      </c>
      <c r="W1698" s="62" t="s">
        <v>6174</v>
      </c>
      <c r="X1698" s="60">
        <v>3</v>
      </c>
      <c r="Y1698" s="63">
        <v>5.25</v>
      </c>
      <c r="Z1698" s="60" t="b">
        <f>FALSE()</f>
        <v>0</v>
      </c>
      <c r="AA1698" s="60" t="b">
        <f>TRUE()</f>
        <v>1</v>
      </c>
      <c r="AB1698" s="60" t="b">
        <f>FALSE()</f>
        <v>0</v>
      </c>
      <c r="AC1698" s="60" t="b">
        <f>FALSE()</f>
        <v>0</v>
      </c>
      <c r="AD1698" s="60" t="b">
        <f>FALSE()</f>
        <v>0</v>
      </c>
      <c r="AE1698" s="60">
        <v>1</v>
      </c>
      <c r="AF1698" s="64">
        <v>14.3</v>
      </c>
      <c r="AG1698" s="60" t="s">
        <v>74</v>
      </c>
      <c r="AH1698" s="60" t="s">
        <v>6175</v>
      </c>
      <c r="AI1698">
        <f>IF(AND(OR(Company_Explorer!$B$5="All Companies",$E1698=Company_Explorer!$B$5),OR(Company_Explorer!$B$6="All Platforms",$B1698=Company_Explorer!$B$6),OR(Company_Explorer!$B$7="All Roles",$D1698=Company_Explorer!$B$7),OR(Company_Explorer!$B$8="All Ghost Labels",$AG1698=Company_Explorer!$B$8)),1,0)</f>
        <v>0</v>
      </c>
    </row>
    <row r="1699" spans="1:35" ht="15" customHeight="1" x14ac:dyDescent="0.3">
      <c r="A1699" s="65" t="s">
        <v>6176</v>
      </c>
      <c r="B1699" s="65" t="s">
        <v>81</v>
      </c>
      <c r="C1699" s="65" t="s">
        <v>6163</v>
      </c>
      <c r="D1699" s="65" t="s">
        <v>126</v>
      </c>
      <c r="E1699" s="65" t="s">
        <v>146</v>
      </c>
      <c r="F1699" s="65" t="b">
        <f>TRUE()</f>
        <v>1</v>
      </c>
      <c r="G1699" s="65" t="s">
        <v>165</v>
      </c>
      <c r="H1699" s="65" t="s">
        <v>3636</v>
      </c>
      <c r="I1699" s="66">
        <v>46209.910870694497</v>
      </c>
      <c r="J1699" s="66">
        <v>46210.283259236101</v>
      </c>
      <c r="K1699" s="65">
        <v>0.4</v>
      </c>
      <c r="L1699" s="65" t="s">
        <v>183</v>
      </c>
      <c r="M1699" s="65" t="s">
        <v>183</v>
      </c>
      <c r="N1699" s="65" t="b">
        <f>FALSE()</f>
        <v>0</v>
      </c>
      <c r="O1699" s="65"/>
      <c r="P1699" s="65"/>
      <c r="Q1699" s="65" t="s">
        <v>236</v>
      </c>
      <c r="R1699" s="65" t="s">
        <v>236</v>
      </c>
      <c r="S1699" s="65"/>
      <c r="T1699" s="65" t="b">
        <f>FALSE()</f>
        <v>0</v>
      </c>
      <c r="U1699" s="65" t="b">
        <f>FALSE()</f>
        <v>0</v>
      </c>
      <c r="V1699" s="65">
        <v>577</v>
      </c>
      <c r="W1699" s="67" t="s">
        <v>6164</v>
      </c>
      <c r="X1699" s="65">
        <v>33</v>
      </c>
      <c r="Y1699" s="68">
        <v>57.75</v>
      </c>
      <c r="Z1699" s="65" t="b">
        <f>FALSE()</f>
        <v>0</v>
      </c>
      <c r="AA1699" s="65" t="b">
        <f>TRUE()</f>
        <v>1</v>
      </c>
      <c r="AB1699" s="65" t="b">
        <f>FALSE()</f>
        <v>0</v>
      </c>
      <c r="AC1699" s="65" t="b">
        <f>FALSE()</f>
        <v>0</v>
      </c>
      <c r="AD1699" s="65" t="b">
        <f>FALSE()</f>
        <v>0</v>
      </c>
      <c r="AE1699" s="65">
        <v>1</v>
      </c>
      <c r="AF1699" s="69">
        <v>14.3</v>
      </c>
      <c r="AG1699" s="65" t="s">
        <v>74</v>
      </c>
      <c r="AH1699" s="65" t="s">
        <v>6177</v>
      </c>
      <c r="AI1699">
        <f>IF(AND(OR(Company_Explorer!$B$5="All Companies",$E1699=Company_Explorer!$B$5),OR(Company_Explorer!$B$6="All Platforms",$B1699=Company_Explorer!$B$6),OR(Company_Explorer!$B$7="All Roles",$D1699=Company_Explorer!$B$7),OR(Company_Explorer!$B$8="All Ghost Labels",$AG1699=Company_Explorer!$B$8)),1,0)</f>
        <v>0</v>
      </c>
    </row>
    <row r="1700" spans="1:35" ht="15" customHeight="1" x14ac:dyDescent="0.3">
      <c r="A1700" s="60" t="s">
        <v>6178</v>
      </c>
      <c r="B1700" s="60" t="s">
        <v>81</v>
      </c>
      <c r="C1700" s="60" t="s">
        <v>6179</v>
      </c>
      <c r="D1700" s="60" t="s">
        <v>130</v>
      </c>
      <c r="E1700" s="60" t="s">
        <v>2758</v>
      </c>
      <c r="F1700" s="60" t="b">
        <f>TRUE()</f>
        <v>1</v>
      </c>
      <c r="G1700" s="60" t="s">
        <v>165</v>
      </c>
      <c r="H1700" s="60" t="s">
        <v>3636</v>
      </c>
      <c r="I1700" s="61">
        <v>46209.918221805601</v>
      </c>
      <c r="J1700" s="61">
        <v>46210.283259386597</v>
      </c>
      <c r="K1700" s="60">
        <v>0.4</v>
      </c>
      <c r="L1700" s="60" t="s">
        <v>183</v>
      </c>
      <c r="M1700" s="60" t="s">
        <v>183</v>
      </c>
      <c r="N1700" s="60" t="b">
        <f>FALSE()</f>
        <v>0</v>
      </c>
      <c r="O1700" s="60"/>
      <c r="P1700" s="60"/>
      <c r="Q1700" s="60" t="s">
        <v>236</v>
      </c>
      <c r="R1700" s="60" t="s">
        <v>236</v>
      </c>
      <c r="S1700" s="60"/>
      <c r="T1700" s="60" t="b">
        <f>FALSE()</f>
        <v>0</v>
      </c>
      <c r="U1700" s="60" t="b">
        <f>FALSE()</f>
        <v>0</v>
      </c>
      <c r="V1700" s="60">
        <v>250</v>
      </c>
      <c r="W1700" s="62" t="s">
        <v>6180</v>
      </c>
      <c r="X1700" s="60">
        <v>11</v>
      </c>
      <c r="Y1700" s="63">
        <v>19.25</v>
      </c>
      <c r="Z1700" s="60" t="b">
        <f>FALSE()</f>
        <v>0</v>
      </c>
      <c r="AA1700" s="60" t="b">
        <f>TRUE()</f>
        <v>1</v>
      </c>
      <c r="AB1700" s="60" t="b">
        <f>TRUE()</f>
        <v>1</v>
      </c>
      <c r="AC1700" s="60" t="b">
        <f>FALSE()</f>
        <v>0</v>
      </c>
      <c r="AD1700" s="60" t="b">
        <f>FALSE()</f>
        <v>0</v>
      </c>
      <c r="AE1700" s="60">
        <v>2</v>
      </c>
      <c r="AF1700" s="64">
        <v>28.6</v>
      </c>
      <c r="AG1700" s="60" t="s">
        <v>73</v>
      </c>
      <c r="AH1700" s="60" t="s">
        <v>6181</v>
      </c>
      <c r="AI1700">
        <f>IF(AND(OR(Company_Explorer!$B$5="All Companies",$E1700=Company_Explorer!$B$5),OR(Company_Explorer!$B$6="All Platforms",$B1700=Company_Explorer!$B$6),OR(Company_Explorer!$B$7="All Roles",$D1700=Company_Explorer!$B$7),OR(Company_Explorer!$B$8="All Ghost Labels",$AG1700=Company_Explorer!$B$8)),1,0)</f>
        <v>0</v>
      </c>
    </row>
    <row r="1701" spans="1:35" ht="15" customHeight="1" x14ac:dyDescent="0.3">
      <c r="A1701" s="65" t="s">
        <v>6182</v>
      </c>
      <c r="B1701" s="65" t="s">
        <v>81</v>
      </c>
      <c r="C1701" s="65" t="s">
        <v>6163</v>
      </c>
      <c r="D1701" s="65" t="s">
        <v>126</v>
      </c>
      <c r="E1701" s="65" t="s">
        <v>146</v>
      </c>
      <c r="F1701" s="65" t="b">
        <f>TRUE()</f>
        <v>1</v>
      </c>
      <c r="G1701" s="65" t="s">
        <v>165</v>
      </c>
      <c r="H1701" s="65" t="s">
        <v>3636</v>
      </c>
      <c r="I1701" s="66">
        <v>46209.910866643499</v>
      </c>
      <c r="J1701" s="66">
        <v>46210.283260416698</v>
      </c>
      <c r="K1701" s="65">
        <v>0.4</v>
      </c>
      <c r="L1701" s="65" t="s">
        <v>183</v>
      </c>
      <c r="M1701" s="65" t="s">
        <v>183</v>
      </c>
      <c r="N1701" s="65" t="b">
        <f>FALSE()</f>
        <v>0</v>
      </c>
      <c r="O1701" s="65"/>
      <c r="P1701" s="65"/>
      <c r="Q1701" s="65" t="s">
        <v>236</v>
      </c>
      <c r="R1701" s="65" t="s">
        <v>236</v>
      </c>
      <c r="S1701" s="65"/>
      <c r="T1701" s="65" t="b">
        <f>FALSE()</f>
        <v>0</v>
      </c>
      <c r="U1701" s="65" t="b">
        <f>FALSE()</f>
        <v>0</v>
      </c>
      <c r="V1701" s="65">
        <v>577</v>
      </c>
      <c r="W1701" s="67" t="s">
        <v>6164</v>
      </c>
      <c r="X1701" s="65">
        <v>33</v>
      </c>
      <c r="Y1701" s="68">
        <v>57.75</v>
      </c>
      <c r="Z1701" s="65" t="b">
        <f>FALSE()</f>
        <v>0</v>
      </c>
      <c r="AA1701" s="65" t="b">
        <f>TRUE()</f>
        <v>1</v>
      </c>
      <c r="AB1701" s="65" t="b">
        <f>FALSE()</f>
        <v>0</v>
      </c>
      <c r="AC1701" s="65" t="b">
        <f>FALSE()</f>
        <v>0</v>
      </c>
      <c r="AD1701" s="65" t="b">
        <f>FALSE()</f>
        <v>0</v>
      </c>
      <c r="AE1701" s="65">
        <v>1</v>
      </c>
      <c r="AF1701" s="69">
        <v>14.3</v>
      </c>
      <c r="AG1701" s="65" t="s">
        <v>74</v>
      </c>
      <c r="AH1701" s="65" t="s">
        <v>6183</v>
      </c>
      <c r="AI1701">
        <f>IF(AND(OR(Company_Explorer!$B$5="All Companies",$E1701=Company_Explorer!$B$5),OR(Company_Explorer!$B$6="All Platforms",$B1701=Company_Explorer!$B$6),OR(Company_Explorer!$B$7="All Roles",$D1701=Company_Explorer!$B$7),OR(Company_Explorer!$B$8="All Ghost Labels",$AG1701=Company_Explorer!$B$8)),1,0)</f>
        <v>0</v>
      </c>
    </row>
    <row r="1702" spans="1:35" ht="15" customHeight="1" x14ac:dyDescent="0.3">
      <c r="A1702" s="60" t="s">
        <v>6184</v>
      </c>
      <c r="B1702" s="60" t="s">
        <v>81</v>
      </c>
      <c r="C1702" s="60" t="s">
        <v>6185</v>
      </c>
      <c r="D1702" s="60" t="s">
        <v>127</v>
      </c>
      <c r="E1702" s="60" t="s">
        <v>145</v>
      </c>
      <c r="F1702" s="60" t="b">
        <f>TRUE()</f>
        <v>1</v>
      </c>
      <c r="G1702" s="60" t="s">
        <v>165</v>
      </c>
      <c r="H1702" s="60" t="s">
        <v>3620</v>
      </c>
      <c r="I1702" s="61">
        <v>46209.919334467602</v>
      </c>
      <c r="J1702" s="61">
        <v>46210.2832605324</v>
      </c>
      <c r="K1702" s="60">
        <v>0.4</v>
      </c>
      <c r="L1702" s="60" t="s">
        <v>183</v>
      </c>
      <c r="M1702" s="60" t="s">
        <v>183</v>
      </c>
      <c r="N1702" s="60" t="b">
        <f>FALSE()</f>
        <v>0</v>
      </c>
      <c r="O1702" s="60"/>
      <c r="P1702" s="60"/>
      <c r="Q1702" s="60" t="s">
        <v>236</v>
      </c>
      <c r="R1702" s="60" t="s">
        <v>236</v>
      </c>
      <c r="S1702" s="60"/>
      <c r="T1702" s="60" t="b">
        <f>FALSE()</f>
        <v>0</v>
      </c>
      <c r="U1702" s="60" t="b">
        <f>FALSE()</f>
        <v>0</v>
      </c>
      <c r="V1702" s="60">
        <v>756</v>
      </c>
      <c r="W1702" s="62" t="s">
        <v>3646</v>
      </c>
      <c r="X1702" s="60">
        <v>42</v>
      </c>
      <c r="Y1702" s="63">
        <v>73.5</v>
      </c>
      <c r="Z1702" s="60" t="b">
        <f>FALSE()</f>
        <v>0</v>
      </c>
      <c r="AA1702" s="60" t="b">
        <f>TRUE()</f>
        <v>1</v>
      </c>
      <c r="AB1702" s="60" t="b">
        <f>FALSE()</f>
        <v>0</v>
      </c>
      <c r="AC1702" s="60" t="b">
        <f>FALSE()</f>
        <v>0</v>
      </c>
      <c r="AD1702" s="60" t="b">
        <f>FALSE()</f>
        <v>0</v>
      </c>
      <c r="AE1702" s="60">
        <v>1</v>
      </c>
      <c r="AF1702" s="64">
        <v>14.3</v>
      </c>
      <c r="AG1702" s="60" t="s">
        <v>74</v>
      </c>
      <c r="AH1702" s="60" t="s">
        <v>6186</v>
      </c>
      <c r="AI1702">
        <f>IF(AND(OR(Company_Explorer!$B$5="All Companies",$E1702=Company_Explorer!$B$5),OR(Company_Explorer!$B$6="All Platforms",$B1702=Company_Explorer!$B$6),OR(Company_Explorer!$B$7="All Roles",$D1702=Company_Explorer!$B$7),OR(Company_Explorer!$B$8="All Ghost Labels",$AG1702=Company_Explorer!$B$8)),1,0)</f>
        <v>0</v>
      </c>
    </row>
    <row r="1703" spans="1:35" ht="15" customHeight="1" x14ac:dyDescent="0.3">
      <c r="A1703" s="65" t="s">
        <v>6187</v>
      </c>
      <c r="B1703" s="65" t="s">
        <v>81</v>
      </c>
      <c r="C1703" s="65" t="s">
        <v>6188</v>
      </c>
      <c r="D1703" s="65" t="s">
        <v>126</v>
      </c>
      <c r="E1703" s="65" t="s">
        <v>145</v>
      </c>
      <c r="F1703" s="65" t="b">
        <f>TRUE()</f>
        <v>1</v>
      </c>
      <c r="G1703" s="65" t="s">
        <v>165</v>
      </c>
      <c r="H1703" s="65" t="s">
        <v>3620</v>
      </c>
      <c r="I1703" s="66">
        <v>46209.919271874998</v>
      </c>
      <c r="J1703" s="66">
        <v>46210.283261620403</v>
      </c>
      <c r="K1703" s="65">
        <v>0.4</v>
      </c>
      <c r="L1703" s="65" t="s">
        <v>183</v>
      </c>
      <c r="M1703" s="65" t="s">
        <v>183</v>
      </c>
      <c r="N1703" s="65" t="b">
        <f>FALSE()</f>
        <v>0</v>
      </c>
      <c r="O1703" s="65"/>
      <c r="P1703" s="65"/>
      <c r="Q1703" s="65" t="s">
        <v>236</v>
      </c>
      <c r="R1703" s="65" t="s">
        <v>236</v>
      </c>
      <c r="S1703" s="65"/>
      <c r="T1703" s="65" t="b">
        <f>FALSE()</f>
        <v>0</v>
      </c>
      <c r="U1703" s="65" t="b">
        <f>FALSE()</f>
        <v>0</v>
      </c>
      <c r="V1703" s="65">
        <v>785</v>
      </c>
      <c r="W1703" s="67" t="s">
        <v>3646</v>
      </c>
      <c r="X1703" s="65">
        <v>42</v>
      </c>
      <c r="Y1703" s="68">
        <v>73.5</v>
      </c>
      <c r="Z1703" s="65" t="b">
        <f>FALSE()</f>
        <v>0</v>
      </c>
      <c r="AA1703" s="65" t="b">
        <f>TRUE()</f>
        <v>1</v>
      </c>
      <c r="AB1703" s="65" t="b">
        <f>FALSE()</f>
        <v>0</v>
      </c>
      <c r="AC1703" s="65" t="b">
        <f>FALSE()</f>
        <v>0</v>
      </c>
      <c r="AD1703" s="65" t="b">
        <f>FALSE()</f>
        <v>0</v>
      </c>
      <c r="AE1703" s="65">
        <v>1</v>
      </c>
      <c r="AF1703" s="69">
        <v>14.3</v>
      </c>
      <c r="AG1703" s="65" t="s">
        <v>74</v>
      </c>
      <c r="AH1703" s="65" t="s">
        <v>6189</v>
      </c>
      <c r="AI1703">
        <f>IF(AND(OR(Company_Explorer!$B$5="All Companies",$E1703=Company_Explorer!$B$5),OR(Company_Explorer!$B$6="All Platforms",$B1703=Company_Explorer!$B$6),OR(Company_Explorer!$B$7="All Roles",$D1703=Company_Explorer!$B$7),OR(Company_Explorer!$B$8="All Ghost Labels",$AG1703=Company_Explorer!$B$8)),1,0)</f>
        <v>0</v>
      </c>
    </row>
    <row r="1704" spans="1:35" ht="15" customHeight="1" x14ac:dyDescent="0.3">
      <c r="A1704" s="60" t="s">
        <v>6190</v>
      </c>
      <c r="B1704" s="60" t="s">
        <v>81</v>
      </c>
      <c r="C1704" s="60" t="s">
        <v>6191</v>
      </c>
      <c r="D1704" s="60" t="s">
        <v>130</v>
      </c>
      <c r="E1704" s="60" t="s">
        <v>2758</v>
      </c>
      <c r="F1704" s="60" t="b">
        <f>TRUE()</f>
        <v>1</v>
      </c>
      <c r="G1704" s="60" t="s">
        <v>165</v>
      </c>
      <c r="H1704" s="60" t="s">
        <v>3620</v>
      </c>
      <c r="I1704" s="61">
        <v>46209.918182164402</v>
      </c>
      <c r="J1704" s="61">
        <v>46210.283261875004</v>
      </c>
      <c r="K1704" s="60">
        <v>0.4</v>
      </c>
      <c r="L1704" s="60" t="s">
        <v>183</v>
      </c>
      <c r="M1704" s="60" t="s">
        <v>183</v>
      </c>
      <c r="N1704" s="60" t="b">
        <f>FALSE()</f>
        <v>0</v>
      </c>
      <c r="O1704" s="60"/>
      <c r="P1704" s="60"/>
      <c r="Q1704" s="60" t="s">
        <v>236</v>
      </c>
      <c r="R1704" s="60" t="s">
        <v>236</v>
      </c>
      <c r="S1704" s="60"/>
      <c r="T1704" s="60" t="b">
        <f>FALSE()</f>
        <v>0</v>
      </c>
      <c r="U1704" s="60" t="b">
        <f>FALSE()</f>
        <v>0</v>
      </c>
      <c r="V1704" s="60">
        <v>504</v>
      </c>
      <c r="W1704" s="62" t="s">
        <v>6192</v>
      </c>
      <c r="X1704" s="60">
        <v>11</v>
      </c>
      <c r="Y1704" s="63">
        <v>19.25</v>
      </c>
      <c r="Z1704" s="60" t="b">
        <f>FALSE()</f>
        <v>0</v>
      </c>
      <c r="AA1704" s="60" t="b">
        <f>TRUE()</f>
        <v>1</v>
      </c>
      <c r="AB1704" s="60" t="b">
        <f>FALSE()</f>
        <v>0</v>
      </c>
      <c r="AC1704" s="60" t="b">
        <f>FALSE()</f>
        <v>0</v>
      </c>
      <c r="AD1704" s="60" t="b">
        <f>FALSE()</f>
        <v>0</v>
      </c>
      <c r="AE1704" s="60">
        <v>1</v>
      </c>
      <c r="AF1704" s="64">
        <v>14.3</v>
      </c>
      <c r="AG1704" s="60" t="s">
        <v>74</v>
      </c>
      <c r="AH1704" s="60" t="s">
        <v>6193</v>
      </c>
      <c r="AI1704">
        <f>IF(AND(OR(Company_Explorer!$B$5="All Companies",$E1704=Company_Explorer!$B$5),OR(Company_Explorer!$B$6="All Platforms",$B1704=Company_Explorer!$B$6),OR(Company_Explorer!$B$7="All Roles",$D1704=Company_Explorer!$B$7),OR(Company_Explorer!$B$8="All Ghost Labels",$AG1704=Company_Explorer!$B$8)),1,0)</f>
        <v>0</v>
      </c>
    </row>
    <row r="1705" spans="1:35" ht="15" customHeight="1" x14ac:dyDescent="0.3">
      <c r="A1705" s="65" t="s">
        <v>6194</v>
      </c>
      <c r="B1705" s="65" t="s">
        <v>81</v>
      </c>
      <c r="C1705" s="65" t="s">
        <v>6195</v>
      </c>
      <c r="D1705" s="65" t="s">
        <v>126</v>
      </c>
      <c r="E1705" s="65" t="s">
        <v>2758</v>
      </c>
      <c r="F1705" s="65" t="b">
        <f>TRUE()</f>
        <v>1</v>
      </c>
      <c r="G1705" s="65" t="s">
        <v>165</v>
      </c>
      <c r="H1705" s="65" t="s">
        <v>3630</v>
      </c>
      <c r="I1705" s="66">
        <v>46209.918074618101</v>
      </c>
      <c r="J1705" s="66">
        <v>46210.283262685203</v>
      </c>
      <c r="K1705" s="65">
        <v>0.4</v>
      </c>
      <c r="L1705" s="65" t="s">
        <v>183</v>
      </c>
      <c r="M1705" s="65" t="s">
        <v>183</v>
      </c>
      <c r="N1705" s="65" t="b">
        <f>FALSE()</f>
        <v>0</v>
      </c>
      <c r="O1705" s="65"/>
      <c r="P1705" s="65"/>
      <c r="Q1705" s="65" t="s">
        <v>236</v>
      </c>
      <c r="R1705" s="65" t="s">
        <v>236</v>
      </c>
      <c r="S1705" s="65"/>
      <c r="T1705" s="65" t="b">
        <f>FALSE()</f>
        <v>0</v>
      </c>
      <c r="U1705" s="65" t="b">
        <f>FALSE()</f>
        <v>0</v>
      </c>
      <c r="V1705" s="65">
        <v>459</v>
      </c>
      <c r="W1705" s="67" t="s">
        <v>6196</v>
      </c>
      <c r="X1705" s="65">
        <v>11</v>
      </c>
      <c r="Y1705" s="68">
        <v>19.25</v>
      </c>
      <c r="Z1705" s="65" t="b">
        <f>FALSE()</f>
        <v>0</v>
      </c>
      <c r="AA1705" s="65" t="b">
        <f>TRUE()</f>
        <v>1</v>
      </c>
      <c r="AB1705" s="65" t="b">
        <f>FALSE()</f>
        <v>0</v>
      </c>
      <c r="AC1705" s="65" t="b">
        <f>FALSE()</f>
        <v>0</v>
      </c>
      <c r="AD1705" s="65" t="b">
        <f>FALSE()</f>
        <v>0</v>
      </c>
      <c r="AE1705" s="65">
        <v>1</v>
      </c>
      <c r="AF1705" s="69">
        <v>14.3</v>
      </c>
      <c r="AG1705" s="65" t="s">
        <v>74</v>
      </c>
      <c r="AH1705" s="65" t="s">
        <v>6197</v>
      </c>
      <c r="AI1705">
        <f>IF(AND(OR(Company_Explorer!$B$5="All Companies",$E1705=Company_Explorer!$B$5),OR(Company_Explorer!$B$6="All Platforms",$B1705=Company_Explorer!$B$6),OR(Company_Explorer!$B$7="All Roles",$D1705=Company_Explorer!$B$7),OR(Company_Explorer!$B$8="All Ghost Labels",$AG1705=Company_Explorer!$B$8)),1,0)</f>
        <v>0</v>
      </c>
    </row>
    <row r="1706" spans="1:35" ht="15" customHeight="1" x14ac:dyDescent="0.3">
      <c r="A1706" s="60" t="s">
        <v>6198</v>
      </c>
      <c r="B1706" s="60" t="s">
        <v>81</v>
      </c>
      <c r="C1706" s="60" t="s">
        <v>6199</v>
      </c>
      <c r="D1706" s="60" t="s">
        <v>126</v>
      </c>
      <c r="E1706" s="60" t="s">
        <v>146</v>
      </c>
      <c r="F1706" s="60" t="b">
        <f>TRUE()</f>
        <v>1</v>
      </c>
      <c r="G1706" s="60" t="s">
        <v>165</v>
      </c>
      <c r="H1706" s="60" t="s">
        <v>3672</v>
      </c>
      <c r="I1706" s="61">
        <v>46209.910866284699</v>
      </c>
      <c r="J1706" s="61">
        <v>46210.283262812503</v>
      </c>
      <c r="K1706" s="60">
        <v>0.4</v>
      </c>
      <c r="L1706" s="60" t="s">
        <v>183</v>
      </c>
      <c r="M1706" s="60" t="s">
        <v>183</v>
      </c>
      <c r="N1706" s="60" t="b">
        <f>FALSE()</f>
        <v>0</v>
      </c>
      <c r="O1706" s="60"/>
      <c r="P1706" s="60"/>
      <c r="Q1706" s="60" t="s">
        <v>236</v>
      </c>
      <c r="R1706" s="60" t="s">
        <v>236</v>
      </c>
      <c r="S1706" s="60"/>
      <c r="T1706" s="60" t="b">
        <f>FALSE()</f>
        <v>0</v>
      </c>
      <c r="U1706" s="60" t="b">
        <f>FALSE()</f>
        <v>0</v>
      </c>
      <c r="V1706" s="60">
        <v>576</v>
      </c>
      <c r="W1706" s="62" t="s">
        <v>6164</v>
      </c>
      <c r="X1706" s="60">
        <v>33</v>
      </c>
      <c r="Y1706" s="63">
        <v>57.75</v>
      </c>
      <c r="Z1706" s="60" t="b">
        <f>FALSE()</f>
        <v>0</v>
      </c>
      <c r="AA1706" s="60" t="b">
        <f>TRUE()</f>
        <v>1</v>
      </c>
      <c r="AB1706" s="60" t="b">
        <f>FALSE()</f>
        <v>0</v>
      </c>
      <c r="AC1706" s="60" t="b">
        <f>FALSE()</f>
        <v>0</v>
      </c>
      <c r="AD1706" s="60" t="b">
        <f>FALSE()</f>
        <v>0</v>
      </c>
      <c r="AE1706" s="60">
        <v>1</v>
      </c>
      <c r="AF1706" s="64">
        <v>14.3</v>
      </c>
      <c r="AG1706" s="60" t="s">
        <v>74</v>
      </c>
      <c r="AH1706" s="60" t="s">
        <v>6200</v>
      </c>
      <c r="AI1706">
        <f>IF(AND(OR(Company_Explorer!$B$5="All Companies",$E1706=Company_Explorer!$B$5),OR(Company_Explorer!$B$6="All Platforms",$B1706=Company_Explorer!$B$6),OR(Company_Explorer!$B$7="All Roles",$D1706=Company_Explorer!$B$7),OR(Company_Explorer!$B$8="All Ghost Labels",$AG1706=Company_Explorer!$B$8)),1,0)</f>
        <v>0</v>
      </c>
    </row>
    <row r="1707" spans="1:35" ht="15" customHeight="1" x14ac:dyDescent="0.3">
      <c r="A1707" s="65" t="s">
        <v>6201</v>
      </c>
      <c r="B1707" s="65" t="s">
        <v>81</v>
      </c>
      <c r="C1707" s="65" t="s">
        <v>6202</v>
      </c>
      <c r="D1707" s="65" t="s">
        <v>126</v>
      </c>
      <c r="E1707" s="65" t="s">
        <v>146</v>
      </c>
      <c r="F1707" s="65" t="b">
        <f>TRUE()</f>
        <v>1</v>
      </c>
      <c r="G1707" s="65" t="s">
        <v>165</v>
      </c>
      <c r="H1707" s="65" t="s">
        <v>3672</v>
      </c>
      <c r="I1707" s="66">
        <v>46209.910869976899</v>
      </c>
      <c r="J1707" s="66">
        <v>46210.2832619213</v>
      </c>
      <c r="K1707" s="65">
        <v>0.4</v>
      </c>
      <c r="L1707" s="65" t="s">
        <v>183</v>
      </c>
      <c r="M1707" s="65" t="s">
        <v>183</v>
      </c>
      <c r="N1707" s="65" t="b">
        <f>FALSE()</f>
        <v>0</v>
      </c>
      <c r="O1707" s="65"/>
      <c r="P1707" s="65"/>
      <c r="Q1707" s="65" t="s">
        <v>236</v>
      </c>
      <c r="R1707" s="65" t="s">
        <v>236</v>
      </c>
      <c r="S1707" s="65"/>
      <c r="T1707" s="65" t="b">
        <f>FALSE()</f>
        <v>0</v>
      </c>
      <c r="U1707" s="65" t="b">
        <f>FALSE()</f>
        <v>0</v>
      </c>
      <c r="V1707" s="65">
        <v>606</v>
      </c>
      <c r="W1707" s="67" t="s">
        <v>6164</v>
      </c>
      <c r="X1707" s="65">
        <v>33</v>
      </c>
      <c r="Y1707" s="68">
        <v>57.75</v>
      </c>
      <c r="Z1707" s="65" t="b">
        <f>FALSE()</f>
        <v>0</v>
      </c>
      <c r="AA1707" s="65" t="b">
        <f>TRUE()</f>
        <v>1</v>
      </c>
      <c r="AB1707" s="65" t="b">
        <f>FALSE()</f>
        <v>0</v>
      </c>
      <c r="AC1707" s="65" t="b">
        <f>FALSE()</f>
        <v>0</v>
      </c>
      <c r="AD1707" s="65" t="b">
        <f>FALSE()</f>
        <v>0</v>
      </c>
      <c r="AE1707" s="65">
        <v>1</v>
      </c>
      <c r="AF1707" s="69">
        <v>14.3</v>
      </c>
      <c r="AG1707" s="65" t="s">
        <v>74</v>
      </c>
      <c r="AH1707" s="65" t="s">
        <v>6203</v>
      </c>
      <c r="AI1707">
        <f>IF(AND(OR(Company_Explorer!$B$5="All Companies",$E1707=Company_Explorer!$B$5),OR(Company_Explorer!$B$6="All Platforms",$B1707=Company_Explorer!$B$6),OR(Company_Explorer!$B$7="All Roles",$D1707=Company_Explorer!$B$7),OR(Company_Explorer!$B$8="All Ghost Labels",$AG1707=Company_Explorer!$B$8)),1,0)</f>
        <v>0</v>
      </c>
    </row>
    <row r="1708" spans="1:35" ht="15" customHeight="1" x14ac:dyDescent="0.3">
      <c r="A1708" s="60" t="s">
        <v>6204</v>
      </c>
      <c r="B1708" s="60" t="s">
        <v>81</v>
      </c>
      <c r="C1708" s="60" t="s">
        <v>6205</v>
      </c>
      <c r="D1708" s="60" t="s">
        <v>126</v>
      </c>
      <c r="E1708" s="60" t="s">
        <v>145</v>
      </c>
      <c r="F1708" s="60" t="b">
        <f>TRUE()</f>
        <v>1</v>
      </c>
      <c r="G1708" s="60" t="s">
        <v>165</v>
      </c>
      <c r="H1708" s="60" t="s">
        <v>3620</v>
      </c>
      <c r="I1708" s="61">
        <v>46209.919266307901</v>
      </c>
      <c r="J1708" s="61">
        <v>46210.283262870398</v>
      </c>
      <c r="K1708" s="60">
        <v>0.4</v>
      </c>
      <c r="L1708" s="60" t="s">
        <v>183</v>
      </c>
      <c r="M1708" s="60" t="s">
        <v>183</v>
      </c>
      <c r="N1708" s="60" t="b">
        <f>FALSE()</f>
        <v>0</v>
      </c>
      <c r="O1708" s="60"/>
      <c r="P1708" s="60"/>
      <c r="Q1708" s="60" t="s">
        <v>236</v>
      </c>
      <c r="R1708" s="60" t="s">
        <v>236</v>
      </c>
      <c r="S1708" s="60"/>
      <c r="T1708" s="60" t="b">
        <f>FALSE()</f>
        <v>0</v>
      </c>
      <c r="U1708" s="60" t="b">
        <f>FALSE()</f>
        <v>0</v>
      </c>
      <c r="V1708" s="60">
        <v>580</v>
      </c>
      <c r="W1708" s="62" t="s">
        <v>3646</v>
      </c>
      <c r="X1708" s="60">
        <v>42</v>
      </c>
      <c r="Y1708" s="63">
        <v>73.5</v>
      </c>
      <c r="Z1708" s="60" t="b">
        <f>FALSE()</f>
        <v>0</v>
      </c>
      <c r="AA1708" s="60" t="b">
        <f>TRUE()</f>
        <v>1</v>
      </c>
      <c r="AB1708" s="60" t="b">
        <f>FALSE()</f>
        <v>0</v>
      </c>
      <c r="AC1708" s="60" t="b">
        <f>FALSE()</f>
        <v>0</v>
      </c>
      <c r="AD1708" s="60" t="b">
        <f>FALSE()</f>
        <v>0</v>
      </c>
      <c r="AE1708" s="60">
        <v>1</v>
      </c>
      <c r="AF1708" s="64">
        <v>14.3</v>
      </c>
      <c r="AG1708" s="60" t="s">
        <v>74</v>
      </c>
      <c r="AH1708" s="60" t="s">
        <v>6206</v>
      </c>
      <c r="AI1708">
        <f>IF(AND(OR(Company_Explorer!$B$5="All Companies",$E1708=Company_Explorer!$B$5),OR(Company_Explorer!$B$6="All Platforms",$B1708=Company_Explorer!$B$6),OR(Company_Explorer!$B$7="All Roles",$D1708=Company_Explorer!$B$7),OR(Company_Explorer!$B$8="All Ghost Labels",$AG1708=Company_Explorer!$B$8)),1,0)</f>
        <v>0</v>
      </c>
    </row>
    <row r="1709" spans="1:35" ht="15" customHeight="1" x14ac:dyDescent="0.3">
      <c r="A1709" s="65" t="s">
        <v>6207</v>
      </c>
      <c r="B1709" s="65" t="s">
        <v>81</v>
      </c>
      <c r="C1709" s="65" t="s">
        <v>6208</v>
      </c>
      <c r="D1709" s="65" t="s">
        <v>135</v>
      </c>
      <c r="E1709" s="65" t="s">
        <v>145</v>
      </c>
      <c r="F1709" s="65" t="b">
        <f>TRUE()</f>
        <v>1</v>
      </c>
      <c r="G1709" s="65" t="s">
        <v>165</v>
      </c>
      <c r="H1709" s="65" t="s">
        <v>3672</v>
      </c>
      <c r="I1709" s="66">
        <v>46209.919340324101</v>
      </c>
      <c r="J1709" s="66">
        <v>46210.283262893499</v>
      </c>
      <c r="K1709" s="65">
        <v>0.4</v>
      </c>
      <c r="L1709" s="65" t="s">
        <v>183</v>
      </c>
      <c r="M1709" s="65" t="s">
        <v>183</v>
      </c>
      <c r="N1709" s="65" t="b">
        <f>FALSE()</f>
        <v>0</v>
      </c>
      <c r="O1709" s="65"/>
      <c r="P1709" s="65"/>
      <c r="Q1709" s="65" t="s">
        <v>236</v>
      </c>
      <c r="R1709" s="65" t="s">
        <v>236</v>
      </c>
      <c r="S1709" s="65"/>
      <c r="T1709" s="65" t="b">
        <f>FALSE()</f>
        <v>0</v>
      </c>
      <c r="U1709" s="65" t="b">
        <f>FALSE()</f>
        <v>0</v>
      </c>
      <c r="V1709" s="65">
        <v>625</v>
      </c>
      <c r="W1709" s="67" t="s">
        <v>3646</v>
      </c>
      <c r="X1709" s="65">
        <v>42</v>
      </c>
      <c r="Y1709" s="68">
        <v>73.5</v>
      </c>
      <c r="Z1709" s="65" t="b">
        <f>FALSE()</f>
        <v>0</v>
      </c>
      <c r="AA1709" s="65" t="b">
        <f>TRUE()</f>
        <v>1</v>
      </c>
      <c r="AB1709" s="65" t="b">
        <f>FALSE()</f>
        <v>0</v>
      </c>
      <c r="AC1709" s="65" t="b">
        <f>FALSE()</f>
        <v>0</v>
      </c>
      <c r="AD1709" s="65" t="b">
        <f>FALSE()</f>
        <v>0</v>
      </c>
      <c r="AE1709" s="65">
        <v>1</v>
      </c>
      <c r="AF1709" s="69">
        <v>14.3</v>
      </c>
      <c r="AG1709" s="65" t="s">
        <v>74</v>
      </c>
      <c r="AH1709" s="65" t="s">
        <v>6209</v>
      </c>
      <c r="AI1709">
        <f>IF(AND(OR(Company_Explorer!$B$5="All Companies",$E1709=Company_Explorer!$B$5),OR(Company_Explorer!$B$6="All Platforms",$B1709=Company_Explorer!$B$6),OR(Company_Explorer!$B$7="All Roles",$D1709=Company_Explorer!$B$7),OR(Company_Explorer!$B$8="All Ghost Labels",$AG1709=Company_Explorer!$B$8)),1,0)</f>
        <v>0</v>
      </c>
    </row>
    <row r="1710" spans="1:35" ht="15" customHeight="1" x14ac:dyDescent="0.3">
      <c r="A1710" s="60" t="s">
        <v>6210</v>
      </c>
      <c r="B1710" s="60" t="s">
        <v>81</v>
      </c>
      <c r="C1710" s="60" t="s">
        <v>6211</v>
      </c>
      <c r="D1710" s="60" t="s">
        <v>126</v>
      </c>
      <c r="E1710" s="60" t="s">
        <v>145</v>
      </c>
      <c r="F1710" s="60" t="b">
        <f>TRUE()</f>
        <v>1</v>
      </c>
      <c r="G1710" s="60" t="s">
        <v>165</v>
      </c>
      <c r="H1710" s="60" t="s">
        <v>3620</v>
      </c>
      <c r="I1710" s="61">
        <v>46209.919331550896</v>
      </c>
      <c r="J1710" s="61">
        <v>46210.283262962999</v>
      </c>
      <c r="K1710" s="60">
        <v>0.4</v>
      </c>
      <c r="L1710" s="60" t="s">
        <v>183</v>
      </c>
      <c r="M1710" s="60" t="s">
        <v>183</v>
      </c>
      <c r="N1710" s="60" t="b">
        <f>FALSE()</f>
        <v>0</v>
      </c>
      <c r="O1710" s="60"/>
      <c r="P1710" s="60"/>
      <c r="Q1710" s="60" t="s">
        <v>236</v>
      </c>
      <c r="R1710" s="60" t="s">
        <v>236</v>
      </c>
      <c r="S1710" s="60"/>
      <c r="T1710" s="60" t="b">
        <f>FALSE()</f>
        <v>0</v>
      </c>
      <c r="U1710" s="60" t="b">
        <f>FALSE()</f>
        <v>0</v>
      </c>
      <c r="V1710" s="60">
        <v>748</v>
      </c>
      <c r="W1710" s="62" t="s">
        <v>3646</v>
      </c>
      <c r="X1710" s="60">
        <v>42</v>
      </c>
      <c r="Y1710" s="63">
        <v>73.5</v>
      </c>
      <c r="Z1710" s="60" t="b">
        <f>FALSE()</f>
        <v>0</v>
      </c>
      <c r="AA1710" s="60" t="b">
        <f>TRUE()</f>
        <v>1</v>
      </c>
      <c r="AB1710" s="60" t="b">
        <f>FALSE()</f>
        <v>0</v>
      </c>
      <c r="AC1710" s="60" t="b">
        <f>FALSE()</f>
        <v>0</v>
      </c>
      <c r="AD1710" s="60" t="b">
        <f>FALSE()</f>
        <v>0</v>
      </c>
      <c r="AE1710" s="60">
        <v>1</v>
      </c>
      <c r="AF1710" s="64">
        <v>14.3</v>
      </c>
      <c r="AG1710" s="60" t="s">
        <v>74</v>
      </c>
      <c r="AH1710" s="60" t="s">
        <v>6212</v>
      </c>
      <c r="AI1710">
        <f>IF(AND(OR(Company_Explorer!$B$5="All Companies",$E1710=Company_Explorer!$B$5),OR(Company_Explorer!$B$6="All Platforms",$B1710=Company_Explorer!$B$6),OR(Company_Explorer!$B$7="All Roles",$D1710=Company_Explorer!$B$7),OR(Company_Explorer!$B$8="All Ghost Labels",$AG1710=Company_Explorer!$B$8)),1,0)</f>
        <v>0</v>
      </c>
    </row>
    <row r="1711" spans="1:35" ht="15" customHeight="1" x14ac:dyDescent="0.3">
      <c r="A1711" s="65" t="s">
        <v>6213</v>
      </c>
      <c r="B1711" s="65" t="s">
        <v>81</v>
      </c>
      <c r="C1711" s="65" t="s">
        <v>6214</v>
      </c>
      <c r="D1711" s="65" t="s">
        <v>126</v>
      </c>
      <c r="E1711" s="65" t="s">
        <v>145</v>
      </c>
      <c r="F1711" s="65" t="b">
        <f>TRUE()</f>
        <v>1</v>
      </c>
      <c r="G1711" s="65" t="s">
        <v>165</v>
      </c>
      <c r="H1711" s="65" t="s">
        <v>3620</v>
      </c>
      <c r="I1711" s="66">
        <v>46209.919262233801</v>
      </c>
      <c r="J1711" s="66">
        <v>46210.283262997698</v>
      </c>
      <c r="K1711" s="65">
        <v>0.4</v>
      </c>
      <c r="L1711" s="65" t="s">
        <v>183</v>
      </c>
      <c r="M1711" s="65" t="s">
        <v>183</v>
      </c>
      <c r="N1711" s="65" t="b">
        <f>FALSE()</f>
        <v>0</v>
      </c>
      <c r="O1711" s="65"/>
      <c r="P1711" s="65"/>
      <c r="Q1711" s="65" t="s">
        <v>236</v>
      </c>
      <c r="R1711" s="65" t="s">
        <v>236</v>
      </c>
      <c r="S1711" s="65"/>
      <c r="T1711" s="65" t="b">
        <f>FALSE()</f>
        <v>0</v>
      </c>
      <c r="U1711" s="65" t="b">
        <f>FALSE()</f>
        <v>0</v>
      </c>
      <c r="V1711" s="65">
        <v>688</v>
      </c>
      <c r="W1711" s="67" t="s">
        <v>3646</v>
      </c>
      <c r="X1711" s="65">
        <v>42</v>
      </c>
      <c r="Y1711" s="68">
        <v>73.5</v>
      </c>
      <c r="Z1711" s="65" t="b">
        <f>FALSE()</f>
        <v>0</v>
      </c>
      <c r="AA1711" s="65" t="b">
        <f>TRUE()</f>
        <v>1</v>
      </c>
      <c r="AB1711" s="65" t="b">
        <f>FALSE()</f>
        <v>0</v>
      </c>
      <c r="AC1711" s="65" t="b">
        <f>FALSE()</f>
        <v>0</v>
      </c>
      <c r="AD1711" s="65" t="b">
        <f>FALSE()</f>
        <v>0</v>
      </c>
      <c r="AE1711" s="65">
        <v>1</v>
      </c>
      <c r="AF1711" s="69">
        <v>14.3</v>
      </c>
      <c r="AG1711" s="65" t="s">
        <v>74</v>
      </c>
      <c r="AH1711" s="65" t="s">
        <v>6215</v>
      </c>
      <c r="AI1711">
        <f>IF(AND(OR(Company_Explorer!$B$5="All Companies",$E1711=Company_Explorer!$B$5),OR(Company_Explorer!$B$6="All Platforms",$B1711=Company_Explorer!$B$6),OR(Company_Explorer!$B$7="All Roles",$D1711=Company_Explorer!$B$7),OR(Company_Explorer!$B$8="All Ghost Labels",$AG1711=Company_Explorer!$B$8)),1,0)</f>
        <v>0</v>
      </c>
    </row>
    <row r="1712" spans="1:35" ht="15" customHeight="1" x14ac:dyDescent="0.3">
      <c r="A1712" s="60" t="s">
        <v>6216</v>
      </c>
      <c r="B1712" s="60" t="s">
        <v>81</v>
      </c>
      <c r="C1712" s="60" t="s">
        <v>6217</v>
      </c>
      <c r="D1712" s="60" t="s">
        <v>126</v>
      </c>
      <c r="E1712" s="60" t="s">
        <v>145</v>
      </c>
      <c r="F1712" s="60" t="b">
        <f>TRUE()</f>
        <v>1</v>
      </c>
      <c r="G1712" s="60" t="s">
        <v>165</v>
      </c>
      <c r="H1712" s="60" t="s">
        <v>3620</v>
      </c>
      <c r="I1712" s="61">
        <v>46209.919247407401</v>
      </c>
      <c r="J1712" s="61">
        <v>46210.283263969897</v>
      </c>
      <c r="K1712" s="60">
        <v>0.4</v>
      </c>
      <c r="L1712" s="60" t="s">
        <v>183</v>
      </c>
      <c r="M1712" s="60" t="s">
        <v>183</v>
      </c>
      <c r="N1712" s="60" t="b">
        <f>FALSE()</f>
        <v>0</v>
      </c>
      <c r="O1712" s="60"/>
      <c r="P1712" s="60"/>
      <c r="Q1712" s="60" t="s">
        <v>236</v>
      </c>
      <c r="R1712" s="60" t="s">
        <v>236</v>
      </c>
      <c r="S1712" s="60"/>
      <c r="T1712" s="60" t="b">
        <f>FALSE()</f>
        <v>0</v>
      </c>
      <c r="U1712" s="60" t="b">
        <f>FALSE()</f>
        <v>0</v>
      </c>
      <c r="V1712" s="60">
        <v>811</v>
      </c>
      <c r="W1712" s="62" t="s">
        <v>3646</v>
      </c>
      <c r="X1712" s="60">
        <v>42</v>
      </c>
      <c r="Y1712" s="63">
        <v>73.5</v>
      </c>
      <c r="Z1712" s="60" t="b">
        <f>FALSE()</f>
        <v>0</v>
      </c>
      <c r="AA1712" s="60" t="b">
        <f>TRUE()</f>
        <v>1</v>
      </c>
      <c r="AB1712" s="60" t="b">
        <f>FALSE()</f>
        <v>0</v>
      </c>
      <c r="AC1712" s="60" t="b">
        <f>FALSE()</f>
        <v>0</v>
      </c>
      <c r="AD1712" s="60" t="b">
        <f>FALSE()</f>
        <v>0</v>
      </c>
      <c r="AE1712" s="60">
        <v>1</v>
      </c>
      <c r="AF1712" s="64">
        <v>14.3</v>
      </c>
      <c r="AG1712" s="60" t="s">
        <v>74</v>
      </c>
      <c r="AH1712" s="60" t="s">
        <v>6218</v>
      </c>
      <c r="AI1712">
        <f>IF(AND(OR(Company_Explorer!$B$5="All Companies",$E1712=Company_Explorer!$B$5),OR(Company_Explorer!$B$6="All Platforms",$B1712=Company_Explorer!$B$6),OR(Company_Explorer!$B$7="All Roles",$D1712=Company_Explorer!$B$7),OR(Company_Explorer!$B$8="All Ghost Labels",$AG1712=Company_Explorer!$B$8)),1,0)</f>
        <v>0</v>
      </c>
    </row>
    <row r="1713" spans="1:35" ht="15" customHeight="1" x14ac:dyDescent="0.3">
      <c r="A1713" s="65" t="s">
        <v>6219</v>
      </c>
      <c r="B1713" s="65" t="s">
        <v>81</v>
      </c>
      <c r="C1713" s="65" t="s">
        <v>6195</v>
      </c>
      <c r="D1713" s="65" t="s">
        <v>126</v>
      </c>
      <c r="E1713" s="65" t="s">
        <v>2758</v>
      </c>
      <c r="F1713" s="65" t="b">
        <f>TRUE()</f>
        <v>1</v>
      </c>
      <c r="G1713" s="65" t="s">
        <v>165</v>
      </c>
      <c r="H1713" s="65" t="s">
        <v>3630</v>
      </c>
      <c r="I1713" s="66">
        <v>46209.918027534703</v>
      </c>
      <c r="J1713" s="66">
        <v>46210.283264062498</v>
      </c>
      <c r="K1713" s="65">
        <v>0.4</v>
      </c>
      <c r="L1713" s="65" t="s">
        <v>183</v>
      </c>
      <c r="M1713" s="65" t="s">
        <v>183</v>
      </c>
      <c r="N1713" s="65" t="b">
        <f>FALSE()</f>
        <v>0</v>
      </c>
      <c r="O1713" s="65"/>
      <c r="P1713" s="65"/>
      <c r="Q1713" s="65" t="s">
        <v>236</v>
      </c>
      <c r="R1713" s="65" t="s">
        <v>236</v>
      </c>
      <c r="S1713" s="65"/>
      <c r="T1713" s="65" t="b">
        <f>FALSE()</f>
        <v>0</v>
      </c>
      <c r="U1713" s="65" t="b">
        <f>FALSE()</f>
        <v>0</v>
      </c>
      <c r="V1713" s="65">
        <v>261</v>
      </c>
      <c r="W1713" s="67" t="s">
        <v>6220</v>
      </c>
      <c r="X1713" s="65">
        <v>11</v>
      </c>
      <c r="Y1713" s="68">
        <v>19.25</v>
      </c>
      <c r="Z1713" s="65" t="b">
        <f>FALSE()</f>
        <v>0</v>
      </c>
      <c r="AA1713" s="65" t="b">
        <f>TRUE()</f>
        <v>1</v>
      </c>
      <c r="AB1713" s="65" t="b">
        <f>TRUE()</f>
        <v>1</v>
      </c>
      <c r="AC1713" s="65" t="b">
        <f>FALSE()</f>
        <v>0</v>
      </c>
      <c r="AD1713" s="65" t="b">
        <f>FALSE()</f>
        <v>0</v>
      </c>
      <c r="AE1713" s="65">
        <v>2</v>
      </c>
      <c r="AF1713" s="69">
        <v>28.6</v>
      </c>
      <c r="AG1713" s="65" t="s">
        <v>73</v>
      </c>
      <c r="AH1713" s="65" t="s">
        <v>6221</v>
      </c>
      <c r="AI1713">
        <f>IF(AND(OR(Company_Explorer!$B$5="All Companies",$E1713=Company_Explorer!$B$5),OR(Company_Explorer!$B$6="All Platforms",$B1713=Company_Explorer!$B$6),OR(Company_Explorer!$B$7="All Roles",$D1713=Company_Explorer!$B$7),OR(Company_Explorer!$B$8="All Ghost Labels",$AG1713=Company_Explorer!$B$8)),1,0)</f>
        <v>0</v>
      </c>
    </row>
    <row r="1714" spans="1:35" ht="15" customHeight="1" x14ac:dyDescent="0.3">
      <c r="A1714" s="60" t="s">
        <v>6222</v>
      </c>
      <c r="B1714" s="60" t="s">
        <v>81</v>
      </c>
      <c r="C1714" s="60" t="s">
        <v>6223</v>
      </c>
      <c r="D1714" s="60" t="s">
        <v>126</v>
      </c>
      <c r="E1714" s="60" t="s">
        <v>2758</v>
      </c>
      <c r="F1714" s="60" t="b">
        <f>TRUE()</f>
        <v>1</v>
      </c>
      <c r="G1714" s="60" t="s">
        <v>165</v>
      </c>
      <c r="H1714" s="60" t="s">
        <v>3655</v>
      </c>
      <c r="I1714" s="61">
        <v>46209.917961504601</v>
      </c>
      <c r="J1714" s="61">
        <v>46210.283265196798</v>
      </c>
      <c r="K1714" s="60">
        <v>0.4</v>
      </c>
      <c r="L1714" s="60" t="s">
        <v>183</v>
      </c>
      <c r="M1714" s="60" t="s">
        <v>183</v>
      </c>
      <c r="N1714" s="60" t="b">
        <f>FALSE()</f>
        <v>0</v>
      </c>
      <c r="O1714" s="60"/>
      <c r="P1714" s="60"/>
      <c r="Q1714" s="60" t="s">
        <v>236</v>
      </c>
      <c r="R1714" s="60" t="s">
        <v>236</v>
      </c>
      <c r="S1714" s="60"/>
      <c r="T1714" s="60" t="b">
        <f>FALSE()</f>
        <v>0</v>
      </c>
      <c r="U1714" s="60" t="b">
        <f>FALSE()</f>
        <v>0</v>
      </c>
      <c r="V1714" s="60">
        <v>443</v>
      </c>
      <c r="W1714" s="62" t="s">
        <v>6224</v>
      </c>
      <c r="X1714" s="60">
        <v>11</v>
      </c>
      <c r="Y1714" s="63">
        <v>19.25</v>
      </c>
      <c r="Z1714" s="60" t="b">
        <f>FALSE()</f>
        <v>0</v>
      </c>
      <c r="AA1714" s="60" t="b">
        <f>TRUE()</f>
        <v>1</v>
      </c>
      <c r="AB1714" s="60" t="b">
        <f>FALSE()</f>
        <v>0</v>
      </c>
      <c r="AC1714" s="60" t="b">
        <f>FALSE()</f>
        <v>0</v>
      </c>
      <c r="AD1714" s="60" t="b">
        <f>FALSE()</f>
        <v>0</v>
      </c>
      <c r="AE1714" s="60">
        <v>1</v>
      </c>
      <c r="AF1714" s="64">
        <v>14.3</v>
      </c>
      <c r="AG1714" s="60" t="s">
        <v>74</v>
      </c>
      <c r="AH1714" s="60" t="s">
        <v>6225</v>
      </c>
      <c r="AI1714">
        <f>IF(AND(OR(Company_Explorer!$B$5="All Companies",$E1714=Company_Explorer!$B$5),OR(Company_Explorer!$B$6="All Platforms",$B1714=Company_Explorer!$B$6),OR(Company_Explorer!$B$7="All Roles",$D1714=Company_Explorer!$B$7),OR(Company_Explorer!$B$8="All Ghost Labels",$AG1714=Company_Explorer!$B$8)),1,0)</f>
        <v>0</v>
      </c>
    </row>
    <row r="1715" spans="1:35" ht="15" customHeight="1" x14ac:dyDescent="0.3">
      <c r="A1715" s="65" t="s">
        <v>6226</v>
      </c>
      <c r="B1715" s="65" t="s">
        <v>81</v>
      </c>
      <c r="C1715" s="65" t="s">
        <v>6227</v>
      </c>
      <c r="D1715" s="65" t="s">
        <v>134</v>
      </c>
      <c r="E1715" s="65" t="s">
        <v>6228</v>
      </c>
      <c r="F1715" s="65" t="b">
        <f>TRUE()</f>
        <v>1</v>
      </c>
      <c r="G1715" s="65" t="s">
        <v>165</v>
      </c>
      <c r="H1715" s="65" t="s">
        <v>3620</v>
      </c>
      <c r="I1715" s="66">
        <v>46209.916173101898</v>
      </c>
      <c r="J1715" s="66">
        <v>46210.283266192098</v>
      </c>
      <c r="K1715" s="65">
        <v>0.4</v>
      </c>
      <c r="L1715" s="65" t="s">
        <v>183</v>
      </c>
      <c r="M1715" s="65" t="s">
        <v>183</v>
      </c>
      <c r="N1715" s="65" t="b">
        <f>FALSE()</f>
        <v>0</v>
      </c>
      <c r="O1715" s="65"/>
      <c r="P1715" s="65"/>
      <c r="Q1715" s="65" t="s">
        <v>236</v>
      </c>
      <c r="R1715" s="65" t="s">
        <v>236</v>
      </c>
      <c r="S1715" s="65"/>
      <c r="T1715" s="65" t="b">
        <f>FALSE()</f>
        <v>0</v>
      </c>
      <c r="U1715" s="65" t="b">
        <f>FALSE()</f>
        <v>0</v>
      </c>
      <c r="V1715" s="65">
        <v>363</v>
      </c>
      <c r="W1715" s="67" t="s">
        <v>6229</v>
      </c>
      <c r="X1715" s="65">
        <v>1</v>
      </c>
      <c r="Y1715" s="68">
        <v>1.75</v>
      </c>
      <c r="Z1715" s="65" t="b">
        <f>FALSE()</f>
        <v>0</v>
      </c>
      <c r="AA1715" s="65" t="b">
        <f>TRUE()</f>
        <v>1</v>
      </c>
      <c r="AB1715" s="65" t="b">
        <f>FALSE()</f>
        <v>0</v>
      </c>
      <c r="AC1715" s="65" t="b">
        <f>FALSE()</f>
        <v>0</v>
      </c>
      <c r="AD1715" s="65" t="b">
        <f>FALSE()</f>
        <v>0</v>
      </c>
      <c r="AE1715" s="65">
        <v>1</v>
      </c>
      <c r="AF1715" s="69">
        <v>14.3</v>
      </c>
      <c r="AG1715" s="65" t="s">
        <v>74</v>
      </c>
      <c r="AH1715" s="65" t="s">
        <v>6230</v>
      </c>
      <c r="AI1715">
        <f>IF(AND(OR(Company_Explorer!$B$5="All Companies",$E1715=Company_Explorer!$B$5),OR(Company_Explorer!$B$6="All Platforms",$B1715=Company_Explorer!$B$6),OR(Company_Explorer!$B$7="All Roles",$D1715=Company_Explorer!$B$7),OR(Company_Explorer!$B$8="All Ghost Labels",$AG1715=Company_Explorer!$B$8)),1,0)</f>
        <v>0</v>
      </c>
    </row>
    <row r="1716" spans="1:35" ht="15" customHeight="1" x14ac:dyDescent="0.3">
      <c r="A1716" s="60" t="s">
        <v>6231</v>
      </c>
      <c r="B1716" s="60" t="s">
        <v>81</v>
      </c>
      <c r="C1716" s="60" t="s">
        <v>6232</v>
      </c>
      <c r="D1716" s="60" t="s">
        <v>126</v>
      </c>
      <c r="E1716" s="60" t="s">
        <v>145</v>
      </c>
      <c r="F1716" s="60" t="b">
        <f>TRUE()</f>
        <v>1</v>
      </c>
      <c r="G1716" s="60" t="s">
        <v>165</v>
      </c>
      <c r="H1716" s="60" t="s">
        <v>3620</v>
      </c>
      <c r="I1716" s="61">
        <v>46209.919247500002</v>
      </c>
      <c r="J1716" s="61">
        <v>46210.283266226899</v>
      </c>
      <c r="K1716" s="60">
        <v>0.4</v>
      </c>
      <c r="L1716" s="60" t="s">
        <v>183</v>
      </c>
      <c r="M1716" s="60" t="s">
        <v>183</v>
      </c>
      <c r="N1716" s="60" t="b">
        <f>FALSE()</f>
        <v>0</v>
      </c>
      <c r="O1716" s="60"/>
      <c r="P1716" s="60"/>
      <c r="Q1716" s="60" t="s">
        <v>236</v>
      </c>
      <c r="R1716" s="60" t="s">
        <v>236</v>
      </c>
      <c r="S1716" s="60"/>
      <c r="T1716" s="60" t="b">
        <f>FALSE()</f>
        <v>0</v>
      </c>
      <c r="U1716" s="60" t="b">
        <f>FALSE()</f>
        <v>0</v>
      </c>
      <c r="V1716" s="60">
        <v>612</v>
      </c>
      <c r="W1716" s="62" t="s">
        <v>3646</v>
      </c>
      <c r="X1716" s="60">
        <v>42</v>
      </c>
      <c r="Y1716" s="63">
        <v>73.5</v>
      </c>
      <c r="Z1716" s="60" t="b">
        <f>FALSE()</f>
        <v>0</v>
      </c>
      <c r="AA1716" s="60" t="b">
        <f>TRUE()</f>
        <v>1</v>
      </c>
      <c r="AB1716" s="60" t="b">
        <f>FALSE()</f>
        <v>0</v>
      </c>
      <c r="AC1716" s="60" t="b">
        <f>FALSE()</f>
        <v>0</v>
      </c>
      <c r="AD1716" s="60" t="b">
        <f>FALSE()</f>
        <v>0</v>
      </c>
      <c r="AE1716" s="60">
        <v>1</v>
      </c>
      <c r="AF1716" s="64">
        <v>14.3</v>
      </c>
      <c r="AG1716" s="60" t="s">
        <v>74</v>
      </c>
      <c r="AH1716" s="60" t="s">
        <v>6233</v>
      </c>
      <c r="AI1716">
        <f>IF(AND(OR(Company_Explorer!$B$5="All Companies",$E1716=Company_Explorer!$B$5),OR(Company_Explorer!$B$6="All Platforms",$B1716=Company_Explorer!$B$6),OR(Company_Explorer!$B$7="All Roles",$D1716=Company_Explorer!$B$7),OR(Company_Explorer!$B$8="All Ghost Labels",$AG1716=Company_Explorer!$B$8)),1,0)</f>
        <v>0</v>
      </c>
    </row>
    <row r="1717" spans="1:35" ht="15" customHeight="1" x14ac:dyDescent="0.3">
      <c r="A1717" s="65" t="s">
        <v>6234</v>
      </c>
      <c r="B1717" s="65" t="s">
        <v>81</v>
      </c>
      <c r="C1717" s="65" t="s">
        <v>6235</v>
      </c>
      <c r="D1717" s="65" t="s">
        <v>126</v>
      </c>
      <c r="E1717" s="65" t="s">
        <v>145</v>
      </c>
      <c r="F1717" s="65" t="b">
        <f>TRUE()</f>
        <v>1</v>
      </c>
      <c r="G1717" s="65" t="s">
        <v>165</v>
      </c>
      <c r="H1717" s="65" t="s">
        <v>3620</v>
      </c>
      <c r="I1717" s="66">
        <v>46209.919234294</v>
      </c>
      <c r="J1717" s="66">
        <v>46210.283266493097</v>
      </c>
      <c r="K1717" s="65">
        <v>0.4</v>
      </c>
      <c r="L1717" s="65" t="s">
        <v>183</v>
      </c>
      <c r="M1717" s="65" t="s">
        <v>183</v>
      </c>
      <c r="N1717" s="65" t="b">
        <f>FALSE()</f>
        <v>0</v>
      </c>
      <c r="O1717" s="65"/>
      <c r="P1717" s="65"/>
      <c r="Q1717" s="65" t="s">
        <v>236</v>
      </c>
      <c r="R1717" s="65" t="s">
        <v>236</v>
      </c>
      <c r="S1717" s="65"/>
      <c r="T1717" s="65" t="b">
        <f>FALSE()</f>
        <v>0</v>
      </c>
      <c r="U1717" s="65" t="b">
        <f>FALSE()</f>
        <v>0</v>
      </c>
      <c r="V1717" s="65">
        <v>669</v>
      </c>
      <c r="W1717" s="67" t="s">
        <v>3646</v>
      </c>
      <c r="X1717" s="65">
        <v>42</v>
      </c>
      <c r="Y1717" s="68">
        <v>73.5</v>
      </c>
      <c r="Z1717" s="65" t="b">
        <f>FALSE()</f>
        <v>0</v>
      </c>
      <c r="AA1717" s="65" t="b">
        <f>TRUE()</f>
        <v>1</v>
      </c>
      <c r="AB1717" s="65" t="b">
        <f>FALSE()</f>
        <v>0</v>
      </c>
      <c r="AC1717" s="65" t="b">
        <f>FALSE()</f>
        <v>0</v>
      </c>
      <c r="AD1717" s="65" t="b">
        <f>FALSE()</f>
        <v>0</v>
      </c>
      <c r="AE1717" s="65">
        <v>1</v>
      </c>
      <c r="AF1717" s="69">
        <v>14.3</v>
      </c>
      <c r="AG1717" s="65" t="s">
        <v>74</v>
      </c>
      <c r="AH1717" s="65" t="s">
        <v>6236</v>
      </c>
      <c r="AI1717">
        <f>IF(AND(OR(Company_Explorer!$B$5="All Companies",$E1717=Company_Explorer!$B$5),OR(Company_Explorer!$B$6="All Platforms",$B1717=Company_Explorer!$B$6),OR(Company_Explorer!$B$7="All Roles",$D1717=Company_Explorer!$B$7),OR(Company_Explorer!$B$8="All Ghost Labels",$AG1717=Company_Explorer!$B$8)),1,0)</f>
        <v>0</v>
      </c>
    </row>
    <row r="1718" spans="1:35" ht="15" customHeight="1" x14ac:dyDescent="0.3">
      <c r="A1718" s="60" t="s">
        <v>6237</v>
      </c>
      <c r="B1718" s="60" t="s">
        <v>81</v>
      </c>
      <c r="C1718" s="60" t="s">
        <v>6238</v>
      </c>
      <c r="D1718" s="60" t="s">
        <v>126</v>
      </c>
      <c r="E1718" s="60" t="s">
        <v>146</v>
      </c>
      <c r="F1718" s="60" t="b">
        <f>TRUE()</f>
        <v>1</v>
      </c>
      <c r="G1718" s="60" t="s">
        <v>165</v>
      </c>
      <c r="H1718" s="60" t="s">
        <v>4661</v>
      </c>
      <c r="I1718" s="61">
        <v>46209.9109357407</v>
      </c>
      <c r="J1718" s="61">
        <v>46210.283267395796</v>
      </c>
      <c r="K1718" s="60">
        <v>0.4</v>
      </c>
      <c r="L1718" s="60" t="s">
        <v>183</v>
      </c>
      <c r="M1718" s="60" t="s">
        <v>183</v>
      </c>
      <c r="N1718" s="60" t="b">
        <f>FALSE()</f>
        <v>0</v>
      </c>
      <c r="O1718" s="60"/>
      <c r="P1718" s="60"/>
      <c r="Q1718" s="60" t="s">
        <v>236</v>
      </c>
      <c r="R1718" s="60" t="s">
        <v>236</v>
      </c>
      <c r="S1718" s="60"/>
      <c r="T1718" s="60" t="b">
        <f>FALSE()</f>
        <v>0</v>
      </c>
      <c r="U1718" s="60" t="b">
        <f>FALSE()</f>
        <v>0</v>
      </c>
      <c r="V1718" s="60">
        <v>791</v>
      </c>
      <c r="W1718" s="62" t="s">
        <v>6239</v>
      </c>
      <c r="X1718" s="60">
        <v>33</v>
      </c>
      <c r="Y1718" s="63">
        <v>57.75</v>
      </c>
      <c r="Z1718" s="60" t="b">
        <f>FALSE()</f>
        <v>0</v>
      </c>
      <c r="AA1718" s="60" t="b">
        <f>TRUE()</f>
        <v>1</v>
      </c>
      <c r="AB1718" s="60" t="b">
        <f>FALSE()</f>
        <v>0</v>
      </c>
      <c r="AC1718" s="60" t="b">
        <f>FALSE()</f>
        <v>0</v>
      </c>
      <c r="AD1718" s="60" t="b">
        <f>FALSE()</f>
        <v>0</v>
      </c>
      <c r="AE1718" s="60">
        <v>1</v>
      </c>
      <c r="AF1718" s="64">
        <v>14.3</v>
      </c>
      <c r="AG1718" s="60" t="s">
        <v>74</v>
      </c>
      <c r="AH1718" s="60" t="s">
        <v>6240</v>
      </c>
      <c r="AI1718">
        <f>IF(AND(OR(Company_Explorer!$B$5="All Companies",$E1718=Company_Explorer!$B$5),OR(Company_Explorer!$B$6="All Platforms",$B1718=Company_Explorer!$B$6),OR(Company_Explorer!$B$7="All Roles",$D1718=Company_Explorer!$B$7),OR(Company_Explorer!$B$8="All Ghost Labels",$AG1718=Company_Explorer!$B$8)),1,0)</f>
        <v>0</v>
      </c>
    </row>
    <row r="1719" spans="1:35" ht="15" customHeight="1" x14ac:dyDescent="0.3">
      <c r="A1719" s="65" t="s">
        <v>6241</v>
      </c>
      <c r="B1719" s="65" t="s">
        <v>81</v>
      </c>
      <c r="C1719" s="65" t="s">
        <v>6242</v>
      </c>
      <c r="D1719" s="65" t="s">
        <v>125</v>
      </c>
      <c r="E1719" s="65" t="s">
        <v>145</v>
      </c>
      <c r="F1719" s="65" t="b">
        <f>TRUE()</f>
        <v>1</v>
      </c>
      <c r="G1719" s="65" t="s">
        <v>165</v>
      </c>
      <c r="H1719" s="65" t="s">
        <v>3620</v>
      </c>
      <c r="I1719" s="66">
        <v>46209.919210636603</v>
      </c>
      <c r="J1719" s="66">
        <v>46210.283267442101</v>
      </c>
      <c r="K1719" s="65">
        <v>0.4</v>
      </c>
      <c r="L1719" s="65" t="s">
        <v>183</v>
      </c>
      <c r="M1719" s="65" t="s">
        <v>183</v>
      </c>
      <c r="N1719" s="65" t="b">
        <f>FALSE()</f>
        <v>0</v>
      </c>
      <c r="O1719" s="65"/>
      <c r="P1719" s="65"/>
      <c r="Q1719" s="65" t="s">
        <v>236</v>
      </c>
      <c r="R1719" s="65" t="s">
        <v>236</v>
      </c>
      <c r="S1719" s="65"/>
      <c r="T1719" s="65" t="b">
        <f>FALSE()</f>
        <v>0</v>
      </c>
      <c r="U1719" s="65" t="b">
        <f>FALSE()</f>
        <v>0</v>
      </c>
      <c r="V1719" s="65">
        <v>848</v>
      </c>
      <c r="W1719" s="67" t="s">
        <v>3646</v>
      </c>
      <c r="X1719" s="65">
        <v>42</v>
      </c>
      <c r="Y1719" s="68">
        <v>73.5</v>
      </c>
      <c r="Z1719" s="65" t="b">
        <f>FALSE()</f>
        <v>0</v>
      </c>
      <c r="AA1719" s="65" t="b">
        <f>TRUE()</f>
        <v>1</v>
      </c>
      <c r="AB1719" s="65" t="b">
        <f>FALSE()</f>
        <v>0</v>
      </c>
      <c r="AC1719" s="65" t="b">
        <f>FALSE()</f>
        <v>0</v>
      </c>
      <c r="AD1719" s="65" t="b">
        <f>FALSE()</f>
        <v>0</v>
      </c>
      <c r="AE1719" s="65">
        <v>1</v>
      </c>
      <c r="AF1719" s="69">
        <v>14.3</v>
      </c>
      <c r="AG1719" s="65" t="s">
        <v>74</v>
      </c>
      <c r="AH1719" s="65" t="s">
        <v>6243</v>
      </c>
      <c r="AI1719">
        <f>IF(AND(OR(Company_Explorer!$B$5="All Companies",$E1719=Company_Explorer!$B$5),OR(Company_Explorer!$B$6="All Platforms",$B1719=Company_Explorer!$B$6),OR(Company_Explorer!$B$7="All Roles",$D1719=Company_Explorer!$B$7),OR(Company_Explorer!$B$8="All Ghost Labels",$AG1719=Company_Explorer!$B$8)),1,0)</f>
        <v>0</v>
      </c>
    </row>
    <row r="1720" spans="1:35" ht="15" customHeight="1" x14ac:dyDescent="0.3">
      <c r="A1720" s="60" t="s">
        <v>6244</v>
      </c>
      <c r="B1720" s="60" t="s">
        <v>81</v>
      </c>
      <c r="C1720" s="60" t="s">
        <v>6245</v>
      </c>
      <c r="D1720" s="60" t="s">
        <v>126</v>
      </c>
      <c r="E1720" s="60" t="s">
        <v>145</v>
      </c>
      <c r="F1720" s="60" t="b">
        <f>TRUE()</f>
        <v>1</v>
      </c>
      <c r="G1720" s="60" t="s">
        <v>165</v>
      </c>
      <c r="H1720" s="60" t="s">
        <v>3620</v>
      </c>
      <c r="I1720" s="61">
        <v>46209.919215127302</v>
      </c>
      <c r="J1720" s="61">
        <v>46210.283267500003</v>
      </c>
      <c r="K1720" s="60">
        <v>0.4</v>
      </c>
      <c r="L1720" s="60" t="s">
        <v>183</v>
      </c>
      <c r="M1720" s="60" t="s">
        <v>183</v>
      </c>
      <c r="N1720" s="60" t="b">
        <f>FALSE()</f>
        <v>0</v>
      </c>
      <c r="O1720" s="60"/>
      <c r="P1720" s="60"/>
      <c r="Q1720" s="60" t="s">
        <v>236</v>
      </c>
      <c r="R1720" s="60" t="s">
        <v>236</v>
      </c>
      <c r="S1720" s="60"/>
      <c r="T1720" s="60" t="b">
        <f>FALSE()</f>
        <v>0</v>
      </c>
      <c r="U1720" s="60" t="b">
        <f>FALSE()</f>
        <v>0</v>
      </c>
      <c r="V1720" s="60">
        <v>671</v>
      </c>
      <c r="W1720" s="62" t="s">
        <v>3646</v>
      </c>
      <c r="X1720" s="60">
        <v>42</v>
      </c>
      <c r="Y1720" s="63">
        <v>73.5</v>
      </c>
      <c r="Z1720" s="60" t="b">
        <f>FALSE()</f>
        <v>0</v>
      </c>
      <c r="AA1720" s="60" t="b">
        <f>TRUE()</f>
        <v>1</v>
      </c>
      <c r="AB1720" s="60" t="b">
        <f>FALSE()</f>
        <v>0</v>
      </c>
      <c r="AC1720" s="60" t="b">
        <f>FALSE()</f>
        <v>0</v>
      </c>
      <c r="AD1720" s="60" t="b">
        <f>FALSE()</f>
        <v>0</v>
      </c>
      <c r="AE1720" s="60">
        <v>1</v>
      </c>
      <c r="AF1720" s="64">
        <v>14.3</v>
      </c>
      <c r="AG1720" s="60" t="s">
        <v>74</v>
      </c>
      <c r="AH1720" s="60" t="s">
        <v>6246</v>
      </c>
      <c r="AI1720">
        <f>IF(AND(OR(Company_Explorer!$B$5="All Companies",$E1720=Company_Explorer!$B$5),OR(Company_Explorer!$B$6="All Platforms",$B1720=Company_Explorer!$B$6),OR(Company_Explorer!$B$7="All Roles",$D1720=Company_Explorer!$B$7),OR(Company_Explorer!$B$8="All Ghost Labels",$AG1720=Company_Explorer!$B$8)),1,0)</f>
        <v>0</v>
      </c>
    </row>
    <row r="1721" spans="1:35" ht="15" customHeight="1" x14ac:dyDescent="0.3">
      <c r="A1721" s="65" t="s">
        <v>6247</v>
      </c>
      <c r="B1721" s="65" t="s">
        <v>81</v>
      </c>
      <c r="C1721" s="65" t="s">
        <v>6248</v>
      </c>
      <c r="D1721" s="65" t="s">
        <v>126</v>
      </c>
      <c r="E1721" s="65" t="s">
        <v>145</v>
      </c>
      <c r="F1721" s="65" t="b">
        <f>TRUE()</f>
        <v>1</v>
      </c>
      <c r="G1721" s="65" t="s">
        <v>165</v>
      </c>
      <c r="H1721" s="65" t="s">
        <v>3620</v>
      </c>
      <c r="I1721" s="66">
        <v>46209.919225104197</v>
      </c>
      <c r="J1721" s="66">
        <v>46210.283267534702</v>
      </c>
      <c r="K1721" s="65">
        <v>0.4</v>
      </c>
      <c r="L1721" s="65" t="s">
        <v>183</v>
      </c>
      <c r="M1721" s="65" t="s">
        <v>183</v>
      </c>
      <c r="N1721" s="65" t="b">
        <f>FALSE()</f>
        <v>0</v>
      </c>
      <c r="O1721" s="65"/>
      <c r="P1721" s="65"/>
      <c r="Q1721" s="65" t="s">
        <v>236</v>
      </c>
      <c r="R1721" s="65" t="s">
        <v>236</v>
      </c>
      <c r="S1721" s="65"/>
      <c r="T1721" s="65" t="b">
        <f>FALSE()</f>
        <v>0</v>
      </c>
      <c r="U1721" s="65" t="b">
        <f>FALSE()</f>
        <v>0</v>
      </c>
      <c r="V1721" s="65">
        <v>644</v>
      </c>
      <c r="W1721" s="67" t="s">
        <v>3646</v>
      </c>
      <c r="X1721" s="65">
        <v>42</v>
      </c>
      <c r="Y1721" s="68">
        <v>73.5</v>
      </c>
      <c r="Z1721" s="65" t="b">
        <f>FALSE()</f>
        <v>0</v>
      </c>
      <c r="AA1721" s="65" t="b">
        <f>TRUE()</f>
        <v>1</v>
      </c>
      <c r="AB1721" s="65" t="b">
        <f>FALSE()</f>
        <v>0</v>
      </c>
      <c r="AC1721" s="65" t="b">
        <f>FALSE()</f>
        <v>0</v>
      </c>
      <c r="AD1721" s="65" t="b">
        <f>FALSE()</f>
        <v>0</v>
      </c>
      <c r="AE1721" s="65">
        <v>1</v>
      </c>
      <c r="AF1721" s="69">
        <v>14.3</v>
      </c>
      <c r="AG1721" s="65" t="s">
        <v>74</v>
      </c>
      <c r="AH1721" s="65" t="s">
        <v>6249</v>
      </c>
      <c r="AI1721">
        <f>IF(AND(OR(Company_Explorer!$B$5="All Companies",$E1721=Company_Explorer!$B$5),OR(Company_Explorer!$B$6="All Platforms",$B1721=Company_Explorer!$B$6),OR(Company_Explorer!$B$7="All Roles",$D1721=Company_Explorer!$B$7),OR(Company_Explorer!$B$8="All Ghost Labels",$AG1721=Company_Explorer!$B$8)),1,0)</f>
        <v>0</v>
      </c>
    </row>
    <row r="1722" spans="1:35" ht="15" customHeight="1" x14ac:dyDescent="0.3">
      <c r="A1722" s="60" t="s">
        <v>6250</v>
      </c>
      <c r="B1722" s="60" t="s">
        <v>81</v>
      </c>
      <c r="C1722" s="60" t="s">
        <v>6251</v>
      </c>
      <c r="D1722" s="60" t="s">
        <v>126</v>
      </c>
      <c r="E1722" s="60" t="s">
        <v>6252</v>
      </c>
      <c r="F1722" s="60" t="b">
        <f>TRUE()</f>
        <v>1</v>
      </c>
      <c r="G1722" s="60" t="s">
        <v>165</v>
      </c>
      <c r="H1722" s="60" t="s">
        <v>6253</v>
      </c>
      <c r="I1722" s="61">
        <v>46209.914259166697</v>
      </c>
      <c r="J1722" s="61">
        <v>46210.283268437503</v>
      </c>
      <c r="K1722" s="60">
        <v>0.4</v>
      </c>
      <c r="L1722" s="60" t="s">
        <v>183</v>
      </c>
      <c r="M1722" s="60" t="s">
        <v>183</v>
      </c>
      <c r="N1722" s="60" t="b">
        <f>FALSE()</f>
        <v>0</v>
      </c>
      <c r="O1722" s="60"/>
      <c r="P1722" s="60"/>
      <c r="Q1722" s="60" t="s">
        <v>236</v>
      </c>
      <c r="R1722" s="60" t="s">
        <v>236</v>
      </c>
      <c r="S1722" s="60"/>
      <c r="T1722" s="60" t="b">
        <f>FALSE()</f>
        <v>0</v>
      </c>
      <c r="U1722" s="60" t="b">
        <f>FALSE()</f>
        <v>0</v>
      </c>
      <c r="V1722" s="60">
        <v>134</v>
      </c>
      <c r="W1722" s="62" t="s">
        <v>6254</v>
      </c>
      <c r="X1722" s="60">
        <v>1</v>
      </c>
      <c r="Y1722" s="63">
        <v>1.75</v>
      </c>
      <c r="Z1722" s="60" t="b">
        <f>FALSE()</f>
        <v>0</v>
      </c>
      <c r="AA1722" s="60" t="b">
        <f>TRUE()</f>
        <v>1</v>
      </c>
      <c r="AB1722" s="60" t="b">
        <f>TRUE()</f>
        <v>1</v>
      </c>
      <c r="AC1722" s="60" t="b">
        <f>FALSE()</f>
        <v>0</v>
      </c>
      <c r="AD1722" s="60" t="b">
        <f>FALSE()</f>
        <v>0</v>
      </c>
      <c r="AE1722" s="60">
        <v>2</v>
      </c>
      <c r="AF1722" s="64">
        <v>28.6</v>
      </c>
      <c r="AG1722" s="60" t="s">
        <v>73</v>
      </c>
      <c r="AH1722" s="60" t="s">
        <v>6255</v>
      </c>
      <c r="AI1722">
        <f>IF(AND(OR(Company_Explorer!$B$5="All Companies",$E1722=Company_Explorer!$B$5),OR(Company_Explorer!$B$6="All Platforms",$B1722=Company_Explorer!$B$6),OR(Company_Explorer!$B$7="All Roles",$D1722=Company_Explorer!$B$7),OR(Company_Explorer!$B$8="All Ghost Labels",$AG1722=Company_Explorer!$B$8)),1,0)</f>
        <v>0</v>
      </c>
    </row>
    <row r="1723" spans="1:35" ht="15" customHeight="1" x14ac:dyDescent="0.3">
      <c r="A1723" s="65" t="s">
        <v>6256</v>
      </c>
      <c r="B1723" s="65" t="s">
        <v>81</v>
      </c>
      <c r="C1723" s="65" t="s">
        <v>6257</v>
      </c>
      <c r="D1723" s="65" t="s">
        <v>126</v>
      </c>
      <c r="E1723" s="65" t="s">
        <v>5044</v>
      </c>
      <c r="F1723" s="65" t="b">
        <f>TRUE()</f>
        <v>1</v>
      </c>
      <c r="G1723" s="65" t="s">
        <v>165</v>
      </c>
      <c r="H1723" s="65" t="s">
        <v>3620</v>
      </c>
      <c r="I1723" s="66">
        <v>46209.911651863396</v>
      </c>
      <c r="J1723" s="66">
        <v>46210.283268530096</v>
      </c>
      <c r="K1723" s="65">
        <v>0.4</v>
      </c>
      <c r="L1723" s="65" t="s">
        <v>183</v>
      </c>
      <c r="M1723" s="65" t="s">
        <v>183</v>
      </c>
      <c r="N1723" s="65" t="b">
        <f>FALSE()</f>
        <v>0</v>
      </c>
      <c r="O1723" s="65"/>
      <c r="P1723" s="65"/>
      <c r="Q1723" s="65" t="s">
        <v>236</v>
      </c>
      <c r="R1723" s="65" t="s">
        <v>236</v>
      </c>
      <c r="S1723" s="65"/>
      <c r="T1723" s="65" t="b">
        <f>FALSE()</f>
        <v>0</v>
      </c>
      <c r="U1723" s="65" t="b">
        <f>FALSE()</f>
        <v>0</v>
      </c>
      <c r="V1723" s="65">
        <v>726</v>
      </c>
      <c r="W1723" s="67" t="s">
        <v>5045</v>
      </c>
      <c r="X1723" s="65">
        <v>2</v>
      </c>
      <c r="Y1723" s="68">
        <v>3.5</v>
      </c>
      <c r="Z1723" s="65" t="b">
        <f>FALSE()</f>
        <v>0</v>
      </c>
      <c r="AA1723" s="65" t="b">
        <f>TRUE()</f>
        <v>1</v>
      </c>
      <c r="AB1723" s="65" t="b">
        <f>FALSE()</f>
        <v>0</v>
      </c>
      <c r="AC1723" s="65" t="b">
        <f>FALSE()</f>
        <v>0</v>
      </c>
      <c r="AD1723" s="65" t="b">
        <f>FALSE()</f>
        <v>0</v>
      </c>
      <c r="AE1723" s="65">
        <v>1</v>
      </c>
      <c r="AF1723" s="69">
        <v>14.3</v>
      </c>
      <c r="AG1723" s="65" t="s">
        <v>74</v>
      </c>
      <c r="AH1723" s="65" t="s">
        <v>6258</v>
      </c>
      <c r="AI1723">
        <f>IF(AND(OR(Company_Explorer!$B$5="All Companies",$E1723=Company_Explorer!$B$5),OR(Company_Explorer!$B$6="All Platforms",$B1723=Company_Explorer!$B$6),OR(Company_Explorer!$B$7="All Roles",$D1723=Company_Explorer!$B$7),OR(Company_Explorer!$B$8="All Ghost Labels",$AG1723=Company_Explorer!$B$8)),1,0)</f>
        <v>0</v>
      </c>
    </row>
    <row r="1724" spans="1:35" ht="15" customHeight="1" x14ac:dyDescent="0.3">
      <c r="A1724" s="60" t="s">
        <v>6259</v>
      </c>
      <c r="B1724" s="60" t="s">
        <v>81</v>
      </c>
      <c r="C1724" s="60" t="s">
        <v>6260</v>
      </c>
      <c r="D1724" s="60" t="s">
        <v>126</v>
      </c>
      <c r="E1724" s="60" t="s">
        <v>145</v>
      </c>
      <c r="F1724" s="60" t="b">
        <f>TRUE()</f>
        <v>1</v>
      </c>
      <c r="G1724" s="60" t="s">
        <v>165</v>
      </c>
      <c r="H1724" s="60" t="s">
        <v>3620</v>
      </c>
      <c r="I1724" s="61">
        <v>46209.9192177199</v>
      </c>
      <c r="J1724" s="61">
        <v>46210.283268564803</v>
      </c>
      <c r="K1724" s="60">
        <v>0.4</v>
      </c>
      <c r="L1724" s="60" t="s">
        <v>183</v>
      </c>
      <c r="M1724" s="60" t="s">
        <v>183</v>
      </c>
      <c r="N1724" s="60" t="b">
        <f>FALSE()</f>
        <v>0</v>
      </c>
      <c r="O1724" s="60"/>
      <c r="P1724" s="60"/>
      <c r="Q1724" s="60" t="s">
        <v>236</v>
      </c>
      <c r="R1724" s="60" t="s">
        <v>236</v>
      </c>
      <c r="S1724" s="60"/>
      <c r="T1724" s="60" t="b">
        <f>FALSE()</f>
        <v>0</v>
      </c>
      <c r="U1724" s="60" t="b">
        <f>FALSE()</f>
        <v>0</v>
      </c>
      <c r="V1724" s="60">
        <v>591</v>
      </c>
      <c r="W1724" s="62" t="s">
        <v>3646</v>
      </c>
      <c r="X1724" s="60">
        <v>42</v>
      </c>
      <c r="Y1724" s="63">
        <v>73.5</v>
      </c>
      <c r="Z1724" s="60" t="b">
        <f>FALSE()</f>
        <v>0</v>
      </c>
      <c r="AA1724" s="60" t="b">
        <f>TRUE()</f>
        <v>1</v>
      </c>
      <c r="AB1724" s="60" t="b">
        <f>FALSE()</f>
        <v>0</v>
      </c>
      <c r="AC1724" s="60" t="b">
        <f>FALSE()</f>
        <v>0</v>
      </c>
      <c r="AD1724" s="60" t="b">
        <f>FALSE()</f>
        <v>0</v>
      </c>
      <c r="AE1724" s="60">
        <v>1</v>
      </c>
      <c r="AF1724" s="64">
        <v>14.3</v>
      </c>
      <c r="AG1724" s="60" t="s">
        <v>74</v>
      </c>
      <c r="AH1724" s="60" t="s">
        <v>6261</v>
      </c>
      <c r="AI1724">
        <f>IF(AND(OR(Company_Explorer!$B$5="All Companies",$E1724=Company_Explorer!$B$5),OR(Company_Explorer!$B$6="All Platforms",$B1724=Company_Explorer!$B$6),OR(Company_Explorer!$B$7="All Roles",$D1724=Company_Explorer!$B$7),OR(Company_Explorer!$B$8="All Ghost Labels",$AG1724=Company_Explorer!$B$8)),1,0)</f>
        <v>0</v>
      </c>
    </row>
    <row r="1725" spans="1:35" ht="15" customHeight="1" x14ac:dyDescent="0.3">
      <c r="A1725" s="65" t="s">
        <v>6262</v>
      </c>
      <c r="B1725" s="65" t="s">
        <v>81</v>
      </c>
      <c r="C1725" s="65" t="s">
        <v>6263</v>
      </c>
      <c r="D1725" s="65" t="s">
        <v>126</v>
      </c>
      <c r="E1725" s="65" t="s">
        <v>146</v>
      </c>
      <c r="F1725" s="65" t="b">
        <f>TRUE()</f>
        <v>1</v>
      </c>
      <c r="G1725" s="65" t="s">
        <v>165</v>
      </c>
      <c r="H1725" s="65" t="s">
        <v>3655</v>
      </c>
      <c r="I1725" s="66">
        <v>46209.910915995402</v>
      </c>
      <c r="J1725" s="66">
        <v>46210.2832686111</v>
      </c>
      <c r="K1725" s="65">
        <v>0.4</v>
      </c>
      <c r="L1725" s="65" t="s">
        <v>183</v>
      </c>
      <c r="M1725" s="65" t="s">
        <v>183</v>
      </c>
      <c r="N1725" s="65" t="b">
        <f>FALSE()</f>
        <v>0</v>
      </c>
      <c r="O1725" s="65"/>
      <c r="P1725" s="65"/>
      <c r="Q1725" s="65" t="s">
        <v>236</v>
      </c>
      <c r="R1725" s="65" t="s">
        <v>236</v>
      </c>
      <c r="S1725" s="65"/>
      <c r="T1725" s="65" t="b">
        <f>FALSE()</f>
        <v>0</v>
      </c>
      <c r="U1725" s="65" t="b">
        <f>FALSE()</f>
        <v>0</v>
      </c>
      <c r="V1725" s="65">
        <v>1009</v>
      </c>
      <c r="W1725" s="67" t="s">
        <v>6264</v>
      </c>
      <c r="X1725" s="65">
        <v>33</v>
      </c>
      <c r="Y1725" s="68">
        <v>57.75</v>
      </c>
      <c r="Z1725" s="65" t="b">
        <f>FALSE()</f>
        <v>0</v>
      </c>
      <c r="AA1725" s="65" t="b">
        <f>TRUE()</f>
        <v>1</v>
      </c>
      <c r="AB1725" s="65" t="b">
        <f>FALSE()</f>
        <v>0</v>
      </c>
      <c r="AC1725" s="65" t="b">
        <f>FALSE()</f>
        <v>0</v>
      </c>
      <c r="AD1725" s="65" t="b">
        <f>FALSE()</f>
        <v>0</v>
      </c>
      <c r="AE1725" s="65">
        <v>1</v>
      </c>
      <c r="AF1725" s="69">
        <v>14.3</v>
      </c>
      <c r="AG1725" s="65" t="s">
        <v>74</v>
      </c>
      <c r="AH1725" s="65" t="s">
        <v>6265</v>
      </c>
      <c r="AI1725">
        <f>IF(AND(OR(Company_Explorer!$B$5="All Companies",$E1725=Company_Explorer!$B$5),OR(Company_Explorer!$B$6="All Platforms",$B1725=Company_Explorer!$B$6),OR(Company_Explorer!$B$7="All Roles",$D1725=Company_Explorer!$B$7),OR(Company_Explorer!$B$8="All Ghost Labels",$AG1725=Company_Explorer!$B$8)),1,0)</f>
        <v>0</v>
      </c>
    </row>
    <row r="1726" spans="1:35" ht="15" customHeight="1" x14ac:dyDescent="0.3">
      <c r="A1726" s="60" t="s">
        <v>6266</v>
      </c>
      <c r="B1726" s="60" t="s">
        <v>81</v>
      </c>
      <c r="C1726" s="60" t="s">
        <v>6267</v>
      </c>
      <c r="D1726" s="60" t="s">
        <v>126</v>
      </c>
      <c r="E1726" s="60" t="s">
        <v>145</v>
      </c>
      <c r="F1726" s="60" t="b">
        <f>TRUE()</f>
        <v>1</v>
      </c>
      <c r="G1726" s="60" t="s">
        <v>165</v>
      </c>
      <c r="H1726" s="60" t="s">
        <v>3620</v>
      </c>
      <c r="I1726" s="61">
        <v>46209.919225601901</v>
      </c>
      <c r="J1726" s="61">
        <v>46210.283268506901</v>
      </c>
      <c r="K1726" s="60">
        <v>0.4</v>
      </c>
      <c r="L1726" s="60" t="s">
        <v>183</v>
      </c>
      <c r="M1726" s="60" t="s">
        <v>183</v>
      </c>
      <c r="N1726" s="60" t="b">
        <f>FALSE()</f>
        <v>0</v>
      </c>
      <c r="O1726" s="60"/>
      <c r="P1726" s="60"/>
      <c r="Q1726" s="60" t="s">
        <v>236</v>
      </c>
      <c r="R1726" s="60" t="s">
        <v>236</v>
      </c>
      <c r="S1726" s="60"/>
      <c r="T1726" s="60" t="b">
        <f>FALSE()</f>
        <v>0</v>
      </c>
      <c r="U1726" s="60" t="b">
        <f>FALSE()</f>
        <v>0</v>
      </c>
      <c r="V1726" s="60">
        <v>737</v>
      </c>
      <c r="W1726" s="62" t="s">
        <v>3646</v>
      </c>
      <c r="X1726" s="60">
        <v>42</v>
      </c>
      <c r="Y1726" s="63">
        <v>73.5</v>
      </c>
      <c r="Z1726" s="60" t="b">
        <f>FALSE()</f>
        <v>0</v>
      </c>
      <c r="AA1726" s="60" t="b">
        <f>TRUE()</f>
        <v>1</v>
      </c>
      <c r="AB1726" s="60" t="b">
        <f>FALSE()</f>
        <v>0</v>
      </c>
      <c r="AC1726" s="60" t="b">
        <f>FALSE()</f>
        <v>0</v>
      </c>
      <c r="AD1726" s="60" t="b">
        <f>FALSE()</f>
        <v>0</v>
      </c>
      <c r="AE1726" s="60">
        <v>1</v>
      </c>
      <c r="AF1726" s="64">
        <v>14.3</v>
      </c>
      <c r="AG1726" s="60" t="s">
        <v>74</v>
      </c>
      <c r="AH1726" s="60" t="s">
        <v>6268</v>
      </c>
      <c r="AI1726">
        <f>IF(AND(OR(Company_Explorer!$B$5="All Companies",$E1726=Company_Explorer!$B$5),OR(Company_Explorer!$B$6="All Platforms",$B1726=Company_Explorer!$B$6),OR(Company_Explorer!$B$7="All Roles",$D1726=Company_Explorer!$B$7),OR(Company_Explorer!$B$8="All Ghost Labels",$AG1726=Company_Explorer!$B$8)),1,0)</f>
        <v>0</v>
      </c>
    </row>
    <row r="1727" spans="1:35" ht="15" customHeight="1" x14ac:dyDescent="0.3">
      <c r="A1727" s="65" t="s">
        <v>6269</v>
      </c>
      <c r="B1727" s="65" t="s">
        <v>81</v>
      </c>
      <c r="C1727" s="65" t="s">
        <v>6270</v>
      </c>
      <c r="D1727" s="65" t="s">
        <v>126</v>
      </c>
      <c r="E1727" s="65" t="s">
        <v>146</v>
      </c>
      <c r="F1727" s="65" t="b">
        <f>TRUE()</f>
        <v>1</v>
      </c>
      <c r="G1727" s="65" t="s">
        <v>165</v>
      </c>
      <c r="H1727" s="65" t="s">
        <v>3620</v>
      </c>
      <c r="I1727" s="66">
        <v>46209.910911203697</v>
      </c>
      <c r="J1727" s="66">
        <v>46210.283268669002</v>
      </c>
      <c r="K1727" s="65">
        <v>0.4</v>
      </c>
      <c r="L1727" s="65" t="s">
        <v>183</v>
      </c>
      <c r="M1727" s="65" t="s">
        <v>183</v>
      </c>
      <c r="N1727" s="65" t="b">
        <f>FALSE()</f>
        <v>0</v>
      </c>
      <c r="O1727" s="65"/>
      <c r="P1727" s="65"/>
      <c r="Q1727" s="65" t="s">
        <v>236</v>
      </c>
      <c r="R1727" s="65" t="s">
        <v>236</v>
      </c>
      <c r="S1727" s="65"/>
      <c r="T1727" s="65" t="b">
        <f>FALSE()</f>
        <v>0</v>
      </c>
      <c r="U1727" s="65" t="b">
        <f>FALSE()</f>
        <v>0</v>
      </c>
      <c r="V1727" s="65">
        <v>461</v>
      </c>
      <c r="W1727" s="67" t="s">
        <v>6271</v>
      </c>
      <c r="X1727" s="65">
        <v>33</v>
      </c>
      <c r="Y1727" s="68">
        <v>57.75</v>
      </c>
      <c r="Z1727" s="65" t="b">
        <f>FALSE()</f>
        <v>0</v>
      </c>
      <c r="AA1727" s="65" t="b">
        <f>TRUE()</f>
        <v>1</v>
      </c>
      <c r="AB1727" s="65" t="b">
        <f>FALSE()</f>
        <v>0</v>
      </c>
      <c r="AC1727" s="65" t="b">
        <f>FALSE()</f>
        <v>0</v>
      </c>
      <c r="AD1727" s="65" t="b">
        <f>FALSE()</f>
        <v>0</v>
      </c>
      <c r="AE1727" s="65">
        <v>1</v>
      </c>
      <c r="AF1727" s="69">
        <v>14.3</v>
      </c>
      <c r="AG1727" s="65" t="s">
        <v>74</v>
      </c>
      <c r="AH1727" s="65" t="s">
        <v>6272</v>
      </c>
      <c r="AI1727">
        <f>IF(AND(OR(Company_Explorer!$B$5="All Companies",$E1727=Company_Explorer!$B$5),OR(Company_Explorer!$B$6="All Platforms",$B1727=Company_Explorer!$B$6),OR(Company_Explorer!$B$7="All Roles",$D1727=Company_Explorer!$B$7),OR(Company_Explorer!$B$8="All Ghost Labels",$AG1727=Company_Explorer!$B$8)),1,0)</f>
        <v>0</v>
      </c>
    </row>
    <row r="1728" spans="1:35" ht="15" customHeight="1" x14ac:dyDescent="0.3">
      <c r="A1728" s="60" t="s">
        <v>6273</v>
      </c>
      <c r="B1728" s="60" t="s">
        <v>81</v>
      </c>
      <c r="C1728" s="60" t="s">
        <v>6274</v>
      </c>
      <c r="D1728" s="60" t="s">
        <v>136</v>
      </c>
      <c r="E1728" s="60" t="s">
        <v>146</v>
      </c>
      <c r="F1728" s="60" t="b">
        <f>TRUE()</f>
        <v>1</v>
      </c>
      <c r="G1728" s="60" t="s">
        <v>165</v>
      </c>
      <c r="H1728" s="60" t="s">
        <v>3636</v>
      </c>
      <c r="I1728" s="61">
        <v>46209.910898101902</v>
      </c>
      <c r="J1728" s="61">
        <v>46210.283270775501</v>
      </c>
      <c r="K1728" s="60">
        <v>0.4</v>
      </c>
      <c r="L1728" s="60" t="s">
        <v>183</v>
      </c>
      <c r="M1728" s="60" t="s">
        <v>183</v>
      </c>
      <c r="N1728" s="60" t="b">
        <f>FALSE()</f>
        <v>0</v>
      </c>
      <c r="O1728" s="60"/>
      <c r="P1728" s="60"/>
      <c r="Q1728" s="60" t="s">
        <v>236</v>
      </c>
      <c r="R1728" s="60" t="s">
        <v>236</v>
      </c>
      <c r="S1728" s="60"/>
      <c r="T1728" s="60" t="b">
        <f>FALSE()</f>
        <v>0</v>
      </c>
      <c r="U1728" s="60" t="b">
        <f>FALSE()</f>
        <v>0</v>
      </c>
      <c r="V1728" s="60">
        <v>1056</v>
      </c>
      <c r="W1728" s="62" t="s">
        <v>6275</v>
      </c>
      <c r="X1728" s="60">
        <v>33</v>
      </c>
      <c r="Y1728" s="63">
        <v>57.75</v>
      </c>
      <c r="Z1728" s="60" t="b">
        <f>FALSE()</f>
        <v>0</v>
      </c>
      <c r="AA1728" s="60" t="b">
        <f>TRUE()</f>
        <v>1</v>
      </c>
      <c r="AB1728" s="60" t="b">
        <f>FALSE()</f>
        <v>0</v>
      </c>
      <c r="AC1728" s="60" t="b">
        <f>FALSE()</f>
        <v>0</v>
      </c>
      <c r="AD1728" s="60" t="b">
        <f>FALSE()</f>
        <v>0</v>
      </c>
      <c r="AE1728" s="60">
        <v>1</v>
      </c>
      <c r="AF1728" s="64">
        <v>14.3</v>
      </c>
      <c r="AG1728" s="60" t="s">
        <v>74</v>
      </c>
      <c r="AH1728" s="60" t="s">
        <v>6276</v>
      </c>
      <c r="AI1728">
        <f>IF(AND(OR(Company_Explorer!$B$5="All Companies",$E1728=Company_Explorer!$B$5),OR(Company_Explorer!$B$6="All Platforms",$B1728=Company_Explorer!$B$6),OR(Company_Explorer!$B$7="All Roles",$D1728=Company_Explorer!$B$7),OR(Company_Explorer!$B$8="All Ghost Labels",$AG1728=Company_Explorer!$B$8)),1,0)</f>
        <v>0</v>
      </c>
    </row>
    <row r="1729" spans="1:35" ht="15" customHeight="1" x14ac:dyDescent="0.3">
      <c r="A1729" s="65" t="s">
        <v>6277</v>
      </c>
      <c r="B1729" s="65" t="s">
        <v>81</v>
      </c>
      <c r="C1729" s="65" t="s">
        <v>6278</v>
      </c>
      <c r="D1729" s="65" t="s">
        <v>125</v>
      </c>
      <c r="E1729" s="65" t="s">
        <v>145</v>
      </c>
      <c r="F1729" s="65" t="b">
        <f>TRUE()</f>
        <v>1</v>
      </c>
      <c r="G1729" s="65" t="s">
        <v>165</v>
      </c>
      <c r="H1729" s="65" t="s">
        <v>3620</v>
      </c>
      <c r="I1729" s="66">
        <v>46209.919025069401</v>
      </c>
      <c r="J1729" s="66">
        <v>46210.283272036999</v>
      </c>
      <c r="K1729" s="65">
        <v>0.4</v>
      </c>
      <c r="L1729" s="65" t="s">
        <v>183</v>
      </c>
      <c r="M1729" s="65" t="s">
        <v>183</v>
      </c>
      <c r="N1729" s="65" t="b">
        <f>FALSE()</f>
        <v>0</v>
      </c>
      <c r="O1729" s="65"/>
      <c r="P1729" s="65"/>
      <c r="Q1729" s="65" t="s">
        <v>236</v>
      </c>
      <c r="R1729" s="65" t="s">
        <v>236</v>
      </c>
      <c r="S1729" s="65"/>
      <c r="T1729" s="65" t="b">
        <f>FALSE()</f>
        <v>0</v>
      </c>
      <c r="U1729" s="65" t="b">
        <f>FALSE()</f>
        <v>0</v>
      </c>
      <c r="V1729" s="65">
        <v>717</v>
      </c>
      <c r="W1729" s="67" t="s">
        <v>3646</v>
      </c>
      <c r="X1729" s="65">
        <v>42</v>
      </c>
      <c r="Y1729" s="68">
        <v>73.5</v>
      </c>
      <c r="Z1729" s="65" t="b">
        <f>FALSE()</f>
        <v>0</v>
      </c>
      <c r="AA1729" s="65" t="b">
        <f>TRUE()</f>
        <v>1</v>
      </c>
      <c r="AB1729" s="65" t="b">
        <f>FALSE()</f>
        <v>0</v>
      </c>
      <c r="AC1729" s="65" t="b">
        <f>FALSE()</f>
        <v>0</v>
      </c>
      <c r="AD1729" s="65" t="b">
        <f>FALSE()</f>
        <v>0</v>
      </c>
      <c r="AE1729" s="65">
        <v>1</v>
      </c>
      <c r="AF1729" s="69">
        <v>14.3</v>
      </c>
      <c r="AG1729" s="65" t="s">
        <v>74</v>
      </c>
      <c r="AH1729" s="65" t="s">
        <v>6279</v>
      </c>
      <c r="AI1729">
        <f>IF(AND(OR(Company_Explorer!$B$5="All Companies",$E1729=Company_Explorer!$B$5),OR(Company_Explorer!$B$6="All Platforms",$B1729=Company_Explorer!$B$6),OR(Company_Explorer!$B$7="All Roles",$D1729=Company_Explorer!$B$7),OR(Company_Explorer!$B$8="All Ghost Labels",$AG1729=Company_Explorer!$B$8)),1,0)</f>
        <v>0</v>
      </c>
    </row>
    <row r="1730" spans="1:35" ht="15" customHeight="1" x14ac:dyDescent="0.3">
      <c r="A1730" s="60" t="s">
        <v>6280</v>
      </c>
      <c r="B1730" s="60" t="s">
        <v>81</v>
      </c>
      <c r="C1730" s="60" t="s">
        <v>6281</v>
      </c>
      <c r="D1730" s="60" t="s">
        <v>126</v>
      </c>
      <c r="E1730" s="60" t="s">
        <v>145</v>
      </c>
      <c r="F1730" s="60" t="b">
        <f>TRUE()</f>
        <v>1</v>
      </c>
      <c r="G1730" s="60" t="s">
        <v>165</v>
      </c>
      <c r="H1730" s="60" t="s">
        <v>3620</v>
      </c>
      <c r="I1730" s="61">
        <v>46209.9190035301</v>
      </c>
      <c r="J1730" s="61">
        <v>46210.283272094901</v>
      </c>
      <c r="K1730" s="60">
        <v>0.4</v>
      </c>
      <c r="L1730" s="60" t="s">
        <v>183</v>
      </c>
      <c r="M1730" s="60" t="s">
        <v>183</v>
      </c>
      <c r="N1730" s="60" t="b">
        <f>FALSE()</f>
        <v>0</v>
      </c>
      <c r="O1730" s="60"/>
      <c r="P1730" s="60"/>
      <c r="Q1730" s="60" t="s">
        <v>236</v>
      </c>
      <c r="R1730" s="60" t="s">
        <v>236</v>
      </c>
      <c r="S1730" s="60"/>
      <c r="T1730" s="60" t="b">
        <f>FALSE()</f>
        <v>0</v>
      </c>
      <c r="U1730" s="60" t="b">
        <f>FALSE()</f>
        <v>0</v>
      </c>
      <c r="V1730" s="60">
        <v>671</v>
      </c>
      <c r="W1730" s="62" t="s">
        <v>3646</v>
      </c>
      <c r="X1730" s="60">
        <v>42</v>
      </c>
      <c r="Y1730" s="63">
        <v>73.5</v>
      </c>
      <c r="Z1730" s="60" t="b">
        <f>FALSE()</f>
        <v>0</v>
      </c>
      <c r="AA1730" s="60" t="b">
        <f>TRUE()</f>
        <v>1</v>
      </c>
      <c r="AB1730" s="60" t="b">
        <f>FALSE()</f>
        <v>0</v>
      </c>
      <c r="AC1730" s="60" t="b">
        <f>FALSE()</f>
        <v>0</v>
      </c>
      <c r="AD1730" s="60" t="b">
        <f>FALSE()</f>
        <v>0</v>
      </c>
      <c r="AE1730" s="60">
        <v>1</v>
      </c>
      <c r="AF1730" s="64">
        <v>14.3</v>
      </c>
      <c r="AG1730" s="60" t="s">
        <v>74</v>
      </c>
      <c r="AH1730" s="60" t="s">
        <v>6282</v>
      </c>
      <c r="AI1730">
        <f>IF(AND(OR(Company_Explorer!$B$5="All Companies",$E1730=Company_Explorer!$B$5),OR(Company_Explorer!$B$6="All Platforms",$B1730=Company_Explorer!$B$6),OR(Company_Explorer!$B$7="All Roles",$D1730=Company_Explorer!$B$7),OR(Company_Explorer!$B$8="All Ghost Labels",$AG1730=Company_Explorer!$B$8)),1,0)</f>
        <v>0</v>
      </c>
    </row>
    <row r="1731" spans="1:35" ht="15" customHeight="1" x14ac:dyDescent="0.3">
      <c r="A1731" s="65" t="s">
        <v>6283</v>
      </c>
      <c r="B1731" s="65" t="s">
        <v>81</v>
      </c>
      <c r="C1731" s="65" t="s">
        <v>6270</v>
      </c>
      <c r="D1731" s="65" t="s">
        <v>126</v>
      </c>
      <c r="E1731" s="65" t="s">
        <v>146</v>
      </c>
      <c r="F1731" s="65" t="b">
        <f>TRUE()</f>
        <v>1</v>
      </c>
      <c r="G1731" s="65" t="s">
        <v>165</v>
      </c>
      <c r="H1731" s="65" t="s">
        <v>3620</v>
      </c>
      <c r="I1731" s="66">
        <v>46209.910893993103</v>
      </c>
      <c r="J1731" s="66">
        <v>46210.283273078698</v>
      </c>
      <c r="K1731" s="65">
        <v>0.4</v>
      </c>
      <c r="L1731" s="65" t="s">
        <v>183</v>
      </c>
      <c r="M1731" s="65" t="s">
        <v>183</v>
      </c>
      <c r="N1731" s="65" t="b">
        <f>FALSE()</f>
        <v>0</v>
      </c>
      <c r="O1731" s="65"/>
      <c r="P1731" s="65"/>
      <c r="Q1731" s="65" t="s">
        <v>236</v>
      </c>
      <c r="R1731" s="65" t="s">
        <v>236</v>
      </c>
      <c r="S1731" s="65"/>
      <c r="T1731" s="65" t="b">
        <f>FALSE()</f>
        <v>0</v>
      </c>
      <c r="U1731" s="65" t="b">
        <f>FALSE()</f>
        <v>0</v>
      </c>
      <c r="V1731" s="65">
        <v>461</v>
      </c>
      <c r="W1731" s="67" t="s">
        <v>6271</v>
      </c>
      <c r="X1731" s="65">
        <v>33</v>
      </c>
      <c r="Y1731" s="68">
        <v>57.75</v>
      </c>
      <c r="Z1731" s="65" t="b">
        <f>FALSE()</f>
        <v>0</v>
      </c>
      <c r="AA1731" s="65" t="b">
        <f>TRUE()</f>
        <v>1</v>
      </c>
      <c r="AB1731" s="65" t="b">
        <f>FALSE()</f>
        <v>0</v>
      </c>
      <c r="AC1731" s="65" t="b">
        <f>FALSE()</f>
        <v>0</v>
      </c>
      <c r="AD1731" s="65" t="b">
        <f>FALSE()</f>
        <v>0</v>
      </c>
      <c r="AE1731" s="65">
        <v>1</v>
      </c>
      <c r="AF1731" s="69">
        <v>14.3</v>
      </c>
      <c r="AG1731" s="65" t="s">
        <v>74</v>
      </c>
      <c r="AH1731" s="65" t="s">
        <v>6284</v>
      </c>
      <c r="AI1731">
        <f>IF(AND(OR(Company_Explorer!$B$5="All Companies",$E1731=Company_Explorer!$B$5),OR(Company_Explorer!$B$6="All Platforms",$B1731=Company_Explorer!$B$6),OR(Company_Explorer!$B$7="All Roles",$D1731=Company_Explorer!$B$7),OR(Company_Explorer!$B$8="All Ghost Labels",$AG1731=Company_Explorer!$B$8)),1,0)</f>
        <v>0</v>
      </c>
    </row>
    <row r="1732" spans="1:35" ht="15" customHeight="1" x14ac:dyDescent="0.3">
      <c r="A1732" s="60" t="s">
        <v>6285</v>
      </c>
      <c r="B1732" s="60" t="s">
        <v>81</v>
      </c>
      <c r="C1732" s="60" t="s">
        <v>6286</v>
      </c>
      <c r="D1732" s="60" t="s">
        <v>126</v>
      </c>
      <c r="E1732" s="60" t="s">
        <v>146</v>
      </c>
      <c r="F1732" s="60" t="b">
        <f>TRUE()</f>
        <v>1</v>
      </c>
      <c r="G1732" s="60" t="s">
        <v>165</v>
      </c>
      <c r="H1732" s="60" t="s">
        <v>3620</v>
      </c>
      <c r="I1732" s="61">
        <v>46209.910889351901</v>
      </c>
      <c r="J1732" s="61">
        <v>46210.283273113397</v>
      </c>
      <c r="K1732" s="60">
        <v>0.4</v>
      </c>
      <c r="L1732" s="60" t="s">
        <v>183</v>
      </c>
      <c r="M1732" s="60" t="s">
        <v>183</v>
      </c>
      <c r="N1732" s="60" t="b">
        <f>FALSE()</f>
        <v>0</v>
      </c>
      <c r="O1732" s="60"/>
      <c r="P1732" s="60"/>
      <c r="Q1732" s="60" t="s">
        <v>236</v>
      </c>
      <c r="R1732" s="60" t="s">
        <v>236</v>
      </c>
      <c r="S1732" s="60"/>
      <c r="T1732" s="60" t="b">
        <f>FALSE()</f>
        <v>0</v>
      </c>
      <c r="U1732" s="60" t="b">
        <f>FALSE()</f>
        <v>0</v>
      </c>
      <c r="V1732" s="60">
        <v>369</v>
      </c>
      <c r="W1732" s="62" t="s">
        <v>6287</v>
      </c>
      <c r="X1732" s="60">
        <v>33</v>
      </c>
      <c r="Y1732" s="63">
        <v>57.75</v>
      </c>
      <c r="Z1732" s="60" t="b">
        <f>FALSE()</f>
        <v>0</v>
      </c>
      <c r="AA1732" s="60" t="b">
        <f>TRUE()</f>
        <v>1</v>
      </c>
      <c r="AB1732" s="60" t="b">
        <f>FALSE()</f>
        <v>0</v>
      </c>
      <c r="AC1732" s="60" t="b">
        <f>FALSE()</f>
        <v>0</v>
      </c>
      <c r="AD1732" s="60" t="b">
        <f>FALSE()</f>
        <v>0</v>
      </c>
      <c r="AE1732" s="60">
        <v>1</v>
      </c>
      <c r="AF1732" s="64">
        <v>14.3</v>
      </c>
      <c r="AG1732" s="60" t="s">
        <v>74</v>
      </c>
      <c r="AH1732" s="60" t="s">
        <v>6288</v>
      </c>
      <c r="AI1732">
        <f>IF(AND(OR(Company_Explorer!$B$5="All Companies",$E1732=Company_Explorer!$B$5),OR(Company_Explorer!$B$6="All Platforms",$B1732=Company_Explorer!$B$6),OR(Company_Explorer!$B$7="All Roles",$D1732=Company_Explorer!$B$7),OR(Company_Explorer!$B$8="All Ghost Labels",$AG1732=Company_Explorer!$B$8)),1,0)</f>
        <v>0</v>
      </c>
    </row>
    <row r="1733" spans="1:35" ht="15" customHeight="1" x14ac:dyDescent="0.3">
      <c r="A1733" s="65" t="s">
        <v>6289</v>
      </c>
      <c r="B1733" s="65" t="s">
        <v>81</v>
      </c>
      <c r="C1733" s="65" t="s">
        <v>6290</v>
      </c>
      <c r="D1733" s="65" t="s">
        <v>126</v>
      </c>
      <c r="E1733" s="65" t="s">
        <v>145</v>
      </c>
      <c r="F1733" s="65" t="b">
        <f>TRUE()</f>
        <v>1</v>
      </c>
      <c r="G1733" s="65" t="s">
        <v>165</v>
      </c>
      <c r="H1733" s="65" t="s">
        <v>3620</v>
      </c>
      <c r="I1733" s="66">
        <v>46209.919003067102</v>
      </c>
      <c r="J1733" s="66">
        <v>46210.283273240697</v>
      </c>
      <c r="K1733" s="65">
        <v>0.4</v>
      </c>
      <c r="L1733" s="65" t="s">
        <v>183</v>
      </c>
      <c r="M1733" s="65" t="s">
        <v>183</v>
      </c>
      <c r="N1733" s="65" t="b">
        <f>FALSE()</f>
        <v>0</v>
      </c>
      <c r="O1733" s="65"/>
      <c r="P1733" s="65"/>
      <c r="Q1733" s="65" t="s">
        <v>236</v>
      </c>
      <c r="R1733" s="65" t="s">
        <v>236</v>
      </c>
      <c r="S1733" s="65"/>
      <c r="T1733" s="65" t="b">
        <f>FALSE()</f>
        <v>0</v>
      </c>
      <c r="U1733" s="65" t="b">
        <f>FALSE()</f>
        <v>0</v>
      </c>
      <c r="V1733" s="65">
        <v>890</v>
      </c>
      <c r="W1733" s="67" t="s">
        <v>3646</v>
      </c>
      <c r="X1733" s="65">
        <v>42</v>
      </c>
      <c r="Y1733" s="68">
        <v>73.5</v>
      </c>
      <c r="Z1733" s="65" t="b">
        <f>FALSE()</f>
        <v>0</v>
      </c>
      <c r="AA1733" s="65" t="b">
        <f>TRUE()</f>
        <v>1</v>
      </c>
      <c r="AB1733" s="65" t="b">
        <f>FALSE()</f>
        <v>0</v>
      </c>
      <c r="AC1733" s="65" t="b">
        <f>FALSE()</f>
        <v>0</v>
      </c>
      <c r="AD1733" s="65" t="b">
        <f>FALSE()</f>
        <v>0</v>
      </c>
      <c r="AE1733" s="65">
        <v>1</v>
      </c>
      <c r="AF1733" s="69">
        <v>14.3</v>
      </c>
      <c r="AG1733" s="65" t="s">
        <v>74</v>
      </c>
      <c r="AH1733" s="65" t="s">
        <v>6291</v>
      </c>
      <c r="AI1733">
        <f>IF(AND(OR(Company_Explorer!$B$5="All Companies",$E1733=Company_Explorer!$B$5),OR(Company_Explorer!$B$6="All Platforms",$B1733=Company_Explorer!$B$6),OR(Company_Explorer!$B$7="All Roles",$D1733=Company_Explorer!$B$7),OR(Company_Explorer!$B$8="All Ghost Labels",$AG1733=Company_Explorer!$B$8)),1,0)</f>
        <v>0</v>
      </c>
    </row>
    <row r="1734" spans="1:35" ht="15" customHeight="1" x14ac:dyDescent="0.3">
      <c r="A1734" s="60" t="s">
        <v>6292</v>
      </c>
      <c r="B1734" s="60" t="s">
        <v>81</v>
      </c>
      <c r="C1734" s="60" t="s">
        <v>6163</v>
      </c>
      <c r="D1734" s="60" t="s">
        <v>126</v>
      </c>
      <c r="E1734" s="60" t="s">
        <v>146</v>
      </c>
      <c r="F1734" s="60" t="b">
        <f>TRUE()</f>
        <v>1</v>
      </c>
      <c r="G1734" s="60" t="s">
        <v>165</v>
      </c>
      <c r="H1734" s="60" t="s">
        <v>3636</v>
      </c>
      <c r="I1734" s="61">
        <v>46209.910869930602</v>
      </c>
      <c r="J1734" s="61">
        <v>46210.283273275498</v>
      </c>
      <c r="K1734" s="60">
        <v>0.4</v>
      </c>
      <c r="L1734" s="60" t="s">
        <v>183</v>
      </c>
      <c r="M1734" s="60" t="s">
        <v>183</v>
      </c>
      <c r="N1734" s="60" t="b">
        <f>FALSE()</f>
        <v>0</v>
      </c>
      <c r="O1734" s="60"/>
      <c r="P1734" s="60"/>
      <c r="Q1734" s="60" t="s">
        <v>236</v>
      </c>
      <c r="R1734" s="60" t="s">
        <v>236</v>
      </c>
      <c r="S1734" s="60"/>
      <c r="T1734" s="60" t="b">
        <f>FALSE()</f>
        <v>0</v>
      </c>
      <c r="U1734" s="60" t="b">
        <f>FALSE()</f>
        <v>0</v>
      </c>
      <c r="V1734" s="60">
        <v>577</v>
      </c>
      <c r="W1734" s="62" t="s">
        <v>6164</v>
      </c>
      <c r="X1734" s="60">
        <v>33</v>
      </c>
      <c r="Y1734" s="63">
        <v>57.75</v>
      </c>
      <c r="Z1734" s="60" t="b">
        <f>FALSE()</f>
        <v>0</v>
      </c>
      <c r="AA1734" s="60" t="b">
        <f>TRUE()</f>
        <v>1</v>
      </c>
      <c r="AB1734" s="60" t="b">
        <f>FALSE()</f>
        <v>0</v>
      </c>
      <c r="AC1734" s="60" t="b">
        <f>FALSE()</f>
        <v>0</v>
      </c>
      <c r="AD1734" s="60" t="b">
        <f>FALSE()</f>
        <v>0</v>
      </c>
      <c r="AE1734" s="60">
        <v>1</v>
      </c>
      <c r="AF1734" s="64">
        <v>14.3</v>
      </c>
      <c r="AG1734" s="60" t="s">
        <v>74</v>
      </c>
      <c r="AH1734" s="60" t="s">
        <v>6293</v>
      </c>
      <c r="AI1734">
        <f>IF(AND(OR(Company_Explorer!$B$5="All Companies",$E1734=Company_Explorer!$B$5),OR(Company_Explorer!$B$6="All Platforms",$B1734=Company_Explorer!$B$6),OR(Company_Explorer!$B$7="All Roles",$D1734=Company_Explorer!$B$7),OR(Company_Explorer!$B$8="All Ghost Labels",$AG1734=Company_Explorer!$B$8)),1,0)</f>
        <v>0</v>
      </c>
    </row>
    <row r="1735" spans="1:35" ht="15" customHeight="1" x14ac:dyDescent="0.3">
      <c r="A1735" s="65" t="s">
        <v>6294</v>
      </c>
      <c r="B1735" s="65" t="s">
        <v>81</v>
      </c>
      <c r="C1735" s="65" t="s">
        <v>6295</v>
      </c>
      <c r="D1735" s="65" t="s">
        <v>125</v>
      </c>
      <c r="E1735" s="65" t="s">
        <v>6296</v>
      </c>
      <c r="F1735" s="65" t="b">
        <f>TRUE()</f>
        <v>1</v>
      </c>
      <c r="G1735" s="65" t="s">
        <v>165</v>
      </c>
      <c r="H1735" s="65" t="s">
        <v>3636</v>
      </c>
      <c r="I1735" s="66">
        <v>46209.655255625003</v>
      </c>
      <c r="J1735" s="66">
        <v>46210.283274224501</v>
      </c>
      <c r="K1735" s="65">
        <v>0.6</v>
      </c>
      <c r="L1735" s="65" t="s">
        <v>183</v>
      </c>
      <c r="M1735" s="65" t="s">
        <v>183</v>
      </c>
      <c r="N1735" s="65" t="b">
        <f>FALSE()</f>
        <v>0</v>
      </c>
      <c r="O1735" s="65"/>
      <c r="P1735" s="65"/>
      <c r="Q1735" s="65" t="s">
        <v>236</v>
      </c>
      <c r="R1735" s="65" t="s">
        <v>236</v>
      </c>
      <c r="S1735" s="65"/>
      <c r="T1735" s="65" t="b">
        <f>FALSE()</f>
        <v>0</v>
      </c>
      <c r="U1735" s="65" t="b">
        <f>FALSE()</f>
        <v>0</v>
      </c>
      <c r="V1735" s="65">
        <v>179</v>
      </c>
      <c r="W1735" s="67" t="s">
        <v>6297</v>
      </c>
      <c r="X1735" s="65">
        <v>1</v>
      </c>
      <c r="Y1735" s="68">
        <v>1.75</v>
      </c>
      <c r="Z1735" s="65" t="b">
        <f>FALSE()</f>
        <v>0</v>
      </c>
      <c r="AA1735" s="65" t="b">
        <f>TRUE()</f>
        <v>1</v>
      </c>
      <c r="AB1735" s="65" t="b">
        <f>TRUE()</f>
        <v>1</v>
      </c>
      <c r="AC1735" s="65" t="b">
        <f>FALSE()</f>
        <v>0</v>
      </c>
      <c r="AD1735" s="65" t="b">
        <f>FALSE()</f>
        <v>0</v>
      </c>
      <c r="AE1735" s="65">
        <v>2</v>
      </c>
      <c r="AF1735" s="69">
        <v>28.6</v>
      </c>
      <c r="AG1735" s="65" t="s">
        <v>73</v>
      </c>
      <c r="AH1735" s="65" t="s">
        <v>6298</v>
      </c>
      <c r="AI1735">
        <f>IF(AND(OR(Company_Explorer!$B$5="All Companies",$E1735=Company_Explorer!$B$5),OR(Company_Explorer!$B$6="All Platforms",$B1735=Company_Explorer!$B$6),OR(Company_Explorer!$B$7="All Roles",$D1735=Company_Explorer!$B$7),OR(Company_Explorer!$B$8="All Ghost Labels",$AG1735=Company_Explorer!$B$8)),1,0)</f>
        <v>0</v>
      </c>
    </row>
    <row r="1736" spans="1:35" ht="15" customHeight="1" x14ac:dyDescent="0.3">
      <c r="A1736" s="60" t="s">
        <v>6299</v>
      </c>
      <c r="B1736" s="60" t="s">
        <v>81</v>
      </c>
      <c r="C1736" s="60" t="s">
        <v>6300</v>
      </c>
      <c r="D1736" s="60" t="s">
        <v>125</v>
      </c>
      <c r="E1736" s="60" t="s">
        <v>6301</v>
      </c>
      <c r="F1736" s="60" t="b">
        <f>TRUE()</f>
        <v>1</v>
      </c>
      <c r="G1736" s="60" t="s">
        <v>165</v>
      </c>
      <c r="H1736" s="60" t="s">
        <v>4093</v>
      </c>
      <c r="I1736" s="61">
        <v>46209.652712152798</v>
      </c>
      <c r="J1736" s="61">
        <v>46210.283274270798</v>
      </c>
      <c r="K1736" s="60">
        <v>0.6</v>
      </c>
      <c r="L1736" s="60" t="s">
        <v>183</v>
      </c>
      <c r="M1736" s="60" t="s">
        <v>183</v>
      </c>
      <c r="N1736" s="60" t="b">
        <f>TRUE()</f>
        <v>1</v>
      </c>
      <c r="O1736" s="70">
        <v>1100000</v>
      </c>
      <c r="P1736" s="70">
        <v>1300000</v>
      </c>
      <c r="Q1736" s="60" t="s">
        <v>3663</v>
      </c>
      <c r="R1736" s="60" t="s">
        <v>3961</v>
      </c>
      <c r="S1736" s="70">
        <v>1200000</v>
      </c>
      <c r="T1736" s="60" t="b">
        <f>TRUE()</f>
        <v>1</v>
      </c>
      <c r="U1736" s="60" t="b">
        <f>FALSE()</f>
        <v>0</v>
      </c>
      <c r="V1736" s="60">
        <v>286</v>
      </c>
      <c r="W1736" s="62" t="s">
        <v>6302</v>
      </c>
      <c r="X1736" s="60">
        <v>1</v>
      </c>
      <c r="Y1736" s="63">
        <v>1.75</v>
      </c>
      <c r="Z1736" s="60" t="b">
        <f>FALSE()</f>
        <v>0</v>
      </c>
      <c r="AA1736" s="60" t="b">
        <f>FALSE()</f>
        <v>0</v>
      </c>
      <c r="AB1736" s="60" t="b">
        <f>TRUE()</f>
        <v>1</v>
      </c>
      <c r="AC1736" s="60" t="b">
        <f>FALSE()</f>
        <v>0</v>
      </c>
      <c r="AD1736" s="60" t="b">
        <f>FALSE()</f>
        <v>0</v>
      </c>
      <c r="AE1736" s="60">
        <v>1</v>
      </c>
      <c r="AF1736" s="64">
        <v>14.3</v>
      </c>
      <c r="AG1736" s="60" t="s">
        <v>74</v>
      </c>
      <c r="AH1736" s="60" t="s">
        <v>6303</v>
      </c>
      <c r="AI1736">
        <f>IF(AND(OR(Company_Explorer!$B$5="All Companies",$E1736=Company_Explorer!$B$5),OR(Company_Explorer!$B$6="All Platforms",$B1736=Company_Explorer!$B$6),OR(Company_Explorer!$B$7="All Roles",$D1736=Company_Explorer!$B$7),OR(Company_Explorer!$B$8="All Ghost Labels",$AG1736=Company_Explorer!$B$8)),1,0)</f>
        <v>0</v>
      </c>
    </row>
    <row r="1737" spans="1:35" ht="15" customHeight="1" x14ac:dyDescent="0.3">
      <c r="A1737" s="65" t="s">
        <v>6304</v>
      </c>
      <c r="B1737" s="65" t="s">
        <v>81</v>
      </c>
      <c r="C1737" s="65" t="s">
        <v>6305</v>
      </c>
      <c r="D1737" s="65" t="s">
        <v>125</v>
      </c>
      <c r="E1737" s="65" t="s">
        <v>6306</v>
      </c>
      <c r="F1737" s="65" t="b">
        <f>TRUE()</f>
        <v>1</v>
      </c>
      <c r="G1737" s="65" t="s">
        <v>165</v>
      </c>
      <c r="H1737" s="65" t="s">
        <v>3620</v>
      </c>
      <c r="I1737" s="66">
        <v>46209.739298287001</v>
      </c>
      <c r="J1737" s="66">
        <v>46210.283274363399</v>
      </c>
      <c r="K1737" s="65">
        <v>0.5</v>
      </c>
      <c r="L1737" s="65" t="s">
        <v>183</v>
      </c>
      <c r="M1737" s="65" t="s">
        <v>183</v>
      </c>
      <c r="N1737" s="65" t="b">
        <f>FALSE()</f>
        <v>0</v>
      </c>
      <c r="O1737" s="65"/>
      <c r="P1737" s="65"/>
      <c r="Q1737" s="65" t="s">
        <v>236</v>
      </c>
      <c r="R1737" s="65" t="s">
        <v>236</v>
      </c>
      <c r="S1737" s="65"/>
      <c r="T1737" s="65" t="b">
        <f>FALSE()</f>
        <v>0</v>
      </c>
      <c r="U1737" s="65" t="b">
        <f>FALSE()</f>
        <v>0</v>
      </c>
      <c r="V1737" s="65">
        <v>592</v>
      </c>
      <c r="W1737" s="67" t="s">
        <v>6307</v>
      </c>
      <c r="X1737" s="65">
        <v>1</v>
      </c>
      <c r="Y1737" s="68">
        <v>1.75</v>
      </c>
      <c r="Z1737" s="65" t="b">
        <f>FALSE()</f>
        <v>0</v>
      </c>
      <c r="AA1737" s="65" t="b">
        <f>TRUE()</f>
        <v>1</v>
      </c>
      <c r="AB1737" s="65" t="b">
        <f>FALSE()</f>
        <v>0</v>
      </c>
      <c r="AC1737" s="65" t="b">
        <f>FALSE()</f>
        <v>0</v>
      </c>
      <c r="AD1737" s="65" t="b">
        <f>FALSE()</f>
        <v>0</v>
      </c>
      <c r="AE1737" s="65">
        <v>1</v>
      </c>
      <c r="AF1737" s="69">
        <v>14.3</v>
      </c>
      <c r="AG1737" s="65" t="s">
        <v>74</v>
      </c>
      <c r="AH1737" s="65" t="s">
        <v>6308</v>
      </c>
      <c r="AI1737">
        <f>IF(AND(OR(Company_Explorer!$B$5="All Companies",$E1737=Company_Explorer!$B$5),OR(Company_Explorer!$B$6="All Platforms",$B1737=Company_Explorer!$B$6),OR(Company_Explorer!$B$7="All Roles",$D1737=Company_Explorer!$B$7),OR(Company_Explorer!$B$8="All Ghost Labels",$AG1737=Company_Explorer!$B$8)),1,0)</f>
        <v>0</v>
      </c>
    </row>
    <row r="1738" spans="1:35" ht="15" customHeight="1" x14ac:dyDescent="0.3">
      <c r="A1738" s="60" t="s">
        <v>6309</v>
      </c>
      <c r="B1738" s="60" t="s">
        <v>81</v>
      </c>
      <c r="C1738" s="60" t="s">
        <v>6310</v>
      </c>
      <c r="D1738" s="60" t="s">
        <v>125</v>
      </c>
      <c r="E1738" s="60" t="s">
        <v>6311</v>
      </c>
      <c r="F1738" s="60" t="b">
        <f>TRUE()</f>
        <v>1</v>
      </c>
      <c r="G1738" s="60" t="s">
        <v>165</v>
      </c>
      <c r="H1738" s="60" t="s">
        <v>3620</v>
      </c>
      <c r="I1738" s="61">
        <v>46209.585317048601</v>
      </c>
      <c r="J1738" s="61">
        <v>46210.283274490699</v>
      </c>
      <c r="K1738" s="60">
        <v>0.7</v>
      </c>
      <c r="L1738" s="60" t="s">
        <v>183</v>
      </c>
      <c r="M1738" s="60" t="s">
        <v>183</v>
      </c>
      <c r="N1738" s="60" t="b">
        <f>FALSE()</f>
        <v>0</v>
      </c>
      <c r="O1738" s="60"/>
      <c r="P1738" s="60"/>
      <c r="Q1738" s="60" t="s">
        <v>236</v>
      </c>
      <c r="R1738" s="60" t="s">
        <v>236</v>
      </c>
      <c r="S1738" s="60"/>
      <c r="T1738" s="60" t="b">
        <f>FALSE()</f>
        <v>0</v>
      </c>
      <c r="U1738" s="60" t="b">
        <f>FALSE()</f>
        <v>0</v>
      </c>
      <c r="V1738" s="60">
        <v>1121</v>
      </c>
      <c r="W1738" s="62" t="s">
        <v>6312</v>
      </c>
      <c r="X1738" s="60">
        <v>3</v>
      </c>
      <c r="Y1738" s="63">
        <v>5.25</v>
      </c>
      <c r="Z1738" s="60" t="b">
        <f>FALSE()</f>
        <v>0</v>
      </c>
      <c r="AA1738" s="60" t="b">
        <f>TRUE()</f>
        <v>1</v>
      </c>
      <c r="AB1738" s="60" t="b">
        <f>FALSE()</f>
        <v>0</v>
      </c>
      <c r="AC1738" s="60" t="b">
        <f>FALSE()</f>
        <v>0</v>
      </c>
      <c r="AD1738" s="60" t="b">
        <f>FALSE()</f>
        <v>0</v>
      </c>
      <c r="AE1738" s="60">
        <v>1</v>
      </c>
      <c r="AF1738" s="64">
        <v>14.3</v>
      </c>
      <c r="AG1738" s="60" t="s">
        <v>74</v>
      </c>
      <c r="AH1738" s="60" t="s">
        <v>6313</v>
      </c>
      <c r="AI1738">
        <f>IF(AND(OR(Company_Explorer!$B$5="All Companies",$E1738=Company_Explorer!$B$5),OR(Company_Explorer!$B$6="All Platforms",$B1738=Company_Explorer!$B$6),OR(Company_Explorer!$B$7="All Roles",$D1738=Company_Explorer!$B$7),OR(Company_Explorer!$B$8="All Ghost Labels",$AG1738=Company_Explorer!$B$8)),1,0)</f>
        <v>0</v>
      </c>
    </row>
    <row r="1739" spans="1:35" ht="15" customHeight="1" x14ac:dyDescent="0.3">
      <c r="A1739" s="65" t="s">
        <v>6314</v>
      </c>
      <c r="B1739" s="65" t="s">
        <v>81</v>
      </c>
      <c r="C1739" s="65" t="s">
        <v>6315</v>
      </c>
      <c r="D1739" s="65" t="s">
        <v>125</v>
      </c>
      <c r="E1739" s="65" t="s">
        <v>5107</v>
      </c>
      <c r="F1739" s="65" t="b">
        <f>TRUE()</f>
        <v>1</v>
      </c>
      <c r="G1739" s="65" t="s">
        <v>165</v>
      </c>
      <c r="H1739" s="65" t="s">
        <v>3620</v>
      </c>
      <c r="I1739" s="66">
        <v>46209.630987615703</v>
      </c>
      <c r="J1739" s="66">
        <v>46210.283275601898</v>
      </c>
      <c r="K1739" s="65">
        <v>0.7</v>
      </c>
      <c r="L1739" s="65" t="s">
        <v>183</v>
      </c>
      <c r="M1739" s="65" t="s">
        <v>183</v>
      </c>
      <c r="N1739" s="65" t="b">
        <f>FALSE()</f>
        <v>0</v>
      </c>
      <c r="O1739" s="65"/>
      <c r="P1739" s="65"/>
      <c r="Q1739" s="65" t="s">
        <v>236</v>
      </c>
      <c r="R1739" s="65" t="s">
        <v>236</v>
      </c>
      <c r="S1739" s="65"/>
      <c r="T1739" s="65" t="b">
        <f>FALSE()</f>
        <v>0</v>
      </c>
      <c r="U1739" s="65" t="b">
        <f>FALSE()</f>
        <v>0</v>
      </c>
      <c r="V1739" s="65">
        <v>1427</v>
      </c>
      <c r="W1739" s="67" t="s">
        <v>6316</v>
      </c>
      <c r="X1739" s="65">
        <v>2</v>
      </c>
      <c r="Y1739" s="68">
        <v>3.5</v>
      </c>
      <c r="Z1739" s="65" t="b">
        <f>FALSE()</f>
        <v>0</v>
      </c>
      <c r="AA1739" s="65" t="b">
        <f>TRUE()</f>
        <v>1</v>
      </c>
      <c r="AB1739" s="65" t="b">
        <f>FALSE()</f>
        <v>0</v>
      </c>
      <c r="AC1739" s="65" t="b">
        <f>FALSE()</f>
        <v>0</v>
      </c>
      <c r="AD1739" s="65" t="b">
        <f>FALSE()</f>
        <v>0</v>
      </c>
      <c r="AE1739" s="65">
        <v>1</v>
      </c>
      <c r="AF1739" s="69">
        <v>14.3</v>
      </c>
      <c r="AG1739" s="65" t="s">
        <v>74</v>
      </c>
      <c r="AH1739" s="65" t="s">
        <v>6317</v>
      </c>
      <c r="AI1739">
        <f>IF(AND(OR(Company_Explorer!$B$5="All Companies",$E1739=Company_Explorer!$B$5),OR(Company_Explorer!$B$6="All Platforms",$B1739=Company_Explorer!$B$6),OR(Company_Explorer!$B$7="All Roles",$D1739=Company_Explorer!$B$7),OR(Company_Explorer!$B$8="All Ghost Labels",$AG1739=Company_Explorer!$B$8)),1,0)</f>
        <v>0</v>
      </c>
    </row>
    <row r="1740" spans="1:35" ht="15" customHeight="1" x14ac:dyDescent="0.3">
      <c r="A1740" s="60" t="s">
        <v>6318</v>
      </c>
      <c r="B1740" s="60" t="s">
        <v>81</v>
      </c>
      <c r="C1740" s="60" t="s">
        <v>6319</v>
      </c>
      <c r="D1740" s="60" t="s">
        <v>126</v>
      </c>
      <c r="E1740" s="60" t="s">
        <v>6320</v>
      </c>
      <c r="F1740" s="60" t="b">
        <f>TRUE()</f>
        <v>1</v>
      </c>
      <c r="G1740" s="60" t="s">
        <v>165</v>
      </c>
      <c r="H1740" s="60" t="s">
        <v>3630</v>
      </c>
      <c r="I1740" s="61">
        <v>46209.641607951402</v>
      </c>
      <c r="J1740" s="61">
        <v>46210.283275509297</v>
      </c>
      <c r="K1740" s="60">
        <v>0.6</v>
      </c>
      <c r="L1740" s="60" t="s">
        <v>183</v>
      </c>
      <c r="M1740" s="60" t="s">
        <v>183</v>
      </c>
      <c r="N1740" s="60" t="b">
        <f>FALSE()</f>
        <v>0</v>
      </c>
      <c r="O1740" s="60"/>
      <c r="P1740" s="60"/>
      <c r="Q1740" s="60" t="s">
        <v>236</v>
      </c>
      <c r="R1740" s="60" t="s">
        <v>236</v>
      </c>
      <c r="S1740" s="60"/>
      <c r="T1740" s="60" t="b">
        <f>FALSE()</f>
        <v>0</v>
      </c>
      <c r="U1740" s="60" t="b">
        <f>FALSE()</f>
        <v>0</v>
      </c>
      <c r="V1740" s="60">
        <v>1246</v>
      </c>
      <c r="W1740" s="62" t="s">
        <v>6321</v>
      </c>
      <c r="X1740" s="60">
        <v>1</v>
      </c>
      <c r="Y1740" s="63">
        <v>1.75</v>
      </c>
      <c r="Z1740" s="60" t="b">
        <f>FALSE()</f>
        <v>0</v>
      </c>
      <c r="AA1740" s="60" t="b">
        <f>TRUE()</f>
        <v>1</v>
      </c>
      <c r="AB1740" s="60" t="b">
        <f>FALSE()</f>
        <v>0</v>
      </c>
      <c r="AC1740" s="60" t="b">
        <f>FALSE()</f>
        <v>0</v>
      </c>
      <c r="AD1740" s="60" t="b">
        <f>FALSE()</f>
        <v>0</v>
      </c>
      <c r="AE1740" s="60">
        <v>1</v>
      </c>
      <c r="AF1740" s="64">
        <v>14.3</v>
      </c>
      <c r="AG1740" s="60" t="s">
        <v>74</v>
      </c>
      <c r="AH1740" s="60" t="s">
        <v>6322</v>
      </c>
      <c r="AI1740">
        <f>IF(AND(OR(Company_Explorer!$B$5="All Companies",$E1740=Company_Explorer!$B$5),OR(Company_Explorer!$B$6="All Platforms",$B1740=Company_Explorer!$B$6),OR(Company_Explorer!$B$7="All Roles",$D1740=Company_Explorer!$B$7),OR(Company_Explorer!$B$8="All Ghost Labels",$AG1740=Company_Explorer!$B$8)),1,0)</f>
        <v>0</v>
      </c>
    </row>
    <row r="1741" spans="1:35" ht="15" customHeight="1" x14ac:dyDescent="0.3">
      <c r="A1741" s="65" t="s">
        <v>6323</v>
      </c>
      <c r="B1741" s="65" t="s">
        <v>81</v>
      </c>
      <c r="C1741" s="65" t="s">
        <v>6324</v>
      </c>
      <c r="D1741" s="65" t="s">
        <v>126</v>
      </c>
      <c r="E1741" s="65" t="s">
        <v>435</v>
      </c>
      <c r="F1741" s="65" t="b">
        <f>TRUE()</f>
        <v>1</v>
      </c>
      <c r="G1741" s="65" t="s">
        <v>165</v>
      </c>
      <c r="H1741" s="65" t="s">
        <v>3636</v>
      </c>
      <c r="I1741" s="66">
        <v>46209.832032106497</v>
      </c>
      <c r="J1741" s="66">
        <v>46210.283276666698</v>
      </c>
      <c r="K1741" s="65">
        <v>0.5</v>
      </c>
      <c r="L1741" s="65" t="s">
        <v>183</v>
      </c>
      <c r="M1741" s="65" t="s">
        <v>183</v>
      </c>
      <c r="N1741" s="65" t="b">
        <f>FALSE()</f>
        <v>0</v>
      </c>
      <c r="O1741" s="65"/>
      <c r="P1741" s="65"/>
      <c r="Q1741" s="65" t="s">
        <v>236</v>
      </c>
      <c r="R1741" s="65" t="s">
        <v>236</v>
      </c>
      <c r="S1741" s="65"/>
      <c r="T1741" s="65" t="b">
        <f>FALSE()</f>
        <v>0</v>
      </c>
      <c r="U1741" s="65" t="b">
        <f>FALSE()</f>
        <v>0</v>
      </c>
      <c r="V1741" s="65">
        <v>381</v>
      </c>
      <c r="W1741" s="67" t="s">
        <v>6325</v>
      </c>
      <c r="X1741" s="65">
        <v>3</v>
      </c>
      <c r="Y1741" s="68">
        <v>5.25</v>
      </c>
      <c r="Z1741" s="65" t="b">
        <f>FALSE()</f>
        <v>0</v>
      </c>
      <c r="AA1741" s="65" t="b">
        <f>TRUE()</f>
        <v>1</v>
      </c>
      <c r="AB1741" s="65" t="b">
        <f>FALSE()</f>
        <v>0</v>
      </c>
      <c r="AC1741" s="65" t="b">
        <f>FALSE()</f>
        <v>0</v>
      </c>
      <c r="AD1741" s="65" t="b">
        <f>FALSE()</f>
        <v>0</v>
      </c>
      <c r="AE1741" s="65">
        <v>1</v>
      </c>
      <c r="AF1741" s="69">
        <v>14.3</v>
      </c>
      <c r="AG1741" s="65" t="s">
        <v>74</v>
      </c>
      <c r="AH1741" s="65" t="s">
        <v>6326</v>
      </c>
      <c r="AI1741">
        <f>IF(AND(OR(Company_Explorer!$B$5="All Companies",$E1741=Company_Explorer!$B$5),OR(Company_Explorer!$B$6="All Platforms",$B1741=Company_Explorer!$B$6),OR(Company_Explorer!$B$7="All Roles",$D1741=Company_Explorer!$B$7),OR(Company_Explorer!$B$8="All Ghost Labels",$AG1741=Company_Explorer!$B$8)),1,0)</f>
        <v>0</v>
      </c>
    </row>
    <row r="1742" spans="1:35" ht="15" customHeight="1" x14ac:dyDescent="0.3">
      <c r="A1742" s="60" t="s">
        <v>6327</v>
      </c>
      <c r="B1742" s="60" t="s">
        <v>81</v>
      </c>
      <c r="C1742" s="60" t="s">
        <v>6328</v>
      </c>
      <c r="D1742" s="60" t="s">
        <v>125</v>
      </c>
      <c r="E1742" s="60" t="s">
        <v>381</v>
      </c>
      <c r="F1742" s="60" t="b">
        <f>TRUE()</f>
        <v>1</v>
      </c>
      <c r="G1742" s="60" t="s">
        <v>165</v>
      </c>
      <c r="H1742" s="60" t="s">
        <v>3620</v>
      </c>
      <c r="I1742" s="61">
        <v>46209.584453807904</v>
      </c>
      <c r="J1742" s="61">
        <v>46210.283276759299</v>
      </c>
      <c r="K1742" s="60">
        <v>0.7</v>
      </c>
      <c r="L1742" s="60" t="s">
        <v>183</v>
      </c>
      <c r="M1742" s="60" t="s">
        <v>183</v>
      </c>
      <c r="N1742" s="60" t="b">
        <f>FALSE()</f>
        <v>0</v>
      </c>
      <c r="O1742" s="60"/>
      <c r="P1742" s="60"/>
      <c r="Q1742" s="60" t="s">
        <v>236</v>
      </c>
      <c r="R1742" s="60" t="s">
        <v>236</v>
      </c>
      <c r="S1742" s="60"/>
      <c r="T1742" s="60" t="b">
        <f>FALSE()</f>
        <v>0</v>
      </c>
      <c r="U1742" s="60" t="b">
        <f>FALSE()</f>
        <v>0</v>
      </c>
      <c r="V1742" s="60">
        <v>336</v>
      </c>
      <c r="W1742" s="62" t="s">
        <v>2638</v>
      </c>
      <c r="X1742" s="60">
        <v>1</v>
      </c>
      <c r="Y1742" s="63">
        <v>1.75</v>
      </c>
      <c r="Z1742" s="60" t="b">
        <f>FALSE()</f>
        <v>0</v>
      </c>
      <c r="AA1742" s="60" t="b">
        <f>TRUE()</f>
        <v>1</v>
      </c>
      <c r="AB1742" s="60" t="b">
        <f>FALSE()</f>
        <v>0</v>
      </c>
      <c r="AC1742" s="60" t="b">
        <f>FALSE()</f>
        <v>0</v>
      </c>
      <c r="AD1742" s="60" t="b">
        <f>FALSE()</f>
        <v>0</v>
      </c>
      <c r="AE1742" s="60">
        <v>1</v>
      </c>
      <c r="AF1742" s="64">
        <v>14.3</v>
      </c>
      <c r="AG1742" s="60" t="s">
        <v>74</v>
      </c>
      <c r="AH1742" s="60" t="s">
        <v>6329</v>
      </c>
      <c r="AI1742">
        <f>IF(AND(OR(Company_Explorer!$B$5="All Companies",$E1742=Company_Explorer!$B$5),OR(Company_Explorer!$B$6="All Platforms",$B1742=Company_Explorer!$B$6),OR(Company_Explorer!$B$7="All Roles",$D1742=Company_Explorer!$B$7),OR(Company_Explorer!$B$8="All Ghost Labels",$AG1742=Company_Explorer!$B$8)),1,0)</f>
        <v>0</v>
      </c>
    </row>
    <row r="1743" spans="1:35" ht="15" customHeight="1" x14ac:dyDescent="0.3">
      <c r="A1743" s="65" t="s">
        <v>6330</v>
      </c>
      <c r="B1743" s="65" t="s">
        <v>81</v>
      </c>
      <c r="C1743" s="65" t="s">
        <v>6331</v>
      </c>
      <c r="D1743" s="65" t="s">
        <v>126</v>
      </c>
      <c r="E1743" s="65" t="s">
        <v>5743</v>
      </c>
      <c r="F1743" s="65" t="b">
        <f>TRUE()</f>
        <v>1</v>
      </c>
      <c r="G1743" s="65" t="s">
        <v>165</v>
      </c>
      <c r="H1743" s="65" t="s">
        <v>3655</v>
      </c>
      <c r="I1743" s="66">
        <v>46209.737358113402</v>
      </c>
      <c r="J1743" s="66">
        <v>46210.283278090297</v>
      </c>
      <c r="K1743" s="65">
        <v>0.5</v>
      </c>
      <c r="L1743" s="65" t="s">
        <v>183</v>
      </c>
      <c r="M1743" s="65" t="s">
        <v>183</v>
      </c>
      <c r="N1743" s="65" t="b">
        <f>FALSE()</f>
        <v>0</v>
      </c>
      <c r="O1743" s="65"/>
      <c r="P1743" s="65"/>
      <c r="Q1743" s="65" t="s">
        <v>236</v>
      </c>
      <c r="R1743" s="65" t="s">
        <v>236</v>
      </c>
      <c r="S1743" s="65"/>
      <c r="T1743" s="65" t="b">
        <f>FALSE()</f>
        <v>0</v>
      </c>
      <c r="U1743" s="65" t="b">
        <f>FALSE()</f>
        <v>0</v>
      </c>
      <c r="V1743" s="65">
        <v>202</v>
      </c>
      <c r="W1743" s="67" t="s">
        <v>6332</v>
      </c>
      <c r="X1743" s="65">
        <v>3</v>
      </c>
      <c r="Y1743" s="68">
        <v>5.25</v>
      </c>
      <c r="Z1743" s="65" t="b">
        <f>FALSE()</f>
        <v>0</v>
      </c>
      <c r="AA1743" s="65" t="b">
        <f>TRUE()</f>
        <v>1</v>
      </c>
      <c r="AB1743" s="65" t="b">
        <f>TRUE()</f>
        <v>1</v>
      </c>
      <c r="AC1743" s="65" t="b">
        <f>FALSE()</f>
        <v>0</v>
      </c>
      <c r="AD1743" s="65" t="b">
        <f>FALSE()</f>
        <v>0</v>
      </c>
      <c r="AE1743" s="65">
        <v>2</v>
      </c>
      <c r="AF1743" s="69">
        <v>28.6</v>
      </c>
      <c r="AG1743" s="65" t="s">
        <v>73</v>
      </c>
      <c r="AH1743" s="65" t="s">
        <v>6333</v>
      </c>
      <c r="AI1743">
        <f>IF(AND(OR(Company_Explorer!$B$5="All Companies",$E1743=Company_Explorer!$B$5),OR(Company_Explorer!$B$6="All Platforms",$B1743=Company_Explorer!$B$6),OR(Company_Explorer!$B$7="All Roles",$D1743=Company_Explorer!$B$7),OR(Company_Explorer!$B$8="All Ghost Labels",$AG1743=Company_Explorer!$B$8)),1,0)</f>
        <v>0</v>
      </c>
    </row>
    <row r="1744" spans="1:35" ht="15" customHeight="1" x14ac:dyDescent="0.3">
      <c r="A1744" s="60" t="s">
        <v>6334</v>
      </c>
      <c r="B1744" s="60" t="s">
        <v>81</v>
      </c>
      <c r="C1744" s="60" t="s">
        <v>6335</v>
      </c>
      <c r="D1744" s="60" t="s">
        <v>129</v>
      </c>
      <c r="E1744" s="60" t="s">
        <v>664</v>
      </c>
      <c r="F1744" s="60" t="b">
        <f>TRUE()</f>
        <v>1</v>
      </c>
      <c r="G1744" s="60" t="s">
        <v>165</v>
      </c>
      <c r="H1744" s="60" t="s">
        <v>3672</v>
      </c>
      <c r="I1744" s="61">
        <v>46209.582542349497</v>
      </c>
      <c r="J1744" s="61">
        <v>46210.283278136601</v>
      </c>
      <c r="K1744" s="60">
        <v>0.7</v>
      </c>
      <c r="L1744" s="60" t="s">
        <v>183</v>
      </c>
      <c r="M1744" s="60" t="s">
        <v>183</v>
      </c>
      <c r="N1744" s="60" t="b">
        <f>FALSE()</f>
        <v>0</v>
      </c>
      <c r="O1744" s="60"/>
      <c r="P1744" s="60"/>
      <c r="Q1744" s="60" t="s">
        <v>236</v>
      </c>
      <c r="R1744" s="60" t="s">
        <v>236</v>
      </c>
      <c r="S1744" s="60"/>
      <c r="T1744" s="60" t="b">
        <f>FALSE()</f>
        <v>0</v>
      </c>
      <c r="U1744" s="60" t="b">
        <f>FALSE()</f>
        <v>0</v>
      </c>
      <c r="V1744" s="60">
        <v>220</v>
      </c>
      <c r="W1744" s="62" t="s">
        <v>6336</v>
      </c>
      <c r="X1744" s="60">
        <v>2</v>
      </c>
      <c r="Y1744" s="63">
        <v>3.5</v>
      </c>
      <c r="Z1744" s="60" t="b">
        <f>FALSE()</f>
        <v>0</v>
      </c>
      <c r="AA1744" s="60" t="b">
        <f>TRUE()</f>
        <v>1</v>
      </c>
      <c r="AB1744" s="60" t="b">
        <f>TRUE()</f>
        <v>1</v>
      </c>
      <c r="AC1744" s="60" t="b">
        <f>FALSE()</f>
        <v>0</v>
      </c>
      <c r="AD1744" s="60" t="b">
        <f>FALSE()</f>
        <v>0</v>
      </c>
      <c r="AE1744" s="60">
        <v>2</v>
      </c>
      <c r="AF1744" s="64">
        <v>28.6</v>
      </c>
      <c r="AG1744" s="60" t="s">
        <v>73</v>
      </c>
      <c r="AH1744" s="60" t="s">
        <v>6337</v>
      </c>
      <c r="AI1744">
        <f>IF(AND(OR(Company_Explorer!$B$5="All Companies",$E1744=Company_Explorer!$B$5),OR(Company_Explorer!$B$6="All Platforms",$B1744=Company_Explorer!$B$6),OR(Company_Explorer!$B$7="All Roles",$D1744=Company_Explorer!$B$7),OR(Company_Explorer!$B$8="All Ghost Labels",$AG1744=Company_Explorer!$B$8)),1,0)</f>
        <v>0</v>
      </c>
    </row>
    <row r="1745" spans="1:35" ht="15" customHeight="1" x14ac:dyDescent="0.3">
      <c r="A1745" s="65" t="s">
        <v>6338</v>
      </c>
      <c r="B1745" s="65" t="s">
        <v>81</v>
      </c>
      <c r="C1745" s="65" t="s">
        <v>1622</v>
      </c>
      <c r="D1745" s="65" t="s">
        <v>126</v>
      </c>
      <c r="E1745" s="65" t="s">
        <v>2463</v>
      </c>
      <c r="F1745" s="65" t="b">
        <f>TRUE()</f>
        <v>1</v>
      </c>
      <c r="G1745" s="65" t="s">
        <v>165</v>
      </c>
      <c r="H1745" s="65" t="s">
        <v>3702</v>
      </c>
      <c r="I1745" s="66">
        <v>46209.630493067103</v>
      </c>
      <c r="J1745" s="66">
        <v>46210.2832788542</v>
      </c>
      <c r="K1745" s="65">
        <v>0.7</v>
      </c>
      <c r="L1745" s="65" t="s">
        <v>183</v>
      </c>
      <c r="M1745" s="65" t="s">
        <v>183</v>
      </c>
      <c r="N1745" s="65" t="b">
        <f>FALSE()</f>
        <v>0</v>
      </c>
      <c r="O1745" s="65"/>
      <c r="P1745" s="65"/>
      <c r="Q1745" s="65" t="s">
        <v>236</v>
      </c>
      <c r="R1745" s="65" t="s">
        <v>236</v>
      </c>
      <c r="S1745" s="65"/>
      <c r="T1745" s="65" t="b">
        <f>FALSE()</f>
        <v>0</v>
      </c>
      <c r="U1745" s="65" t="b">
        <f>FALSE()</f>
        <v>0</v>
      </c>
      <c r="V1745" s="65">
        <v>737</v>
      </c>
      <c r="W1745" s="65" t="s">
        <v>2464</v>
      </c>
      <c r="X1745" s="65">
        <v>2</v>
      </c>
      <c r="Y1745" s="68">
        <v>3.5</v>
      </c>
      <c r="Z1745" s="65" t="b">
        <f>FALSE()</f>
        <v>0</v>
      </c>
      <c r="AA1745" s="65" t="b">
        <f>TRUE()</f>
        <v>1</v>
      </c>
      <c r="AB1745" s="65" t="b">
        <f>FALSE()</f>
        <v>0</v>
      </c>
      <c r="AC1745" s="65" t="b">
        <f>FALSE()</f>
        <v>0</v>
      </c>
      <c r="AD1745" s="65" t="b">
        <f>FALSE()</f>
        <v>0</v>
      </c>
      <c r="AE1745" s="65">
        <v>1</v>
      </c>
      <c r="AF1745" s="69">
        <v>14.3</v>
      </c>
      <c r="AG1745" s="65" t="s">
        <v>74</v>
      </c>
      <c r="AH1745" s="65" t="s">
        <v>6339</v>
      </c>
      <c r="AI1745">
        <f>IF(AND(OR(Company_Explorer!$B$5="All Companies",$E1745=Company_Explorer!$B$5),OR(Company_Explorer!$B$6="All Platforms",$B1745=Company_Explorer!$B$6),OR(Company_Explorer!$B$7="All Roles",$D1745=Company_Explorer!$B$7),OR(Company_Explorer!$B$8="All Ghost Labels",$AG1745=Company_Explorer!$B$8)),1,0)</f>
        <v>0</v>
      </c>
    </row>
    <row r="1746" spans="1:35" ht="15" customHeight="1" x14ac:dyDescent="0.3">
      <c r="A1746" s="60" t="s">
        <v>6340</v>
      </c>
      <c r="B1746" s="60" t="s">
        <v>81</v>
      </c>
      <c r="C1746" s="60" t="s">
        <v>6341</v>
      </c>
      <c r="D1746" s="60" t="s">
        <v>125</v>
      </c>
      <c r="E1746" s="60" t="s">
        <v>6342</v>
      </c>
      <c r="F1746" s="60" t="b">
        <f>TRUE()</f>
        <v>1</v>
      </c>
      <c r="G1746" s="60" t="s">
        <v>165</v>
      </c>
      <c r="H1746" s="60" t="s">
        <v>3620</v>
      </c>
      <c r="I1746" s="61">
        <v>46209.734408611097</v>
      </c>
      <c r="J1746" s="61">
        <v>46210.283278182898</v>
      </c>
      <c r="K1746" s="60">
        <v>0.5</v>
      </c>
      <c r="L1746" s="60" t="s">
        <v>183</v>
      </c>
      <c r="M1746" s="60" t="s">
        <v>183</v>
      </c>
      <c r="N1746" s="60" t="b">
        <f>TRUE()</f>
        <v>1</v>
      </c>
      <c r="O1746" s="70">
        <v>1588350</v>
      </c>
      <c r="P1746" s="70">
        <v>2647250</v>
      </c>
      <c r="Q1746" s="60" t="s">
        <v>3663</v>
      </c>
      <c r="R1746" s="60" t="s">
        <v>3961</v>
      </c>
      <c r="S1746" s="70">
        <v>2117800</v>
      </c>
      <c r="T1746" s="60" t="b">
        <f>TRUE()</f>
        <v>1</v>
      </c>
      <c r="U1746" s="60" t="b">
        <f>FALSE()</f>
        <v>0</v>
      </c>
      <c r="V1746" s="60">
        <v>759</v>
      </c>
      <c r="W1746" s="62" t="s">
        <v>6343</v>
      </c>
      <c r="X1746" s="60">
        <v>1</v>
      </c>
      <c r="Y1746" s="63">
        <v>1.75</v>
      </c>
      <c r="Z1746" s="60" t="b">
        <f>FALSE()</f>
        <v>0</v>
      </c>
      <c r="AA1746" s="60" t="b">
        <f>FALSE()</f>
        <v>0</v>
      </c>
      <c r="AB1746" s="60" t="b">
        <f>FALSE()</f>
        <v>0</v>
      </c>
      <c r="AC1746" s="60" t="b">
        <f>FALSE()</f>
        <v>0</v>
      </c>
      <c r="AD1746" s="60" t="b">
        <f>FALSE()</f>
        <v>0</v>
      </c>
      <c r="AE1746" s="60">
        <v>0</v>
      </c>
      <c r="AF1746" s="64">
        <v>0</v>
      </c>
      <c r="AG1746" s="60" t="s">
        <v>74</v>
      </c>
      <c r="AH1746" s="60" t="s">
        <v>6344</v>
      </c>
      <c r="AI1746">
        <f>IF(AND(OR(Company_Explorer!$B$5="All Companies",$E1746=Company_Explorer!$B$5),OR(Company_Explorer!$B$6="All Platforms",$B1746=Company_Explorer!$B$6),OR(Company_Explorer!$B$7="All Roles",$D1746=Company_Explorer!$B$7),OR(Company_Explorer!$B$8="All Ghost Labels",$AG1746=Company_Explorer!$B$8)),1,0)</f>
        <v>0</v>
      </c>
    </row>
    <row r="1747" spans="1:35" ht="15" customHeight="1" x14ac:dyDescent="0.3">
      <c r="A1747" s="65" t="s">
        <v>6345</v>
      </c>
      <c r="B1747" s="65" t="s">
        <v>81</v>
      </c>
      <c r="C1747" s="65" t="s">
        <v>6346</v>
      </c>
      <c r="D1747" s="65" t="s">
        <v>125</v>
      </c>
      <c r="E1747" s="65" t="s">
        <v>445</v>
      </c>
      <c r="F1747" s="65" t="b">
        <f>TRUE()</f>
        <v>1</v>
      </c>
      <c r="G1747" s="65" t="s">
        <v>165</v>
      </c>
      <c r="H1747" s="65" t="s">
        <v>3620</v>
      </c>
      <c r="I1747" s="66">
        <v>46209.629729050903</v>
      </c>
      <c r="J1747" s="66">
        <v>46210.283278969902</v>
      </c>
      <c r="K1747" s="65">
        <v>0.7</v>
      </c>
      <c r="L1747" s="65" t="s">
        <v>183</v>
      </c>
      <c r="M1747" s="65" t="s">
        <v>183</v>
      </c>
      <c r="N1747" s="65" t="b">
        <f>FALSE()</f>
        <v>0</v>
      </c>
      <c r="O1747" s="65"/>
      <c r="P1747" s="65"/>
      <c r="Q1747" s="65" t="s">
        <v>236</v>
      </c>
      <c r="R1747" s="65" t="s">
        <v>236</v>
      </c>
      <c r="S1747" s="65"/>
      <c r="T1747" s="65" t="b">
        <f>FALSE()</f>
        <v>0</v>
      </c>
      <c r="U1747" s="65" t="b">
        <f>FALSE()</f>
        <v>0</v>
      </c>
      <c r="V1747" s="65">
        <v>922</v>
      </c>
      <c r="W1747" s="67" t="s">
        <v>446</v>
      </c>
      <c r="X1747" s="65">
        <v>2</v>
      </c>
      <c r="Y1747" s="68">
        <v>3.5</v>
      </c>
      <c r="Z1747" s="65" t="b">
        <f>FALSE()</f>
        <v>0</v>
      </c>
      <c r="AA1747" s="65" t="b">
        <f>TRUE()</f>
        <v>1</v>
      </c>
      <c r="AB1747" s="65" t="b">
        <f>FALSE()</f>
        <v>0</v>
      </c>
      <c r="AC1747" s="65" t="b">
        <f>FALSE()</f>
        <v>0</v>
      </c>
      <c r="AD1747" s="65" t="b">
        <f>FALSE()</f>
        <v>0</v>
      </c>
      <c r="AE1747" s="65">
        <v>1</v>
      </c>
      <c r="AF1747" s="69">
        <v>14.3</v>
      </c>
      <c r="AG1747" s="65" t="s">
        <v>74</v>
      </c>
      <c r="AH1747" s="65" t="s">
        <v>6347</v>
      </c>
      <c r="AI1747">
        <f>IF(AND(OR(Company_Explorer!$B$5="All Companies",$E1747=Company_Explorer!$B$5),OR(Company_Explorer!$B$6="All Platforms",$B1747=Company_Explorer!$B$6),OR(Company_Explorer!$B$7="All Roles",$D1747=Company_Explorer!$B$7),OR(Company_Explorer!$B$8="All Ghost Labels",$AG1747=Company_Explorer!$B$8)),1,0)</f>
        <v>0</v>
      </c>
    </row>
    <row r="1748" spans="1:35" ht="15" customHeight="1" x14ac:dyDescent="0.3">
      <c r="A1748" s="60" t="s">
        <v>6348</v>
      </c>
      <c r="B1748" s="60" t="s">
        <v>81</v>
      </c>
      <c r="C1748" s="60" t="s">
        <v>6349</v>
      </c>
      <c r="D1748" s="60" t="s">
        <v>125</v>
      </c>
      <c r="E1748" s="60" t="s">
        <v>6350</v>
      </c>
      <c r="F1748" s="60" t="b">
        <f>TRUE()</f>
        <v>1</v>
      </c>
      <c r="G1748" s="60" t="s">
        <v>165</v>
      </c>
      <c r="H1748" s="60" t="s">
        <v>3620</v>
      </c>
      <c r="I1748" s="61">
        <v>46209.729319421298</v>
      </c>
      <c r="J1748" s="61">
        <v>46210.283278923598</v>
      </c>
      <c r="K1748" s="60">
        <v>0.6</v>
      </c>
      <c r="L1748" s="60" t="s">
        <v>183</v>
      </c>
      <c r="M1748" s="60" t="s">
        <v>183</v>
      </c>
      <c r="N1748" s="60" t="b">
        <f>FALSE()</f>
        <v>0</v>
      </c>
      <c r="O1748" s="60"/>
      <c r="P1748" s="60"/>
      <c r="Q1748" s="60" t="s">
        <v>236</v>
      </c>
      <c r="R1748" s="60" t="s">
        <v>236</v>
      </c>
      <c r="S1748" s="60"/>
      <c r="T1748" s="60" t="b">
        <f>FALSE()</f>
        <v>0</v>
      </c>
      <c r="U1748" s="60" t="b">
        <f>FALSE()</f>
        <v>0</v>
      </c>
      <c r="V1748" s="60">
        <v>90</v>
      </c>
      <c r="W1748" s="62" t="s">
        <v>6351</v>
      </c>
      <c r="X1748" s="60">
        <v>3</v>
      </c>
      <c r="Y1748" s="63">
        <v>5.25</v>
      </c>
      <c r="Z1748" s="60" t="b">
        <f>FALSE()</f>
        <v>0</v>
      </c>
      <c r="AA1748" s="60" t="b">
        <f>TRUE()</f>
        <v>1</v>
      </c>
      <c r="AB1748" s="60" t="b">
        <f>TRUE()</f>
        <v>1</v>
      </c>
      <c r="AC1748" s="60" t="b">
        <f>FALSE()</f>
        <v>0</v>
      </c>
      <c r="AD1748" s="60" t="b">
        <f>FALSE()</f>
        <v>0</v>
      </c>
      <c r="AE1748" s="60">
        <v>2</v>
      </c>
      <c r="AF1748" s="64">
        <v>28.6</v>
      </c>
      <c r="AG1748" s="60" t="s">
        <v>73</v>
      </c>
      <c r="AH1748" s="60" t="s">
        <v>6352</v>
      </c>
      <c r="AI1748">
        <f>IF(AND(OR(Company_Explorer!$B$5="All Companies",$E1748=Company_Explorer!$B$5),OR(Company_Explorer!$B$6="All Platforms",$B1748=Company_Explorer!$B$6),OR(Company_Explorer!$B$7="All Roles",$D1748=Company_Explorer!$B$7),OR(Company_Explorer!$B$8="All Ghost Labels",$AG1748=Company_Explorer!$B$8)),1,0)</f>
        <v>0</v>
      </c>
    </row>
    <row r="1749" spans="1:35" ht="15" customHeight="1" x14ac:dyDescent="0.3">
      <c r="A1749" s="65" t="s">
        <v>6353</v>
      </c>
      <c r="B1749" s="65" t="s">
        <v>81</v>
      </c>
      <c r="C1749" s="65" t="s">
        <v>6354</v>
      </c>
      <c r="D1749" s="65" t="s">
        <v>126</v>
      </c>
      <c r="E1749" s="65" t="s">
        <v>435</v>
      </c>
      <c r="F1749" s="65" t="b">
        <f>TRUE()</f>
        <v>1</v>
      </c>
      <c r="G1749" s="65" t="s">
        <v>165</v>
      </c>
      <c r="H1749" s="65" t="s">
        <v>3636</v>
      </c>
      <c r="I1749" s="66">
        <v>46209.832012731502</v>
      </c>
      <c r="J1749" s="66">
        <v>46210.283278993098</v>
      </c>
      <c r="K1749" s="65">
        <v>0.5</v>
      </c>
      <c r="L1749" s="65" t="s">
        <v>183</v>
      </c>
      <c r="M1749" s="65" t="s">
        <v>183</v>
      </c>
      <c r="N1749" s="65" t="b">
        <f>FALSE()</f>
        <v>0</v>
      </c>
      <c r="O1749" s="65"/>
      <c r="P1749" s="65"/>
      <c r="Q1749" s="65" t="s">
        <v>236</v>
      </c>
      <c r="R1749" s="65" t="s">
        <v>236</v>
      </c>
      <c r="S1749" s="65"/>
      <c r="T1749" s="65" t="b">
        <f>FALSE()</f>
        <v>0</v>
      </c>
      <c r="U1749" s="65" t="b">
        <f>FALSE()</f>
        <v>0</v>
      </c>
      <c r="V1749" s="65">
        <v>136</v>
      </c>
      <c r="W1749" s="67" t="s">
        <v>6355</v>
      </c>
      <c r="X1749" s="65">
        <v>3</v>
      </c>
      <c r="Y1749" s="68">
        <v>5.25</v>
      </c>
      <c r="Z1749" s="65" t="b">
        <f>FALSE()</f>
        <v>0</v>
      </c>
      <c r="AA1749" s="65" t="b">
        <f>TRUE()</f>
        <v>1</v>
      </c>
      <c r="AB1749" s="65" t="b">
        <f>TRUE()</f>
        <v>1</v>
      </c>
      <c r="AC1749" s="65" t="b">
        <f>FALSE()</f>
        <v>0</v>
      </c>
      <c r="AD1749" s="65" t="b">
        <f>FALSE()</f>
        <v>0</v>
      </c>
      <c r="AE1749" s="65">
        <v>2</v>
      </c>
      <c r="AF1749" s="69">
        <v>28.6</v>
      </c>
      <c r="AG1749" s="65" t="s">
        <v>73</v>
      </c>
      <c r="AH1749" s="65" t="s">
        <v>6356</v>
      </c>
      <c r="AI1749">
        <f>IF(AND(OR(Company_Explorer!$B$5="All Companies",$E1749=Company_Explorer!$B$5),OR(Company_Explorer!$B$6="All Platforms",$B1749=Company_Explorer!$B$6),OR(Company_Explorer!$B$7="All Roles",$D1749=Company_Explorer!$B$7),OR(Company_Explorer!$B$8="All Ghost Labels",$AG1749=Company_Explorer!$B$8)),1,0)</f>
        <v>0</v>
      </c>
    </row>
    <row r="1750" spans="1:35" ht="15" customHeight="1" x14ac:dyDescent="0.3">
      <c r="A1750" s="60" t="s">
        <v>6357</v>
      </c>
      <c r="B1750" s="60" t="s">
        <v>81</v>
      </c>
      <c r="C1750" s="60" t="s">
        <v>4406</v>
      </c>
      <c r="D1750" s="60" t="s">
        <v>125</v>
      </c>
      <c r="E1750" s="60" t="s">
        <v>1580</v>
      </c>
      <c r="F1750" s="60" t="b">
        <f>TRUE()</f>
        <v>1</v>
      </c>
      <c r="G1750" s="60" t="s">
        <v>165</v>
      </c>
      <c r="H1750" s="60" t="s">
        <v>3672</v>
      </c>
      <c r="I1750" s="61">
        <v>46209.830298865701</v>
      </c>
      <c r="J1750" s="61">
        <v>46210.283279027797</v>
      </c>
      <c r="K1750" s="60">
        <v>0.5</v>
      </c>
      <c r="L1750" s="60" t="s">
        <v>183</v>
      </c>
      <c r="M1750" s="60" t="s">
        <v>183</v>
      </c>
      <c r="N1750" s="60" t="b">
        <f>FALSE()</f>
        <v>0</v>
      </c>
      <c r="O1750" s="60"/>
      <c r="P1750" s="60"/>
      <c r="Q1750" s="60" t="s">
        <v>236</v>
      </c>
      <c r="R1750" s="60" t="s">
        <v>236</v>
      </c>
      <c r="S1750" s="60"/>
      <c r="T1750" s="60" t="b">
        <f>FALSE()</f>
        <v>0</v>
      </c>
      <c r="U1750" s="60" t="b">
        <f>FALSE()</f>
        <v>0</v>
      </c>
      <c r="V1750" s="60">
        <v>465</v>
      </c>
      <c r="W1750" s="62" t="s">
        <v>6358</v>
      </c>
      <c r="X1750" s="60">
        <v>6</v>
      </c>
      <c r="Y1750" s="63">
        <v>10.5</v>
      </c>
      <c r="Z1750" s="60" t="b">
        <f>FALSE()</f>
        <v>0</v>
      </c>
      <c r="AA1750" s="60" t="b">
        <f>TRUE()</f>
        <v>1</v>
      </c>
      <c r="AB1750" s="60" t="b">
        <f>FALSE()</f>
        <v>0</v>
      </c>
      <c r="AC1750" s="60" t="b">
        <f>FALSE()</f>
        <v>0</v>
      </c>
      <c r="AD1750" s="60" t="b">
        <f>FALSE()</f>
        <v>0</v>
      </c>
      <c r="AE1750" s="60">
        <v>1</v>
      </c>
      <c r="AF1750" s="64">
        <v>14.3</v>
      </c>
      <c r="AG1750" s="60" t="s">
        <v>74</v>
      </c>
      <c r="AH1750" s="60" t="s">
        <v>6359</v>
      </c>
      <c r="AI1750">
        <f>IF(AND(OR(Company_Explorer!$B$5="All Companies",$E1750=Company_Explorer!$B$5),OR(Company_Explorer!$B$6="All Platforms",$B1750=Company_Explorer!$B$6),OR(Company_Explorer!$B$7="All Roles",$D1750=Company_Explorer!$B$7),OR(Company_Explorer!$B$8="All Ghost Labels",$AG1750=Company_Explorer!$B$8)),1,0)</f>
        <v>0</v>
      </c>
    </row>
    <row r="1751" spans="1:35" ht="15" customHeight="1" x14ac:dyDescent="0.3">
      <c r="A1751" s="65" t="s">
        <v>6360</v>
      </c>
      <c r="B1751" s="65" t="s">
        <v>81</v>
      </c>
      <c r="C1751" s="65" t="s">
        <v>4406</v>
      </c>
      <c r="D1751" s="65" t="s">
        <v>125</v>
      </c>
      <c r="E1751" s="65" t="s">
        <v>1580</v>
      </c>
      <c r="F1751" s="65" t="b">
        <f>TRUE()</f>
        <v>1</v>
      </c>
      <c r="G1751" s="65" t="s">
        <v>165</v>
      </c>
      <c r="H1751" s="65" t="s">
        <v>3672</v>
      </c>
      <c r="I1751" s="66">
        <v>46209.830273310203</v>
      </c>
      <c r="J1751" s="66">
        <v>46210.283279074101</v>
      </c>
      <c r="K1751" s="65">
        <v>0.5</v>
      </c>
      <c r="L1751" s="65" t="s">
        <v>183</v>
      </c>
      <c r="M1751" s="65" t="s">
        <v>183</v>
      </c>
      <c r="N1751" s="65" t="b">
        <f>FALSE()</f>
        <v>0</v>
      </c>
      <c r="O1751" s="65"/>
      <c r="P1751" s="65"/>
      <c r="Q1751" s="65" t="s">
        <v>236</v>
      </c>
      <c r="R1751" s="65" t="s">
        <v>236</v>
      </c>
      <c r="S1751" s="65"/>
      <c r="T1751" s="65" t="b">
        <f>FALSE()</f>
        <v>0</v>
      </c>
      <c r="U1751" s="65" t="b">
        <f>FALSE()</f>
        <v>0</v>
      </c>
      <c r="V1751" s="65">
        <v>434</v>
      </c>
      <c r="W1751" s="67" t="s">
        <v>4407</v>
      </c>
      <c r="X1751" s="65">
        <v>6</v>
      </c>
      <c r="Y1751" s="68">
        <v>10.5</v>
      </c>
      <c r="Z1751" s="65" t="b">
        <f>FALSE()</f>
        <v>0</v>
      </c>
      <c r="AA1751" s="65" t="b">
        <f>TRUE()</f>
        <v>1</v>
      </c>
      <c r="AB1751" s="65" t="b">
        <f>FALSE()</f>
        <v>0</v>
      </c>
      <c r="AC1751" s="65" t="b">
        <f>FALSE()</f>
        <v>0</v>
      </c>
      <c r="AD1751" s="65" t="b">
        <f>FALSE()</f>
        <v>0</v>
      </c>
      <c r="AE1751" s="65">
        <v>1</v>
      </c>
      <c r="AF1751" s="69">
        <v>14.3</v>
      </c>
      <c r="AG1751" s="65" t="s">
        <v>74</v>
      </c>
      <c r="AH1751" s="65" t="s">
        <v>6361</v>
      </c>
      <c r="AI1751">
        <f>IF(AND(OR(Company_Explorer!$B$5="All Companies",$E1751=Company_Explorer!$B$5),OR(Company_Explorer!$B$6="All Platforms",$B1751=Company_Explorer!$B$6),OR(Company_Explorer!$B$7="All Roles",$D1751=Company_Explorer!$B$7),OR(Company_Explorer!$B$8="All Ghost Labels",$AG1751=Company_Explorer!$B$8)),1,0)</f>
        <v>0</v>
      </c>
    </row>
    <row r="1752" spans="1:35" ht="15" customHeight="1" x14ac:dyDescent="0.3">
      <c r="A1752" s="60" t="s">
        <v>6362</v>
      </c>
      <c r="B1752" s="60" t="s">
        <v>81</v>
      </c>
      <c r="C1752" s="60" t="s">
        <v>6363</v>
      </c>
      <c r="D1752" s="60" t="s">
        <v>125</v>
      </c>
      <c r="E1752" s="60" t="s">
        <v>664</v>
      </c>
      <c r="F1752" s="60" t="b">
        <f>TRUE()</f>
        <v>1</v>
      </c>
      <c r="G1752" s="60" t="s">
        <v>165</v>
      </c>
      <c r="H1752" s="60" t="s">
        <v>3672</v>
      </c>
      <c r="I1752" s="61">
        <v>46209.582866840297</v>
      </c>
      <c r="J1752" s="61">
        <v>46210.283279132003</v>
      </c>
      <c r="K1752" s="60">
        <v>0.7</v>
      </c>
      <c r="L1752" s="60" t="s">
        <v>183</v>
      </c>
      <c r="M1752" s="60" t="s">
        <v>183</v>
      </c>
      <c r="N1752" s="60" t="b">
        <f>FALSE()</f>
        <v>0</v>
      </c>
      <c r="O1752" s="60"/>
      <c r="P1752" s="60"/>
      <c r="Q1752" s="60" t="s">
        <v>236</v>
      </c>
      <c r="R1752" s="60" t="s">
        <v>236</v>
      </c>
      <c r="S1752" s="60"/>
      <c r="T1752" s="60" t="b">
        <f>FALSE()</f>
        <v>0</v>
      </c>
      <c r="U1752" s="60" t="b">
        <f>FALSE()</f>
        <v>0</v>
      </c>
      <c r="V1752" s="60">
        <v>227</v>
      </c>
      <c r="W1752" s="62" t="s">
        <v>6364</v>
      </c>
      <c r="X1752" s="60">
        <v>2</v>
      </c>
      <c r="Y1752" s="63">
        <v>3.5</v>
      </c>
      <c r="Z1752" s="60" t="b">
        <f>FALSE()</f>
        <v>0</v>
      </c>
      <c r="AA1752" s="60" t="b">
        <f>TRUE()</f>
        <v>1</v>
      </c>
      <c r="AB1752" s="60" t="b">
        <f>TRUE()</f>
        <v>1</v>
      </c>
      <c r="AC1752" s="60" t="b">
        <f>FALSE()</f>
        <v>0</v>
      </c>
      <c r="AD1752" s="60" t="b">
        <f>FALSE()</f>
        <v>0</v>
      </c>
      <c r="AE1752" s="60">
        <v>2</v>
      </c>
      <c r="AF1752" s="64">
        <v>28.6</v>
      </c>
      <c r="AG1752" s="60" t="s">
        <v>73</v>
      </c>
      <c r="AH1752" s="60" t="s">
        <v>6365</v>
      </c>
      <c r="AI1752">
        <f>IF(AND(OR(Company_Explorer!$B$5="All Companies",$E1752=Company_Explorer!$B$5),OR(Company_Explorer!$B$6="All Platforms",$B1752=Company_Explorer!$B$6),OR(Company_Explorer!$B$7="All Roles",$D1752=Company_Explorer!$B$7),OR(Company_Explorer!$B$8="All Ghost Labels",$AG1752=Company_Explorer!$B$8)),1,0)</f>
        <v>0</v>
      </c>
    </row>
    <row r="1753" spans="1:35" ht="15" customHeight="1" x14ac:dyDescent="0.3">
      <c r="A1753" s="65" t="s">
        <v>6366</v>
      </c>
      <c r="B1753" s="65" t="s">
        <v>81</v>
      </c>
      <c r="C1753" s="65" t="s">
        <v>6367</v>
      </c>
      <c r="D1753" s="65" t="s">
        <v>125</v>
      </c>
      <c r="E1753" s="65" t="s">
        <v>2400</v>
      </c>
      <c r="F1753" s="65" t="b">
        <f>TRUE()</f>
        <v>1</v>
      </c>
      <c r="G1753" s="65" t="s">
        <v>165</v>
      </c>
      <c r="H1753" s="65" t="s">
        <v>3620</v>
      </c>
      <c r="I1753" s="66">
        <v>46209.627522661998</v>
      </c>
      <c r="J1753" s="66">
        <v>46210.283280011601</v>
      </c>
      <c r="K1753" s="65">
        <v>0.7</v>
      </c>
      <c r="L1753" s="65" t="s">
        <v>183</v>
      </c>
      <c r="M1753" s="65" t="s">
        <v>183</v>
      </c>
      <c r="N1753" s="65" t="b">
        <f>FALSE()</f>
        <v>0</v>
      </c>
      <c r="O1753" s="65"/>
      <c r="P1753" s="65"/>
      <c r="Q1753" s="65" t="s">
        <v>236</v>
      </c>
      <c r="R1753" s="65" t="s">
        <v>236</v>
      </c>
      <c r="S1753" s="65"/>
      <c r="T1753" s="65" t="b">
        <f>FALSE()</f>
        <v>0</v>
      </c>
      <c r="U1753" s="65" t="b">
        <f>FALSE()</f>
        <v>0</v>
      </c>
      <c r="V1753" s="65">
        <v>346</v>
      </c>
      <c r="W1753" s="67" t="s">
        <v>6368</v>
      </c>
      <c r="X1753" s="65">
        <v>1</v>
      </c>
      <c r="Y1753" s="68">
        <v>1.75</v>
      </c>
      <c r="Z1753" s="65" t="b">
        <f>FALSE()</f>
        <v>0</v>
      </c>
      <c r="AA1753" s="65" t="b">
        <f>TRUE()</f>
        <v>1</v>
      </c>
      <c r="AB1753" s="65" t="b">
        <f>FALSE()</f>
        <v>0</v>
      </c>
      <c r="AC1753" s="65" t="b">
        <f>FALSE()</f>
        <v>0</v>
      </c>
      <c r="AD1753" s="65" t="b">
        <f>FALSE()</f>
        <v>0</v>
      </c>
      <c r="AE1753" s="65">
        <v>1</v>
      </c>
      <c r="AF1753" s="69">
        <v>14.3</v>
      </c>
      <c r="AG1753" s="65" t="s">
        <v>74</v>
      </c>
      <c r="AH1753" s="65" t="s">
        <v>6369</v>
      </c>
      <c r="AI1753">
        <f>IF(AND(OR(Company_Explorer!$B$5="All Companies",$E1753=Company_Explorer!$B$5),OR(Company_Explorer!$B$6="All Platforms",$B1753=Company_Explorer!$B$6),OR(Company_Explorer!$B$7="All Roles",$D1753=Company_Explorer!$B$7),OR(Company_Explorer!$B$8="All Ghost Labels",$AG1753=Company_Explorer!$B$8)),1,0)</f>
        <v>0</v>
      </c>
    </row>
    <row r="1754" spans="1:35" ht="15" customHeight="1" x14ac:dyDescent="0.3">
      <c r="A1754" s="60" t="s">
        <v>6370</v>
      </c>
      <c r="B1754" s="60" t="s">
        <v>81</v>
      </c>
      <c r="C1754" s="60" t="s">
        <v>6349</v>
      </c>
      <c r="D1754" s="60" t="s">
        <v>125</v>
      </c>
      <c r="E1754" s="60" t="s">
        <v>6350</v>
      </c>
      <c r="F1754" s="60" t="b">
        <f>TRUE()</f>
        <v>1</v>
      </c>
      <c r="G1754" s="60" t="s">
        <v>165</v>
      </c>
      <c r="H1754" s="60" t="s">
        <v>3636</v>
      </c>
      <c r="I1754" s="61">
        <v>46209.7285697107</v>
      </c>
      <c r="J1754" s="61">
        <v>46210.283280393502</v>
      </c>
      <c r="K1754" s="60">
        <v>0.6</v>
      </c>
      <c r="L1754" s="60" t="s">
        <v>183</v>
      </c>
      <c r="M1754" s="60" t="s">
        <v>183</v>
      </c>
      <c r="N1754" s="60" t="b">
        <f>FALSE()</f>
        <v>0</v>
      </c>
      <c r="O1754" s="60"/>
      <c r="P1754" s="60"/>
      <c r="Q1754" s="60" t="s">
        <v>236</v>
      </c>
      <c r="R1754" s="60" t="s">
        <v>236</v>
      </c>
      <c r="S1754" s="60"/>
      <c r="T1754" s="60" t="b">
        <f>FALSE()</f>
        <v>0</v>
      </c>
      <c r="U1754" s="60" t="b">
        <f>FALSE()</f>
        <v>0</v>
      </c>
      <c r="V1754" s="60">
        <v>90</v>
      </c>
      <c r="W1754" s="62" t="s">
        <v>6351</v>
      </c>
      <c r="X1754" s="60">
        <v>3</v>
      </c>
      <c r="Y1754" s="63">
        <v>5.25</v>
      </c>
      <c r="Z1754" s="60" t="b">
        <f>FALSE()</f>
        <v>0</v>
      </c>
      <c r="AA1754" s="60" t="b">
        <f>TRUE()</f>
        <v>1</v>
      </c>
      <c r="AB1754" s="60" t="b">
        <f>TRUE()</f>
        <v>1</v>
      </c>
      <c r="AC1754" s="60" t="b">
        <f>FALSE()</f>
        <v>0</v>
      </c>
      <c r="AD1754" s="60" t="b">
        <f>FALSE()</f>
        <v>0</v>
      </c>
      <c r="AE1754" s="60">
        <v>2</v>
      </c>
      <c r="AF1754" s="64">
        <v>28.6</v>
      </c>
      <c r="AG1754" s="60" t="s">
        <v>73</v>
      </c>
      <c r="AH1754" s="60" t="s">
        <v>6371</v>
      </c>
      <c r="AI1754">
        <f>IF(AND(OR(Company_Explorer!$B$5="All Companies",$E1754=Company_Explorer!$B$5),OR(Company_Explorer!$B$6="All Platforms",$B1754=Company_Explorer!$B$6),OR(Company_Explorer!$B$7="All Roles",$D1754=Company_Explorer!$B$7),OR(Company_Explorer!$B$8="All Ghost Labels",$AG1754=Company_Explorer!$B$8)),1,0)</f>
        <v>0</v>
      </c>
    </row>
    <row r="1755" spans="1:35" ht="15" customHeight="1" x14ac:dyDescent="0.3">
      <c r="A1755" s="65" t="s">
        <v>6372</v>
      </c>
      <c r="B1755" s="65" t="s">
        <v>81</v>
      </c>
      <c r="C1755" s="65" t="s">
        <v>6373</v>
      </c>
      <c r="D1755" s="65" t="s">
        <v>125</v>
      </c>
      <c r="E1755" s="65" t="s">
        <v>6374</v>
      </c>
      <c r="F1755" s="65" t="b">
        <f>TRUE()</f>
        <v>1</v>
      </c>
      <c r="G1755" s="65" t="s">
        <v>165</v>
      </c>
      <c r="H1755" s="65" t="s">
        <v>3620</v>
      </c>
      <c r="I1755" s="66">
        <v>46209.582309919002</v>
      </c>
      <c r="J1755" s="66">
        <v>46210.283281365701</v>
      </c>
      <c r="K1755" s="65">
        <v>0.7</v>
      </c>
      <c r="L1755" s="65" t="s">
        <v>183</v>
      </c>
      <c r="M1755" s="65" t="s">
        <v>183</v>
      </c>
      <c r="N1755" s="65" t="b">
        <f>FALSE()</f>
        <v>0</v>
      </c>
      <c r="O1755" s="65"/>
      <c r="P1755" s="65"/>
      <c r="Q1755" s="65" t="s">
        <v>236</v>
      </c>
      <c r="R1755" s="65" t="s">
        <v>236</v>
      </c>
      <c r="S1755" s="65"/>
      <c r="T1755" s="65" t="b">
        <f>FALSE()</f>
        <v>0</v>
      </c>
      <c r="U1755" s="65" t="b">
        <f>FALSE()</f>
        <v>0</v>
      </c>
      <c r="V1755" s="65">
        <v>1214</v>
      </c>
      <c r="W1755" s="67" t="s">
        <v>6375</v>
      </c>
      <c r="X1755" s="65">
        <v>2</v>
      </c>
      <c r="Y1755" s="68">
        <v>3.5</v>
      </c>
      <c r="Z1755" s="65" t="b">
        <f>FALSE()</f>
        <v>0</v>
      </c>
      <c r="AA1755" s="65" t="b">
        <f>TRUE()</f>
        <v>1</v>
      </c>
      <c r="AB1755" s="65" t="b">
        <f>FALSE()</f>
        <v>0</v>
      </c>
      <c r="AC1755" s="65" t="b">
        <f>FALSE()</f>
        <v>0</v>
      </c>
      <c r="AD1755" s="65" t="b">
        <f>FALSE()</f>
        <v>0</v>
      </c>
      <c r="AE1755" s="65">
        <v>1</v>
      </c>
      <c r="AF1755" s="69">
        <v>14.3</v>
      </c>
      <c r="AG1755" s="65" t="s">
        <v>74</v>
      </c>
      <c r="AH1755" s="65" t="s">
        <v>6376</v>
      </c>
      <c r="AI1755">
        <f>IF(AND(OR(Company_Explorer!$B$5="All Companies",$E1755=Company_Explorer!$B$5),OR(Company_Explorer!$B$6="All Platforms",$B1755=Company_Explorer!$B$6),OR(Company_Explorer!$B$7="All Roles",$D1755=Company_Explorer!$B$7),OR(Company_Explorer!$B$8="All Ghost Labels",$AG1755=Company_Explorer!$B$8)),1,0)</f>
        <v>0</v>
      </c>
    </row>
    <row r="1756" spans="1:35" ht="15" customHeight="1" x14ac:dyDescent="0.3">
      <c r="A1756" s="60" t="s">
        <v>6377</v>
      </c>
      <c r="B1756" s="60" t="s">
        <v>81</v>
      </c>
      <c r="C1756" s="60" t="s">
        <v>6378</v>
      </c>
      <c r="D1756" s="60" t="s">
        <v>126</v>
      </c>
      <c r="E1756" s="60" t="s">
        <v>6379</v>
      </c>
      <c r="F1756" s="60" t="b">
        <f>TRUE()</f>
        <v>1</v>
      </c>
      <c r="G1756" s="60" t="s">
        <v>165</v>
      </c>
      <c r="H1756" s="60" t="s">
        <v>3672</v>
      </c>
      <c r="I1756" s="61">
        <v>46209.822464490702</v>
      </c>
      <c r="J1756" s="61">
        <v>46210.283282523204</v>
      </c>
      <c r="K1756" s="60">
        <v>0.5</v>
      </c>
      <c r="L1756" s="60" t="s">
        <v>183</v>
      </c>
      <c r="M1756" s="60" t="s">
        <v>183</v>
      </c>
      <c r="N1756" s="60" t="b">
        <f>FALSE()</f>
        <v>0</v>
      </c>
      <c r="O1756" s="60"/>
      <c r="P1756" s="60"/>
      <c r="Q1756" s="60" t="s">
        <v>236</v>
      </c>
      <c r="R1756" s="60" t="s">
        <v>236</v>
      </c>
      <c r="S1756" s="60"/>
      <c r="T1756" s="60" t="b">
        <f>FALSE()</f>
        <v>0</v>
      </c>
      <c r="U1756" s="60" t="b">
        <f>FALSE()</f>
        <v>0</v>
      </c>
      <c r="V1756" s="60">
        <v>276</v>
      </c>
      <c r="W1756" s="62" t="s">
        <v>6380</v>
      </c>
      <c r="X1756" s="60">
        <v>1</v>
      </c>
      <c r="Y1756" s="63">
        <v>1.75</v>
      </c>
      <c r="Z1756" s="60" t="b">
        <f>FALSE()</f>
        <v>0</v>
      </c>
      <c r="AA1756" s="60" t="b">
        <f>TRUE()</f>
        <v>1</v>
      </c>
      <c r="AB1756" s="60" t="b">
        <f>TRUE()</f>
        <v>1</v>
      </c>
      <c r="AC1756" s="60" t="b">
        <f>FALSE()</f>
        <v>0</v>
      </c>
      <c r="AD1756" s="60" t="b">
        <f>FALSE()</f>
        <v>0</v>
      </c>
      <c r="AE1756" s="60">
        <v>2</v>
      </c>
      <c r="AF1756" s="64">
        <v>28.6</v>
      </c>
      <c r="AG1756" s="60" t="s">
        <v>73</v>
      </c>
      <c r="AH1756" s="60" t="s">
        <v>6381</v>
      </c>
      <c r="AI1756">
        <f>IF(AND(OR(Company_Explorer!$B$5="All Companies",$E1756=Company_Explorer!$B$5),OR(Company_Explorer!$B$6="All Platforms",$B1756=Company_Explorer!$B$6),OR(Company_Explorer!$B$7="All Roles",$D1756=Company_Explorer!$B$7),OR(Company_Explorer!$B$8="All Ghost Labels",$AG1756=Company_Explorer!$B$8)),1,0)</f>
        <v>0</v>
      </c>
    </row>
    <row r="1757" spans="1:35" ht="15" customHeight="1" x14ac:dyDescent="0.3">
      <c r="A1757" s="65" t="s">
        <v>6382</v>
      </c>
      <c r="B1757" s="65" t="s">
        <v>81</v>
      </c>
      <c r="C1757" s="65" t="s">
        <v>6383</v>
      </c>
      <c r="D1757" s="65" t="s">
        <v>126</v>
      </c>
      <c r="E1757" s="65" t="s">
        <v>5866</v>
      </c>
      <c r="F1757" s="65" t="b">
        <f>TRUE()</f>
        <v>1</v>
      </c>
      <c r="G1757" s="65" t="s">
        <v>165</v>
      </c>
      <c r="H1757" s="65" t="s">
        <v>3636</v>
      </c>
      <c r="I1757" s="66">
        <v>46209.625064791697</v>
      </c>
      <c r="J1757" s="66">
        <v>46210.283283657402</v>
      </c>
      <c r="K1757" s="65">
        <v>0.7</v>
      </c>
      <c r="L1757" s="65" t="s">
        <v>183</v>
      </c>
      <c r="M1757" s="65" t="s">
        <v>183</v>
      </c>
      <c r="N1757" s="65" t="b">
        <f>FALSE()</f>
        <v>0</v>
      </c>
      <c r="O1757" s="65"/>
      <c r="P1757" s="65"/>
      <c r="Q1757" s="65" t="s">
        <v>236</v>
      </c>
      <c r="R1757" s="65" t="s">
        <v>236</v>
      </c>
      <c r="S1757" s="65"/>
      <c r="T1757" s="65" t="b">
        <f>FALSE()</f>
        <v>0</v>
      </c>
      <c r="U1757" s="65" t="b">
        <f>FALSE()</f>
        <v>0</v>
      </c>
      <c r="V1757" s="65">
        <v>684</v>
      </c>
      <c r="W1757" s="67" t="s">
        <v>6384</v>
      </c>
      <c r="X1757" s="65">
        <v>3</v>
      </c>
      <c r="Y1757" s="68">
        <v>5.25</v>
      </c>
      <c r="Z1757" s="65" t="b">
        <f>FALSE()</f>
        <v>0</v>
      </c>
      <c r="AA1757" s="65" t="b">
        <f>TRUE()</f>
        <v>1</v>
      </c>
      <c r="AB1757" s="65" t="b">
        <f>FALSE()</f>
        <v>0</v>
      </c>
      <c r="AC1757" s="65" t="b">
        <f>FALSE()</f>
        <v>0</v>
      </c>
      <c r="AD1757" s="65" t="b">
        <f>FALSE()</f>
        <v>0</v>
      </c>
      <c r="AE1757" s="65">
        <v>1</v>
      </c>
      <c r="AF1757" s="69">
        <v>14.3</v>
      </c>
      <c r="AG1757" s="65" t="s">
        <v>74</v>
      </c>
      <c r="AH1757" s="65" t="s">
        <v>6385</v>
      </c>
      <c r="AI1757">
        <f>IF(AND(OR(Company_Explorer!$B$5="All Companies",$E1757=Company_Explorer!$B$5),OR(Company_Explorer!$B$6="All Platforms",$B1757=Company_Explorer!$B$6),OR(Company_Explorer!$B$7="All Roles",$D1757=Company_Explorer!$B$7),OR(Company_Explorer!$B$8="All Ghost Labels",$AG1757=Company_Explorer!$B$8)),1,0)</f>
        <v>0</v>
      </c>
    </row>
    <row r="1758" spans="1:35" ht="15" customHeight="1" x14ac:dyDescent="0.3">
      <c r="A1758" s="60" t="s">
        <v>6386</v>
      </c>
      <c r="B1758" s="60" t="s">
        <v>81</v>
      </c>
      <c r="C1758" s="60" t="s">
        <v>6387</v>
      </c>
      <c r="D1758" s="60" t="s">
        <v>126</v>
      </c>
      <c r="E1758" s="60" t="s">
        <v>6350</v>
      </c>
      <c r="F1758" s="60" t="b">
        <f>TRUE()</f>
        <v>1</v>
      </c>
      <c r="G1758" s="60" t="s">
        <v>165</v>
      </c>
      <c r="H1758" s="60" t="s">
        <v>3672</v>
      </c>
      <c r="I1758" s="61">
        <v>46209.725945324099</v>
      </c>
      <c r="J1758" s="61">
        <v>46210.283284641198</v>
      </c>
      <c r="K1758" s="60">
        <v>0.6</v>
      </c>
      <c r="L1758" s="60" t="s">
        <v>183</v>
      </c>
      <c r="M1758" s="60" t="s">
        <v>183</v>
      </c>
      <c r="N1758" s="60" t="b">
        <f>FALSE()</f>
        <v>0</v>
      </c>
      <c r="O1758" s="60"/>
      <c r="P1758" s="60"/>
      <c r="Q1758" s="60" t="s">
        <v>236</v>
      </c>
      <c r="R1758" s="60" t="s">
        <v>236</v>
      </c>
      <c r="S1758" s="60"/>
      <c r="T1758" s="60" t="b">
        <f>FALSE()</f>
        <v>0</v>
      </c>
      <c r="U1758" s="60" t="b">
        <f>FALSE()</f>
        <v>0</v>
      </c>
      <c r="V1758" s="60">
        <v>104</v>
      </c>
      <c r="W1758" s="62" t="s">
        <v>6388</v>
      </c>
      <c r="X1758" s="60">
        <v>3</v>
      </c>
      <c r="Y1758" s="63">
        <v>5.25</v>
      </c>
      <c r="Z1758" s="60" t="b">
        <f>FALSE()</f>
        <v>0</v>
      </c>
      <c r="AA1758" s="60" t="b">
        <f>TRUE()</f>
        <v>1</v>
      </c>
      <c r="AB1758" s="60" t="b">
        <f>TRUE()</f>
        <v>1</v>
      </c>
      <c r="AC1758" s="60" t="b">
        <f>FALSE()</f>
        <v>0</v>
      </c>
      <c r="AD1758" s="60" t="b">
        <f>FALSE()</f>
        <v>0</v>
      </c>
      <c r="AE1758" s="60">
        <v>2</v>
      </c>
      <c r="AF1758" s="64">
        <v>28.6</v>
      </c>
      <c r="AG1758" s="60" t="s">
        <v>73</v>
      </c>
      <c r="AH1758" s="60" t="s">
        <v>6389</v>
      </c>
      <c r="AI1758">
        <f>IF(AND(OR(Company_Explorer!$B$5="All Companies",$E1758=Company_Explorer!$B$5),OR(Company_Explorer!$B$6="All Platforms",$B1758=Company_Explorer!$B$6),OR(Company_Explorer!$B$7="All Roles",$D1758=Company_Explorer!$B$7),OR(Company_Explorer!$B$8="All Ghost Labels",$AG1758=Company_Explorer!$B$8)),1,0)</f>
        <v>0</v>
      </c>
    </row>
    <row r="1759" spans="1:35" ht="15" customHeight="1" x14ac:dyDescent="0.3">
      <c r="A1759" s="65" t="s">
        <v>6390</v>
      </c>
      <c r="B1759" s="65" t="s">
        <v>81</v>
      </c>
      <c r="C1759" s="65" t="s">
        <v>6373</v>
      </c>
      <c r="D1759" s="65" t="s">
        <v>125</v>
      </c>
      <c r="E1759" s="65" t="s">
        <v>6374</v>
      </c>
      <c r="F1759" s="65" t="b">
        <f>TRUE()</f>
        <v>1</v>
      </c>
      <c r="G1759" s="65" t="s">
        <v>165</v>
      </c>
      <c r="H1759" s="65" t="s">
        <v>3620</v>
      </c>
      <c r="I1759" s="66">
        <v>46209.582324282397</v>
      </c>
      <c r="J1759" s="66">
        <v>46210.283285717604</v>
      </c>
      <c r="K1759" s="65">
        <v>0.7</v>
      </c>
      <c r="L1759" s="65" t="s">
        <v>183</v>
      </c>
      <c r="M1759" s="65" t="s">
        <v>183</v>
      </c>
      <c r="N1759" s="65" t="b">
        <f>FALSE()</f>
        <v>0</v>
      </c>
      <c r="O1759" s="65"/>
      <c r="P1759" s="65"/>
      <c r="Q1759" s="65" t="s">
        <v>236</v>
      </c>
      <c r="R1759" s="65" t="s">
        <v>236</v>
      </c>
      <c r="S1759" s="65"/>
      <c r="T1759" s="65" t="b">
        <f>FALSE()</f>
        <v>0</v>
      </c>
      <c r="U1759" s="65" t="b">
        <f>FALSE()</f>
        <v>0</v>
      </c>
      <c r="V1759" s="65">
        <v>1232</v>
      </c>
      <c r="W1759" s="67" t="s">
        <v>6391</v>
      </c>
      <c r="X1759" s="65">
        <v>2</v>
      </c>
      <c r="Y1759" s="68">
        <v>3.5</v>
      </c>
      <c r="Z1759" s="65" t="b">
        <f>FALSE()</f>
        <v>0</v>
      </c>
      <c r="AA1759" s="65" t="b">
        <f>TRUE()</f>
        <v>1</v>
      </c>
      <c r="AB1759" s="65" t="b">
        <f>FALSE()</f>
        <v>0</v>
      </c>
      <c r="AC1759" s="65" t="b">
        <f>FALSE()</f>
        <v>0</v>
      </c>
      <c r="AD1759" s="65" t="b">
        <f>FALSE()</f>
        <v>0</v>
      </c>
      <c r="AE1759" s="65">
        <v>1</v>
      </c>
      <c r="AF1759" s="69">
        <v>14.3</v>
      </c>
      <c r="AG1759" s="65" t="s">
        <v>74</v>
      </c>
      <c r="AH1759" s="65" t="s">
        <v>6392</v>
      </c>
      <c r="AI1759">
        <f>IF(AND(OR(Company_Explorer!$B$5="All Companies",$E1759=Company_Explorer!$B$5),OR(Company_Explorer!$B$6="All Platforms",$B1759=Company_Explorer!$B$6),OR(Company_Explorer!$B$7="All Roles",$D1759=Company_Explorer!$B$7),OR(Company_Explorer!$B$8="All Ghost Labels",$AG1759=Company_Explorer!$B$8)),1,0)</f>
        <v>0</v>
      </c>
    </row>
    <row r="1760" spans="1:35" ht="15" customHeight="1" x14ac:dyDescent="0.3">
      <c r="A1760" s="60" t="s">
        <v>6393</v>
      </c>
      <c r="B1760" s="60" t="s">
        <v>81</v>
      </c>
      <c r="C1760" s="60" t="s">
        <v>6394</v>
      </c>
      <c r="D1760" s="60" t="s">
        <v>125</v>
      </c>
      <c r="E1760" s="60" t="s">
        <v>3947</v>
      </c>
      <c r="F1760" s="60" t="b">
        <f>TRUE()</f>
        <v>1</v>
      </c>
      <c r="G1760" s="60" t="s">
        <v>165</v>
      </c>
      <c r="H1760" s="60" t="s">
        <v>3620</v>
      </c>
      <c r="I1760" s="61">
        <v>46209.717139455999</v>
      </c>
      <c r="J1760" s="61">
        <v>46210.2832866319</v>
      </c>
      <c r="K1760" s="60">
        <v>0.6</v>
      </c>
      <c r="L1760" s="60" t="s">
        <v>183</v>
      </c>
      <c r="M1760" s="60" t="s">
        <v>183</v>
      </c>
      <c r="N1760" s="60" t="b">
        <f>FALSE()</f>
        <v>0</v>
      </c>
      <c r="O1760" s="60"/>
      <c r="P1760" s="60"/>
      <c r="Q1760" s="60" t="s">
        <v>236</v>
      </c>
      <c r="R1760" s="60" t="s">
        <v>236</v>
      </c>
      <c r="S1760" s="60"/>
      <c r="T1760" s="60" t="b">
        <f>FALSE()</f>
        <v>0</v>
      </c>
      <c r="U1760" s="60" t="b">
        <f>FALSE()</f>
        <v>0</v>
      </c>
      <c r="V1760" s="60">
        <v>674</v>
      </c>
      <c r="W1760" s="62" t="s">
        <v>6395</v>
      </c>
      <c r="X1760" s="60">
        <v>13</v>
      </c>
      <c r="Y1760" s="63">
        <v>22.75</v>
      </c>
      <c r="Z1760" s="60" t="b">
        <f>FALSE()</f>
        <v>0</v>
      </c>
      <c r="AA1760" s="60" t="b">
        <f>TRUE()</f>
        <v>1</v>
      </c>
      <c r="AB1760" s="60" t="b">
        <f>FALSE()</f>
        <v>0</v>
      </c>
      <c r="AC1760" s="60" t="b">
        <f>FALSE()</f>
        <v>0</v>
      </c>
      <c r="AD1760" s="60" t="b">
        <f>FALSE()</f>
        <v>0</v>
      </c>
      <c r="AE1760" s="60">
        <v>1</v>
      </c>
      <c r="AF1760" s="64">
        <v>14.3</v>
      </c>
      <c r="AG1760" s="60" t="s">
        <v>74</v>
      </c>
      <c r="AH1760" s="60" t="s">
        <v>6396</v>
      </c>
      <c r="AI1760">
        <f>IF(AND(OR(Company_Explorer!$B$5="All Companies",$E1760=Company_Explorer!$B$5),OR(Company_Explorer!$B$6="All Platforms",$B1760=Company_Explorer!$B$6),OR(Company_Explorer!$B$7="All Roles",$D1760=Company_Explorer!$B$7),OR(Company_Explorer!$B$8="All Ghost Labels",$AG1760=Company_Explorer!$B$8)),1,0)</f>
        <v>0</v>
      </c>
    </row>
    <row r="1761" spans="1:35" ht="15" customHeight="1" x14ac:dyDescent="0.3">
      <c r="A1761" s="65" t="s">
        <v>6397</v>
      </c>
      <c r="B1761" s="65" t="s">
        <v>81</v>
      </c>
      <c r="C1761" s="65" t="s">
        <v>6398</v>
      </c>
      <c r="D1761" s="65" t="s">
        <v>125</v>
      </c>
      <c r="E1761" s="65" t="s">
        <v>6399</v>
      </c>
      <c r="F1761" s="65" t="b">
        <f>TRUE()</f>
        <v>1</v>
      </c>
      <c r="G1761" s="65" t="s">
        <v>165</v>
      </c>
      <c r="H1761" s="65" t="s">
        <v>4442</v>
      </c>
      <c r="I1761" s="66">
        <v>46209.807433437498</v>
      </c>
      <c r="J1761" s="66">
        <v>46210.283287627302</v>
      </c>
      <c r="K1761" s="65">
        <v>0.5</v>
      </c>
      <c r="L1761" s="65" t="s">
        <v>183</v>
      </c>
      <c r="M1761" s="65" t="s">
        <v>183</v>
      </c>
      <c r="N1761" s="65" t="b">
        <f>TRUE()</f>
        <v>1</v>
      </c>
      <c r="O1761" s="71">
        <v>700000</v>
      </c>
      <c r="P1761" s="71">
        <v>800000</v>
      </c>
      <c r="Q1761" s="65" t="s">
        <v>3663</v>
      </c>
      <c r="R1761" s="65" t="s">
        <v>3961</v>
      </c>
      <c r="S1761" s="71">
        <v>750000</v>
      </c>
      <c r="T1761" s="65" t="b">
        <f>TRUE()</f>
        <v>1</v>
      </c>
      <c r="U1761" s="65" t="b">
        <f>FALSE()</f>
        <v>0</v>
      </c>
      <c r="V1761" s="65">
        <v>371</v>
      </c>
      <c r="W1761" s="67" t="s">
        <v>6400</v>
      </c>
      <c r="X1761" s="65">
        <v>1</v>
      </c>
      <c r="Y1761" s="68">
        <v>1.75</v>
      </c>
      <c r="Z1761" s="65" t="b">
        <f>FALSE()</f>
        <v>0</v>
      </c>
      <c r="AA1761" s="65" t="b">
        <f>FALSE()</f>
        <v>0</v>
      </c>
      <c r="AB1761" s="65" t="b">
        <f>FALSE()</f>
        <v>0</v>
      </c>
      <c r="AC1761" s="65" t="b">
        <f>FALSE()</f>
        <v>0</v>
      </c>
      <c r="AD1761" s="65" t="b">
        <f>FALSE()</f>
        <v>0</v>
      </c>
      <c r="AE1761" s="65">
        <v>0</v>
      </c>
      <c r="AF1761" s="69">
        <v>0</v>
      </c>
      <c r="AG1761" s="65" t="s">
        <v>74</v>
      </c>
      <c r="AH1761" s="65" t="s">
        <v>6401</v>
      </c>
      <c r="AI1761">
        <f>IF(AND(OR(Company_Explorer!$B$5="All Companies",$E1761=Company_Explorer!$B$5),OR(Company_Explorer!$B$6="All Platforms",$B1761=Company_Explorer!$B$6),OR(Company_Explorer!$B$7="All Roles",$D1761=Company_Explorer!$B$7),OR(Company_Explorer!$B$8="All Ghost Labels",$AG1761=Company_Explorer!$B$8)),1,0)</f>
        <v>0</v>
      </c>
    </row>
    <row r="1762" spans="1:35" ht="15" customHeight="1" x14ac:dyDescent="0.3">
      <c r="A1762" s="60" t="s">
        <v>6402</v>
      </c>
      <c r="B1762" s="60" t="s">
        <v>81</v>
      </c>
      <c r="C1762" s="60" t="s">
        <v>2959</v>
      </c>
      <c r="D1762" s="60" t="s">
        <v>131</v>
      </c>
      <c r="E1762" s="60" t="s">
        <v>149</v>
      </c>
      <c r="F1762" s="60" t="b">
        <f>TRUE()</f>
        <v>1</v>
      </c>
      <c r="G1762" s="60" t="s">
        <v>165</v>
      </c>
      <c r="H1762" s="60" t="s">
        <v>3655</v>
      </c>
      <c r="I1762" s="61">
        <v>46209.623781805603</v>
      </c>
      <c r="J1762" s="61">
        <v>46210.283288749997</v>
      </c>
      <c r="K1762" s="60">
        <v>0.7</v>
      </c>
      <c r="L1762" s="60" t="s">
        <v>183</v>
      </c>
      <c r="M1762" s="60" t="s">
        <v>183</v>
      </c>
      <c r="N1762" s="60" t="b">
        <f>FALSE()</f>
        <v>0</v>
      </c>
      <c r="O1762" s="60"/>
      <c r="P1762" s="60"/>
      <c r="Q1762" s="60" t="s">
        <v>236</v>
      </c>
      <c r="R1762" s="60" t="s">
        <v>236</v>
      </c>
      <c r="S1762" s="60"/>
      <c r="T1762" s="60" t="b">
        <f>FALSE()</f>
        <v>0</v>
      </c>
      <c r="U1762" s="60" t="b">
        <f>FALSE()</f>
        <v>0</v>
      </c>
      <c r="V1762" s="60">
        <v>494</v>
      </c>
      <c r="W1762" s="62" t="s">
        <v>3698</v>
      </c>
      <c r="X1762" s="60">
        <v>16</v>
      </c>
      <c r="Y1762" s="63">
        <v>28</v>
      </c>
      <c r="Z1762" s="60" t="b">
        <f>FALSE()</f>
        <v>0</v>
      </c>
      <c r="AA1762" s="60" t="b">
        <f>TRUE()</f>
        <v>1</v>
      </c>
      <c r="AB1762" s="60" t="b">
        <f>FALSE()</f>
        <v>0</v>
      </c>
      <c r="AC1762" s="60" t="b">
        <f>FALSE()</f>
        <v>0</v>
      </c>
      <c r="AD1762" s="60" t="b">
        <f>FALSE()</f>
        <v>0</v>
      </c>
      <c r="AE1762" s="60">
        <v>1</v>
      </c>
      <c r="AF1762" s="64">
        <v>14.3</v>
      </c>
      <c r="AG1762" s="60" t="s">
        <v>74</v>
      </c>
      <c r="AH1762" s="60" t="s">
        <v>6403</v>
      </c>
      <c r="AI1762">
        <f>IF(AND(OR(Company_Explorer!$B$5="All Companies",$E1762=Company_Explorer!$B$5),OR(Company_Explorer!$B$6="All Platforms",$B1762=Company_Explorer!$B$6),OR(Company_Explorer!$B$7="All Roles",$D1762=Company_Explorer!$B$7),OR(Company_Explorer!$B$8="All Ghost Labels",$AG1762=Company_Explorer!$B$8)),1,0)</f>
        <v>0</v>
      </c>
    </row>
    <row r="1763" spans="1:35" ht="15" customHeight="1" x14ac:dyDescent="0.3">
      <c r="A1763" s="65" t="s">
        <v>6404</v>
      </c>
      <c r="B1763" s="65" t="s">
        <v>81</v>
      </c>
      <c r="C1763" s="65" t="s">
        <v>6405</v>
      </c>
      <c r="D1763" s="65" t="s">
        <v>125</v>
      </c>
      <c r="E1763" s="65" t="s">
        <v>6406</v>
      </c>
      <c r="F1763" s="65" t="b">
        <f>TRUE()</f>
        <v>1</v>
      </c>
      <c r="G1763" s="65" t="s">
        <v>165</v>
      </c>
      <c r="H1763" s="65" t="s">
        <v>3672</v>
      </c>
      <c r="I1763" s="66">
        <v>46209.578847060198</v>
      </c>
      <c r="J1763" s="66">
        <v>46210.283289861101</v>
      </c>
      <c r="K1763" s="65">
        <v>0.7</v>
      </c>
      <c r="L1763" s="65" t="s">
        <v>183</v>
      </c>
      <c r="M1763" s="65" t="s">
        <v>183</v>
      </c>
      <c r="N1763" s="65" t="b">
        <f>FALSE()</f>
        <v>0</v>
      </c>
      <c r="O1763" s="65"/>
      <c r="P1763" s="65"/>
      <c r="Q1763" s="65" t="s">
        <v>236</v>
      </c>
      <c r="R1763" s="65" t="s">
        <v>236</v>
      </c>
      <c r="S1763" s="65"/>
      <c r="T1763" s="65" t="b">
        <f>FALSE()</f>
        <v>0</v>
      </c>
      <c r="U1763" s="65" t="b">
        <f>FALSE()</f>
        <v>0</v>
      </c>
      <c r="V1763" s="65">
        <v>332</v>
      </c>
      <c r="W1763" s="67" t="s">
        <v>6407</v>
      </c>
      <c r="X1763" s="65">
        <v>1</v>
      </c>
      <c r="Y1763" s="68">
        <v>1.75</v>
      </c>
      <c r="Z1763" s="65" t="b">
        <f>FALSE()</f>
        <v>0</v>
      </c>
      <c r="AA1763" s="65" t="b">
        <f>TRUE()</f>
        <v>1</v>
      </c>
      <c r="AB1763" s="65" t="b">
        <f>FALSE()</f>
        <v>0</v>
      </c>
      <c r="AC1763" s="65" t="b">
        <f>FALSE()</f>
        <v>0</v>
      </c>
      <c r="AD1763" s="65" t="b">
        <f>FALSE()</f>
        <v>0</v>
      </c>
      <c r="AE1763" s="65">
        <v>1</v>
      </c>
      <c r="AF1763" s="69">
        <v>14.3</v>
      </c>
      <c r="AG1763" s="65" t="s">
        <v>74</v>
      </c>
      <c r="AH1763" s="65" t="s">
        <v>6408</v>
      </c>
      <c r="AI1763">
        <f>IF(AND(OR(Company_Explorer!$B$5="All Companies",$E1763=Company_Explorer!$B$5),OR(Company_Explorer!$B$6="All Platforms",$B1763=Company_Explorer!$B$6),OR(Company_Explorer!$B$7="All Roles",$D1763=Company_Explorer!$B$7),OR(Company_Explorer!$B$8="All Ghost Labels",$AG1763=Company_Explorer!$B$8)),1,0)</f>
        <v>0</v>
      </c>
    </row>
    <row r="1764" spans="1:35" ht="15" customHeight="1" x14ac:dyDescent="0.3">
      <c r="A1764" s="60" t="s">
        <v>6409</v>
      </c>
      <c r="B1764" s="60" t="s">
        <v>81</v>
      </c>
      <c r="C1764" s="60" t="s">
        <v>6410</v>
      </c>
      <c r="D1764" s="60" t="s">
        <v>125</v>
      </c>
      <c r="E1764" s="60" t="s">
        <v>1580</v>
      </c>
      <c r="F1764" s="60" t="b">
        <f>TRUE()</f>
        <v>1</v>
      </c>
      <c r="G1764" s="60" t="s">
        <v>165</v>
      </c>
      <c r="H1764" s="60" t="s">
        <v>3672</v>
      </c>
      <c r="I1764" s="61">
        <v>46209.578454456001</v>
      </c>
      <c r="J1764" s="61">
        <v>46210.283291134299</v>
      </c>
      <c r="K1764" s="60">
        <v>0.7</v>
      </c>
      <c r="L1764" s="60" t="s">
        <v>183</v>
      </c>
      <c r="M1764" s="60" t="s">
        <v>183</v>
      </c>
      <c r="N1764" s="60" t="b">
        <f>FALSE()</f>
        <v>0</v>
      </c>
      <c r="O1764" s="60"/>
      <c r="P1764" s="60"/>
      <c r="Q1764" s="60" t="s">
        <v>236</v>
      </c>
      <c r="R1764" s="60" t="s">
        <v>236</v>
      </c>
      <c r="S1764" s="60"/>
      <c r="T1764" s="60" t="b">
        <f>FALSE()</f>
        <v>0</v>
      </c>
      <c r="U1764" s="60" t="b">
        <f>FALSE()</f>
        <v>0</v>
      </c>
      <c r="V1764" s="60">
        <v>476</v>
      </c>
      <c r="W1764" s="62" t="s">
        <v>6358</v>
      </c>
      <c r="X1764" s="60">
        <v>6</v>
      </c>
      <c r="Y1764" s="63">
        <v>10.5</v>
      </c>
      <c r="Z1764" s="60" t="b">
        <f>FALSE()</f>
        <v>0</v>
      </c>
      <c r="AA1764" s="60" t="b">
        <f>TRUE()</f>
        <v>1</v>
      </c>
      <c r="AB1764" s="60" t="b">
        <f>FALSE()</f>
        <v>0</v>
      </c>
      <c r="AC1764" s="60" t="b">
        <f>FALSE()</f>
        <v>0</v>
      </c>
      <c r="AD1764" s="60" t="b">
        <f>FALSE()</f>
        <v>0</v>
      </c>
      <c r="AE1764" s="60">
        <v>1</v>
      </c>
      <c r="AF1764" s="64">
        <v>14.3</v>
      </c>
      <c r="AG1764" s="60" t="s">
        <v>74</v>
      </c>
      <c r="AH1764" s="60" t="s">
        <v>6411</v>
      </c>
      <c r="AI1764">
        <f>IF(AND(OR(Company_Explorer!$B$5="All Companies",$E1764=Company_Explorer!$B$5),OR(Company_Explorer!$B$6="All Platforms",$B1764=Company_Explorer!$B$6),OR(Company_Explorer!$B$7="All Roles",$D1764=Company_Explorer!$B$7),OR(Company_Explorer!$B$8="All Ghost Labels",$AG1764=Company_Explorer!$B$8)),1,0)</f>
        <v>0</v>
      </c>
    </row>
    <row r="1765" spans="1:35" ht="15" customHeight="1" x14ac:dyDescent="0.3">
      <c r="A1765" s="65" t="s">
        <v>6412</v>
      </c>
      <c r="B1765" s="65" t="s">
        <v>81</v>
      </c>
      <c r="C1765" s="65" t="s">
        <v>6413</v>
      </c>
      <c r="D1765" s="65" t="s">
        <v>125</v>
      </c>
      <c r="E1765" s="65" t="s">
        <v>149</v>
      </c>
      <c r="F1765" s="65" t="b">
        <f>TRUE()</f>
        <v>1</v>
      </c>
      <c r="G1765" s="65" t="s">
        <v>165</v>
      </c>
      <c r="H1765" s="65" t="s">
        <v>3672</v>
      </c>
      <c r="I1765" s="66">
        <v>46209.623775335698</v>
      </c>
      <c r="J1765" s="66">
        <v>46210.283292106498</v>
      </c>
      <c r="K1765" s="65">
        <v>0.7</v>
      </c>
      <c r="L1765" s="65" t="s">
        <v>183</v>
      </c>
      <c r="M1765" s="65" t="s">
        <v>183</v>
      </c>
      <c r="N1765" s="65" t="b">
        <f>FALSE()</f>
        <v>0</v>
      </c>
      <c r="O1765" s="65"/>
      <c r="P1765" s="65"/>
      <c r="Q1765" s="65" t="s">
        <v>236</v>
      </c>
      <c r="R1765" s="65" t="s">
        <v>236</v>
      </c>
      <c r="S1765" s="65"/>
      <c r="T1765" s="65" t="b">
        <f>FALSE()</f>
        <v>0</v>
      </c>
      <c r="U1765" s="65" t="b">
        <f>FALSE()</f>
        <v>0</v>
      </c>
      <c r="V1765" s="65">
        <v>491</v>
      </c>
      <c r="W1765" s="67" t="s">
        <v>3698</v>
      </c>
      <c r="X1765" s="65">
        <v>16</v>
      </c>
      <c r="Y1765" s="68">
        <v>28</v>
      </c>
      <c r="Z1765" s="65" t="b">
        <f>FALSE()</f>
        <v>0</v>
      </c>
      <c r="AA1765" s="65" t="b">
        <f>TRUE()</f>
        <v>1</v>
      </c>
      <c r="AB1765" s="65" t="b">
        <f>FALSE()</f>
        <v>0</v>
      </c>
      <c r="AC1765" s="65" t="b">
        <f>FALSE()</f>
        <v>0</v>
      </c>
      <c r="AD1765" s="65" t="b">
        <f>FALSE()</f>
        <v>0</v>
      </c>
      <c r="AE1765" s="65">
        <v>1</v>
      </c>
      <c r="AF1765" s="69">
        <v>14.3</v>
      </c>
      <c r="AG1765" s="65" t="s">
        <v>74</v>
      </c>
      <c r="AH1765" s="65" t="s">
        <v>6414</v>
      </c>
      <c r="AI1765">
        <f>IF(AND(OR(Company_Explorer!$B$5="All Companies",$E1765=Company_Explorer!$B$5),OR(Company_Explorer!$B$6="All Platforms",$B1765=Company_Explorer!$B$6),OR(Company_Explorer!$B$7="All Roles",$D1765=Company_Explorer!$B$7),OR(Company_Explorer!$B$8="All Ghost Labels",$AG1765=Company_Explorer!$B$8)),1,0)</f>
        <v>0</v>
      </c>
    </row>
    <row r="1766" spans="1:35" ht="15" customHeight="1" x14ac:dyDescent="0.3">
      <c r="A1766" s="60" t="s">
        <v>6415</v>
      </c>
      <c r="B1766" s="60" t="s">
        <v>81</v>
      </c>
      <c r="C1766" s="60" t="s">
        <v>6416</v>
      </c>
      <c r="D1766" s="60" t="s">
        <v>125</v>
      </c>
      <c r="E1766" s="60" t="s">
        <v>6417</v>
      </c>
      <c r="F1766" s="60" t="b">
        <f>TRUE()</f>
        <v>1</v>
      </c>
      <c r="G1766" s="60" t="s">
        <v>165</v>
      </c>
      <c r="H1766" s="60" t="s">
        <v>3636</v>
      </c>
      <c r="I1766" s="61">
        <v>46209.805301053202</v>
      </c>
      <c r="J1766" s="61">
        <v>46210.283293275497</v>
      </c>
      <c r="K1766" s="60">
        <v>0.5</v>
      </c>
      <c r="L1766" s="60" t="s">
        <v>183</v>
      </c>
      <c r="M1766" s="60" t="s">
        <v>183</v>
      </c>
      <c r="N1766" s="60" t="b">
        <f>FALSE()</f>
        <v>0</v>
      </c>
      <c r="O1766" s="60"/>
      <c r="P1766" s="60"/>
      <c r="Q1766" s="60" t="s">
        <v>236</v>
      </c>
      <c r="R1766" s="60" t="s">
        <v>236</v>
      </c>
      <c r="S1766" s="60"/>
      <c r="T1766" s="60" t="b">
        <f>FALSE()</f>
        <v>0</v>
      </c>
      <c r="U1766" s="60" t="b">
        <f>FALSE()</f>
        <v>0</v>
      </c>
      <c r="V1766" s="60">
        <v>932</v>
      </c>
      <c r="W1766" s="62" t="s">
        <v>6418</v>
      </c>
      <c r="X1766" s="60">
        <v>1</v>
      </c>
      <c r="Y1766" s="63">
        <v>1.75</v>
      </c>
      <c r="Z1766" s="60" t="b">
        <f>FALSE()</f>
        <v>0</v>
      </c>
      <c r="AA1766" s="60" t="b">
        <f>TRUE()</f>
        <v>1</v>
      </c>
      <c r="AB1766" s="60" t="b">
        <f>FALSE()</f>
        <v>0</v>
      </c>
      <c r="AC1766" s="60" t="b">
        <f>FALSE()</f>
        <v>0</v>
      </c>
      <c r="AD1766" s="60" t="b">
        <f>FALSE()</f>
        <v>0</v>
      </c>
      <c r="AE1766" s="60">
        <v>1</v>
      </c>
      <c r="AF1766" s="64">
        <v>14.3</v>
      </c>
      <c r="AG1766" s="60" t="s">
        <v>74</v>
      </c>
      <c r="AH1766" s="60" t="s">
        <v>6419</v>
      </c>
      <c r="AI1766">
        <f>IF(AND(OR(Company_Explorer!$B$5="All Companies",$E1766=Company_Explorer!$B$5),OR(Company_Explorer!$B$6="All Platforms",$B1766=Company_Explorer!$B$6),OR(Company_Explorer!$B$7="All Roles",$D1766=Company_Explorer!$B$7),OR(Company_Explorer!$B$8="All Ghost Labels",$AG1766=Company_Explorer!$B$8)),1,0)</f>
        <v>0</v>
      </c>
    </row>
    <row r="1767" spans="1:35" ht="15" customHeight="1" x14ac:dyDescent="0.3">
      <c r="A1767" s="65" t="s">
        <v>6420</v>
      </c>
      <c r="B1767" s="65" t="s">
        <v>81</v>
      </c>
      <c r="C1767" s="65" t="s">
        <v>6394</v>
      </c>
      <c r="D1767" s="65" t="s">
        <v>125</v>
      </c>
      <c r="E1767" s="65" t="s">
        <v>3947</v>
      </c>
      <c r="F1767" s="65" t="b">
        <f>TRUE()</f>
        <v>1</v>
      </c>
      <c r="G1767" s="65" t="s">
        <v>165</v>
      </c>
      <c r="H1767" s="65" t="s">
        <v>3620</v>
      </c>
      <c r="I1767" s="66">
        <v>46209.717149548604</v>
      </c>
      <c r="J1767" s="66">
        <v>46210.283294328699</v>
      </c>
      <c r="K1767" s="65">
        <v>0.6</v>
      </c>
      <c r="L1767" s="65" t="s">
        <v>183</v>
      </c>
      <c r="M1767" s="65" t="s">
        <v>183</v>
      </c>
      <c r="N1767" s="65" t="b">
        <f>FALSE()</f>
        <v>0</v>
      </c>
      <c r="O1767" s="65"/>
      <c r="P1767" s="65"/>
      <c r="Q1767" s="65" t="s">
        <v>236</v>
      </c>
      <c r="R1767" s="65" t="s">
        <v>236</v>
      </c>
      <c r="S1767" s="65"/>
      <c r="T1767" s="65" t="b">
        <f>FALSE()</f>
        <v>0</v>
      </c>
      <c r="U1767" s="65" t="b">
        <f>FALSE()</f>
        <v>0</v>
      </c>
      <c r="V1767" s="65">
        <v>674</v>
      </c>
      <c r="W1767" s="67" t="s">
        <v>6421</v>
      </c>
      <c r="X1767" s="65">
        <v>13</v>
      </c>
      <c r="Y1767" s="68">
        <v>22.75</v>
      </c>
      <c r="Z1767" s="65" t="b">
        <f>FALSE()</f>
        <v>0</v>
      </c>
      <c r="AA1767" s="65" t="b">
        <f>TRUE()</f>
        <v>1</v>
      </c>
      <c r="AB1767" s="65" t="b">
        <f>FALSE()</f>
        <v>0</v>
      </c>
      <c r="AC1767" s="65" t="b">
        <f>FALSE()</f>
        <v>0</v>
      </c>
      <c r="AD1767" s="65" t="b">
        <f>FALSE()</f>
        <v>0</v>
      </c>
      <c r="AE1767" s="65">
        <v>1</v>
      </c>
      <c r="AF1767" s="69">
        <v>14.3</v>
      </c>
      <c r="AG1767" s="65" t="s">
        <v>74</v>
      </c>
      <c r="AH1767" s="65" t="s">
        <v>6422</v>
      </c>
      <c r="AI1767">
        <f>IF(AND(OR(Company_Explorer!$B$5="All Companies",$E1767=Company_Explorer!$B$5),OR(Company_Explorer!$B$6="All Platforms",$B1767=Company_Explorer!$B$6),OR(Company_Explorer!$B$7="All Roles",$D1767=Company_Explorer!$B$7),OR(Company_Explorer!$B$8="All Ghost Labels",$AG1767=Company_Explorer!$B$8)),1,0)</f>
        <v>0</v>
      </c>
    </row>
    <row r="1768" spans="1:35" ht="15" customHeight="1" x14ac:dyDescent="0.3">
      <c r="A1768" s="60" t="s">
        <v>6423</v>
      </c>
      <c r="B1768" s="60" t="s">
        <v>81</v>
      </c>
      <c r="C1768" s="60" t="s">
        <v>6424</v>
      </c>
      <c r="D1768" s="60" t="s">
        <v>126</v>
      </c>
      <c r="E1768" s="60" t="s">
        <v>149</v>
      </c>
      <c r="F1768" s="60" t="b">
        <f>TRUE()</f>
        <v>1</v>
      </c>
      <c r="G1768" s="60" t="s">
        <v>165</v>
      </c>
      <c r="H1768" s="60" t="s">
        <v>3655</v>
      </c>
      <c r="I1768" s="61">
        <v>46209.623674062503</v>
      </c>
      <c r="J1768" s="61">
        <v>46210.283295601897</v>
      </c>
      <c r="K1768" s="60">
        <v>0.7</v>
      </c>
      <c r="L1768" s="60" t="s">
        <v>183</v>
      </c>
      <c r="M1768" s="60" t="s">
        <v>183</v>
      </c>
      <c r="N1768" s="60" t="b">
        <f>FALSE()</f>
        <v>0</v>
      </c>
      <c r="O1768" s="60"/>
      <c r="P1768" s="60"/>
      <c r="Q1768" s="60" t="s">
        <v>236</v>
      </c>
      <c r="R1768" s="60" t="s">
        <v>236</v>
      </c>
      <c r="S1768" s="60"/>
      <c r="T1768" s="60" t="b">
        <f>FALSE()</f>
        <v>0</v>
      </c>
      <c r="U1768" s="60" t="b">
        <f>FALSE()</f>
        <v>0</v>
      </c>
      <c r="V1768" s="60">
        <v>464</v>
      </c>
      <c r="W1768" s="62" t="s">
        <v>3698</v>
      </c>
      <c r="X1768" s="60">
        <v>16</v>
      </c>
      <c r="Y1768" s="63">
        <v>28</v>
      </c>
      <c r="Z1768" s="60" t="b">
        <f>FALSE()</f>
        <v>0</v>
      </c>
      <c r="AA1768" s="60" t="b">
        <f>TRUE()</f>
        <v>1</v>
      </c>
      <c r="AB1768" s="60" t="b">
        <f>FALSE()</f>
        <v>0</v>
      </c>
      <c r="AC1768" s="60" t="b">
        <f>FALSE()</f>
        <v>0</v>
      </c>
      <c r="AD1768" s="60" t="b">
        <f>FALSE()</f>
        <v>0</v>
      </c>
      <c r="AE1768" s="60">
        <v>1</v>
      </c>
      <c r="AF1768" s="64">
        <v>14.3</v>
      </c>
      <c r="AG1768" s="60" t="s">
        <v>74</v>
      </c>
      <c r="AH1768" s="60" t="s">
        <v>6425</v>
      </c>
      <c r="AI1768">
        <f>IF(AND(OR(Company_Explorer!$B$5="All Companies",$E1768=Company_Explorer!$B$5),OR(Company_Explorer!$B$6="All Platforms",$B1768=Company_Explorer!$B$6),OR(Company_Explorer!$B$7="All Roles",$D1768=Company_Explorer!$B$7),OR(Company_Explorer!$B$8="All Ghost Labels",$AG1768=Company_Explorer!$B$8)),1,0)</f>
        <v>0</v>
      </c>
    </row>
    <row r="1769" spans="1:35" ht="15" customHeight="1" x14ac:dyDescent="0.3">
      <c r="A1769" s="65" t="s">
        <v>6426</v>
      </c>
      <c r="B1769" s="65" t="s">
        <v>81</v>
      </c>
      <c r="C1769" s="65" t="s">
        <v>6410</v>
      </c>
      <c r="D1769" s="65" t="s">
        <v>125</v>
      </c>
      <c r="E1769" s="65" t="s">
        <v>1580</v>
      </c>
      <c r="F1769" s="65" t="b">
        <f>TRUE()</f>
        <v>1</v>
      </c>
      <c r="G1769" s="65" t="s">
        <v>165</v>
      </c>
      <c r="H1769" s="65" t="s">
        <v>3672</v>
      </c>
      <c r="I1769" s="66">
        <v>46209.578451655099</v>
      </c>
      <c r="J1769" s="66">
        <v>46210.283296701396</v>
      </c>
      <c r="K1769" s="65">
        <v>0.7</v>
      </c>
      <c r="L1769" s="65" t="s">
        <v>183</v>
      </c>
      <c r="M1769" s="65" t="s">
        <v>183</v>
      </c>
      <c r="N1769" s="65" t="b">
        <f>FALSE()</f>
        <v>0</v>
      </c>
      <c r="O1769" s="65"/>
      <c r="P1769" s="65"/>
      <c r="Q1769" s="65" t="s">
        <v>236</v>
      </c>
      <c r="R1769" s="65" t="s">
        <v>236</v>
      </c>
      <c r="S1769" s="65"/>
      <c r="T1769" s="65" t="b">
        <f>FALSE()</f>
        <v>0</v>
      </c>
      <c r="U1769" s="65" t="b">
        <f>FALSE()</f>
        <v>0</v>
      </c>
      <c r="V1769" s="65">
        <v>445</v>
      </c>
      <c r="W1769" s="67" t="s">
        <v>4407</v>
      </c>
      <c r="X1769" s="65">
        <v>6</v>
      </c>
      <c r="Y1769" s="68">
        <v>10.5</v>
      </c>
      <c r="Z1769" s="65" t="b">
        <f>FALSE()</f>
        <v>0</v>
      </c>
      <c r="AA1769" s="65" t="b">
        <f>TRUE()</f>
        <v>1</v>
      </c>
      <c r="AB1769" s="65" t="b">
        <f>FALSE()</f>
        <v>0</v>
      </c>
      <c r="AC1769" s="65" t="b">
        <f>FALSE()</f>
        <v>0</v>
      </c>
      <c r="AD1769" s="65" t="b">
        <f>FALSE()</f>
        <v>0</v>
      </c>
      <c r="AE1769" s="65">
        <v>1</v>
      </c>
      <c r="AF1769" s="69">
        <v>14.3</v>
      </c>
      <c r="AG1769" s="65" t="s">
        <v>74</v>
      </c>
      <c r="AH1769" s="65" t="s">
        <v>6427</v>
      </c>
      <c r="AI1769">
        <f>IF(AND(OR(Company_Explorer!$B$5="All Companies",$E1769=Company_Explorer!$B$5),OR(Company_Explorer!$B$6="All Platforms",$B1769=Company_Explorer!$B$6),OR(Company_Explorer!$B$7="All Roles",$D1769=Company_Explorer!$B$7),OR(Company_Explorer!$B$8="All Ghost Labels",$AG1769=Company_Explorer!$B$8)),1,0)</f>
        <v>0</v>
      </c>
    </row>
    <row r="1770" spans="1:35" ht="15" customHeight="1" x14ac:dyDescent="0.3">
      <c r="A1770" s="60" t="s">
        <v>6428</v>
      </c>
      <c r="B1770" s="60" t="s">
        <v>81</v>
      </c>
      <c r="C1770" s="60" t="s">
        <v>6429</v>
      </c>
      <c r="D1770" s="60" t="s">
        <v>126</v>
      </c>
      <c r="E1770" s="60" t="s">
        <v>5221</v>
      </c>
      <c r="F1770" s="60" t="b">
        <f>TRUE()</f>
        <v>1</v>
      </c>
      <c r="G1770" s="60" t="s">
        <v>165</v>
      </c>
      <c r="H1770" s="60" t="s">
        <v>3672</v>
      </c>
      <c r="I1770" s="61">
        <v>46209.804487175898</v>
      </c>
      <c r="J1770" s="61">
        <v>46210.283297754599</v>
      </c>
      <c r="K1770" s="60">
        <v>0.5</v>
      </c>
      <c r="L1770" s="60" t="s">
        <v>183</v>
      </c>
      <c r="M1770" s="60" t="s">
        <v>183</v>
      </c>
      <c r="N1770" s="60" t="b">
        <f>FALSE()</f>
        <v>0</v>
      </c>
      <c r="O1770" s="60"/>
      <c r="P1770" s="60"/>
      <c r="Q1770" s="60" t="s">
        <v>236</v>
      </c>
      <c r="R1770" s="60" t="s">
        <v>236</v>
      </c>
      <c r="S1770" s="60"/>
      <c r="T1770" s="60" t="b">
        <f>FALSE()</f>
        <v>0</v>
      </c>
      <c r="U1770" s="60" t="b">
        <f>FALSE()</f>
        <v>0</v>
      </c>
      <c r="V1770" s="60">
        <v>184</v>
      </c>
      <c r="W1770" s="62" t="s">
        <v>6430</v>
      </c>
      <c r="X1770" s="60">
        <v>2</v>
      </c>
      <c r="Y1770" s="63">
        <v>3.5</v>
      </c>
      <c r="Z1770" s="60" t="b">
        <f>FALSE()</f>
        <v>0</v>
      </c>
      <c r="AA1770" s="60" t="b">
        <f>TRUE()</f>
        <v>1</v>
      </c>
      <c r="AB1770" s="60" t="b">
        <f>TRUE()</f>
        <v>1</v>
      </c>
      <c r="AC1770" s="60" t="b">
        <f>FALSE()</f>
        <v>0</v>
      </c>
      <c r="AD1770" s="60" t="b">
        <f>FALSE()</f>
        <v>0</v>
      </c>
      <c r="AE1770" s="60">
        <v>2</v>
      </c>
      <c r="AF1770" s="64">
        <v>28.6</v>
      </c>
      <c r="AG1770" s="60" t="s">
        <v>73</v>
      </c>
      <c r="AH1770" s="60" t="s">
        <v>6431</v>
      </c>
      <c r="AI1770">
        <f>IF(AND(OR(Company_Explorer!$B$5="All Companies",$E1770=Company_Explorer!$B$5),OR(Company_Explorer!$B$6="All Platforms",$B1770=Company_Explorer!$B$6),OR(Company_Explorer!$B$7="All Roles",$D1770=Company_Explorer!$B$7),OR(Company_Explorer!$B$8="All Ghost Labels",$AG1770=Company_Explorer!$B$8)),1,0)</f>
        <v>0</v>
      </c>
    </row>
    <row r="1771" spans="1:35" ht="15" customHeight="1" x14ac:dyDescent="0.3">
      <c r="A1771" s="65" t="s">
        <v>6432</v>
      </c>
      <c r="B1771" s="65" t="s">
        <v>81</v>
      </c>
      <c r="C1771" s="65" t="s">
        <v>6433</v>
      </c>
      <c r="D1771" s="65" t="s">
        <v>126</v>
      </c>
      <c r="E1771" s="65" t="s">
        <v>3947</v>
      </c>
      <c r="F1771" s="65" t="b">
        <f>TRUE()</f>
        <v>1</v>
      </c>
      <c r="G1771" s="65" t="s">
        <v>165</v>
      </c>
      <c r="H1771" s="65" t="s">
        <v>3655</v>
      </c>
      <c r="I1771" s="66">
        <v>46209.716985185201</v>
      </c>
      <c r="J1771" s="66">
        <v>46210.283298703704</v>
      </c>
      <c r="K1771" s="65">
        <v>0.6</v>
      </c>
      <c r="L1771" s="65" t="s">
        <v>183</v>
      </c>
      <c r="M1771" s="65" t="s">
        <v>183</v>
      </c>
      <c r="N1771" s="65" t="b">
        <f>FALSE()</f>
        <v>0</v>
      </c>
      <c r="O1771" s="65"/>
      <c r="P1771" s="65"/>
      <c r="Q1771" s="65" t="s">
        <v>236</v>
      </c>
      <c r="R1771" s="65" t="s">
        <v>236</v>
      </c>
      <c r="S1771" s="65"/>
      <c r="T1771" s="65" t="b">
        <f>FALSE()</f>
        <v>0</v>
      </c>
      <c r="U1771" s="65" t="b">
        <f>FALSE()</f>
        <v>0</v>
      </c>
      <c r="V1771" s="65">
        <v>613</v>
      </c>
      <c r="W1771" s="67" t="s">
        <v>6434</v>
      </c>
      <c r="X1771" s="65">
        <v>13</v>
      </c>
      <c r="Y1771" s="68">
        <v>22.75</v>
      </c>
      <c r="Z1771" s="65" t="b">
        <f>FALSE()</f>
        <v>0</v>
      </c>
      <c r="AA1771" s="65" t="b">
        <f>TRUE()</f>
        <v>1</v>
      </c>
      <c r="AB1771" s="65" t="b">
        <f>FALSE()</f>
        <v>0</v>
      </c>
      <c r="AC1771" s="65" t="b">
        <f>FALSE()</f>
        <v>0</v>
      </c>
      <c r="AD1771" s="65" t="b">
        <f>FALSE()</f>
        <v>0</v>
      </c>
      <c r="AE1771" s="65">
        <v>1</v>
      </c>
      <c r="AF1771" s="69">
        <v>14.3</v>
      </c>
      <c r="AG1771" s="65" t="s">
        <v>74</v>
      </c>
      <c r="AH1771" s="65" t="s">
        <v>6435</v>
      </c>
      <c r="AI1771">
        <f>IF(AND(OR(Company_Explorer!$B$5="All Companies",$E1771=Company_Explorer!$B$5),OR(Company_Explorer!$B$6="All Platforms",$B1771=Company_Explorer!$B$6),OR(Company_Explorer!$B$7="All Roles",$D1771=Company_Explorer!$B$7),OR(Company_Explorer!$B$8="All Ghost Labels",$AG1771=Company_Explorer!$B$8)),1,0)</f>
        <v>0</v>
      </c>
    </row>
    <row r="1772" spans="1:35" ht="15" customHeight="1" x14ac:dyDescent="0.3">
      <c r="A1772" s="60" t="s">
        <v>6436</v>
      </c>
      <c r="B1772" s="60" t="s">
        <v>81</v>
      </c>
      <c r="C1772" s="60" t="s">
        <v>6437</v>
      </c>
      <c r="D1772" s="60" t="s">
        <v>126</v>
      </c>
      <c r="E1772" s="60" t="s">
        <v>3947</v>
      </c>
      <c r="F1772" s="60" t="b">
        <f>TRUE()</f>
        <v>1</v>
      </c>
      <c r="G1772" s="60" t="s">
        <v>165</v>
      </c>
      <c r="H1772" s="60" t="s">
        <v>3620</v>
      </c>
      <c r="I1772" s="61">
        <v>46209.716963032399</v>
      </c>
      <c r="J1772" s="61">
        <v>46210.283300266201</v>
      </c>
      <c r="K1772" s="60">
        <v>0.6</v>
      </c>
      <c r="L1772" s="60" t="s">
        <v>183</v>
      </c>
      <c r="M1772" s="60" t="s">
        <v>183</v>
      </c>
      <c r="N1772" s="60" t="b">
        <f>FALSE()</f>
        <v>0</v>
      </c>
      <c r="O1772" s="60"/>
      <c r="P1772" s="60"/>
      <c r="Q1772" s="60" t="s">
        <v>236</v>
      </c>
      <c r="R1772" s="60" t="s">
        <v>236</v>
      </c>
      <c r="S1772" s="60"/>
      <c r="T1772" s="60" t="b">
        <f>FALSE()</f>
        <v>0</v>
      </c>
      <c r="U1772" s="60" t="b">
        <f>FALSE()</f>
        <v>0</v>
      </c>
      <c r="V1772" s="60">
        <v>620</v>
      </c>
      <c r="W1772" s="62" t="s">
        <v>6438</v>
      </c>
      <c r="X1772" s="60">
        <v>13</v>
      </c>
      <c r="Y1772" s="63">
        <v>22.75</v>
      </c>
      <c r="Z1772" s="60" t="b">
        <f>FALSE()</f>
        <v>0</v>
      </c>
      <c r="AA1772" s="60" t="b">
        <f>TRUE()</f>
        <v>1</v>
      </c>
      <c r="AB1772" s="60" t="b">
        <f>FALSE()</f>
        <v>0</v>
      </c>
      <c r="AC1772" s="60" t="b">
        <f>FALSE()</f>
        <v>0</v>
      </c>
      <c r="AD1772" s="60" t="b">
        <f>FALSE()</f>
        <v>0</v>
      </c>
      <c r="AE1772" s="60">
        <v>1</v>
      </c>
      <c r="AF1772" s="64">
        <v>14.3</v>
      </c>
      <c r="AG1772" s="60" t="s">
        <v>74</v>
      </c>
      <c r="AH1772" s="60" t="s">
        <v>6439</v>
      </c>
      <c r="AI1772">
        <f>IF(AND(OR(Company_Explorer!$B$5="All Companies",$E1772=Company_Explorer!$B$5),OR(Company_Explorer!$B$6="All Platforms",$B1772=Company_Explorer!$B$6),OR(Company_Explorer!$B$7="All Roles",$D1772=Company_Explorer!$B$7),OR(Company_Explorer!$B$8="All Ghost Labels",$AG1772=Company_Explorer!$B$8)),1,0)</f>
        <v>0</v>
      </c>
    </row>
    <row r="1773" spans="1:35" ht="15" customHeight="1" x14ac:dyDescent="0.3">
      <c r="A1773" s="65" t="s">
        <v>6440</v>
      </c>
      <c r="B1773" s="65" t="s">
        <v>81</v>
      </c>
      <c r="C1773" s="65" t="s">
        <v>6441</v>
      </c>
      <c r="D1773" s="65" t="s">
        <v>126</v>
      </c>
      <c r="E1773" s="65" t="s">
        <v>153</v>
      </c>
      <c r="F1773" s="65" t="b">
        <f>TRUE()</f>
        <v>1</v>
      </c>
      <c r="G1773" s="65" t="s">
        <v>165</v>
      </c>
      <c r="H1773" s="65" t="s">
        <v>3620</v>
      </c>
      <c r="I1773" s="66">
        <v>46209.778098495401</v>
      </c>
      <c r="J1773" s="66">
        <v>46210.283301169002</v>
      </c>
      <c r="K1773" s="65">
        <v>0.5</v>
      </c>
      <c r="L1773" s="65" t="s">
        <v>183</v>
      </c>
      <c r="M1773" s="65" t="s">
        <v>183</v>
      </c>
      <c r="N1773" s="65" t="b">
        <f>FALSE()</f>
        <v>0</v>
      </c>
      <c r="O1773" s="65"/>
      <c r="P1773" s="65"/>
      <c r="Q1773" s="65" t="s">
        <v>236</v>
      </c>
      <c r="R1773" s="65" t="s">
        <v>236</v>
      </c>
      <c r="S1773" s="65"/>
      <c r="T1773" s="65" t="b">
        <f>FALSE()</f>
        <v>0</v>
      </c>
      <c r="U1773" s="65" t="b">
        <f>FALSE()</f>
        <v>0</v>
      </c>
      <c r="V1773" s="65">
        <v>227</v>
      </c>
      <c r="W1773" s="67" t="s">
        <v>6442</v>
      </c>
      <c r="X1773" s="65">
        <v>12</v>
      </c>
      <c r="Y1773" s="68">
        <v>21</v>
      </c>
      <c r="Z1773" s="65" t="b">
        <f>FALSE()</f>
        <v>0</v>
      </c>
      <c r="AA1773" s="65" t="b">
        <f>TRUE()</f>
        <v>1</v>
      </c>
      <c r="AB1773" s="65" t="b">
        <f>TRUE()</f>
        <v>1</v>
      </c>
      <c r="AC1773" s="65" t="b">
        <f>FALSE()</f>
        <v>0</v>
      </c>
      <c r="AD1773" s="65" t="b">
        <f>FALSE()</f>
        <v>0</v>
      </c>
      <c r="AE1773" s="65">
        <v>2</v>
      </c>
      <c r="AF1773" s="69">
        <v>28.6</v>
      </c>
      <c r="AG1773" s="65" t="s">
        <v>73</v>
      </c>
      <c r="AH1773" s="65" t="s">
        <v>6443</v>
      </c>
      <c r="AI1773">
        <f>IF(AND(OR(Company_Explorer!$B$5="All Companies",$E1773=Company_Explorer!$B$5),OR(Company_Explorer!$B$6="All Platforms",$B1773=Company_Explorer!$B$6),OR(Company_Explorer!$B$7="All Roles",$D1773=Company_Explorer!$B$7),OR(Company_Explorer!$B$8="All Ghost Labels",$AG1773=Company_Explorer!$B$8)),1,0)</f>
        <v>0</v>
      </c>
    </row>
    <row r="1774" spans="1:35" ht="15" customHeight="1" x14ac:dyDescent="0.3">
      <c r="A1774" s="60" t="s">
        <v>6444</v>
      </c>
      <c r="B1774" s="60" t="s">
        <v>81</v>
      </c>
      <c r="C1774" s="60" t="s">
        <v>6410</v>
      </c>
      <c r="D1774" s="60" t="s">
        <v>125</v>
      </c>
      <c r="E1774" s="60" t="s">
        <v>1580</v>
      </c>
      <c r="F1774" s="60" t="b">
        <f>TRUE()</f>
        <v>1</v>
      </c>
      <c r="G1774" s="60" t="s">
        <v>165</v>
      </c>
      <c r="H1774" s="60" t="s">
        <v>3672</v>
      </c>
      <c r="I1774" s="61">
        <v>46209.578394733799</v>
      </c>
      <c r="J1774" s="61">
        <v>46210.283301990698</v>
      </c>
      <c r="K1774" s="60">
        <v>0.7</v>
      </c>
      <c r="L1774" s="60" t="s">
        <v>183</v>
      </c>
      <c r="M1774" s="60" t="s">
        <v>183</v>
      </c>
      <c r="N1774" s="60" t="b">
        <f>FALSE()</f>
        <v>0</v>
      </c>
      <c r="O1774" s="60"/>
      <c r="P1774" s="60"/>
      <c r="Q1774" s="60" t="s">
        <v>236</v>
      </c>
      <c r="R1774" s="60" t="s">
        <v>236</v>
      </c>
      <c r="S1774" s="60"/>
      <c r="T1774" s="60" t="b">
        <f>FALSE()</f>
        <v>0</v>
      </c>
      <c r="U1774" s="60" t="b">
        <f>FALSE()</f>
        <v>0</v>
      </c>
      <c r="V1774" s="60">
        <v>445</v>
      </c>
      <c r="W1774" s="62" t="s">
        <v>4407</v>
      </c>
      <c r="X1774" s="60">
        <v>6</v>
      </c>
      <c r="Y1774" s="63">
        <v>10.5</v>
      </c>
      <c r="Z1774" s="60" t="b">
        <f>FALSE()</f>
        <v>0</v>
      </c>
      <c r="AA1774" s="60" t="b">
        <f>TRUE()</f>
        <v>1</v>
      </c>
      <c r="AB1774" s="60" t="b">
        <f>FALSE()</f>
        <v>0</v>
      </c>
      <c r="AC1774" s="60" t="b">
        <f>FALSE()</f>
        <v>0</v>
      </c>
      <c r="AD1774" s="60" t="b">
        <f>FALSE()</f>
        <v>0</v>
      </c>
      <c r="AE1774" s="60">
        <v>1</v>
      </c>
      <c r="AF1774" s="64">
        <v>14.3</v>
      </c>
      <c r="AG1774" s="60" t="s">
        <v>74</v>
      </c>
      <c r="AH1774" s="60" t="s">
        <v>6445</v>
      </c>
      <c r="AI1774">
        <f>IF(AND(OR(Company_Explorer!$B$5="All Companies",$E1774=Company_Explorer!$B$5),OR(Company_Explorer!$B$6="All Platforms",$B1774=Company_Explorer!$B$6),OR(Company_Explorer!$B$7="All Roles",$D1774=Company_Explorer!$B$7),OR(Company_Explorer!$B$8="All Ghost Labels",$AG1774=Company_Explorer!$B$8)),1,0)</f>
        <v>0</v>
      </c>
    </row>
    <row r="1775" spans="1:35" ht="15" customHeight="1" x14ac:dyDescent="0.3">
      <c r="A1775" s="65" t="s">
        <v>6446</v>
      </c>
      <c r="B1775" s="65" t="s">
        <v>81</v>
      </c>
      <c r="C1775" s="65" t="s">
        <v>6424</v>
      </c>
      <c r="D1775" s="65" t="s">
        <v>126</v>
      </c>
      <c r="E1775" s="65" t="s">
        <v>149</v>
      </c>
      <c r="F1775" s="65" t="b">
        <f>TRUE()</f>
        <v>1</v>
      </c>
      <c r="G1775" s="65" t="s">
        <v>165</v>
      </c>
      <c r="H1775" s="65" t="s">
        <v>3655</v>
      </c>
      <c r="I1775" s="66">
        <v>46209.623686168998</v>
      </c>
      <c r="J1775" s="66">
        <v>46210.283302939803</v>
      </c>
      <c r="K1775" s="65">
        <v>0.7</v>
      </c>
      <c r="L1775" s="65" t="s">
        <v>183</v>
      </c>
      <c r="M1775" s="65" t="s">
        <v>183</v>
      </c>
      <c r="N1775" s="65" t="b">
        <f>FALSE()</f>
        <v>0</v>
      </c>
      <c r="O1775" s="65"/>
      <c r="P1775" s="65"/>
      <c r="Q1775" s="65" t="s">
        <v>236</v>
      </c>
      <c r="R1775" s="65" t="s">
        <v>236</v>
      </c>
      <c r="S1775" s="65"/>
      <c r="T1775" s="65" t="b">
        <f>FALSE()</f>
        <v>0</v>
      </c>
      <c r="U1775" s="65" t="b">
        <f>FALSE()</f>
        <v>0</v>
      </c>
      <c r="V1775" s="65">
        <v>464</v>
      </c>
      <c r="W1775" s="67" t="s">
        <v>3698</v>
      </c>
      <c r="X1775" s="65">
        <v>16</v>
      </c>
      <c r="Y1775" s="68">
        <v>28</v>
      </c>
      <c r="Z1775" s="65" t="b">
        <f>FALSE()</f>
        <v>0</v>
      </c>
      <c r="AA1775" s="65" t="b">
        <f>TRUE()</f>
        <v>1</v>
      </c>
      <c r="AB1775" s="65" t="b">
        <f>FALSE()</f>
        <v>0</v>
      </c>
      <c r="AC1775" s="65" t="b">
        <f>FALSE()</f>
        <v>0</v>
      </c>
      <c r="AD1775" s="65" t="b">
        <f>FALSE()</f>
        <v>0</v>
      </c>
      <c r="AE1775" s="65">
        <v>1</v>
      </c>
      <c r="AF1775" s="69">
        <v>14.3</v>
      </c>
      <c r="AG1775" s="65" t="s">
        <v>74</v>
      </c>
      <c r="AH1775" s="65" t="s">
        <v>6447</v>
      </c>
      <c r="AI1775">
        <f>IF(AND(OR(Company_Explorer!$B$5="All Companies",$E1775=Company_Explorer!$B$5),OR(Company_Explorer!$B$6="All Platforms",$B1775=Company_Explorer!$B$6),OR(Company_Explorer!$B$7="All Roles",$D1775=Company_Explorer!$B$7),OR(Company_Explorer!$B$8="All Ghost Labels",$AG1775=Company_Explorer!$B$8)),1,0)</f>
        <v>0</v>
      </c>
    </row>
    <row r="1776" spans="1:35" ht="15" customHeight="1" x14ac:dyDescent="0.3">
      <c r="A1776" s="60" t="s">
        <v>6448</v>
      </c>
      <c r="B1776" s="60" t="s">
        <v>81</v>
      </c>
      <c r="C1776" s="60" t="s">
        <v>6449</v>
      </c>
      <c r="D1776" s="60" t="s">
        <v>126</v>
      </c>
      <c r="E1776" s="60" t="s">
        <v>6450</v>
      </c>
      <c r="F1776" s="60" t="b">
        <f>TRUE()</f>
        <v>1</v>
      </c>
      <c r="G1776" s="60" t="s">
        <v>165</v>
      </c>
      <c r="H1776" s="60" t="s">
        <v>3672</v>
      </c>
      <c r="I1776" s="61">
        <v>46209.715330266197</v>
      </c>
      <c r="J1776" s="61">
        <v>46210.283303958298</v>
      </c>
      <c r="K1776" s="60">
        <v>0.6</v>
      </c>
      <c r="L1776" s="60" t="s">
        <v>183</v>
      </c>
      <c r="M1776" s="60" t="s">
        <v>183</v>
      </c>
      <c r="N1776" s="60" t="b">
        <f>FALSE()</f>
        <v>0</v>
      </c>
      <c r="O1776" s="60"/>
      <c r="P1776" s="60"/>
      <c r="Q1776" s="60" t="s">
        <v>236</v>
      </c>
      <c r="R1776" s="60" t="s">
        <v>236</v>
      </c>
      <c r="S1776" s="60"/>
      <c r="T1776" s="60" t="b">
        <f>FALSE()</f>
        <v>0</v>
      </c>
      <c r="U1776" s="60" t="b">
        <f>FALSE()</f>
        <v>0</v>
      </c>
      <c r="V1776" s="60">
        <v>685</v>
      </c>
      <c r="W1776" s="62" t="s">
        <v>6451</v>
      </c>
      <c r="X1776" s="60">
        <v>1</v>
      </c>
      <c r="Y1776" s="63">
        <v>1.75</v>
      </c>
      <c r="Z1776" s="60" t="b">
        <f>FALSE()</f>
        <v>0</v>
      </c>
      <c r="AA1776" s="60" t="b">
        <f>TRUE()</f>
        <v>1</v>
      </c>
      <c r="AB1776" s="60" t="b">
        <f>FALSE()</f>
        <v>0</v>
      </c>
      <c r="AC1776" s="60" t="b">
        <f>FALSE()</f>
        <v>0</v>
      </c>
      <c r="AD1776" s="60" t="b">
        <f>FALSE()</f>
        <v>0</v>
      </c>
      <c r="AE1776" s="60">
        <v>1</v>
      </c>
      <c r="AF1776" s="64">
        <v>14.3</v>
      </c>
      <c r="AG1776" s="60" t="s">
        <v>74</v>
      </c>
      <c r="AH1776" s="60" t="s">
        <v>6452</v>
      </c>
      <c r="AI1776">
        <f>IF(AND(OR(Company_Explorer!$B$5="All Companies",$E1776=Company_Explorer!$B$5),OR(Company_Explorer!$B$6="All Platforms",$B1776=Company_Explorer!$B$6),OR(Company_Explorer!$B$7="All Roles",$D1776=Company_Explorer!$B$7),OR(Company_Explorer!$B$8="All Ghost Labels",$AG1776=Company_Explorer!$B$8)),1,0)</f>
        <v>0</v>
      </c>
    </row>
    <row r="1777" spans="1:35" ht="15" customHeight="1" x14ac:dyDescent="0.3">
      <c r="A1777" s="65" t="s">
        <v>6453</v>
      </c>
      <c r="B1777" s="65" t="s">
        <v>81</v>
      </c>
      <c r="C1777" s="65" t="s">
        <v>6454</v>
      </c>
      <c r="D1777" s="65" t="s">
        <v>126</v>
      </c>
      <c r="E1777" s="65" t="s">
        <v>6455</v>
      </c>
      <c r="F1777" s="65" t="b">
        <f>TRUE()</f>
        <v>1</v>
      </c>
      <c r="G1777" s="65" t="s">
        <v>165</v>
      </c>
      <c r="H1777" s="65" t="s">
        <v>3805</v>
      </c>
      <c r="I1777" s="66">
        <v>46209.574023981499</v>
      </c>
      <c r="J1777" s="66">
        <v>46210.283305254598</v>
      </c>
      <c r="K1777" s="65">
        <v>0.7</v>
      </c>
      <c r="L1777" s="65" t="s">
        <v>183</v>
      </c>
      <c r="M1777" s="65" t="s">
        <v>183</v>
      </c>
      <c r="N1777" s="65" t="b">
        <f>FALSE()</f>
        <v>0</v>
      </c>
      <c r="O1777" s="65"/>
      <c r="P1777" s="65"/>
      <c r="Q1777" s="65" t="s">
        <v>236</v>
      </c>
      <c r="R1777" s="65" t="s">
        <v>236</v>
      </c>
      <c r="S1777" s="65"/>
      <c r="T1777" s="65" t="b">
        <f>FALSE()</f>
        <v>0</v>
      </c>
      <c r="U1777" s="65" t="b">
        <f>FALSE()</f>
        <v>0</v>
      </c>
      <c r="V1777" s="65">
        <v>397</v>
      </c>
      <c r="W1777" s="67" t="s">
        <v>6456</v>
      </c>
      <c r="X1777" s="65">
        <v>1</v>
      </c>
      <c r="Y1777" s="68">
        <v>1.75</v>
      </c>
      <c r="Z1777" s="65" t="b">
        <f>FALSE()</f>
        <v>0</v>
      </c>
      <c r="AA1777" s="65" t="b">
        <f>TRUE()</f>
        <v>1</v>
      </c>
      <c r="AB1777" s="65" t="b">
        <f>FALSE()</f>
        <v>0</v>
      </c>
      <c r="AC1777" s="65" t="b">
        <f>FALSE()</f>
        <v>0</v>
      </c>
      <c r="AD1777" s="65" t="b">
        <f>FALSE()</f>
        <v>0</v>
      </c>
      <c r="AE1777" s="65">
        <v>1</v>
      </c>
      <c r="AF1777" s="69">
        <v>14.3</v>
      </c>
      <c r="AG1777" s="65" t="s">
        <v>74</v>
      </c>
      <c r="AH1777" s="65" t="s">
        <v>6457</v>
      </c>
      <c r="AI1777">
        <f>IF(AND(OR(Company_Explorer!$B$5="All Companies",$E1777=Company_Explorer!$B$5),OR(Company_Explorer!$B$6="All Platforms",$B1777=Company_Explorer!$B$6),OR(Company_Explorer!$B$7="All Roles",$D1777=Company_Explorer!$B$7),OR(Company_Explorer!$B$8="All Ghost Labels",$AG1777=Company_Explorer!$B$8)),1,0)</f>
        <v>0</v>
      </c>
    </row>
    <row r="1778" spans="1:35" ht="15" customHeight="1" x14ac:dyDescent="0.3">
      <c r="A1778" s="60" t="s">
        <v>6458</v>
      </c>
      <c r="B1778" s="60" t="s">
        <v>81</v>
      </c>
      <c r="C1778" s="60" t="s">
        <v>2261</v>
      </c>
      <c r="D1778" s="60" t="s">
        <v>125</v>
      </c>
      <c r="E1778" s="60" t="s">
        <v>6459</v>
      </c>
      <c r="F1778" s="60" t="b">
        <f>TRUE()</f>
        <v>1</v>
      </c>
      <c r="G1778" s="60" t="s">
        <v>177</v>
      </c>
      <c r="H1778" s="60" t="s">
        <v>165</v>
      </c>
      <c r="I1778" s="61">
        <v>46209.623226319498</v>
      </c>
      <c r="J1778" s="61">
        <v>46210.283306122699</v>
      </c>
      <c r="K1778" s="60">
        <v>0.7</v>
      </c>
      <c r="L1778" s="60" t="s">
        <v>183</v>
      </c>
      <c r="M1778" s="60" t="s">
        <v>183</v>
      </c>
      <c r="N1778" s="60" t="b">
        <f>FALSE()</f>
        <v>0</v>
      </c>
      <c r="O1778" s="60"/>
      <c r="P1778" s="60"/>
      <c r="Q1778" s="60" t="s">
        <v>3663</v>
      </c>
      <c r="R1778" s="60" t="s">
        <v>3664</v>
      </c>
      <c r="S1778" s="60"/>
      <c r="T1778" s="60" t="b">
        <f>FALSE()</f>
        <v>0</v>
      </c>
      <c r="U1778" s="60" t="b">
        <f>FALSE()</f>
        <v>0</v>
      </c>
      <c r="V1778" s="60">
        <v>508</v>
      </c>
      <c r="W1778" s="62" t="s">
        <v>6460</v>
      </c>
      <c r="X1778" s="60">
        <v>3</v>
      </c>
      <c r="Y1778" s="63">
        <v>5.25</v>
      </c>
      <c r="Z1778" s="60" t="b">
        <f>FALSE()</f>
        <v>0</v>
      </c>
      <c r="AA1778" s="60" t="b">
        <f>TRUE()</f>
        <v>1</v>
      </c>
      <c r="AB1778" s="60" t="b">
        <f>FALSE()</f>
        <v>0</v>
      </c>
      <c r="AC1778" s="60" t="b">
        <f>FALSE()</f>
        <v>0</v>
      </c>
      <c r="AD1778" s="60" t="b">
        <f>FALSE()</f>
        <v>0</v>
      </c>
      <c r="AE1778" s="60">
        <v>1</v>
      </c>
      <c r="AF1778" s="64">
        <v>14.3</v>
      </c>
      <c r="AG1778" s="60" t="s">
        <v>74</v>
      </c>
      <c r="AH1778" s="60" t="s">
        <v>6461</v>
      </c>
      <c r="AI1778">
        <f>IF(AND(OR(Company_Explorer!$B$5="All Companies",$E1778=Company_Explorer!$B$5),OR(Company_Explorer!$B$6="All Platforms",$B1778=Company_Explorer!$B$6),OR(Company_Explorer!$B$7="All Roles",$D1778=Company_Explorer!$B$7),OR(Company_Explorer!$B$8="All Ghost Labels",$AG1778=Company_Explorer!$B$8)),1,0)</f>
        <v>0</v>
      </c>
    </row>
    <row r="1779" spans="1:35" ht="15" customHeight="1" x14ac:dyDescent="0.3">
      <c r="A1779" s="65" t="s">
        <v>6462</v>
      </c>
      <c r="B1779" s="65" t="s">
        <v>81</v>
      </c>
      <c r="C1779" s="65" t="s">
        <v>6463</v>
      </c>
      <c r="D1779" s="65" t="s">
        <v>130</v>
      </c>
      <c r="E1779" s="65" t="s">
        <v>153</v>
      </c>
      <c r="F1779" s="65" t="b">
        <f>TRUE()</f>
        <v>1</v>
      </c>
      <c r="G1779" s="65" t="s">
        <v>165</v>
      </c>
      <c r="H1779" s="65" t="s">
        <v>3672</v>
      </c>
      <c r="I1779" s="66">
        <v>46209.778052175898</v>
      </c>
      <c r="J1779" s="66">
        <v>46210.283307048601</v>
      </c>
      <c r="K1779" s="65">
        <v>0.5</v>
      </c>
      <c r="L1779" s="65" t="s">
        <v>183</v>
      </c>
      <c r="M1779" s="65" t="s">
        <v>183</v>
      </c>
      <c r="N1779" s="65" t="b">
        <f>FALSE()</f>
        <v>0</v>
      </c>
      <c r="O1779" s="65"/>
      <c r="P1779" s="65"/>
      <c r="Q1779" s="65" t="s">
        <v>236</v>
      </c>
      <c r="R1779" s="65" t="s">
        <v>236</v>
      </c>
      <c r="S1779" s="65"/>
      <c r="T1779" s="65" t="b">
        <f>FALSE()</f>
        <v>0</v>
      </c>
      <c r="U1779" s="65" t="b">
        <f>FALSE()</f>
        <v>0</v>
      </c>
      <c r="V1779" s="65">
        <v>526</v>
      </c>
      <c r="W1779" s="67" t="s">
        <v>6464</v>
      </c>
      <c r="X1779" s="65">
        <v>12</v>
      </c>
      <c r="Y1779" s="68">
        <v>21</v>
      </c>
      <c r="Z1779" s="65" t="b">
        <f>FALSE()</f>
        <v>0</v>
      </c>
      <c r="AA1779" s="65" t="b">
        <f>TRUE()</f>
        <v>1</v>
      </c>
      <c r="AB1779" s="65" t="b">
        <f>FALSE()</f>
        <v>0</v>
      </c>
      <c r="AC1779" s="65" t="b">
        <f>FALSE()</f>
        <v>0</v>
      </c>
      <c r="AD1779" s="65" t="b">
        <f>FALSE()</f>
        <v>0</v>
      </c>
      <c r="AE1779" s="65">
        <v>1</v>
      </c>
      <c r="AF1779" s="69">
        <v>14.3</v>
      </c>
      <c r="AG1779" s="65" t="s">
        <v>74</v>
      </c>
      <c r="AH1779" s="65" t="s">
        <v>6465</v>
      </c>
      <c r="AI1779">
        <f>IF(AND(OR(Company_Explorer!$B$5="All Companies",$E1779=Company_Explorer!$B$5),OR(Company_Explorer!$B$6="All Platforms",$B1779=Company_Explorer!$B$6),OR(Company_Explorer!$B$7="All Roles",$D1779=Company_Explorer!$B$7),OR(Company_Explorer!$B$8="All Ghost Labels",$AG1779=Company_Explorer!$B$8)),1,0)</f>
        <v>0</v>
      </c>
    </row>
    <row r="1780" spans="1:35" ht="15" customHeight="1" x14ac:dyDescent="0.3">
      <c r="A1780" s="60" t="s">
        <v>6466</v>
      </c>
      <c r="B1780" s="60" t="s">
        <v>81</v>
      </c>
      <c r="C1780" s="60" t="s">
        <v>6467</v>
      </c>
      <c r="D1780" s="60" t="s">
        <v>126</v>
      </c>
      <c r="E1780" s="60" t="s">
        <v>3896</v>
      </c>
      <c r="F1780" s="60" t="b">
        <f>TRUE()</f>
        <v>1</v>
      </c>
      <c r="G1780" s="60" t="s">
        <v>165</v>
      </c>
      <c r="H1780" s="60" t="s">
        <v>3678</v>
      </c>
      <c r="I1780" s="61">
        <v>46209.572786388897</v>
      </c>
      <c r="J1780" s="61">
        <v>46210.283308599501</v>
      </c>
      <c r="K1780" s="60">
        <v>0.7</v>
      </c>
      <c r="L1780" s="60" t="s">
        <v>183</v>
      </c>
      <c r="M1780" s="60" t="s">
        <v>183</v>
      </c>
      <c r="N1780" s="60" t="b">
        <f>FALSE()</f>
        <v>0</v>
      </c>
      <c r="O1780" s="60"/>
      <c r="P1780" s="60"/>
      <c r="Q1780" s="60" t="s">
        <v>236</v>
      </c>
      <c r="R1780" s="60" t="s">
        <v>236</v>
      </c>
      <c r="S1780" s="60"/>
      <c r="T1780" s="60" t="b">
        <f>FALSE()</f>
        <v>0</v>
      </c>
      <c r="U1780" s="60" t="b">
        <f>FALSE()</f>
        <v>0</v>
      </c>
      <c r="V1780" s="60">
        <v>709</v>
      </c>
      <c r="W1780" s="62" t="s">
        <v>6468</v>
      </c>
      <c r="X1780" s="60">
        <v>2</v>
      </c>
      <c r="Y1780" s="63">
        <v>3.5</v>
      </c>
      <c r="Z1780" s="60" t="b">
        <f>FALSE()</f>
        <v>0</v>
      </c>
      <c r="AA1780" s="60" t="b">
        <f>TRUE()</f>
        <v>1</v>
      </c>
      <c r="AB1780" s="60" t="b">
        <f>FALSE()</f>
        <v>0</v>
      </c>
      <c r="AC1780" s="60" t="b">
        <f>FALSE()</f>
        <v>0</v>
      </c>
      <c r="AD1780" s="60" t="b">
        <f>FALSE()</f>
        <v>0</v>
      </c>
      <c r="AE1780" s="60">
        <v>1</v>
      </c>
      <c r="AF1780" s="64">
        <v>14.3</v>
      </c>
      <c r="AG1780" s="60" t="s">
        <v>74</v>
      </c>
      <c r="AH1780" s="60" t="s">
        <v>6469</v>
      </c>
      <c r="AI1780">
        <f>IF(AND(OR(Company_Explorer!$B$5="All Companies",$E1780=Company_Explorer!$B$5),OR(Company_Explorer!$B$6="All Platforms",$B1780=Company_Explorer!$B$6),OR(Company_Explorer!$B$7="All Roles",$D1780=Company_Explorer!$B$7),OR(Company_Explorer!$B$8="All Ghost Labels",$AG1780=Company_Explorer!$B$8)),1,0)</f>
        <v>0</v>
      </c>
    </row>
    <row r="1781" spans="1:35" ht="15" customHeight="1" x14ac:dyDescent="0.3">
      <c r="A1781" s="65" t="s">
        <v>6470</v>
      </c>
      <c r="B1781" s="65" t="s">
        <v>81</v>
      </c>
      <c r="C1781" s="65" t="s">
        <v>6471</v>
      </c>
      <c r="D1781" s="65" t="s">
        <v>126</v>
      </c>
      <c r="E1781" s="65" t="s">
        <v>146</v>
      </c>
      <c r="F1781" s="65" t="b">
        <f>TRUE()</f>
        <v>1</v>
      </c>
      <c r="G1781" s="65" t="s">
        <v>165</v>
      </c>
      <c r="H1781" s="65" t="s">
        <v>3636</v>
      </c>
      <c r="I1781" s="66">
        <v>46209.619166701399</v>
      </c>
      <c r="J1781" s="66">
        <v>46210.283309664403</v>
      </c>
      <c r="K1781" s="65">
        <v>0.7</v>
      </c>
      <c r="L1781" s="65" t="s">
        <v>183</v>
      </c>
      <c r="M1781" s="65" t="s">
        <v>183</v>
      </c>
      <c r="N1781" s="65" t="b">
        <f>FALSE()</f>
        <v>0</v>
      </c>
      <c r="O1781" s="65"/>
      <c r="P1781" s="65"/>
      <c r="Q1781" s="65" t="s">
        <v>236</v>
      </c>
      <c r="R1781" s="65" t="s">
        <v>236</v>
      </c>
      <c r="S1781" s="65"/>
      <c r="T1781" s="65" t="b">
        <f>FALSE()</f>
        <v>0</v>
      </c>
      <c r="U1781" s="65" t="b">
        <f>FALSE()</f>
        <v>0</v>
      </c>
      <c r="V1781" s="65">
        <v>447</v>
      </c>
      <c r="W1781" s="67" t="s">
        <v>6472</v>
      </c>
      <c r="X1781" s="65">
        <v>33</v>
      </c>
      <c r="Y1781" s="68">
        <v>57.75</v>
      </c>
      <c r="Z1781" s="65" t="b">
        <f>FALSE()</f>
        <v>0</v>
      </c>
      <c r="AA1781" s="65" t="b">
        <f>TRUE()</f>
        <v>1</v>
      </c>
      <c r="AB1781" s="65" t="b">
        <f>FALSE()</f>
        <v>0</v>
      </c>
      <c r="AC1781" s="65" t="b">
        <f>FALSE()</f>
        <v>0</v>
      </c>
      <c r="AD1781" s="65" t="b">
        <f>FALSE()</f>
        <v>0</v>
      </c>
      <c r="AE1781" s="65">
        <v>1</v>
      </c>
      <c r="AF1781" s="69">
        <v>14.3</v>
      </c>
      <c r="AG1781" s="65" t="s">
        <v>74</v>
      </c>
      <c r="AH1781" s="65" t="s">
        <v>6473</v>
      </c>
      <c r="AI1781">
        <f>IF(AND(OR(Company_Explorer!$B$5="All Companies",$E1781=Company_Explorer!$B$5),OR(Company_Explorer!$B$6="All Platforms",$B1781=Company_Explorer!$B$6),OR(Company_Explorer!$B$7="All Roles",$D1781=Company_Explorer!$B$7),OR(Company_Explorer!$B$8="All Ghost Labels",$AG1781=Company_Explorer!$B$8)),1,0)</f>
        <v>0</v>
      </c>
    </row>
    <row r="1782" spans="1:35" ht="15" customHeight="1" x14ac:dyDescent="0.3">
      <c r="A1782" s="60" t="s">
        <v>6474</v>
      </c>
      <c r="B1782" s="60" t="s">
        <v>81</v>
      </c>
      <c r="C1782" s="60" t="s">
        <v>6475</v>
      </c>
      <c r="D1782" s="60" t="s">
        <v>125</v>
      </c>
      <c r="E1782" s="60" t="s">
        <v>6476</v>
      </c>
      <c r="F1782" s="60" t="b">
        <f>TRUE()</f>
        <v>1</v>
      </c>
      <c r="G1782" s="60" t="s">
        <v>165</v>
      </c>
      <c r="H1782" s="60" t="s">
        <v>3620</v>
      </c>
      <c r="I1782" s="61">
        <v>46209.766118553198</v>
      </c>
      <c r="J1782" s="61">
        <v>46210.283310648199</v>
      </c>
      <c r="K1782" s="60">
        <v>0.5</v>
      </c>
      <c r="L1782" s="60" t="s">
        <v>183</v>
      </c>
      <c r="M1782" s="60" t="s">
        <v>183</v>
      </c>
      <c r="N1782" s="60" t="b">
        <f>FALSE()</f>
        <v>0</v>
      </c>
      <c r="O1782" s="60"/>
      <c r="P1782" s="60"/>
      <c r="Q1782" s="60" t="s">
        <v>236</v>
      </c>
      <c r="R1782" s="60" t="s">
        <v>236</v>
      </c>
      <c r="S1782" s="60"/>
      <c r="T1782" s="60" t="b">
        <f>FALSE()</f>
        <v>0</v>
      </c>
      <c r="U1782" s="60" t="b">
        <f>FALSE()</f>
        <v>0</v>
      </c>
      <c r="V1782" s="60">
        <v>812</v>
      </c>
      <c r="W1782" s="62" t="s">
        <v>6477</v>
      </c>
      <c r="X1782" s="60">
        <v>1</v>
      </c>
      <c r="Y1782" s="63">
        <v>1.75</v>
      </c>
      <c r="Z1782" s="60" t="b">
        <f>FALSE()</f>
        <v>0</v>
      </c>
      <c r="AA1782" s="60" t="b">
        <f>TRUE()</f>
        <v>1</v>
      </c>
      <c r="AB1782" s="60" t="b">
        <f>FALSE()</f>
        <v>0</v>
      </c>
      <c r="AC1782" s="60" t="b">
        <f>FALSE()</f>
        <v>0</v>
      </c>
      <c r="AD1782" s="60" t="b">
        <f>FALSE()</f>
        <v>0</v>
      </c>
      <c r="AE1782" s="60">
        <v>1</v>
      </c>
      <c r="AF1782" s="64">
        <v>14.3</v>
      </c>
      <c r="AG1782" s="60" t="s">
        <v>74</v>
      </c>
      <c r="AH1782" s="60" t="s">
        <v>6478</v>
      </c>
      <c r="AI1782">
        <f>IF(AND(OR(Company_Explorer!$B$5="All Companies",$E1782=Company_Explorer!$B$5),OR(Company_Explorer!$B$6="All Platforms",$B1782=Company_Explorer!$B$6),OR(Company_Explorer!$B$7="All Roles",$D1782=Company_Explorer!$B$7),OR(Company_Explorer!$B$8="All Ghost Labels",$AG1782=Company_Explorer!$B$8)),1,0)</f>
        <v>0</v>
      </c>
    </row>
    <row r="1783" spans="1:35" ht="15" customHeight="1" x14ac:dyDescent="0.3">
      <c r="A1783" s="65" t="s">
        <v>6479</v>
      </c>
      <c r="B1783" s="65" t="s">
        <v>81</v>
      </c>
      <c r="C1783" s="65" t="s">
        <v>6480</v>
      </c>
      <c r="D1783" s="65" t="s">
        <v>126</v>
      </c>
      <c r="E1783" s="65" t="s">
        <v>6481</v>
      </c>
      <c r="F1783" s="65" t="b">
        <f>TRUE()</f>
        <v>1</v>
      </c>
      <c r="G1783" s="65" t="s">
        <v>165</v>
      </c>
      <c r="H1783" s="65" t="s">
        <v>3620</v>
      </c>
      <c r="I1783" s="66">
        <v>46209.7097799884</v>
      </c>
      <c r="J1783" s="66">
        <v>46210.283311597203</v>
      </c>
      <c r="K1783" s="65">
        <v>0.6</v>
      </c>
      <c r="L1783" s="65" t="s">
        <v>183</v>
      </c>
      <c r="M1783" s="65" t="s">
        <v>183</v>
      </c>
      <c r="N1783" s="65" t="b">
        <f>FALSE()</f>
        <v>0</v>
      </c>
      <c r="O1783" s="65"/>
      <c r="P1783" s="65"/>
      <c r="Q1783" s="65" t="s">
        <v>236</v>
      </c>
      <c r="R1783" s="65" t="s">
        <v>236</v>
      </c>
      <c r="S1783" s="65"/>
      <c r="T1783" s="65" t="b">
        <f>FALSE()</f>
        <v>0</v>
      </c>
      <c r="U1783" s="65" t="b">
        <f>FALSE()</f>
        <v>0</v>
      </c>
      <c r="V1783" s="65">
        <v>1028</v>
      </c>
      <c r="W1783" s="67" t="s">
        <v>6482</v>
      </c>
      <c r="X1783" s="65">
        <v>1</v>
      </c>
      <c r="Y1783" s="68">
        <v>1.75</v>
      </c>
      <c r="Z1783" s="65" t="b">
        <f>FALSE()</f>
        <v>0</v>
      </c>
      <c r="AA1783" s="65" t="b">
        <f>TRUE()</f>
        <v>1</v>
      </c>
      <c r="AB1783" s="65" t="b">
        <f>FALSE()</f>
        <v>0</v>
      </c>
      <c r="AC1783" s="65" t="b">
        <f>FALSE()</f>
        <v>0</v>
      </c>
      <c r="AD1783" s="65" t="b">
        <f>FALSE()</f>
        <v>0</v>
      </c>
      <c r="AE1783" s="65">
        <v>1</v>
      </c>
      <c r="AF1783" s="69">
        <v>14.3</v>
      </c>
      <c r="AG1783" s="65" t="s">
        <v>74</v>
      </c>
      <c r="AH1783" s="65" t="s">
        <v>6483</v>
      </c>
      <c r="AI1783">
        <f>IF(AND(OR(Company_Explorer!$B$5="All Companies",$E1783=Company_Explorer!$B$5),OR(Company_Explorer!$B$6="All Platforms",$B1783=Company_Explorer!$B$6),OR(Company_Explorer!$B$7="All Roles",$D1783=Company_Explorer!$B$7),OR(Company_Explorer!$B$8="All Ghost Labels",$AG1783=Company_Explorer!$B$8)),1,0)</f>
        <v>0</v>
      </c>
    </row>
    <row r="1784" spans="1:35" ht="15" customHeight="1" x14ac:dyDescent="0.3">
      <c r="A1784" s="60" t="s">
        <v>6484</v>
      </c>
      <c r="B1784" s="60" t="s">
        <v>81</v>
      </c>
      <c r="C1784" s="60" t="s">
        <v>2349</v>
      </c>
      <c r="D1784" s="60" t="s">
        <v>131</v>
      </c>
      <c r="E1784" s="60" t="s">
        <v>6485</v>
      </c>
      <c r="F1784" s="60" t="b">
        <f>TRUE()</f>
        <v>1</v>
      </c>
      <c r="G1784" s="60" t="s">
        <v>165</v>
      </c>
      <c r="H1784" s="60" t="s">
        <v>3620</v>
      </c>
      <c r="I1784" s="61">
        <v>46209.571402256901</v>
      </c>
      <c r="J1784" s="61">
        <v>46210.283312580999</v>
      </c>
      <c r="K1784" s="60">
        <v>0.7</v>
      </c>
      <c r="L1784" s="60" t="s">
        <v>183</v>
      </c>
      <c r="M1784" s="60" t="s">
        <v>183</v>
      </c>
      <c r="N1784" s="60" t="b">
        <f>TRUE()</f>
        <v>1</v>
      </c>
      <c r="O1784" s="70">
        <v>50000</v>
      </c>
      <c r="P1784" s="70">
        <v>60000</v>
      </c>
      <c r="Q1784" s="60" t="s">
        <v>3663</v>
      </c>
      <c r="R1784" s="60" t="s">
        <v>3664</v>
      </c>
      <c r="S1784" s="70">
        <v>660000</v>
      </c>
      <c r="T1784" s="60" t="b">
        <f>TRUE()</f>
        <v>1</v>
      </c>
      <c r="U1784" s="60" t="b">
        <f>FALSE()</f>
        <v>0</v>
      </c>
      <c r="V1784" s="60">
        <v>213</v>
      </c>
      <c r="W1784" s="62" t="s">
        <v>6486</v>
      </c>
      <c r="X1784" s="60">
        <v>1</v>
      </c>
      <c r="Y1784" s="63">
        <v>1.75</v>
      </c>
      <c r="Z1784" s="60" t="b">
        <f>FALSE()</f>
        <v>0</v>
      </c>
      <c r="AA1784" s="60" t="b">
        <f>FALSE()</f>
        <v>0</v>
      </c>
      <c r="AB1784" s="60" t="b">
        <f>TRUE()</f>
        <v>1</v>
      </c>
      <c r="AC1784" s="60" t="b">
        <f>FALSE()</f>
        <v>0</v>
      </c>
      <c r="AD1784" s="60" t="b">
        <f>FALSE()</f>
        <v>0</v>
      </c>
      <c r="AE1784" s="60">
        <v>1</v>
      </c>
      <c r="AF1784" s="64">
        <v>14.3</v>
      </c>
      <c r="AG1784" s="60" t="s">
        <v>74</v>
      </c>
      <c r="AH1784" s="60" t="s">
        <v>6487</v>
      </c>
      <c r="AI1784">
        <f>IF(AND(OR(Company_Explorer!$B$5="All Companies",$E1784=Company_Explorer!$B$5),OR(Company_Explorer!$B$6="All Platforms",$B1784=Company_Explorer!$B$6),OR(Company_Explorer!$B$7="All Roles",$D1784=Company_Explorer!$B$7),OR(Company_Explorer!$B$8="All Ghost Labels",$AG1784=Company_Explorer!$B$8)),1,0)</f>
        <v>0</v>
      </c>
    </row>
    <row r="1785" spans="1:35" ht="15" customHeight="1" x14ac:dyDescent="0.3">
      <c r="A1785" s="65" t="s">
        <v>6488</v>
      </c>
      <c r="B1785" s="65" t="s">
        <v>81</v>
      </c>
      <c r="C1785" s="65" t="s">
        <v>6489</v>
      </c>
      <c r="D1785" s="65" t="s">
        <v>125</v>
      </c>
      <c r="E1785" s="65" t="s">
        <v>3445</v>
      </c>
      <c r="F1785" s="65" t="b">
        <f>TRUE()</f>
        <v>1</v>
      </c>
      <c r="G1785" s="65" t="s">
        <v>165</v>
      </c>
      <c r="H1785" s="65" t="s">
        <v>3702</v>
      </c>
      <c r="I1785" s="66">
        <v>46209.765174502303</v>
      </c>
      <c r="J1785" s="66">
        <v>46210.283313692104</v>
      </c>
      <c r="K1785" s="65">
        <v>0.5</v>
      </c>
      <c r="L1785" s="65" t="s">
        <v>183</v>
      </c>
      <c r="M1785" s="65" t="s">
        <v>183</v>
      </c>
      <c r="N1785" s="65" t="b">
        <f>FALSE()</f>
        <v>0</v>
      </c>
      <c r="O1785" s="65"/>
      <c r="P1785" s="65"/>
      <c r="Q1785" s="65" t="s">
        <v>236</v>
      </c>
      <c r="R1785" s="65" t="s">
        <v>236</v>
      </c>
      <c r="S1785" s="65"/>
      <c r="T1785" s="65" t="b">
        <f>FALSE()</f>
        <v>0</v>
      </c>
      <c r="U1785" s="65" t="b">
        <f>FALSE()</f>
        <v>0</v>
      </c>
      <c r="V1785" s="65">
        <v>322</v>
      </c>
      <c r="W1785" s="67" t="s">
        <v>6490</v>
      </c>
      <c r="X1785" s="65">
        <v>4</v>
      </c>
      <c r="Y1785" s="68">
        <v>7</v>
      </c>
      <c r="Z1785" s="65" t="b">
        <f>FALSE()</f>
        <v>0</v>
      </c>
      <c r="AA1785" s="65" t="b">
        <f>TRUE()</f>
        <v>1</v>
      </c>
      <c r="AB1785" s="65" t="b">
        <f>FALSE()</f>
        <v>0</v>
      </c>
      <c r="AC1785" s="65" t="b">
        <f>FALSE()</f>
        <v>0</v>
      </c>
      <c r="AD1785" s="65" t="b">
        <f>FALSE()</f>
        <v>0</v>
      </c>
      <c r="AE1785" s="65">
        <v>1</v>
      </c>
      <c r="AF1785" s="69">
        <v>14.3</v>
      </c>
      <c r="AG1785" s="65" t="s">
        <v>74</v>
      </c>
      <c r="AH1785" s="65" t="s">
        <v>6491</v>
      </c>
      <c r="AI1785">
        <f>IF(AND(OR(Company_Explorer!$B$5="All Companies",$E1785=Company_Explorer!$B$5),OR(Company_Explorer!$B$6="All Platforms",$B1785=Company_Explorer!$B$6),OR(Company_Explorer!$B$7="All Roles",$D1785=Company_Explorer!$B$7),OR(Company_Explorer!$B$8="All Ghost Labels",$AG1785=Company_Explorer!$B$8)),1,0)</f>
        <v>0</v>
      </c>
    </row>
    <row r="1786" spans="1:35" ht="15" customHeight="1" x14ac:dyDescent="0.3">
      <c r="A1786" s="60" t="s">
        <v>6492</v>
      </c>
      <c r="B1786" s="60" t="s">
        <v>81</v>
      </c>
      <c r="C1786" s="60" t="s">
        <v>6493</v>
      </c>
      <c r="D1786" s="60" t="s">
        <v>125</v>
      </c>
      <c r="E1786" s="60" t="s">
        <v>3732</v>
      </c>
      <c r="F1786" s="60" t="b">
        <f>TRUE()</f>
        <v>1</v>
      </c>
      <c r="G1786" s="60" t="s">
        <v>165</v>
      </c>
      <c r="H1786" s="60" t="s">
        <v>3678</v>
      </c>
      <c r="I1786" s="61">
        <v>46209.615283263898</v>
      </c>
      <c r="J1786" s="61">
        <v>46210.283314826404</v>
      </c>
      <c r="K1786" s="60">
        <v>0.7</v>
      </c>
      <c r="L1786" s="60" t="s">
        <v>183</v>
      </c>
      <c r="M1786" s="60" t="s">
        <v>183</v>
      </c>
      <c r="N1786" s="60" t="b">
        <f>FALSE()</f>
        <v>0</v>
      </c>
      <c r="O1786" s="60"/>
      <c r="P1786" s="60"/>
      <c r="Q1786" s="60" t="s">
        <v>236</v>
      </c>
      <c r="R1786" s="60" t="s">
        <v>236</v>
      </c>
      <c r="S1786" s="60"/>
      <c r="T1786" s="60" t="b">
        <f>FALSE()</f>
        <v>0</v>
      </c>
      <c r="U1786" s="60" t="b">
        <f>FALSE()</f>
        <v>0</v>
      </c>
      <c r="V1786" s="60">
        <v>1035</v>
      </c>
      <c r="W1786" s="62" t="s">
        <v>6494</v>
      </c>
      <c r="X1786" s="60">
        <v>2</v>
      </c>
      <c r="Y1786" s="63">
        <v>3.5</v>
      </c>
      <c r="Z1786" s="60" t="b">
        <f>FALSE()</f>
        <v>0</v>
      </c>
      <c r="AA1786" s="60" t="b">
        <f>TRUE()</f>
        <v>1</v>
      </c>
      <c r="AB1786" s="60" t="b">
        <f>FALSE()</f>
        <v>0</v>
      </c>
      <c r="AC1786" s="60" t="b">
        <f>FALSE()</f>
        <v>0</v>
      </c>
      <c r="AD1786" s="60" t="b">
        <f>FALSE()</f>
        <v>0</v>
      </c>
      <c r="AE1786" s="60">
        <v>1</v>
      </c>
      <c r="AF1786" s="64">
        <v>14.3</v>
      </c>
      <c r="AG1786" s="60" t="s">
        <v>74</v>
      </c>
      <c r="AH1786" s="60" t="s">
        <v>6495</v>
      </c>
      <c r="AI1786">
        <f>IF(AND(OR(Company_Explorer!$B$5="All Companies",$E1786=Company_Explorer!$B$5),OR(Company_Explorer!$B$6="All Platforms",$B1786=Company_Explorer!$B$6),OR(Company_Explorer!$B$7="All Roles",$D1786=Company_Explorer!$B$7),OR(Company_Explorer!$B$8="All Ghost Labels",$AG1786=Company_Explorer!$B$8)),1,0)</f>
        <v>0</v>
      </c>
    </row>
    <row r="1787" spans="1:35" ht="15" customHeight="1" x14ac:dyDescent="0.3">
      <c r="A1787" s="65" t="s">
        <v>6496</v>
      </c>
      <c r="B1787" s="65" t="s">
        <v>81</v>
      </c>
      <c r="C1787" s="65" t="s">
        <v>6497</v>
      </c>
      <c r="D1787" s="65" t="s">
        <v>126</v>
      </c>
      <c r="E1787" s="65" t="s">
        <v>6498</v>
      </c>
      <c r="F1787" s="65" t="b">
        <f>TRUE()</f>
        <v>1</v>
      </c>
      <c r="G1787" s="65" t="s">
        <v>165</v>
      </c>
      <c r="H1787" s="65" t="s">
        <v>3636</v>
      </c>
      <c r="I1787" s="66">
        <v>46209.702221481501</v>
      </c>
      <c r="J1787" s="66">
        <v>46210.283315856497</v>
      </c>
      <c r="K1787" s="65">
        <v>0.6</v>
      </c>
      <c r="L1787" s="65" t="s">
        <v>183</v>
      </c>
      <c r="M1787" s="65" t="s">
        <v>183</v>
      </c>
      <c r="N1787" s="65" t="b">
        <f>FALSE()</f>
        <v>0</v>
      </c>
      <c r="O1787" s="65"/>
      <c r="P1787" s="65"/>
      <c r="Q1787" s="65" t="s">
        <v>236</v>
      </c>
      <c r="R1787" s="65" t="s">
        <v>236</v>
      </c>
      <c r="S1787" s="65"/>
      <c r="T1787" s="65" t="b">
        <f>FALSE()</f>
        <v>0</v>
      </c>
      <c r="U1787" s="65" t="b">
        <f>FALSE()</f>
        <v>0</v>
      </c>
      <c r="V1787" s="65">
        <v>540</v>
      </c>
      <c r="W1787" s="67" t="s">
        <v>6499</v>
      </c>
      <c r="X1787" s="65">
        <v>1</v>
      </c>
      <c r="Y1787" s="68">
        <v>1.75</v>
      </c>
      <c r="Z1787" s="65" t="b">
        <f>FALSE()</f>
        <v>0</v>
      </c>
      <c r="AA1787" s="65" t="b">
        <f>TRUE()</f>
        <v>1</v>
      </c>
      <c r="AB1787" s="65" t="b">
        <f>FALSE()</f>
        <v>0</v>
      </c>
      <c r="AC1787" s="65" t="b">
        <f>FALSE()</f>
        <v>0</v>
      </c>
      <c r="AD1787" s="65" t="b">
        <f>FALSE()</f>
        <v>0</v>
      </c>
      <c r="AE1787" s="65">
        <v>1</v>
      </c>
      <c r="AF1787" s="69">
        <v>14.3</v>
      </c>
      <c r="AG1787" s="65" t="s">
        <v>74</v>
      </c>
      <c r="AH1787" s="65" t="s">
        <v>6500</v>
      </c>
      <c r="AI1787">
        <f>IF(AND(OR(Company_Explorer!$B$5="All Companies",$E1787=Company_Explorer!$B$5),OR(Company_Explorer!$B$6="All Platforms",$B1787=Company_Explorer!$B$6),OR(Company_Explorer!$B$7="All Roles",$D1787=Company_Explorer!$B$7),OR(Company_Explorer!$B$8="All Ghost Labels",$AG1787=Company_Explorer!$B$8)),1,0)</f>
        <v>0</v>
      </c>
    </row>
    <row r="1788" spans="1:35" ht="15" customHeight="1" x14ac:dyDescent="0.3">
      <c r="A1788" s="60" t="s">
        <v>6501</v>
      </c>
      <c r="B1788" s="60" t="s">
        <v>81</v>
      </c>
      <c r="C1788" s="60" t="s">
        <v>6489</v>
      </c>
      <c r="D1788" s="60" t="s">
        <v>125</v>
      </c>
      <c r="E1788" s="60" t="s">
        <v>3445</v>
      </c>
      <c r="F1788" s="60" t="b">
        <f>TRUE()</f>
        <v>1</v>
      </c>
      <c r="G1788" s="60" t="s">
        <v>165</v>
      </c>
      <c r="H1788" s="60" t="s">
        <v>3620</v>
      </c>
      <c r="I1788" s="61">
        <v>46209.765152557899</v>
      </c>
      <c r="J1788" s="61">
        <v>46210.283317037</v>
      </c>
      <c r="K1788" s="60">
        <v>0.5</v>
      </c>
      <c r="L1788" s="60" t="s">
        <v>183</v>
      </c>
      <c r="M1788" s="60" t="s">
        <v>183</v>
      </c>
      <c r="N1788" s="60" t="b">
        <f>FALSE()</f>
        <v>0</v>
      </c>
      <c r="O1788" s="60"/>
      <c r="P1788" s="60"/>
      <c r="Q1788" s="60" t="s">
        <v>236</v>
      </c>
      <c r="R1788" s="60" t="s">
        <v>236</v>
      </c>
      <c r="S1788" s="60"/>
      <c r="T1788" s="60" t="b">
        <f>FALSE()</f>
        <v>0</v>
      </c>
      <c r="U1788" s="60" t="b">
        <f>FALSE()</f>
        <v>0</v>
      </c>
      <c r="V1788" s="60">
        <v>322</v>
      </c>
      <c r="W1788" s="62" t="s">
        <v>6490</v>
      </c>
      <c r="X1788" s="60">
        <v>4</v>
      </c>
      <c r="Y1788" s="63">
        <v>7</v>
      </c>
      <c r="Z1788" s="60" t="b">
        <f>FALSE()</f>
        <v>0</v>
      </c>
      <c r="AA1788" s="60" t="b">
        <f>TRUE()</f>
        <v>1</v>
      </c>
      <c r="AB1788" s="60" t="b">
        <f>FALSE()</f>
        <v>0</v>
      </c>
      <c r="AC1788" s="60" t="b">
        <f>FALSE()</f>
        <v>0</v>
      </c>
      <c r="AD1788" s="60" t="b">
        <f>FALSE()</f>
        <v>0</v>
      </c>
      <c r="AE1788" s="60">
        <v>1</v>
      </c>
      <c r="AF1788" s="64">
        <v>14.3</v>
      </c>
      <c r="AG1788" s="60" t="s">
        <v>74</v>
      </c>
      <c r="AH1788" s="60" t="s">
        <v>6502</v>
      </c>
      <c r="AI1788">
        <f>IF(AND(OR(Company_Explorer!$B$5="All Companies",$E1788=Company_Explorer!$B$5),OR(Company_Explorer!$B$6="All Platforms",$B1788=Company_Explorer!$B$6),OR(Company_Explorer!$B$7="All Roles",$D1788=Company_Explorer!$B$7),OR(Company_Explorer!$B$8="All Ghost Labels",$AG1788=Company_Explorer!$B$8)),1,0)</f>
        <v>0</v>
      </c>
    </row>
    <row r="1789" spans="1:35" ht="15" customHeight="1" x14ac:dyDescent="0.3">
      <c r="A1789" s="65" t="s">
        <v>6503</v>
      </c>
      <c r="B1789" s="65" t="s">
        <v>81</v>
      </c>
      <c r="C1789" s="65" t="s">
        <v>718</v>
      </c>
      <c r="D1789" s="65" t="s">
        <v>125</v>
      </c>
      <c r="E1789" s="65" t="s">
        <v>6504</v>
      </c>
      <c r="F1789" s="65" t="b">
        <f>TRUE()</f>
        <v>1</v>
      </c>
      <c r="G1789" s="65" t="s">
        <v>165</v>
      </c>
      <c r="H1789" s="65" t="s">
        <v>3620</v>
      </c>
      <c r="I1789" s="66">
        <v>46209.615135925902</v>
      </c>
      <c r="J1789" s="66">
        <v>46210.283317569498</v>
      </c>
      <c r="K1789" s="65">
        <v>0.7</v>
      </c>
      <c r="L1789" s="65" t="s">
        <v>183</v>
      </c>
      <c r="M1789" s="65" t="s">
        <v>183</v>
      </c>
      <c r="N1789" s="65" t="b">
        <f>FALSE()</f>
        <v>0</v>
      </c>
      <c r="O1789" s="65"/>
      <c r="P1789" s="65"/>
      <c r="Q1789" s="65" t="s">
        <v>236</v>
      </c>
      <c r="R1789" s="65" t="s">
        <v>236</v>
      </c>
      <c r="S1789" s="65"/>
      <c r="T1789" s="65" t="b">
        <f>FALSE()</f>
        <v>0</v>
      </c>
      <c r="U1789" s="65" t="b">
        <f>FALSE()</f>
        <v>0</v>
      </c>
      <c r="V1789" s="65">
        <v>561</v>
      </c>
      <c r="W1789" s="67" t="s">
        <v>6505</v>
      </c>
      <c r="X1789" s="65">
        <v>1</v>
      </c>
      <c r="Y1789" s="68">
        <v>1.75</v>
      </c>
      <c r="Z1789" s="65" t="b">
        <f>FALSE()</f>
        <v>0</v>
      </c>
      <c r="AA1789" s="65" t="b">
        <f>TRUE()</f>
        <v>1</v>
      </c>
      <c r="AB1789" s="65" t="b">
        <f>FALSE()</f>
        <v>0</v>
      </c>
      <c r="AC1789" s="65" t="b">
        <f>FALSE()</f>
        <v>0</v>
      </c>
      <c r="AD1789" s="65" t="b">
        <f>FALSE()</f>
        <v>0</v>
      </c>
      <c r="AE1789" s="65">
        <v>1</v>
      </c>
      <c r="AF1789" s="69">
        <v>14.3</v>
      </c>
      <c r="AG1789" s="65" t="s">
        <v>74</v>
      </c>
      <c r="AH1789" s="65" t="s">
        <v>6506</v>
      </c>
      <c r="AI1789">
        <f>IF(AND(OR(Company_Explorer!$B$5="All Companies",$E1789=Company_Explorer!$B$5),OR(Company_Explorer!$B$6="All Platforms",$B1789=Company_Explorer!$B$6),OR(Company_Explorer!$B$7="All Roles",$D1789=Company_Explorer!$B$7),OR(Company_Explorer!$B$8="All Ghost Labels",$AG1789=Company_Explorer!$B$8)),1,0)</f>
        <v>0</v>
      </c>
    </row>
    <row r="1790" spans="1:35" ht="15" customHeight="1" x14ac:dyDescent="0.3">
      <c r="A1790" s="60" t="s">
        <v>6507</v>
      </c>
      <c r="B1790" s="60" t="s">
        <v>81</v>
      </c>
      <c r="C1790" s="60" t="s">
        <v>2672</v>
      </c>
      <c r="D1790" s="60" t="s">
        <v>125</v>
      </c>
      <c r="E1790" s="60" t="s">
        <v>6508</v>
      </c>
      <c r="F1790" s="60" t="b">
        <f>TRUE()</f>
        <v>1</v>
      </c>
      <c r="G1790" s="60" t="s">
        <v>165</v>
      </c>
      <c r="H1790" s="60" t="s">
        <v>3672</v>
      </c>
      <c r="I1790" s="61">
        <v>46209.571335324101</v>
      </c>
      <c r="J1790" s="61">
        <v>46210.2833176157</v>
      </c>
      <c r="K1790" s="60">
        <v>0.7</v>
      </c>
      <c r="L1790" s="60" t="s">
        <v>183</v>
      </c>
      <c r="M1790" s="60" t="s">
        <v>183</v>
      </c>
      <c r="N1790" s="60" t="b">
        <f>TRUE()</f>
        <v>1</v>
      </c>
      <c r="O1790" s="70">
        <v>8000</v>
      </c>
      <c r="P1790" s="70">
        <v>18000</v>
      </c>
      <c r="Q1790" s="60" t="s">
        <v>3663</v>
      </c>
      <c r="R1790" s="60" t="s">
        <v>3664</v>
      </c>
      <c r="S1790" s="70">
        <v>156000</v>
      </c>
      <c r="T1790" s="60" t="b">
        <f>TRUE()</f>
        <v>1</v>
      </c>
      <c r="U1790" s="60" t="b">
        <f>FALSE()</f>
        <v>0</v>
      </c>
      <c r="V1790" s="60">
        <v>298</v>
      </c>
      <c r="W1790" s="62" t="s">
        <v>6509</v>
      </c>
      <c r="X1790" s="60">
        <v>1</v>
      </c>
      <c r="Y1790" s="63">
        <v>1.75</v>
      </c>
      <c r="Z1790" s="60" t="b">
        <f>FALSE()</f>
        <v>0</v>
      </c>
      <c r="AA1790" s="60" t="b">
        <f>FALSE()</f>
        <v>0</v>
      </c>
      <c r="AB1790" s="60" t="b">
        <f>TRUE()</f>
        <v>1</v>
      </c>
      <c r="AC1790" s="60" t="b">
        <f>FALSE()</f>
        <v>0</v>
      </c>
      <c r="AD1790" s="60" t="b">
        <f>FALSE()</f>
        <v>0</v>
      </c>
      <c r="AE1790" s="60">
        <v>1</v>
      </c>
      <c r="AF1790" s="64">
        <v>14.3</v>
      </c>
      <c r="AG1790" s="60" t="s">
        <v>74</v>
      </c>
      <c r="AH1790" s="60" t="s">
        <v>6510</v>
      </c>
      <c r="AI1790">
        <f>IF(AND(OR(Company_Explorer!$B$5="All Companies",$E1790=Company_Explorer!$B$5),OR(Company_Explorer!$B$6="All Platforms",$B1790=Company_Explorer!$B$6),OR(Company_Explorer!$B$7="All Roles",$D1790=Company_Explorer!$B$7),OR(Company_Explorer!$B$8="All Ghost Labels",$AG1790=Company_Explorer!$B$8)),1,0)</f>
        <v>0</v>
      </c>
    </row>
    <row r="1791" spans="1:35" ht="15" customHeight="1" x14ac:dyDescent="0.3">
      <c r="A1791" s="65" t="s">
        <v>6511</v>
      </c>
      <c r="B1791" s="65" t="s">
        <v>81</v>
      </c>
      <c r="C1791" s="65" t="s">
        <v>2248</v>
      </c>
      <c r="D1791" s="65" t="s">
        <v>125</v>
      </c>
      <c r="E1791" s="65" t="s">
        <v>3445</v>
      </c>
      <c r="F1791" s="65" t="b">
        <f>TRUE()</f>
        <v>1</v>
      </c>
      <c r="G1791" s="65" t="s">
        <v>165</v>
      </c>
      <c r="H1791" s="65" t="s">
        <v>3702</v>
      </c>
      <c r="I1791" s="66">
        <v>46209.7650982755</v>
      </c>
      <c r="J1791" s="66">
        <v>46210.283318240698</v>
      </c>
      <c r="K1791" s="65">
        <v>0.5</v>
      </c>
      <c r="L1791" s="65" t="s">
        <v>183</v>
      </c>
      <c r="M1791" s="65" t="s">
        <v>183</v>
      </c>
      <c r="N1791" s="65" t="b">
        <f>FALSE()</f>
        <v>0</v>
      </c>
      <c r="O1791" s="65"/>
      <c r="P1791" s="65"/>
      <c r="Q1791" s="65" t="s">
        <v>236</v>
      </c>
      <c r="R1791" s="65" t="s">
        <v>236</v>
      </c>
      <c r="S1791" s="65"/>
      <c r="T1791" s="65" t="b">
        <f>FALSE()</f>
        <v>0</v>
      </c>
      <c r="U1791" s="65" t="b">
        <f>FALSE()</f>
        <v>0</v>
      </c>
      <c r="V1791" s="65">
        <v>377</v>
      </c>
      <c r="W1791" s="67" t="s">
        <v>6512</v>
      </c>
      <c r="X1791" s="65">
        <v>4</v>
      </c>
      <c r="Y1791" s="68">
        <v>7</v>
      </c>
      <c r="Z1791" s="65" t="b">
        <f>FALSE()</f>
        <v>0</v>
      </c>
      <c r="AA1791" s="65" t="b">
        <f>TRUE()</f>
        <v>1</v>
      </c>
      <c r="AB1791" s="65" t="b">
        <f>FALSE()</f>
        <v>0</v>
      </c>
      <c r="AC1791" s="65" t="b">
        <f>FALSE()</f>
        <v>0</v>
      </c>
      <c r="AD1791" s="65" t="b">
        <f>FALSE()</f>
        <v>0</v>
      </c>
      <c r="AE1791" s="65">
        <v>1</v>
      </c>
      <c r="AF1791" s="69">
        <v>14.3</v>
      </c>
      <c r="AG1791" s="65" t="s">
        <v>74</v>
      </c>
      <c r="AH1791" s="65" t="s">
        <v>6513</v>
      </c>
      <c r="AI1791">
        <f>IF(AND(OR(Company_Explorer!$B$5="All Companies",$E1791=Company_Explorer!$B$5),OR(Company_Explorer!$B$6="All Platforms",$B1791=Company_Explorer!$B$6),OR(Company_Explorer!$B$7="All Roles",$D1791=Company_Explorer!$B$7),OR(Company_Explorer!$B$8="All Ghost Labels",$AG1791=Company_Explorer!$B$8)),1,0)</f>
        <v>0</v>
      </c>
    </row>
    <row r="1792" spans="1:35" ht="15" customHeight="1" x14ac:dyDescent="0.3">
      <c r="A1792" s="60" t="s">
        <v>6514</v>
      </c>
      <c r="B1792" s="60" t="s">
        <v>81</v>
      </c>
      <c r="C1792" s="60" t="s">
        <v>258</v>
      </c>
      <c r="D1792" s="60" t="s">
        <v>125</v>
      </c>
      <c r="E1792" s="60" t="s">
        <v>143</v>
      </c>
      <c r="F1792" s="60" t="b">
        <f>TRUE()</f>
        <v>1</v>
      </c>
      <c r="G1792" s="60" t="s">
        <v>165</v>
      </c>
      <c r="H1792" s="60" t="s">
        <v>3655</v>
      </c>
      <c r="I1792" s="61">
        <v>46209.699210613398</v>
      </c>
      <c r="J1792" s="61">
        <v>46210.283320578703</v>
      </c>
      <c r="K1792" s="60">
        <v>0.6</v>
      </c>
      <c r="L1792" s="60" t="s">
        <v>183</v>
      </c>
      <c r="M1792" s="60" t="s">
        <v>183</v>
      </c>
      <c r="N1792" s="60" t="b">
        <f>FALSE()</f>
        <v>0</v>
      </c>
      <c r="O1792" s="60"/>
      <c r="P1792" s="60"/>
      <c r="Q1792" s="60" t="s">
        <v>236</v>
      </c>
      <c r="R1792" s="60" t="s">
        <v>236</v>
      </c>
      <c r="S1792" s="60"/>
      <c r="T1792" s="60" t="b">
        <f>FALSE()</f>
        <v>0</v>
      </c>
      <c r="U1792" s="60" t="b">
        <f>FALSE()</f>
        <v>0</v>
      </c>
      <c r="V1792" s="60">
        <v>389</v>
      </c>
      <c r="W1792" s="62" t="s">
        <v>4514</v>
      </c>
      <c r="X1792" s="60">
        <v>64</v>
      </c>
      <c r="Y1792" s="63">
        <v>112</v>
      </c>
      <c r="Z1792" s="60" t="b">
        <f>FALSE()</f>
        <v>0</v>
      </c>
      <c r="AA1792" s="60" t="b">
        <f>TRUE()</f>
        <v>1</v>
      </c>
      <c r="AB1792" s="60" t="b">
        <f>FALSE()</f>
        <v>0</v>
      </c>
      <c r="AC1792" s="60" t="b">
        <f>FALSE()</f>
        <v>0</v>
      </c>
      <c r="AD1792" s="60" t="b">
        <f>TRUE()</f>
        <v>1</v>
      </c>
      <c r="AE1792" s="60">
        <v>3</v>
      </c>
      <c r="AF1792" s="64">
        <v>42.9</v>
      </c>
      <c r="AG1792" s="60" t="s">
        <v>73</v>
      </c>
      <c r="AH1792" s="60" t="s">
        <v>6515</v>
      </c>
      <c r="AI1792">
        <f>IF(AND(OR(Company_Explorer!$B$5="All Companies",$E1792=Company_Explorer!$B$5),OR(Company_Explorer!$B$6="All Platforms",$B1792=Company_Explorer!$B$6),OR(Company_Explorer!$B$7="All Roles",$D1792=Company_Explorer!$B$7),OR(Company_Explorer!$B$8="All Ghost Labels",$AG1792=Company_Explorer!$B$8)),1,0)</f>
        <v>0</v>
      </c>
    </row>
    <row r="1793" spans="1:35" ht="15" customHeight="1" x14ac:dyDescent="0.3">
      <c r="A1793" s="65" t="s">
        <v>6516</v>
      </c>
      <c r="B1793" s="65" t="s">
        <v>81</v>
      </c>
      <c r="C1793" s="65" t="s">
        <v>4440</v>
      </c>
      <c r="D1793" s="65" t="s">
        <v>125</v>
      </c>
      <c r="E1793" s="65" t="s">
        <v>6517</v>
      </c>
      <c r="F1793" s="65" t="b">
        <f>TRUE()</f>
        <v>1</v>
      </c>
      <c r="G1793" s="65" t="s">
        <v>165</v>
      </c>
      <c r="H1793" s="65" t="s">
        <v>3781</v>
      </c>
      <c r="I1793" s="66">
        <v>46209.613454791703</v>
      </c>
      <c r="J1793" s="66">
        <v>46210.283325034703</v>
      </c>
      <c r="K1793" s="65">
        <v>0.7</v>
      </c>
      <c r="L1793" s="65" t="s">
        <v>183</v>
      </c>
      <c r="M1793" s="65" t="s">
        <v>183</v>
      </c>
      <c r="N1793" s="65" t="b">
        <f>TRUE()</f>
        <v>1</v>
      </c>
      <c r="O1793" s="71">
        <v>15000</v>
      </c>
      <c r="P1793" s="71">
        <v>30000</v>
      </c>
      <c r="Q1793" s="65" t="s">
        <v>3663</v>
      </c>
      <c r="R1793" s="65" t="s">
        <v>3664</v>
      </c>
      <c r="S1793" s="71">
        <v>270000</v>
      </c>
      <c r="T1793" s="65" t="b">
        <f>TRUE()</f>
        <v>1</v>
      </c>
      <c r="U1793" s="65" t="b">
        <f>FALSE()</f>
        <v>0</v>
      </c>
      <c r="V1793" s="65">
        <v>140</v>
      </c>
      <c r="W1793" s="67" t="s">
        <v>6518</v>
      </c>
      <c r="X1793" s="65">
        <v>1</v>
      </c>
      <c r="Y1793" s="68">
        <v>1.75</v>
      </c>
      <c r="Z1793" s="65" t="b">
        <f>FALSE()</f>
        <v>0</v>
      </c>
      <c r="AA1793" s="65" t="b">
        <f>FALSE()</f>
        <v>0</v>
      </c>
      <c r="AB1793" s="65" t="b">
        <f>TRUE()</f>
        <v>1</v>
      </c>
      <c r="AC1793" s="65" t="b">
        <f>FALSE()</f>
        <v>0</v>
      </c>
      <c r="AD1793" s="65" t="b">
        <f>FALSE()</f>
        <v>0</v>
      </c>
      <c r="AE1793" s="65">
        <v>1</v>
      </c>
      <c r="AF1793" s="69">
        <v>14.3</v>
      </c>
      <c r="AG1793" s="65" t="s">
        <v>74</v>
      </c>
      <c r="AH1793" s="65" t="s">
        <v>6519</v>
      </c>
      <c r="AI1793">
        <f>IF(AND(OR(Company_Explorer!$B$5="All Companies",$E1793=Company_Explorer!$B$5),OR(Company_Explorer!$B$6="All Platforms",$B1793=Company_Explorer!$B$6),OR(Company_Explorer!$B$7="All Roles",$D1793=Company_Explorer!$B$7),OR(Company_Explorer!$B$8="All Ghost Labels",$AG1793=Company_Explorer!$B$8)),1,0)</f>
        <v>0</v>
      </c>
    </row>
    <row r="1794" spans="1:35" ht="15" customHeight="1" x14ac:dyDescent="0.3">
      <c r="A1794" s="60" t="s">
        <v>6520</v>
      </c>
      <c r="B1794" s="60" t="s">
        <v>81</v>
      </c>
      <c r="C1794" s="60" t="s">
        <v>258</v>
      </c>
      <c r="D1794" s="60" t="s">
        <v>125</v>
      </c>
      <c r="E1794" s="60" t="s">
        <v>143</v>
      </c>
      <c r="F1794" s="60" t="b">
        <f>TRUE()</f>
        <v>1</v>
      </c>
      <c r="G1794" s="60" t="s">
        <v>165</v>
      </c>
      <c r="H1794" s="60" t="s">
        <v>3655</v>
      </c>
      <c r="I1794" s="61">
        <v>46209.699211724503</v>
      </c>
      <c r="J1794" s="61">
        <v>46210.283324988399</v>
      </c>
      <c r="K1794" s="60">
        <v>0.6</v>
      </c>
      <c r="L1794" s="60" t="s">
        <v>183</v>
      </c>
      <c r="M1794" s="60" t="s">
        <v>183</v>
      </c>
      <c r="N1794" s="60" t="b">
        <f>FALSE()</f>
        <v>0</v>
      </c>
      <c r="O1794" s="60"/>
      <c r="P1794" s="60"/>
      <c r="Q1794" s="60" t="s">
        <v>236</v>
      </c>
      <c r="R1794" s="60" t="s">
        <v>236</v>
      </c>
      <c r="S1794" s="60"/>
      <c r="T1794" s="60" t="b">
        <f>FALSE()</f>
        <v>0</v>
      </c>
      <c r="U1794" s="60" t="b">
        <f>FALSE()</f>
        <v>0</v>
      </c>
      <c r="V1794" s="60">
        <v>170</v>
      </c>
      <c r="W1794" s="62" t="s">
        <v>4514</v>
      </c>
      <c r="X1794" s="60">
        <v>64</v>
      </c>
      <c r="Y1794" s="63">
        <v>112</v>
      </c>
      <c r="Z1794" s="60" t="b">
        <f>FALSE()</f>
        <v>0</v>
      </c>
      <c r="AA1794" s="60" t="b">
        <f>TRUE()</f>
        <v>1</v>
      </c>
      <c r="AB1794" s="60" t="b">
        <f>TRUE()</f>
        <v>1</v>
      </c>
      <c r="AC1794" s="60" t="b">
        <f>FALSE()</f>
        <v>0</v>
      </c>
      <c r="AD1794" s="60" t="b">
        <f>TRUE()</f>
        <v>1</v>
      </c>
      <c r="AE1794" s="60">
        <v>4</v>
      </c>
      <c r="AF1794" s="64">
        <v>57.1</v>
      </c>
      <c r="AG1794" s="60" t="s">
        <v>72</v>
      </c>
      <c r="AH1794" s="60" t="s">
        <v>6521</v>
      </c>
      <c r="AI1794">
        <f>IF(AND(OR(Company_Explorer!$B$5="All Companies",$E1794=Company_Explorer!$B$5),OR(Company_Explorer!$B$6="All Platforms",$B1794=Company_Explorer!$B$6),OR(Company_Explorer!$B$7="All Roles",$D1794=Company_Explorer!$B$7),OR(Company_Explorer!$B$8="All Ghost Labels",$AG1794=Company_Explorer!$B$8)),1,0)</f>
        <v>0</v>
      </c>
    </row>
    <row r="1795" spans="1:35" ht="15" customHeight="1" x14ac:dyDescent="0.3">
      <c r="A1795" s="65" t="s">
        <v>6522</v>
      </c>
      <c r="B1795" s="65" t="s">
        <v>81</v>
      </c>
      <c r="C1795" s="65" t="s">
        <v>6523</v>
      </c>
      <c r="D1795" s="65" t="s">
        <v>131</v>
      </c>
      <c r="E1795" s="65" t="s">
        <v>6524</v>
      </c>
      <c r="F1795" s="65" t="b">
        <f>TRUE()</f>
        <v>1</v>
      </c>
      <c r="G1795" s="65" t="s">
        <v>165</v>
      </c>
      <c r="H1795" s="65" t="s">
        <v>3655</v>
      </c>
      <c r="I1795" s="66">
        <v>46209.570275231497</v>
      </c>
      <c r="J1795" s="66">
        <v>46210.283325162003</v>
      </c>
      <c r="K1795" s="65">
        <v>0.7</v>
      </c>
      <c r="L1795" s="65" t="s">
        <v>183</v>
      </c>
      <c r="M1795" s="65" t="s">
        <v>183</v>
      </c>
      <c r="N1795" s="65" t="b">
        <f>TRUE()</f>
        <v>1</v>
      </c>
      <c r="O1795" s="71">
        <v>1042183.875</v>
      </c>
      <c r="P1795" s="71">
        <v>2377190.5</v>
      </c>
      <c r="Q1795" s="65" t="s">
        <v>3663</v>
      </c>
      <c r="R1795" s="65" t="s">
        <v>3961</v>
      </c>
      <c r="S1795" s="71">
        <v>1709687</v>
      </c>
      <c r="T1795" s="65" t="b">
        <f>TRUE()</f>
        <v>1</v>
      </c>
      <c r="U1795" s="65" t="b">
        <f>FALSE()</f>
        <v>0</v>
      </c>
      <c r="V1795" s="65">
        <v>270</v>
      </c>
      <c r="W1795" s="67" t="s">
        <v>6525</v>
      </c>
      <c r="X1795" s="65">
        <v>1</v>
      </c>
      <c r="Y1795" s="68">
        <v>1.75</v>
      </c>
      <c r="Z1795" s="65" t="b">
        <f>FALSE()</f>
        <v>0</v>
      </c>
      <c r="AA1795" s="65" t="b">
        <f>FALSE()</f>
        <v>0</v>
      </c>
      <c r="AB1795" s="65" t="b">
        <f>TRUE()</f>
        <v>1</v>
      </c>
      <c r="AC1795" s="65" t="b">
        <f>FALSE()</f>
        <v>0</v>
      </c>
      <c r="AD1795" s="65" t="b">
        <f>FALSE()</f>
        <v>0</v>
      </c>
      <c r="AE1795" s="65">
        <v>1</v>
      </c>
      <c r="AF1795" s="69">
        <v>14.3</v>
      </c>
      <c r="AG1795" s="65" t="s">
        <v>74</v>
      </c>
      <c r="AH1795" s="65" t="s">
        <v>6526</v>
      </c>
      <c r="AI1795">
        <f>IF(AND(OR(Company_Explorer!$B$5="All Companies",$E1795=Company_Explorer!$B$5),OR(Company_Explorer!$B$6="All Platforms",$B1795=Company_Explorer!$B$6),OR(Company_Explorer!$B$7="All Roles",$D1795=Company_Explorer!$B$7),OR(Company_Explorer!$B$8="All Ghost Labels",$AG1795=Company_Explorer!$B$8)),1,0)</f>
        <v>0</v>
      </c>
    </row>
    <row r="1796" spans="1:35" ht="15" customHeight="1" x14ac:dyDescent="0.3">
      <c r="A1796" s="60" t="s">
        <v>6527</v>
      </c>
      <c r="B1796" s="60" t="s">
        <v>81</v>
      </c>
      <c r="C1796" s="60" t="s">
        <v>258</v>
      </c>
      <c r="D1796" s="60" t="s">
        <v>125</v>
      </c>
      <c r="E1796" s="60" t="s">
        <v>143</v>
      </c>
      <c r="F1796" s="60" t="b">
        <f>TRUE()</f>
        <v>1</v>
      </c>
      <c r="G1796" s="60" t="s">
        <v>165</v>
      </c>
      <c r="H1796" s="60" t="s">
        <v>3702</v>
      </c>
      <c r="I1796" s="61">
        <v>46209.699206527803</v>
      </c>
      <c r="J1796" s="61">
        <v>46210.2833252083</v>
      </c>
      <c r="K1796" s="60">
        <v>0.6</v>
      </c>
      <c r="L1796" s="60" t="s">
        <v>183</v>
      </c>
      <c r="M1796" s="60" t="s">
        <v>183</v>
      </c>
      <c r="N1796" s="60" t="b">
        <f>FALSE()</f>
        <v>0</v>
      </c>
      <c r="O1796" s="60"/>
      <c r="P1796" s="60"/>
      <c r="Q1796" s="60" t="s">
        <v>236</v>
      </c>
      <c r="R1796" s="60" t="s">
        <v>236</v>
      </c>
      <c r="S1796" s="60"/>
      <c r="T1796" s="60" t="b">
        <f>FALSE()</f>
        <v>0</v>
      </c>
      <c r="U1796" s="60" t="b">
        <f>FALSE()</f>
        <v>0</v>
      </c>
      <c r="V1796" s="60">
        <v>313</v>
      </c>
      <c r="W1796" s="62" t="s">
        <v>4514</v>
      </c>
      <c r="X1796" s="60">
        <v>64</v>
      </c>
      <c r="Y1796" s="63">
        <v>112</v>
      </c>
      <c r="Z1796" s="60" t="b">
        <f>FALSE()</f>
        <v>0</v>
      </c>
      <c r="AA1796" s="60" t="b">
        <f>TRUE()</f>
        <v>1</v>
      </c>
      <c r="AB1796" s="60" t="b">
        <f>FALSE()</f>
        <v>0</v>
      </c>
      <c r="AC1796" s="60" t="b">
        <f>FALSE()</f>
        <v>0</v>
      </c>
      <c r="AD1796" s="60" t="b">
        <f>TRUE()</f>
        <v>1</v>
      </c>
      <c r="AE1796" s="60">
        <v>3</v>
      </c>
      <c r="AF1796" s="64">
        <v>42.9</v>
      </c>
      <c r="AG1796" s="60" t="s">
        <v>73</v>
      </c>
      <c r="AH1796" s="60" t="s">
        <v>6528</v>
      </c>
      <c r="AI1796">
        <f>IF(AND(OR(Company_Explorer!$B$5="All Companies",$E1796=Company_Explorer!$B$5),OR(Company_Explorer!$B$6="All Platforms",$B1796=Company_Explorer!$B$6),OR(Company_Explorer!$B$7="All Roles",$D1796=Company_Explorer!$B$7),OR(Company_Explorer!$B$8="All Ghost Labels",$AG1796=Company_Explorer!$B$8)),1,0)</f>
        <v>0</v>
      </c>
    </row>
    <row r="1797" spans="1:35" ht="15" customHeight="1" x14ac:dyDescent="0.3">
      <c r="A1797" s="65" t="s">
        <v>6529</v>
      </c>
      <c r="B1797" s="65" t="s">
        <v>81</v>
      </c>
      <c r="C1797" s="65" t="s">
        <v>6530</v>
      </c>
      <c r="D1797" s="65" t="s">
        <v>125</v>
      </c>
      <c r="E1797" s="65" t="s">
        <v>142</v>
      </c>
      <c r="F1797" s="65" t="b">
        <f>TRUE()</f>
        <v>1</v>
      </c>
      <c r="G1797" s="65" t="s">
        <v>165</v>
      </c>
      <c r="H1797" s="65" t="s">
        <v>3655</v>
      </c>
      <c r="I1797" s="66">
        <v>46209.763530914403</v>
      </c>
      <c r="J1797" s="66">
        <v>46210.283325127297</v>
      </c>
      <c r="K1797" s="65">
        <v>0.5</v>
      </c>
      <c r="L1797" s="65" t="s">
        <v>183</v>
      </c>
      <c r="M1797" s="65" t="s">
        <v>183</v>
      </c>
      <c r="N1797" s="65" t="b">
        <f>FALSE()</f>
        <v>0</v>
      </c>
      <c r="O1797" s="65"/>
      <c r="P1797" s="65"/>
      <c r="Q1797" s="65" t="s">
        <v>236</v>
      </c>
      <c r="R1797" s="65" t="s">
        <v>236</v>
      </c>
      <c r="S1797" s="65"/>
      <c r="T1797" s="65" t="b">
        <f>FALSE()</f>
        <v>0</v>
      </c>
      <c r="U1797" s="65" t="b">
        <f>FALSE()</f>
        <v>0</v>
      </c>
      <c r="V1797" s="65">
        <v>380</v>
      </c>
      <c r="W1797" s="67" t="s">
        <v>6531</v>
      </c>
      <c r="X1797" s="65">
        <v>81</v>
      </c>
      <c r="Y1797" s="68">
        <v>141.75</v>
      </c>
      <c r="Z1797" s="65" t="b">
        <f>FALSE()</f>
        <v>0</v>
      </c>
      <c r="AA1797" s="65" t="b">
        <f>TRUE()</f>
        <v>1</v>
      </c>
      <c r="AB1797" s="65" t="b">
        <f>FALSE()</f>
        <v>0</v>
      </c>
      <c r="AC1797" s="65" t="b">
        <f>FALSE()</f>
        <v>0</v>
      </c>
      <c r="AD1797" s="65" t="b">
        <f>TRUE()</f>
        <v>1</v>
      </c>
      <c r="AE1797" s="65">
        <v>3</v>
      </c>
      <c r="AF1797" s="69">
        <v>42.9</v>
      </c>
      <c r="AG1797" s="65" t="s">
        <v>73</v>
      </c>
      <c r="AH1797" s="65" t="s">
        <v>6532</v>
      </c>
      <c r="AI1797">
        <f>IF(AND(OR(Company_Explorer!$B$5="All Companies",$E1797=Company_Explorer!$B$5),OR(Company_Explorer!$B$6="All Platforms",$B1797=Company_Explorer!$B$6),OR(Company_Explorer!$B$7="All Roles",$D1797=Company_Explorer!$B$7),OR(Company_Explorer!$B$8="All Ghost Labels",$AG1797=Company_Explorer!$B$8)),1,0)</f>
        <v>0</v>
      </c>
    </row>
    <row r="1798" spans="1:35" ht="15" customHeight="1" x14ac:dyDescent="0.3">
      <c r="A1798" s="60" t="s">
        <v>6533</v>
      </c>
      <c r="B1798" s="60" t="s">
        <v>81</v>
      </c>
      <c r="C1798" s="60" t="s">
        <v>258</v>
      </c>
      <c r="D1798" s="60" t="s">
        <v>125</v>
      </c>
      <c r="E1798" s="60" t="s">
        <v>143</v>
      </c>
      <c r="F1798" s="60" t="b">
        <f>TRUE()</f>
        <v>1</v>
      </c>
      <c r="G1798" s="60" t="s">
        <v>165</v>
      </c>
      <c r="H1798" s="60" t="s">
        <v>3655</v>
      </c>
      <c r="I1798" s="61">
        <v>46209.699194502296</v>
      </c>
      <c r="J1798" s="61">
        <v>46210.283325266202</v>
      </c>
      <c r="K1798" s="60">
        <v>0.6</v>
      </c>
      <c r="L1798" s="60" t="s">
        <v>183</v>
      </c>
      <c r="M1798" s="60" t="s">
        <v>183</v>
      </c>
      <c r="N1798" s="60" t="b">
        <f>FALSE()</f>
        <v>0</v>
      </c>
      <c r="O1798" s="60"/>
      <c r="P1798" s="60"/>
      <c r="Q1798" s="60" t="s">
        <v>236</v>
      </c>
      <c r="R1798" s="60" t="s">
        <v>236</v>
      </c>
      <c r="S1798" s="60"/>
      <c r="T1798" s="60" t="b">
        <f>FALSE()</f>
        <v>0</v>
      </c>
      <c r="U1798" s="60" t="b">
        <f>FALSE()</f>
        <v>0</v>
      </c>
      <c r="V1798" s="60">
        <v>170</v>
      </c>
      <c r="W1798" s="62" t="s">
        <v>4514</v>
      </c>
      <c r="X1798" s="60">
        <v>64</v>
      </c>
      <c r="Y1798" s="63">
        <v>112</v>
      </c>
      <c r="Z1798" s="60" t="b">
        <f>FALSE()</f>
        <v>0</v>
      </c>
      <c r="AA1798" s="60" t="b">
        <f>TRUE()</f>
        <v>1</v>
      </c>
      <c r="AB1798" s="60" t="b">
        <f>TRUE()</f>
        <v>1</v>
      </c>
      <c r="AC1798" s="60" t="b">
        <f>FALSE()</f>
        <v>0</v>
      </c>
      <c r="AD1798" s="60" t="b">
        <f>TRUE()</f>
        <v>1</v>
      </c>
      <c r="AE1798" s="60">
        <v>4</v>
      </c>
      <c r="AF1798" s="64">
        <v>57.1</v>
      </c>
      <c r="AG1798" s="60" t="s">
        <v>72</v>
      </c>
      <c r="AH1798" s="60" t="s">
        <v>6534</v>
      </c>
      <c r="AI1798">
        <f>IF(AND(OR(Company_Explorer!$B$5="All Companies",$E1798=Company_Explorer!$B$5),OR(Company_Explorer!$B$6="All Platforms",$B1798=Company_Explorer!$B$6),OR(Company_Explorer!$B$7="All Roles",$D1798=Company_Explorer!$B$7),OR(Company_Explorer!$B$8="All Ghost Labels",$AG1798=Company_Explorer!$B$8)),1,0)</f>
        <v>0</v>
      </c>
    </row>
    <row r="1799" spans="1:35" ht="15" customHeight="1" x14ac:dyDescent="0.3">
      <c r="A1799" s="65" t="s">
        <v>6535</v>
      </c>
      <c r="B1799" s="65" t="s">
        <v>81</v>
      </c>
      <c r="C1799" s="65" t="s">
        <v>6536</v>
      </c>
      <c r="D1799" s="65" t="s">
        <v>130</v>
      </c>
      <c r="E1799" s="65" t="s">
        <v>5135</v>
      </c>
      <c r="F1799" s="65" t="b">
        <f>TRUE()</f>
        <v>1</v>
      </c>
      <c r="G1799" s="65" t="s">
        <v>165</v>
      </c>
      <c r="H1799" s="65" t="s">
        <v>3620</v>
      </c>
      <c r="I1799" s="66">
        <v>46209.606195717599</v>
      </c>
      <c r="J1799" s="66">
        <v>46210.283325335702</v>
      </c>
      <c r="K1799" s="65">
        <v>0.7</v>
      </c>
      <c r="L1799" s="65" t="s">
        <v>183</v>
      </c>
      <c r="M1799" s="65" t="s">
        <v>183</v>
      </c>
      <c r="N1799" s="65" t="b">
        <f>FALSE()</f>
        <v>0</v>
      </c>
      <c r="O1799" s="65"/>
      <c r="P1799" s="65"/>
      <c r="Q1799" s="65" t="s">
        <v>236</v>
      </c>
      <c r="R1799" s="65" t="s">
        <v>236</v>
      </c>
      <c r="S1799" s="65"/>
      <c r="T1799" s="65" t="b">
        <f>FALSE()</f>
        <v>0</v>
      </c>
      <c r="U1799" s="65" t="b">
        <f>FALSE()</f>
        <v>0</v>
      </c>
      <c r="V1799" s="65">
        <v>65</v>
      </c>
      <c r="W1799" s="67" t="s">
        <v>6537</v>
      </c>
      <c r="X1799" s="65">
        <v>8</v>
      </c>
      <c r="Y1799" s="68">
        <v>14</v>
      </c>
      <c r="Z1799" s="65" t="b">
        <f>FALSE()</f>
        <v>0</v>
      </c>
      <c r="AA1799" s="65" t="b">
        <f>TRUE()</f>
        <v>1</v>
      </c>
      <c r="AB1799" s="65" t="b">
        <f>TRUE()</f>
        <v>1</v>
      </c>
      <c r="AC1799" s="65" t="b">
        <f>FALSE()</f>
        <v>0</v>
      </c>
      <c r="AD1799" s="65" t="b">
        <f>FALSE()</f>
        <v>0</v>
      </c>
      <c r="AE1799" s="65">
        <v>2</v>
      </c>
      <c r="AF1799" s="69">
        <v>28.6</v>
      </c>
      <c r="AG1799" s="65" t="s">
        <v>73</v>
      </c>
      <c r="AH1799" s="65" t="s">
        <v>6538</v>
      </c>
      <c r="AI1799">
        <f>IF(AND(OR(Company_Explorer!$B$5="All Companies",$E1799=Company_Explorer!$B$5),OR(Company_Explorer!$B$6="All Platforms",$B1799=Company_Explorer!$B$6),OR(Company_Explorer!$B$7="All Roles",$D1799=Company_Explorer!$B$7),OR(Company_Explorer!$B$8="All Ghost Labels",$AG1799=Company_Explorer!$B$8)),1,0)</f>
        <v>0</v>
      </c>
    </row>
    <row r="1800" spans="1:35" ht="15" customHeight="1" x14ac:dyDescent="0.3">
      <c r="A1800" s="60" t="s">
        <v>6539</v>
      </c>
      <c r="B1800" s="60" t="s">
        <v>81</v>
      </c>
      <c r="C1800" s="60" t="s">
        <v>6540</v>
      </c>
      <c r="D1800" s="60" t="s">
        <v>126</v>
      </c>
      <c r="E1800" s="60" t="s">
        <v>2359</v>
      </c>
      <c r="F1800" s="60" t="b">
        <f>TRUE()</f>
        <v>1</v>
      </c>
      <c r="G1800" s="60" t="s">
        <v>165</v>
      </c>
      <c r="H1800" s="60" t="s">
        <v>165</v>
      </c>
      <c r="I1800" s="61">
        <v>46209.696226412001</v>
      </c>
      <c r="J1800" s="61">
        <v>46210.283325358803</v>
      </c>
      <c r="K1800" s="60">
        <v>0.6</v>
      </c>
      <c r="L1800" s="60" t="s">
        <v>183</v>
      </c>
      <c r="M1800" s="60" t="s">
        <v>183</v>
      </c>
      <c r="N1800" s="60" t="b">
        <f>FALSE()</f>
        <v>0</v>
      </c>
      <c r="O1800" s="60"/>
      <c r="P1800" s="60"/>
      <c r="Q1800" s="60" t="s">
        <v>236</v>
      </c>
      <c r="R1800" s="60" t="s">
        <v>236</v>
      </c>
      <c r="S1800" s="60"/>
      <c r="T1800" s="60" t="b">
        <f>FALSE()</f>
        <v>0</v>
      </c>
      <c r="U1800" s="60" t="b">
        <f>FALSE()</f>
        <v>0</v>
      </c>
      <c r="V1800" s="60">
        <v>207</v>
      </c>
      <c r="W1800" s="62" t="s">
        <v>6541</v>
      </c>
      <c r="X1800" s="60">
        <v>2</v>
      </c>
      <c r="Y1800" s="63">
        <v>3.5</v>
      </c>
      <c r="Z1800" s="60" t="b">
        <f>FALSE()</f>
        <v>0</v>
      </c>
      <c r="AA1800" s="60" t="b">
        <f>TRUE()</f>
        <v>1</v>
      </c>
      <c r="AB1800" s="60" t="b">
        <f>TRUE()</f>
        <v>1</v>
      </c>
      <c r="AC1800" s="60" t="b">
        <f>FALSE()</f>
        <v>0</v>
      </c>
      <c r="AD1800" s="60" t="b">
        <f>FALSE()</f>
        <v>0</v>
      </c>
      <c r="AE1800" s="60">
        <v>2</v>
      </c>
      <c r="AF1800" s="64">
        <v>28.6</v>
      </c>
      <c r="AG1800" s="60" t="s">
        <v>73</v>
      </c>
      <c r="AH1800" s="60" t="s">
        <v>6542</v>
      </c>
      <c r="AI1800">
        <f>IF(AND(OR(Company_Explorer!$B$5="All Companies",$E1800=Company_Explorer!$B$5),OR(Company_Explorer!$B$6="All Platforms",$B1800=Company_Explorer!$B$6),OR(Company_Explorer!$B$7="All Roles",$D1800=Company_Explorer!$B$7),OR(Company_Explorer!$B$8="All Ghost Labels",$AG1800=Company_Explorer!$B$8)),1,0)</f>
        <v>0</v>
      </c>
    </row>
    <row r="1801" spans="1:35" ht="15" customHeight="1" x14ac:dyDescent="0.3">
      <c r="A1801" s="65" t="s">
        <v>6543</v>
      </c>
      <c r="B1801" s="65" t="s">
        <v>81</v>
      </c>
      <c r="C1801" s="65" t="s">
        <v>6544</v>
      </c>
      <c r="D1801" s="65" t="s">
        <v>130</v>
      </c>
      <c r="E1801" s="65" t="s">
        <v>6545</v>
      </c>
      <c r="F1801" s="65" t="b">
        <f>TRUE()</f>
        <v>1</v>
      </c>
      <c r="G1801" s="65" t="s">
        <v>165</v>
      </c>
      <c r="H1801" s="65" t="s">
        <v>3672</v>
      </c>
      <c r="I1801" s="66">
        <v>46209.571091157399</v>
      </c>
      <c r="J1801" s="66">
        <v>46210.283325104203</v>
      </c>
      <c r="K1801" s="65">
        <v>0.7</v>
      </c>
      <c r="L1801" s="65" t="s">
        <v>183</v>
      </c>
      <c r="M1801" s="65" t="s">
        <v>183</v>
      </c>
      <c r="N1801" s="65" t="b">
        <f>FALSE()</f>
        <v>0</v>
      </c>
      <c r="O1801" s="65"/>
      <c r="P1801" s="65"/>
      <c r="Q1801" s="65" t="s">
        <v>236</v>
      </c>
      <c r="R1801" s="65" t="s">
        <v>236</v>
      </c>
      <c r="S1801" s="65"/>
      <c r="T1801" s="65" t="b">
        <f>FALSE()</f>
        <v>0</v>
      </c>
      <c r="U1801" s="65" t="b">
        <f>FALSE()</f>
        <v>0</v>
      </c>
      <c r="V1801" s="65">
        <v>49</v>
      </c>
      <c r="W1801" s="67" t="s">
        <v>6546</v>
      </c>
      <c r="X1801" s="65">
        <v>1</v>
      </c>
      <c r="Y1801" s="68">
        <v>1.75</v>
      </c>
      <c r="Z1801" s="65" t="b">
        <f>FALSE()</f>
        <v>0</v>
      </c>
      <c r="AA1801" s="65" t="b">
        <f>TRUE()</f>
        <v>1</v>
      </c>
      <c r="AB1801" s="65" t="b">
        <f>TRUE()</f>
        <v>1</v>
      </c>
      <c r="AC1801" s="65" t="b">
        <f>FALSE()</f>
        <v>0</v>
      </c>
      <c r="AD1801" s="65" t="b">
        <f>FALSE()</f>
        <v>0</v>
      </c>
      <c r="AE1801" s="65">
        <v>2</v>
      </c>
      <c r="AF1801" s="69">
        <v>28.6</v>
      </c>
      <c r="AG1801" s="65" t="s">
        <v>73</v>
      </c>
      <c r="AH1801" s="65" t="s">
        <v>6547</v>
      </c>
      <c r="AI1801">
        <f>IF(AND(OR(Company_Explorer!$B$5="All Companies",$E1801=Company_Explorer!$B$5),OR(Company_Explorer!$B$6="All Platforms",$B1801=Company_Explorer!$B$6),OR(Company_Explorer!$B$7="All Roles",$D1801=Company_Explorer!$B$7),OR(Company_Explorer!$B$8="All Ghost Labels",$AG1801=Company_Explorer!$B$8)),1,0)</f>
        <v>0</v>
      </c>
    </row>
    <row r="1802" spans="1:35" ht="15" customHeight="1" x14ac:dyDescent="0.3">
      <c r="A1802" s="60" t="s">
        <v>6548</v>
      </c>
      <c r="B1802" s="60" t="s">
        <v>81</v>
      </c>
      <c r="C1802" s="60" t="s">
        <v>6549</v>
      </c>
      <c r="D1802" s="60" t="s">
        <v>131</v>
      </c>
      <c r="E1802" s="60" t="s">
        <v>6550</v>
      </c>
      <c r="F1802" s="60" t="b">
        <f>TRUE()</f>
        <v>1</v>
      </c>
      <c r="G1802" s="60" t="s">
        <v>165</v>
      </c>
      <c r="H1802" s="60" t="s">
        <v>3678</v>
      </c>
      <c r="I1802" s="61">
        <v>46209.763624976898</v>
      </c>
      <c r="J1802" s="61">
        <v>46210.283325243101</v>
      </c>
      <c r="K1802" s="60">
        <v>0.5</v>
      </c>
      <c r="L1802" s="60" t="s">
        <v>183</v>
      </c>
      <c r="M1802" s="60" t="s">
        <v>183</v>
      </c>
      <c r="N1802" s="60" t="b">
        <f>FALSE()</f>
        <v>0</v>
      </c>
      <c r="O1802" s="60"/>
      <c r="P1802" s="60"/>
      <c r="Q1802" s="60" t="s">
        <v>236</v>
      </c>
      <c r="R1802" s="60" t="s">
        <v>236</v>
      </c>
      <c r="S1802" s="60"/>
      <c r="T1802" s="60" t="b">
        <f>FALSE()</f>
        <v>0</v>
      </c>
      <c r="U1802" s="60" t="b">
        <f>FALSE()</f>
        <v>0</v>
      </c>
      <c r="V1802" s="60">
        <v>637</v>
      </c>
      <c r="W1802" s="60" t="s">
        <v>6551</v>
      </c>
      <c r="X1802" s="60">
        <v>1</v>
      </c>
      <c r="Y1802" s="63">
        <v>1.75</v>
      </c>
      <c r="Z1802" s="60" t="b">
        <f>FALSE()</f>
        <v>0</v>
      </c>
      <c r="AA1802" s="60" t="b">
        <f>TRUE()</f>
        <v>1</v>
      </c>
      <c r="AB1802" s="60" t="b">
        <f>FALSE()</f>
        <v>0</v>
      </c>
      <c r="AC1802" s="60" t="b">
        <f>FALSE()</f>
        <v>0</v>
      </c>
      <c r="AD1802" s="60" t="b">
        <f>FALSE()</f>
        <v>0</v>
      </c>
      <c r="AE1802" s="60">
        <v>1</v>
      </c>
      <c r="AF1802" s="64">
        <v>14.3</v>
      </c>
      <c r="AG1802" s="60" t="s">
        <v>74</v>
      </c>
      <c r="AH1802" s="60" t="s">
        <v>6552</v>
      </c>
      <c r="AI1802">
        <f>IF(AND(OR(Company_Explorer!$B$5="All Companies",$E1802=Company_Explorer!$B$5),OR(Company_Explorer!$B$6="All Platforms",$B1802=Company_Explorer!$B$6),OR(Company_Explorer!$B$7="All Roles",$D1802=Company_Explorer!$B$7),OR(Company_Explorer!$B$8="All Ghost Labels",$AG1802=Company_Explorer!$B$8)),1,0)</f>
        <v>0</v>
      </c>
    </row>
    <row r="1803" spans="1:35" ht="15" customHeight="1" x14ac:dyDescent="0.3">
      <c r="A1803" s="65" t="s">
        <v>6553</v>
      </c>
      <c r="B1803" s="65" t="s">
        <v>81</v>
      </c>
      <c r="C1803" s="65" t="s">
        <v>6554</v>
      </c>
      <c r="D1803" s="65" t="s">
        <v>125</v>
      </c>
      <c r="E1803" s="65" t="s">
        <v>6555</v>
      </c>
      <c r="F1803" s="65" t="b">
        <f>TRUE()</f>
        <v>1</v>
      </c>
      <c r="G1803" s="65" t="s">
        <v>165</v>
      </c>
      <c r="H1803" s="65" t="s">
        <v>4093</v>
      </c>
      <c r="I1803" s="66">
        <v>46209.5694213194</v>
      </c>
      <c r="J1803" s="66">
        <v>46210.283325092598</v>
      </c>
      <c r="K1803" s="65">
        <v>0.7</v>
      </c>
      <c r="L1803" s="65" t="s">
        <v>183</v>
      </c>
      <c r="M1803" s="65" t="s">
        <v>183</v>
      </c>
      <c r="N1803" s="65" t="b">
        <f>TRUE()</f>
        <v>1</v>
      </c>
      <c r="O1803" s="71">
        <v>15000</v>
      </c>
      <c r="P1803" s="71">
        <v>40000</v>
      </c>
      <c r="Q1803" s="65" t="s">
        <v>3663</v>
      </c>
      <c r="R1803" s="65" t="s">
        <v>3664</v>
      </c>
      <c r="S1803" s="71">
        <v>330000</v>
      </c>
      <c r="T1803" s="65" t="b">
        <f>TRUE()</f>
        <v>1</v>
      </c>
      <c r="U1803" s="65" t="b">
        <f>FALSE()</f>
        <v>0</v>
      </c>
      <c r="V1803" s="65">
        <v>325</v>
      </c>
      <c r="W1803" s="65" t="s">
        <v>6556</v>
      </c>
      <c r="X1803" s="65">
        <v>3</v>
      </c>
      <c r="Y1803" s="68">
        <v>5.25</v>
      </c>
      <c r="Z1803" s="65" t="b">
        <f>FALSE()</f>
        <v>0</v>
      </c>
      <c r="AA1803" s="65" t="b">
        <f>FALSE()</f>
        <v>0</v>
      </c>
      <c r="AB1803" s="65" t="b">
        <f>FALSE()</f>
        <v>0</v>
      </c>
      <c r="AC1803" s="65" t="b">
        <f>FALSE()</f>
        <v>0</v>
      </c>
      <c r="AD1803" s="65" t="b">
        <f>FALSE()</f>
        <v>0</v>
      </c>
      <c r="AE1803" s="65">
        <v>0</v>
      </c>
      <c r="AF1803" s="69">
        <v>0</v>
      </c>
      <c r="AG1803" s="65" t="s">
        <v>74</v>
      </c>
      <c r="AH1803" s="65" t="s">
        <v>6557</v>
      </c>
      <c r="AI1803">
        <f>IF(AND(OR(Company_Explorer!$B$5="All Companies",$E1803=Company_Explorer!$B$5),OR(Company_Explorer!$B$6="All Platforms",$B1803=Company_Explorer!$B$6),OR(Company_Explorer!$B$7="All Roles",$D1803=Company_Explorer!$B$7),OR(Company_Explorer!$B$8="All Ghost Labels",$AG1803=Company_Explorer!$B$8)),1,0)</f>
        <v>0</v>
      </c>
    </row>
    <row r="1804" spans="1:35" ht="15" customHeight="1" x14ac:dyDescent="0.3">
      <c r="A1804" s="60" t="s">
        <v>6558</v>
      </c>
      <c r="B1804" s="60" t="s">
        <v>81</v>
      </c>
      <c r="C1804" s="60" t="s">
        <v>2042</v>
      </c>
      <c r="D1804" s="60" t="s">
        <v>130</v>
      </c>
      <c r="E1804" s="60" t="s">
        <v>5135</v>
      </c>
      <c r="F1804" s="60" t="b">
        <f>TRUE()</f>
        <v>1</v>
      </c>
      <c r="G1804" s="60" t="s">
        <v>165</v>
      </c>
      <c r="H1804" s="60" t="s">
        <v>3672</v>
      </c>
      <c r="I1804" s="61">
        <v>46209.606813402803</v>
      </c>
      <c r="J1804" s="61">
        <v>46210.283326446799</v>
      </c>
      <c r="K1804" s="60">
        <v>0.7</v>
      </c>
      <c r="L1804" s="60" t="s">
        <v>183</v>
      </c>
      <c r="M1804" s="60" t="s">
        <v>183</v>
      </c>
      <c r="N1804" s="60" t="b">
        <f>FALSE()</f>
        <v>0</v>
      </c>
      <c r="O1804" s="60"/>
      <c r="P1804" s="60"/>
      <c r="Q1804" s="60" t="s">
        <v>236</v>
      </c>
      <c r="R1804" s="60" t="s">
        <v>236</v>
      </c>
      <c r="S1804" s="60"/>
      <c r="T1804" s="60" t="b">
        <f>FALSE()</f>
        <v>0</v>
      </c>
      <c r="U1804" s="60" t="b">
        <f>FALSE()</f>
        <v>0</v>
      </c>
      <c r="V1804" s="60">
        <v>95</v>
      </c>
      <c r="W1804" s="60" t="s">
        <v>6559</v>
      </c>
      <c r="X1804" s="60">
        <v>8</v>
      </c>
      <c r="Y1804" s="63">
        <v>14</v>
      </c>
      <c r="Z1804" s="60" t="b">
        <f>FALSE()</f>
        <v>0</v>
      </c>
      <c r="AA1804" s="60" t="b">
        <f>TRUE()</f>
        <v>1</v>
      </c>
      <c r="AB1804" s="60" t="b">
        <f>TRUE()</f>
        <v>1</v>
      </c>
      <c r="AC1804" s="60" t="b">
        <f>FALSE()</f>
        <v>0</v>
      </c>
      <c r="AD1804" s="60" t="b">
        <f>FALSE()</f>
        <v>0</v>
      </c>
      <c r="AE1804" s="60">
        <v>2</v>
      </c>
      <c r="AF1804" s="64">
        <v>28.6</v>
      </c>
      <c r="AG1804" s="60" t="s">
        <v>73</v>
      </c>
      <c r="AH1804" s="60" t="s">
        <v>6560</v>
      </c>
      <c r="AI1804">
        <f>IF(AND(OR(Company_Explorer!$B$5="All Companies",$E1804=Company_Explorer!$B$5),OR(Company_Explorer!$B$6="All Platforms",$B1804=Company_Explorer!$B$6),OR(Company_Explorer!$B$7="All Roles",$D1804=Company_Explorer!$B$7),OR(Company_Explorer!$B$8="All Ghost Labels",$AG1804=Company_Explorer!$B$8)),1,0)</f>
        <v>0</v>
      </c>
    </row>
    <row r="1805" spans="1:35" ht="15" customHeight="1" x14ac:dyDescent="0.3">
      <c r="A1805" s="65" t="s">
        <v>6561</v>
      </c>
      <c r="B1805" s="65" t="s">
        <v>81</v>
      </c>
      <c r="C1805" s="65" t="s">
        <v>2349</v>
      </c>
      <c r="D1805" s="65" t="s">
        <v>131</v>
      </c>
      <c r="E1805" s="65" t="s">
        <v>6459</v>
      </c>
      <c r="F1805" s="65" t="b">
        <f>TRUE()</f>
        <v>1</v>
      </c>
      <c r="G1805" s="65" t="s">
        <v>177</v>
      </c>
      <c r="H1805" s="65" t="s">
        <v>165</v>
      </c>
      <c r="I1805" s="66">
        <v>46209.603377638901</v>
      </c>
      <c r="J1805" s="66">
        <v>46210.283327592602</v>
      </c>
      <c r="K1805" s="65">
        <v>0.7</v>
      </c>
      <c r="L1805" s="65" t="s">
        <v>183</v>
      </c>
      <c r="M1805" s="65" t="s">
        <v>183</v>
      </c>
      <c r="N1805" s="65" t="b">
        <f>FALSE()</f>
        <v>0</v>
      </c>
      <c r="O1805" s="65"/>
      <c r="P1805" s="65"/>
      <c r="Q1805" s="65" t="s">
        <v>3663</v>
      </c>
      <c r="R1805" s="65" t="s">
        <v>3664</v>
      </c>
      <c r="S1805" s="65"/>
      <c r="T1805" s="65" t="b">
        <f>FALSE()</f>
        <v>0</v>
      </c>
      <c r="U1805" s="65" t="b">
        <f>FALSE()</f>
        <v>0</v>
      </c>
      <c r="V1805" s="65">
        <v>483</v>
      </c>
      <c r="W1805" s="67" t="s">
        <v>6562</v>
      </c>
      <c r="X1805" s="65">
        <v>3</v>
      </c>
      <c r="Y1805" s="68">
        <v>5.25</v>
      </c>
      <c r="Z1805" s="65" t="b">
        <f>FALSE()</f>
        <v>0</v>
      </c>
      <c r="AA1805" s="65" t="b">
        <f>TRUE()</f>
        <v>1</v>
      </c>
      <c r="AB1805" s="65" t="b">
        <f>FALSE()</f>
        <v>0</v>
      </c>
      <c r="AC1805" s="65" t="b">
        <f>FALSE()</f>
        <v>0</v>
      </c>
      <c r="AD1805" s="65" t="b">
        <f>FALSE()</f>
        <v>0</v>
      </c>
      <c r="AE1805" s="65">
        <v>1</v>
      </c>
      <c r="AF1805" s="69">
        <v>14.3</v>
      </c>
      <c r="AG1805" s="65" t="s">
        <v>74</v>
      </c>
      <c r="AH1805" s="65" t="s">
        <v>6563</v>
      </c>
      <c r="AI1805">
        <f>IF(AND(OR(Company_Explorer!$B$5="All Companies",$E1805=Company_Explorer!$B$5),OR(Company_Explorer!$B$6="All Platforms",$B1805=Company_Explorer!$B$6),OR(Company_Explorer!$B$7="All Roles",$D1805=Company_Explorer!$B$7),OR(Company_Explorer!$B$8="All Ghost Labels",$AG1805=Company_Explorer!$B$8)),1,0)</f>
        <v>0</v>
      </c>
    </row>
    <row r="1806" spans="1:35" ht="15" customHeight="1" x14ac:dyDescent="0.3">
      <c r="A1806" s="60" t="s">
        <v>6564</v>
      </c>
      <c r="B1806" s="60" t="s">
        <v>81</v>
      </c>
      <c r="C1806" s="60" t="s">
        <v>6565</v>
      </c>
      <c r="D1806" s="60" t="s">
        <v>125</v>
      </c>
      <c r="E1806" s="60" t="s">
        <v>3892</v>
      </c>
      <c r="F1806" s="60" t="b">
        <f>TRUE()</f>
        <v>1</v>
      </c>
      <c r="G1806" s="60" t="s">
        <v>165</v>
      </c>
      <c r="H1806" s="60" t="s">
        <v>3636</v>
      </c>
      <c r="I1806" s="61">
        <v>46209.763305439803</v>
      </c>
      <c r="J1806" s="61">
        <v>46210.283327824101</v>
      </c>
      <c r="K1806" s="60">
        <v>0.5</v>
      </c>
      <c r="L1806" s="60" t="s">
        <v>183</v>
      </c>
      <c r="M1806" s="60" t="s">
        <v>183</v>
      </c>
      <c r="N1806" s="60" t="b">
        <f>FALSE()</f>
        <v>0</v>
      </c>
      <c r="O1806" s="60"/>
      <c r="P1806" s="60"/>
      <c r="Q1806" s="60" t="s">
        <v>236</v>
      </c>
      <c r="R1806" s="60" t="s">
        <v>236</v>
      </c>
      <c r="S1806" s="60"/>
      <c r="T1806" s="60" t="b">
        <f>FALSE()</f>
        <v>0</v>
      </c>
      <c r="U1806" s="60" t="b">
        <f>FALSE()</f>
        <v>0</v>
      </c>
      <c r="V1806" s="60">
        <v>395</v>
      </c>
      <c r="W1806" s="60" t="s">
        <v>3893</v>
      </c>
      <c r="X1806" s="60">
        <v>9</v>
      </c>
      <c r="Y1806" s="63">
        <v>15.75</v>
      </c>
      <c r="Z1806" s="60" t="b">
        <f>FALSE()</f>
        <v>0</v>
      </c>
      <c r="AA1806" s="60" t="b">
        <f>TRUE()</f>
        <v>1</v>
      </c>
      <c r="AB1806" s="60" t="b">
        <f>FALSE()</f>
        <v>0</v>
      </c>
      <c r="AC1806" s="60" t="b">
        <f>FALSE()</f>
        <v>0</v>
      </c>
      <c r="AD1806" s="60" t="b">
        <f>FALSE()</f>
        <v>0</v>
      </c>
      <c r="AE1806" s="60">
        <v>1</v>
      </c>
      <c r="AF1806" s="64">
        <v>14.3</v>
      </c>
      <c r="AG1806" s="60" t="s">
        <v>74</v>
      </c>
      <c r="AH1806" s="60" t="s">
        <v>6566</v>
      </c>
      <c r="AI1806">
        <f>IF(AND(OR(Company_Explorer!$B$5="All Companies",$E1806=Company_Explorer!$B$5),OR(Company_Explorer!$B$6="All Platforms",$B1806=Company_Explorer!$B$6),OR(Company_Explorer!$B$7="All Roles",$D1806=Company_Explorer!$B$7),OR(Company_Explorer!$B$8="All Ghost Labels",$AG1806=Company_Explorer!$B$8)),1,0)</f>
        <v>0</v>
      </c>
    </row>
    <row r="1807" spans="1:35" ht="15" customHeight="1" x14ac:dyDescent="0.3">
      <c r="A1807" s="65" t="s">
        <v>6567</v>
      </c>
      <c r="B1807" s="65" t="s">
        <v>81</v>
      </c>
      <c r="C1807" s="65" t="s">
        <v>6568</v>
      </c>
      <c r="D1807" s="65" t="s">
        <v>129</v>
      </c>
      <c r="E1807" s="65" t="s">
        <v>6555</v>
      </c>
      <c r="F1807" s="65" t="b">
        <f>TRUE()</f>
        <v>1</v>
      </c>
      <c r="G1807" s="65" t="s">
        <v>165</v>
      </c>
      <c r="H1807" s="65" t="s">
        <v>4093</v>
      </c>
      <c r="I1807" s="66">
        <v>46209.5659029745</v>
      </c>
      <c r="J1807" s="66">
        <v>46210.283327916703</v>
      </c>
      <c r="K1807" s="65">
        <v>0.7</v>
      </c>
      <c r="L1807" s="65" t="s">
        <v>183</v>
      </c>
      <c r="M1807" s="65" t="s">
        <v>183</v>
      </c>
      <c r="N1807" s="65" t="b">
        <f>TRUE()</f>
        <v>1</v>
      </c>
      <c r="O1807" s="71">
        <v>15000</v>
      </c>
      <c r="P1807" s="71">
        <v>40000</v>
      </c>
      <c r="Q1807" s="65" t="s">
        <v>3663</v>
      </c>
      <c r="R1807" s="65" t="s">
        <v>3664</v>
      </c>
      <c r="S1807" s="71">
        <v>330000</v>
      </c>
      <c r="T1807" s="65" t="b">
        <f>TRUE()</f>
        <v>1</v>
      </c>
      <c r="U1807" s="65" t="b">
        <f>FALSE()</f>
        <v>0</v>
      </c>
      <c r="V1807" s="65">
        <v>362</v>
      </c>
      <c r="W1807" s="65" t="s">
        <v>6569</v>
      </c>
      <c r="X1807" s="65">
        <v>3</v>
      </c>
      <c r="Y1807" s="68">
        <v>5.25</v>
      </c>
      <c r="Z1807" s="65" t="b">
        <f>FALSE()</f>
        <v>0</v>
      </c>
      <c r="AA1807" s="65" t="b">
        <f>FALSE()</f>
        <v>0</v>
      </c>
      <c r="AB1807" s="65" t="b">
        <f>FALSE()</f>
        <v>0</v>
      </c>
      <c r="AC1807" s="65" t="b">
        <f>FALSE()</f>
        <v>0</v>
      </c>
      <c r="AD1807" s="65" t="b">
        <f>FALSE()</f>
        <v>0</v>
      </c>
      <c r="AE1807" s="65">
        <v>0</v>
      </c>
      <c r="AF1807" s="69">
        <v>0</v>
      </c>
      <c r="AG1807" s="65" t="s">
        <v>74</v>
      </c>
      <c r="AH1807" s="65" t="s">
        <v>6570</v>
      </c>
      <c r="AI1807">
        <f>IF(AND(OR(Company_Explorer!$B$5="All Companies",$E1807=Company_Explorer!$B$5),OR(Company_Explorer!$B$6="All Platforms",$B1807=Company_Explorer!$B$6),OR(Company_Explorer!$B$7="All Roles",$D1807=Company_Explorer!$B$7),OR(Company_Explorer!$B$8="All Ghost Labels",$AG1807=Company_Explorer!$B$8)),1,0)</f>
        <v>0</v>
      </c>
    </row>
    <row r="1808" spans="1:35" ht="15" customHeight="1" x14ac:dyDescent="0.3">
      <c r="A1808" s="60" t="s">
        <v>6571</v>
      </c>
      <c r="B1808" s="60" t="s">
        <v>81</v>
      </c>
      <c r="C1808" s="60" t="s">
        <v>6572</v>
      </c>
      <c r="D1808" s="60" t="s">
        <v>130</v>
      </c>
      <c r="E1808" s="60" t="s">
        <v>6573</v>
      </c>
      <c r="F1808" s="60" t="b">
        <f>TRUE()</f>
        <v>1</v>
      </c>
      <c r="G1808" s="60" t="s">
        <v>177</v>
      </c>
      <c r="H1808" s="60" t="s">
        <v>165</v>
      </c>
      <c r="I1808" s="61">
        <v>46209.690348877302</v>
      </c>
      <c r="J1808" s="61">
        <v>46210.283327939796</v>
      </c>
      <c r="K1808" s="60">
        <v>0.6</v>
      </c>
      <c r="L1808" s="60" t="s">
        <v>183</v>
      </c>
      <c r="M1808" s="60" t="s">
        <v>183</v>
      </c>
      <c r="N1808" s="60" t="b">
        <f>TRUE()</f>
        <v>1</v>
      </c>
      <c r="O1808" s="70">
        <v>95355</v>
      </c>
      <c r="P1808" s="70">
        <v>143033</v>
      </c>
      <c r="Q1808" s="60" t="s">
        <v>3663</v>
      </c>
      <c r="R1808" s="60" t="s">
        <v>3664</v>
      </c>
      <c r="S1808" s="70">
        <v>1430328</v>
      </c>
      <c r="T1808" s="60" t="b">
        <f>TRUE()</f>
        <v>1</v>
      </c>
      <c r="U1808" s="60" t="b">
        <f>FALSE()</f>
        <v>0</v>
      </c>
      <c r="V1808" s="60">
        <v>250</v>
      </c>
      <c r="W1808" s="62" t="s">
        <v>6574</v>
      </c>
      <c r="X1808" s="60">
        <v>1</v>
      </c>
      <c r="Y1808" s="63">
        <v>1.75</v>
      </c>
      <c r="Z1808" s="60" t="b">
        <f>FALSE()</f>
        <v>0</v>
      </c>
      <c r="AA1808" s="60" t="b">
        <f>FALSE()</f>
        <v>0</v>
      </c>
      <c r="AB1808" s="60" t="b">
        <f>TRUE()</f>
        <v>1</v>
      </c>
      <c r="AC1808" s="60" t="b">
        <f>FALSE()</f>
        <v>0</v>
      </c>
      <c r="AD1808" s="60" t="b">
        <f>FALSE()</f>
        <v>0</v>
      </c>
      <c r="AE1808" s="60">
        <v>1</v>
      </c>
      <c r="AF1808" s="64">
        <v>14.3</v>
      </c>
      <c r="AG1808" s="60" t="s">
        <v>74</v>
      </c>
      <c r="AH1808" s="60" t="s">
        <v>6575</v>
      </c>
      <c r="AI1808">
        <f>IF(AND(OR(Company_Explorer!$B$5="All Companies",$E1808=Company_Explorer!$B$5),OR(Company_Explorer!$B$6="All Platforms",$B1808=Company_Explorer!$B$6),OR(Company_Explorer!$B$7="All Roles",$D1808=Company_Explorer!$B$7),OR(Company_Explorer!$B$8="All Ghost Labels",$AG1808=Company_Explorer!$B$8)),1,0)</f>
        <v>0</v>
      </c>
    </row>
    <row r="1809" spans="1:35" ht="15" customHeight="1" x14ac:dyDescent="0.3">
      <c r="A1809" s="65" t="s">
        <v>6576</v>
      </c>
      <c r="B1809" s="65" t="s">
        <v>81</v>
      </c>
      <c r="C1809" s="65" t="s">
        <v>6577</v>
      </c>
      <c r="D1809" s="65" t="s">
        <v>125</v>
      </c>
      <c r="E1809" s="65" t="s">
        <v>6578</v>
      </c>
      <c r="F1809" s="65" t="b">
        <f>TRUE()</f>
        <v>1</v>
      </c>
      <c r="G1809" s="65" t="s">
        <v>165</v>
      </c>
      <c r="H1809" s="65" t="s">
        <v>165</v>
      </c>
      <c r="I1809" s="66">
        <v>46209.7628672801</v>
      </c>
      <c r="J1809" s="66">
        <v>46210.283328645797</v>
      </c>
      <c r="K1809" s="65">
        <v>0.5</v>
      </c>
      <c r="L1809" s="65" t="s">
        <v>183</v>
      </c>
      <c r="M1809" s="65" t="s">
        <v>183</v>
      </c>
      <c r="N1809" s="65" t="b">
        <f>FALSE()</f>
        <v>0</v>
      </c>
      <c r="O1809" s="65"/>
      <c r="P1809" s="65"/>
      <c r="Q1809" s="65" t="s">
        <v>236</v>
      </c>
      <c r="R1809" s="65" t="s">
        <v>236</v>
      </c>
      <c r="S1809" s="65"/>
      <c r="T1809" s="65" t="b">
        <f>FALSE()</f>
        <v>0</v>
      </c>
      <c r="U1809" s="65" t="b">
        <f>FALSE()</f>
        <v>0</v>
      </c>
      <c r="V1809" s="65">
        <v>215</v>
      </c>
      <c r="W1809" s="67" t="s">
        <v>6579</v>
      </c>
      <c r="X1809" s="65">
        <v>1</v>
      </c>
      <c r="Y1809" s="68">
        <v>1.75</v>
      </c>
      <c r="Z1809" s="65" t="b">
        <f>FALSE()</f>
        <v>0</v>
      </c>
      <c r="AA1809" s="65" t="b">
        <f>TRUE()</f>
        <v>1</v>
      </c>
      <c r="AB1809" s="65" t="b">
        <f>TRUE()</f>
        <v>1</v>
      </c>
      <c r="AC1809" s="65" t="b">
        <f>FALSE()</f>
        <v>0</v>
      </c>
      <c r="AD1809" s="65" t="b">
        <f>FALSE()</f>
        <v>0</v>
      </c>
      <c r="AE1809" s="65">
        <v>2</v>
      </c>
      <c r="AF1809" s="69">
        <v>28.6</v>
      </c>
      <c r="AG1809" s="65" t="s">
        <v>73</v>
      </c>
      <c r="AH1809" s="65" t="s">
        <v>6580</v>
      </c>
      <c r="AI1809">
        <f>IF(AND(OR(Company_Explorer!$B$5="All Companies",$E1809=Company_Explorer!$B$5),OR(Company_Explorer!$B$6="All Platforms",$B1809=Company_Explorer!$B$6),OR(Company_Explorer!$B$7="All Roles",$D1809=Company_Explorer!$B$7),OR(Company_Explorer!$B$8="All Ghost Labels",$AG1809=Company_Explorer!$B$8)),1,0)</f>
        <v>0</v>
      </c>
    </row>
    <row r="1810" spans="1:35" ht="15" customHeight="1" x14ac:dyDescent="0.3">
      <c r="A1810" s="60" t="s">
        <v>6581</v>
      </c>
      <c r="B1810" s="60" t="s">
        <v>81</v>
      </c>
      <c r="C1810" s="60" t="s">
        <v>6582</v>
      </c>
      <c r="D1810" s="60" t="s">
        <v>130</v>
      </c>
      <c r="E1810" s="60" t="s">
        <v>6583</v>
      </c>
      <c r="F1810" s="60" t="b">
        <f>TRUE()</f>
        <v>1</v>
      </c>
      <c r="G1810" s="60" t="s">
        <v>165</v>
      </c>
      <c r="H1810" s="60" t="s">
        <v>3630</v>
      </c>
      <c r="I1810" s="61">
        <v>46209.602846620401</v>
      </c>
      <c r="J1810" s="61">
        <v>46210.283328669</v>
      </c>
      <c r="K1810" s="60">
        <v>0.7</v>
      </c>
      <c r="L1810" s="60" t="s">
        <v>183</v>
      </c>
      <c r="M1810" s="60" t="s">
        <v>183</v>
      </c>
      <c r="N1810" s="60" t="b">
        <f>FALSE()</f>
        <v>0</v>
      </c>
      <c r="O1810" s="60"/>
      <c r="P1810" s="60"/>
      <c r="Q1810" s="60" t="s">
        <v>236</v>
      </c>
      <c r="R1810" s="60" t="s">
        <v>236</v>
      </c>
      <c r="S1810" s="60"/>
      <c r="T1810" s="60" t="b">
        <f>FALSE()</f>
        <v>0</v>
      </c>
      <c r="U1810" s="60" t="b">
        <f>FALSE()</f>
        <v>0</v>
      </c>
      <c r="V1810" s="60">
        <v>212</v>
      </c>
      <c r="W1810" s="62" t="s">
        <v>6584</v>
      </c>
      <c r="X1810" s="60">
        <v>1</v>
      </c>
      <c r="Y1810" s="63">
        <v>1.75</v>
      </c>
      <c r="Z1810" s="60" t="b">
        <f>FALSE()</f>
        <v>0</v>
      </c>
      <c r="AA1810" s="60" t="b">
        <f>TRUE()</f>
        <v>1</v>
      </c>
      <c r="AB1810" s="60" t="b">
        <f>TRUE()</f>
        <v>1</v>
      </c>
      <c r="AC1810" s="60" t="b">
        <f>FALSE()</f>
        <v>0</v>
      </c>
      <c r="AD1810" s="60" t="b">
        <f>FALSE()</f>
        <v>0</v>
      </c>
      <c r="AE1810" s="60">
        <v>2</v>
      </c>
      <c r="AF1810" s="64">
        <v>28.6</v>
      </c>
      <c r="AG1810" s="60" t="s">
        <v>73</v>
      </c>
      <c r="AH1810" s="60" t="s">
        <v>6585</v>
      </c>
      <c r="AI1810">
        <f>IF(AND(OR(Company_Explorer!$B$5="All Companies",$E1810=Company_Explorer!$B$5),OR(Company_Explorer!$B$6="All Platforms",$B1810=Company_Explorer!$B$6),OR(Company_Explorer!$B$7="All Roles",$D1810=Company_Explorer!$B$7),OR(Company_Explorer!$B$8="All Ghost Labels",$AG1810=Company_Explorer!$B$8)),1,0)</f>
        <v>0</v>
      </c>
    </row>
    <row r="1811" spans="1:35" ht="15" customHeight="1" x14ac:dyDescent="0.3">
      <c r="A1811" s="65" t="s">
        <v>6586</v>
      </c>
      <c r="B1811" s="65" t="s">
        <v>81</v>
      </c>
      <c r="C1811" s="65" t="s">
        <v>6587</v>
      </c>
      <c r="D1811" s="65" t="s">
        <v>131</v>
      </c>
      <c r="E1811" s="65" t="s">
        <v>6555</v>
      </c>
      <c r="F1811" s="65" t="b">
        <f>TRUE()</f>
        <v>1</v>
      </c>
      <c r="G1811" s="65" t="s">
        <v>165</v>
      </c>
      <c r="H1811" s="65" t="s">
        <v>4093</v>
      </c>
      <c r="I1811" s="66">
        <v>46209.567860937503</v>
      </c>
      <c r="J1811" s="66">
        <v>46210.283328761601</v>
      </c>
      <c r="K1811" s="65">
        <v>0.7</v>
      </c>
      <c r="L1811" s="65" t="s">
        <v>183</v>
      </c>
      <c r="M1811" s="65" t="s">
        <v>183</v>
      </c>
      <c r="N1811" s="65" t="b">
        <f>TRUE()</f>
        <v>1</v>
      </c>
      <c r="O1811" s="71">
        <v>15000</v>
      </c>
      <c r="P1811" s="71">
        <v>40000</v>
      </c>
      <c r="Q1811" s="65" t="s">
        <v>3663</v>
      </c>
      <c r="R1811" s="65" t="s">
        <v>3664</v>
      </c>
      <c r="S1811" s="71">
        <v>330000</v>
      </c>
      <c r="T1811" s="65" t="b">
        <f>TRUE()</f>
        <v>1</v>
      </c>
      <c r="U1811" s="65" t="b">
        <f>FALSE()</f>
        <v>0</v>
      </c>
      <c r="V1811" s="65">
        <v>321</v>
      </c>
      <c r="W1811" s="65" t="s">
        <v>6588</v>
      </c>
      <c r="X1811" s="65">
        <v>3</v>
      </c>
      <c r="Y1811" s="68">
        <v>5.25</v>
      </c>
      <c r="Z1811" s="65" t="b">
        <f>FALSE()</f>
        <v>0</v>
      </c>
      <c r="AA1811" s="65" t="b">
        <f>FALSE()</f>
        <v>0</v>
      </c>
      <c r="AB1811" s="65" t="b">
        <f>FALSE()</f>
        <v>0</v>
      </c>
      <c r="AC1811" s="65" t="b">
        <f>FALSE()</f>
        <v>0</v>
      </c>
      <c r="AD1811" s="65" t="b">
        <f>FALSE()</f>
        <v>0</v>
      </c>
      <c r="AE1811" s="65">
        <v>0</v>
      </c>
      <c r="AF1811" s="69">
        <v>0</v>
      </c>
      <c r="AG1811" s="65" t="s">
        <v>74</v>
      </c>
      <c r="AH1811" s="65" t="s">
        <v>6589</v>
      </c>
      <c r="AI1811">
        <f>IF(AND(OR(Company_Explorer!$B$5="All Companies",$E1811=Company_Explorer!$B$5),OR(Company_Explorer!$B$6="All Platforms",$B1811=Company_Explorer!$B$6),OR(Company_Explorer!$B$7="All Roles",$D1811=Company_Explorer!$B$7),OR(Company_Explorer!$B$8="All Ghost Labels",$AG1811=Company_Explorer!$B$8)),1,0)</f>
        <v>0</v>
      </c>
    </row>
    <row r="1812" spans="1:35" ht="15" customHeight="1" x14ac:dyDescent="0.3">
      <c r="A1812" s="60" t="s">
        <v>6590</v>
      </c>
      <c r="B1812" s="60" t="s">
        <v>81</v>
      </c>
      <c r="C1812" s="60" t="s">
        <v>6591</v>
      </c>
      <c r="D1812" s="60" t="s">
        <v>125</v>
      </c>
      <c r="E1812" s="60" t="s">
        <v>6592</v>
      </c>
      <c r="F1812" s="60" t="b">
        <f>TRUE()</f>
        <v>1</v>
      </c>
      <c r="G1812" s="60" t="s">
        <v>165</v>
      </c>
      <c r="H1812" s="60" t="s">
        <v>3678</v>
      </c>
      <c r="I1812" s="61">
        <v>46209.565729027803</v>
      </c>
      <c r="J1812" s="61">
        <v>46210.283328854202</v>
      </c>
      <c r="K1812" s="60">
        <v>0.7</v>
      </c>
      <c r="L1812" s="60" t="s">
        <v>183</v>
      </c>
      <c r="M1812" s="60" t="s">
        <v>183</v>
      </c>
      <c r="N1812" s="60" t="b">
        <f>FALSE()</f>
        <v>0</v>
      </c>
      <c r="O1812" s="60"/>
      <c r="P1812" s="60"/>
      <c r="Q1812" s="60" t="s">
        <v>3663</v>
      </c>
      <c r="R1812" s="60" t="s">
        <v>3664</v>
      </c>
      <c r="S1812" s="60"/>
      <c r="T1812" s="60" t="b">
        <f>FALSE()</f>
        <v>0</v>
      </c>
      <c r="U1812" s="60" t="b">
        <f>FALSE()</f>
        <v>0</v>
      </c>
      <c r="V1812" s="60">
        <v>242</v>
      </c>
      <c r="W1812" s="62" t="s">
        <v>6593</v>
      </c>
      <c r="X1812" s="60">
        <v>1</v>
      </c>
      <c r="Y1812" s="63">
        <v>1.75</v>
      </c>
      <c r="Z1812" s="60" t="b">
        <f>FALSE()</f>
        <v>0</v>
      </c>
      <c r="AA1812" s="60" t="b">
        <f>TRUE()</f>
        <v>1</v>
      </c>
      <c r="AB1812" s="60" t="b">
        <f>TRUE()</f>
        <v>1</v>
      </c>
      <c r="AC1812" s="60" t="b">
        <f>FALSE()</f>
        <v>0</v>
      </c>
      <c r="AD1812" s="60" t="b">
        <f>FALSE()</f>
        <v>0</v>
      </c>
      <c r="AE1812" s="60">
        <v>2</v>
      </c>
      <c r="AF1812" s="64">
        <v>28.6</v>
      </c>
      <c r="AG1812" s="60" t="s">
        <v>73</v>
      </c>
      <c r="AH1812" s="60" t="s">
        <v>6594</v>
      </c>
      <c r="AI1812">
        <f>IF(AND(OR(Company_Explorer!$B$5="All Companies",$E1812=Company_Explorer!$B$5),OR(Company_Explorer!$B$6="All Platforms",$B1812=Company_Explorer!$B$6),OR(Company_Explorer!$B$7="All Roles",$D1812=Company_Explorer!$B$7),OR(Company_Explorer!$B$8="All Ghost Labels",$AG1812=Company_Explorer!$B$8)),1,0)</f>
        <v>0</v>
      </c>
    </row>
    <row r="1813" spans="1:35" ht="15" customHeight="1" x14ac:dyDescent="0.3">
      <c r="A1813" s="65" t="s">
        <v>6595</v>
      </c>
      <c r="B1813" s="65" t="s">
        <v>81</v>
      </c>
      <c r="C1813" s="65" t="s">
        <v>6596</v>
      </c>
      <c r="D1813" s="65" t="s">
        <v>125</v>
      </c>
      <c r="E1813" s="65" t="s">
        <v>445</v>
      </c>
      <c r="F1813" s="65" t="b">
        <f>TRUE()</f>
        <v>1</v>
      </c>
      <c r="G1813" s="65" t="s">
        <v>165</v>
      </c>
      <c r="H1813" s="65" t="s">
        <v>3620</v>
      </c>
      <c r="I1813" s="66">
        <v>46209.600383784702</v>
      </c>
      <c r="J1813" s="66">
        <v>46210.283328807898</v>
      </c>
      <c r="K1813" s="65">
        <v>0.7</v>
      </c>
      <c r="L1813" s="65" t="s">
        <v>183</v>
      </c>
      <c r="M1813" s="65" t="s">
        <v>183</v>
      </c>
      <c r="N1813" s="65" t="b">
        <f>FALSE()</f>
        <v>0</v>
      </c>
      <c r="O1813" s="65"/>
      <c r="P1813" s="65"/>
      <c r="Q1813" s="65" t="s">
        <v>236</v>
      </c>
      <c r="R1813" s="65" t="s">
        <v>236</v>
      </c>
      <c r="S1813" s="65"/>
      <c r="T1813" s="65" t="b">
        <f>FALSE()</f>
        <v>0</v>
      </c>
      <c r="U1813" s="65" t="b">
        <f>FALSE()</f>
        <v>0</v>
      </c>
      <c r="V1813" s="65">
        <v>840</v>
      </c>
      <c r="W1813" s="67" t="s">
        <v>446</v>
      </c>
      <c r="X1813" s="65">
        <v>2</v>
      </c>
      <c r="Y1813" s="68">
        <v>3.5</v>
      </c>
      <c r="Z1813" s="65" t="b">
        <f>FALSE()</f>
        <v>0</v>
      </c>
      <c r="AA1813" s="65" t="b">
        <f>TRUE()</f>
        <v>1</v>
      </c>
      <c r="AB1813" s="65" t="b">
        <f>FALSE()</f>
        <v>0</v>
      </c>
      <c r="AC1813" s="65" t="b">
        <f>FALSE()</f>
        <v>0</v>
      </c>
      <c r="AD1813" s="65" t="b">
        <f>FALSE()</f>
        <v>0</v>
      </c>
      <c r="AE1813" s="65">
        <v>1</v>
      </c>
      <c r="AF1813" s="69">
        <v>14.3</v>
      </c>
      <c r="AG1813" s="65" t="s">
        <v>74</v>
      </c>
      <c r="AH1813" s="65" t="s">
        <v>6597</v>
      </c>
      <c r="AI1813">
        <f>IF(AND(OR(Company_Explorer!$B$5="All Companies",$E1813=Company_Explorer!$B$5),OR(Company_Explorer!$B$6="All Platforms",$B1813=Company_Explorer!$B$6),OR(Company_Explorer!$B$7="All Roles",$D1813=Company_Explorer!$B$7),OR(Company_Explorer!$B$8="All Ghost Labels",$AG1813=Company_Explorer!$B$8)),1,0)</f>
        <v>0</v>
      </c>
    </row>
    <row r="1814" spans="1:35" ht="15" customHeight="1" x14ac:dyDescent="0.3">
      <c r="A1814" s="60" t="s">
        <v>6598</v>
      </c>
      <c r="B1814" s="60" t="s">
        <v>81</v>
      </c>
      <c r="C1814" s="60" t="s">
        <v>6599</v>
      </c>
      <c r="D1814" s="60" t="s">
        <v>125</v>
      </c>
      <c r="E1814" s="60" t="s">
        <v>6600</v>
      </c>
      <c r="F1814" s="60" t="b">
        <f>TRUE()</f>
        <v>1</v>
      </c>
      <c r="G1814" s="60" t="s">
        <v>165</v>
      </c>
      <c r="H1814" s="60" t="s">
        <v>3672</v>
      </c>
      <c r="I1814" s="61">
        <v>46209.685463321803</v>
      </c>
      <c r="J1814" s="61">
        <v>46210.283329826401</v>
      </c>
      <c r="K1814" s="60">
        <v>0.6</v>
      </c>
      <c r="L1814" s="60" t="s">
        <v>183</v>
      </c>
      <c r="M1814" s="60" t="s">
        <v>183</v>
      </c>
      <c r="N1814" s="60" t="b">
        <f>TRUE()</f>
        <v>1</v>
      </c>
      <c r="O1814" s="70">
        <v>431130.09375</v>
      </c>
      <c r="P1814" s="70">
        <v>1786110.25</v>
      </c>
      <c r="Q1814" s="60" t="s">
        <v>3663</v>
      </c>
      <c r="R1814" s="60" t="s">
        <v>3961</v>
      </c>
      <c r="S1814" s="70">
        <v>1108620</v>
      </c>
      <c r="T1814" s="60" t="b">
        <f>TRUE()</f>
        <v>1</v>
      </c>
      <c r="U1814" s="60" t="b">
        <f>FALSE()</f>
        <v>0</v>
      </c>
      <c r="V1814" s="60">
        <v>38</v>
      </c>
      <c r="W1814" s="62" t="s">
        <v>6601</v>
      </c>
      <c r="X1814" s="60">
        <v>1</v>
      </c>
      <c r="Y1814" s="63">
        <v>1.75</v>
      </c>
      <c r="Z1814" s="60" t="b">
        <f>FALSE()</f>
        <v>0</v>
      </c>
      <c r="AA1814" s="60" t="b">
        <f>FALSE()</f>
        <v>0</v>
      </c>
      <c r="AB1814" s="60" t="b">
        <f>TRUE()</f>
        <v>1</v>
      </c>
      <c r="AC1814" s="60" t="b">
        <f>FALSE()</f>
        <v>0</v>
      </c>
      <c r="AD1814" s="60" t="b">
        <f>FALSE()</f>
        <v>0</v>
      </c>
      <c r="AE1814" s="60">
        <v>1</v>
      </c>
      <c r="AF1814" s="64">
        <v>14.3</v>
      </c>
      <c r="AG1814" s="60" t="s">
        <v>74</v>
      </c>
      <c r="AH1814" s="60" t="s">
        <v>6602</v>
      </c>
      <c r="AI1814">
        <f>IF(AND(OR(Company_Explorer!$B$5="All Companies",$E1814=Company_Explorer!$B$5),OR(Company_Explorer!$B$6="All Platforms",$B1814=Company_Explorer!$B$6),OR(Company_Explorer!$B$7="All Roles",$D1814=Company_Explorer!$B$7),OR(Company_Explorer!$B$8="All Ghost Labels",$AG1814=Company_Explorer!$B$8)),1,0)</f>
        <v>0</v>
      </c>
    </row>
    <row r="1815" spans="1:35" ht="15" customHeight="1" x14ac:dyDescent="0.3">
      <c r="A1815" s="65" t="s">
        <v>6603</v>
      </c>
      <c r="B1815" s="65" t="s">
        <v>81</v>
      </c>
      <c r="C1815" s="65" t="s">
        <v>6604</v>
      </c>
      <c r="D1815" s="65" t="s">
        <v>125</v>
      </c>
      <c r="E1815" s="65" t="s">
        <v>3810</v>
      </c>
      <c r="F1815" s="65" t="b">
        <f>TRUE()</f>
        <v>1</v>
      </c>
      <c r="G1815" s="65" t="s">
        <v>165</v>
      </c>
      <c r="H1815" s="65" t="s">
        <v>3620</v>
      </c>
      <c r="I1815" s="66">
        <v>46209.599942395798</v>
      </c>
      <c r="J1815" s="66">
        <v>46210.283329907397</v>
      </c>
      <c r="K1815" s="65">
        <v>0.7</v>
      </c>
      <c r="L1815" s="65" t="s">
        <v>183</v>
      </c>
      <c r="M1815" s="65" t="s">
        <v>183</v>
      </c>
      <c r="N1815" s="65" t="b">
        <f>FALSE()</f>
        <v>0</v>
      </c>
      <c r="O1815" s="65"/>
      <c r="P1815" s="65"/>
      <c r="Q1815" s="65" t="s">
        <v>236</v>
      </c>
      <c r="R1815" s="65" t="s">
        <v>236</v>
      </c>
      <c r="S1815" s="65"/>
      <c r="T1815" s="65" t="b">
        <f>FALSE()</f>
        <v>0</v>
      </c>
      <c r="U1815" s="65" t="b">
        <f>FALSE()</f>
        <v>0</v>
      </c>
      <c r="V1815" s="65">
        <v>1056</v>
      </c>
      <c r="W1815" s="67" t="s">
        <v>6605</v>
      </c>
      <c r="X1815" s="65">
        <v>10</v>
      </c>
      <c r="Y1815" s="68">
        <v>17.5</v>
      </c>
      <c r="Z1815" s="65" t="b">
        <f>FALSE()</f>
        <v>0</v>
      </c>
      <c r="AA1815" s="65" t="b">
        <f>TRUE()</f>
        <v>1</v>
      </c>
      <c r="AB1815" s="65" t="b">
        <f>FALSE()</f>
        <v>0</v>
      </c>
      <c r="AC1815" s="65" t="b">
        <f>FALSE()</f>
        <v>0</v>
      </c>
      <c r="AD1815" s="65" t="b">
        <f>FALSE()</f>
        <v>0</v>
      </c>
      <c r="AE1815" s="65">
        <v>1</v>
      </c>
      <c r="AF1815" s="69">
        <v>14.3</v>
      </c>
      <c r="AG1815" s="65" t="s">
        <v>74</v>
      </c>
      <c r="AH1815" s="65" t="s">
        <v>6606</v>
      </c>
      <c r="AI1815">
        <f>IF(AND(OR(Company_Explorer!$B$5="All Companies",$E1815=Company_Explorer!$B$5),OR(Company_Explorer!$B$6="All Platforms",$B1815=Company_Explorer!$B$6),OR(Company_Explorer!$B$7="All Roles",$D1815=Company_Explorer!$B$7),OR(Company_Explorer!$B$8="All Ghost Labels",$AG1815=Company_Explorer!$B$8)),1,0)</f>
        <v>0</v>
      </c>
    </row>
    <row r="1816" spans="1:35" ht="15" customHeight="1" x14ac:dyDescent="0.3">
      <c r="A1816" s="60" t="s">
        <v>6607</v>
      </c>
      <c r="B1816" s="60" t="s">
        <v>81</v>
      </c>
      <c r="C1816" s="60" t="s">
        <v>6608</v>
      </c>
      <c r="D1816" s="60" t="s">
        <v>130</v>
      </c>
      <c r="E1816" s="60" t="s">
        <v>3726</v>
      </c>
      <c r="F1816" s="60" t="b">
        <f>FALSE()</f>
        <v>0</v>
      </c>
      <c r="G1816" s="60" t="s">
        <v>177</v>
      </c>
      <c r="H1816" s="60" t="s">
        <v>165</v>
      </c>
      <c r="I1816" s="61">
        <v>46209.761312407398</v>
      </c>
      <c r="J1816" s="61">
        <v>46210.283329953701</v>
      </c>
      <c r="K1816" s="60">
        <v>0.5</v>
      </c>
      <c r="L1816" s="60" t="s">
        <v>183</v>
      </c>
      <c r="M1816" s="60" t="s">
        <v>183</v>
      </c>
      <c r="N1816" s="60" t="b">
        <f>TRUE()</f>
        <v>1</v>
      </c>
      <c r="O1816" s="70">
        <v>379799.9375</v>
      </c>
      <c r="P1816" s="70">
        <v>1632030</v>
      </c>
      <c r="Q1816" s="60" t="s">
        <v>3663</v>
      </c>
      <c r="R1816" s="60" t="s">
        <v>3961</v>
      </c>
      <c r="S1816" s="70">
        <v>1005915</v>
      </c>
      <c r="T1816" s="60" t="b">
        <f>TRUE()</f>
        <v>1</v>
      </c>
      <c r="U1816" s="60" t="b">
        <f>FALSE()</f>
        <v>0</v>
      </c>
      <c r="V1816" s="60">
        <v>265</v>
      </c>
      <c r="W1816" s="62" t="s">
        <v>6609</v>
      </c>
      <c r="X1816" s="60"/>
      <c r="Y1816" s="63"/>
      <c r="Z1816" s="60" t="b">
        <f>TRUE()</f>
        <v>1</v>
      </c>
      <c r="AA1816" s="60" t="b">
        <f>FALSE()</f>
        <v>0</v>
      </c>
      <c r="AB1816" s="60" t="b">
        <f>TRUE()</f>
        <v>1</v>
      </c>
      <c r="AC1816" s="60" t="b">
        <f>FALSE()</f>
        <v>0</v>
      </c>
      <c r="AD1816" s="60" t="b">
        <f>FALSE()</f>
        <v>0</v>
      </c>
      <c r="AE1816" s="60">
        <v>3</v>
      </c>
      <c r="AF1816" s="64">
        <v>42.9</v>
      </c>
      <c r="AG1816" s="60" t="s">
        <v>73</v>
      </c>
      <c r="AH1816" s="60" t="s">
        <v>6610</v>
      </c>
      <c r="AI1816">
        <f>IF(AND(OR(Company_Explorer!$B$5="All Companies",$E1816=Company_Explorer!$B$5),OR(Company_Explorer!$B$6="All Platforms",$B1816=Company_Explorer!$B$6),OR(Company_Explorer!$B$7="All Roles",$D1816=Company_Explorer!$B$7),OR(Company_Explorer!$B$8="All Ghost Labels",$AG1816=Company_Explorer!$B$8)),1,0)</f>
        <v>0</v>
      </c>
    </row>
    <row r="1817" spans="1:35" ht="15" customHeight="1" x14ac:dyDescent="0.3">
      <c r="A1817" s="65" t="s">
        <v>6611</v>
      </c>
      <c r="B1817" s="65" t="s">
        <v>81</v>
      </c>
      <c r="C1817" s="65" t="s">
        <v>2869</v>
      </c>
      <c r="D1817" s="65" t="s">
        <v>125</v>
      </c>
      <c r="E1817" s="65" t="s">
        <v>144</v>
      </c>
      <c r="F1817" s="65" t="b">
        <f>TRUE()</f>
        <v>1</v>
      </c>
      <c r="G1817" s="65" t="s">
        <v>165</v>
      </c>
      <c r="H1817" s="65" t="s">
        <v>3672</v>
      </c>
      <c r="I1817" s="66">
        <v>46209.6802078357</v>
      </c>
      <c r="J1817" s="66">
        <v>46210.283331053201</v>
      </c>
      <c r="K1817" s="65">
        <v>0.6</v>
      </c>
      <c r="L1817" s="65" t="s">
        <v>183</v>
      </c>
      <c r="M1817" s="65" t="s">
        <v>183</v>
      </c>
      <c r="N1817" s="65" t="b">
        <f>FALSE()</f>
        <v>0</v>
      </c>
      <c r="O1817" s="65"/>
      <c r="P1817" s="65"/>
      <c r="Q1817" s="65" t="s">
        <v>236</v>
      </c>
      <c r="R1817" s="65" t="s">
        <v>236</v>
      </c>
      <c r="S1817" s="65"/>
      <c r="T1817" s="65" t="b">
        <f>FALSE()</f>
        <v>0</v>
      </c>
      <c r="U1817" s="65" t="b">
        <f>FALSE()</f>
        <v>0</v>
      </c>
      <c r="V1817" s="65">
        <v>152</v>
      </c>
      <c r="W1817" s="67" t="s">
        <v>6612</v>
      </c>
      <c r="X1817" s="65">
        <v>41</v>
      </c>
      <c r="Y1817" s="68">
        <v>71.75</v>
      </c>
      <c r="Z1817" s="65" t="b">
        <f>FALSE()</f>
        <v>0</v>
      </c>
      <c r="AA1817" s="65" t="b">
        <f>TRUE()</f>
        <v>1</v>
      </c>
      <c r="AB1817" s="65" t="b">
        <f>TRUE()</f>
        <v>1</v>
      </c>
      <c r="AC1817" s="65" t="b">
        <f>FALSE()</f>
        <v>0</v>
      </c>
      <c r="AD1817" s="65" t="b">
        <f>FALSE()</f>
        <v>0</v>
      </c>
      <c r="AE1817" s="65">
        <v>2</v>
      </c>
      <c r="AF1817" s="69">
        <v>28.6</v>
      </c>
      <c r="AG1817" s="65" t="s">
        <v>73</v>
      </c>
      <c r="AH1817" s="65" t="s">
        <v>6613</v>
      </c>
      <c r="AI1817">
        <f>IF(AND(OR(Company_Explorer!$B$5="All Companies",$E1817=Company_Explorer!$B$5),OR(Company_Explorer!$B$6="All Platforms",$B1817=Company_Explorer!$B$6),OR(Company_Explorer!$B$7="All Roles",$D1817=Company_Explorer!$B$7),OR(Company_Explorer!$B$8="All Ghost Labels",$AG1817=Company_Explorer!$B$8)),1,0)</f>
        <v>0</v>
      </c>
    </row>
    <row r="1818" spans="1:35" ht="15" customHeight="1" x14ac:dyDescent="0.3">
      <c r="A1818" s="60" t="s">
        <v>6614</v>
      </c>
      <c r="B1818" s="60" t="s">
        <v>81</v>
      </c>
      <c r="C1818" s="60" t="s">
        <v>6615</v>
      </c>
      <c r="D1818" s="60" t="s">
        <v>125</v>
      </c>
      <c r="E1818" s="60" t="s">
        <v>6616</v>
      </c>
      <c r="F1818" s="60" t="b">
        <f>TRUE()</f>
        <v>1</v>
      </c>
      <c r="G1818" s="60" t="s">
        <v>165</v>
      </c>
      <c r="H1818" s="60" t="s">
        <v>3702</v>
      </c>
      <c r="I1818" s="61">
        <v>46209.758389722199</v>
      </c>
      <c r="J1818" s="61">
        <v>46210.283332314801</v>
      </c>
      <c r="K1818" s="60">
        <v>0.5</v>
      </c>
      <c r="L1818" s="60" t="s">
        <v>183</v>
      </c>
      <c r="M1818" s="60" t="s">
        <v>183</v>
      </c>
      <c r="N1818" s="60" t="b">
        <f>TRUE()</f>
        <v>1</v>
      </c>
      <c r="O1818" s="70">
        <v>500000</v>
      </c>
      <c r="P1818" s="70">
        <v>650000</v>
      </c>
      <c r="Q1818" s="60" t="s">
        <v>3663</v>
      </c>
      <c r="R1818" s="60" t="s">
        <v>3961</v>
      </c>
      <c r="S1818" s="70">
        <v>575000</v>
      </c>
      <c r="T1818" s="60" t="b">
        <f>TRUE()</f>
        <v>1</v>
      </c>
      <c r="U1818" s="60" t="b">
        <f>FALSE()</f>
        <v>0</v>
      </c>
      <c r="V1818" s="60">
        <v>360</v>
      </c>
      <c r="W1818" s="62" t="s">
        <v>6617</v>
      </c>
      <c r="X1818" s="60">
        <v>1</v>
      </c>
      <c r="Y1818" s="63">
        <v>1.75</v>
      </c>
      <c r="Z1818" s="60" t="b">
        <f>FALSE()</f>
        <v>0</v>
      </c>
      <c r="AA1818" s="60" t="b">
        <f>FALSE()</f>
        <v>0</v>
      </c>
      <c r="AB1818" s="60" t="b">
        <f>FALSE()</f>
        <v>0</v>
      </c>
      <c r="AC1818" s="60" t="b">
        <f>FALSE()</f>
        <v>0</v>
      </c>
      <c r="AD1818" s="60" t="b">
        <f>FALSE()</f>
        <v>0</v>
      </c>
      <c r="AE1818" s="60">
        <v>0</v>
      </c>
      <c r="AF1818" s="64">
        <v>0</v>
      </c>
      <c r="AG1818" s="60" t="s">
        <v>74</v>
      </c>
      <c r="AH1818" s="60" t="s">
        <v>6618</v>
      </c>
      <c r="AI1818">
        <f>IF(AND(OR(Company_Explorer!$B$5="All Companies",$E1818=Company_Explorer!$B$5),OR(Company_Explorer!$B$6="All Platforms",$B1818=Company_Explorer!$B$6),OR(Company_Explorer!$B$7="All Roles",$D1818=Company_Explorer!$B$7),OR(Company_Explorer!$B$8="All Ghost Labels",$AG1818=Company_Explorer!$B$8)),1,0)</f>
        <v>0</v>
      </c>
    </row>
    <row r="1819" spans="1:35" ht="15" customHeight="1" x14ac:dyDescent="0.3">
      <c r="A1819" s="65" t="s">
        <v>6619</v>
      </c>
      <c r="B1819" s="65" t="s">
        <v>81</v>
      </c>
      <c r="C1819" s="65" t="s">
        <v>6608</v>
      </c>
      <c r="D1819" s="65" t="s">
        <v>130</v>
      </c>
      <c r="E1819" s="65" t="s">
        <v>3726</v>
      </c>
      <c r="F1819" s="65" t="b">
        <f>FALSE()</f>
        <v>0</v>
      </c>
      <c r="G1819" s="65" t="s">
        <v>177</v>
      </c>
      <c r="H1819" s="65" t="s">
        <v>165</v>
      </c>
      <c r="I1819" s="66">
        <v>46209.759788518502</v>
      </c>
      <c r="J1819" s="66">
        <v>46210.283332291699</v>
      </c>
      <c r="K1819" s="65">
        <v>0.5</v>
      </c>
      <c r="L1819" s="65" t="s">
        <v>183</v>
      </c>
      <c r="M1819" s="65" t="s">
        <v>183</v>
      </c>
      <c r="N1819" s="65" t="b">
        <f>TRUE()</f>
        <v>1</v>
      </c>
      <c r="O1819" s="71">
        <v>379799.9375</v>
      </c>
      <c r="P1819" s="71">
        <v>1632030</v>
      </c>
      <c r="Q1819" s="65" t="s">
        <v>3663</v>
      </c>
      <c r="R1819" s="65" t="s">
        <v>3961</v>
      </c>
      <c r="S1819" s="71">
        <v>1005915</v>
      </c>
      <c r="T1819" s="65" t="b">
        <f>TRUE()</f>
        <v>1</v>
      </c>
      <c r="U1819" s="65" t="b">
        <f>FALSE()</f>
        <v>0</v>
      </c>
      <c r="V1819" s="65">
        <v>265</v>
      </c>
      <c r="W1819" s="67" t="s">
        <v>6609</v>
      </c>
      <c r="X1819" s="65"/>
      <c r="Y1819" s="68"/>
      <c r="Z1819" s="65" t="b">
        <f>TRUE()</f>
        <v>1</v>
      </c>
      <c r="AA1819" s="65" t="b">
        <f>FALSE()</f>
        <v>0</v>
      </c>
      <c r="AB1819" s="65" t="b">
        <f>TRUE()</f>
        <v>1</v>
      </c>
      <c r="AC1819" s="65" t="b">
        <f>FALSE()</f>
        <v>0</v>
      </c>
      <c r="AD1819" s="65" t="b">
        <f>FALSE()</f>
        <v>0</v>
      </c>
      <c r="AE1819" s="65">
        <v>3</v>
      </c>
      <c r="AF1819" s="69">
        <v>42.9</v>
      </c>
      <c r="AG1819" s="65" t="s">
        <v>73</v>
      </c>
      <c r="AH1819" s="65" t="s">
        <v>6620</v>
      </c>
      <c r="AI1819">
        <f>IF(AND(OR(Company_Explorer!$B$5="All Companies",$E1819=Company_Explorer!$B$5),OR(Company_Explorer!$B$6="All Platforms",$B1819=Company_Explorer!$B$6),OR(Company_Explorer!$B$7="All Roles",$D1819=Company_Explorer!$B$7),OR(Company_Explorer!$B$8="All Ghost Labels",$AG1819=Company_Explorer!$B$8)),1,0)</f>
        <v>0</v>
      </c>
    </row>
    <row r="1820" spans="1:35" ht="15" customHeight="1" x14ac:dyDescent="0.3">
      <c r="A1820" s="60" t="s">
        <v>6621</v>
      </c>
      <c r="B1820" s="60" t="s">
        <v>81</v>
      </c>
      <c r="C1820" s="60" t="s">
        <v>6622</v>
      </c>
      <c r="D1820" s="60" t="s">
        <v>130</v>
      </c>
      <c r="E1820" s="60" t="s">
        <v>6311</v>
      </c>
      <c r="F1820" s="60" t="b">
        <f>TRUE()</f>
        <v>1</v>
      </c>
      <c r="G1820" s="60" t="s">
        <v>165</v>
      </c>
      <c r="H1820" s="60" t="s">
        <v>3620</v>
      </c>
      <c r="I1820" s="61">
        <v>46209.585316099503</v>
      </c>
      <c r="J1820" s="61">
        <v>46210.283332256899</v>
      </c>
      <c r="K1820" s="60">
        <v>0.7</v>
      </c>
      <c r="L1820" s="60" t="s">
        <v>183</v>
      </c>
      <c r="M1820" s="60" t="s">
        <v>183</v>
      </c>
      <c r="N1820" s="60" t="b">
        <f>FALSE()</f>
        <v>0</v>
      </c>
      <c r="O1820" s="60"/>
      <c r="P1820" s="60"/>
      <c r="Q1820" s="60" t="s">
        <v>236</v>
      </c>
      <c r="R1820" s="60" t="s">
        <v>236</v>
      </c>
      <c r="S1820" s="60"/>
      <c r="T1820" s="60" t="b">
        <f>FALSE()</f>
        <v>0</v>
      </c>
      <c r="U1820" s="60" t="b">
        <f>FALSE()</f>
        <v>0</v>
      </c>
      <c r="V1820" s="60">
        <v>1210</v>
      </c>
      <c r="W1820" s="60" t="s">
        <v>6623</v>
      </c>
      <c r="X1820" s="60">
        <v>3</v>
      </c>
      <c r="Y1820" s="63">
        <v>5.25</v>
      </c>
      <c r="Z1820" s="60" t="b">
        <f>FALSE()</f>
        <v>0</v>
      </c>
      <c r="AA1820" s="60" t="b">
        <f>TRUE()</f>
        <v>1</v>
      </c>
      <c r="AB1820" s="60" t="b">
        <f>FALSE()</f>
        <v>0</v>
      </c>
      <c r="AC1820" s="60" t="b">
        <f>FALSE()</f>
        <v>0</v>
      </c>
      <c r="AD1820" s="60" t="b">
        <f>FALSE()</f>
        <v>0</v>
      </c>
      <c r="AE1820" s="60">
        <v>1</v>
      </c>
      <c r="AF1820" s="64">
        <v>14.3</v>
      </c>
      <c r="AG1820" s="60" t="s">
        <v>74</v>
      </c>
      <c r="AH1820" s="60" t="s">
        <v>6624</v>
      </c>
      <c r="AI1820">
        <f>IF(AND(OR(Company_Explorer!$B$5="All Companies",$E1820=Company_Explorer!$B$5),OR(Company_Explorer!$B$6="All Platforms",$B1820=Company_Explorer!$B$6),OR(Company_Explorer!$B$7="All Roles",$D1820=Company_Explorer!$B$7),OR(Company_Explorer!$B$8="All Ghost Labels",$AG1820=Company_Explorer!$B$8)),1,0)</f>
        <v>0</v>
      </c>
    </row>
    <row r="1821" spans="1:35" ht="15" customHeight="1" x14ac:dyDescent="0.3">
      <c r="A1821" s="65" t="s">
        <v>6625</v>
      </c>
      <c r="B1821" s="65" t="s">
        <v>81</v>
      </c>
      <c r="C1821" s="65" t="s">
        <v>6626</v>
      </c>
      <c r="D1821" s="65" t="s">
        <v>130</v>
      </c>
      <c r="E1821" s="65" t="s">
        <v>3726</v>
      </c>
      <c r="F1821" s="65" t="b">
        <f>FALSE()</f>
        <v>0</v>
      </c>
      <c r="G1821" s="65" t="s">
        <v>165</v>
      </c>
      <c r="H1821" s="65" t="s">
        <v>3636</v>
      </c>
      <c r="I1821" s="66">
        <v>46209.757695370397</v>
      </c>
      <c r="J1821" s="66">
        <v>46210.283333287</v>
      </c>
      <c r="K1821" s="65">
        <v>0.5</v>
      </c>
      <c r="L1821" s="65" t="s">
        <v>183</v>
      </c>
      <c r="M1821" s="65" t="s">
        <v>183</v>
      </c>
      <c r="N1821" s="65" t="b">
        <f>TRUE()</f>
        <v>1</v>
      </c>
      <c r="O1821" s="71">
        <v>379799.9375</v>
      </c>
      <c r="P1821" s="71">
        <v>1632030</v>
      </c>
      <c r="Q1821" s="65" t="s">
        <v>3663</v>
      </c>
      <c r="R1821" s="65" t="s">
        <v>3961</v>
      </c>
      <c r="S1821" s="71">
        <v>1005915</v>
      </c>
      <c r="T1821" s="65" t="b">
        <f>TRUE()</f>
        <v>1</v>
      </c>
      <c r="U1821" s="65" t="b">
        <f>FALSE()</f>
        <v>0</v>
      </c>
      <c r="V1821" s="65">
        <v>268</v>
      </c>
      <c r="W1821" s="67" t="s">
        <v>6627</v>
      </c>
      <c r="X1821" s="65"/>
      <c r="Y1821" s="68"/>
      <c r="Z1821" s="65" t="b">
        <f>TRUE()</f>
        <v>1</v>
      </c>
      <c r="AA1821" s="65" t="b">
        <f>FALSE()</f>
        <v>0</v>
      </c>
      <c r="AB1821" s="65" t="b">
        <f>TRUE()</f>
        <v>1</v>
      </c>
      <c r="AC1821" s="65" t="b">
        <f>FALSE()</f>
        <v>0</v>
      </c>
      <c r="AD1821" s="65" t="b">
        <f>FALSE()</f>
        <v>0</v>
      </c>
      <c r="AE1821" s="65">
        <v>3</v>
      </c>
      <c r="AF1821" s="69">
        <v>42.9</v>
      </c>
      <c r="AG1821" s="65" t="s">
        <v>73</v>
      </c>
      <c r="AH1821" s="65" t="s">
        <v>6628</v>
      </c>
      <c r="AI1821">
        <f>IF(AND(OR(Company_Explorer!$B$5="All Companies",$E1821=Company_Explorer!$B$5),OR(Company_Explorer!$B$6="All Platforms",$B1821=Company_Explorer!$B$6),OR(Company_Explorer!$B$7="All Roles",$D1821=Company_Explorer!$B$7),OR(Company_Explorer!$B$8="All Ghost Labels",$AG1821=Company_Explorer!$B$8)),1,0)</f>
        <v>0</v>
      </c>
    </row>
    <row r="1822" spans="1:35" ht="15" customHeight="1" x14ac:dyDescent="0.3">
      <c r="A1822" s="60" t="s">
        <v>6629</v>
      </c>
      <c r="B1822" s="60" t="s">
        <v>81</v>
      </c>
      <c r="C1822" s="60" t="s">
        <v>6630</v>
      </c>
      <c r="D1822" s="60" t="s">
        <v>125</v>
      </c>
      <c r="E1822" s="60" t="s">
        <v>6311</v>
      </c>
      <c r="F1822" s="60" t="b">
        <f>TRUE()</f>
        <v>1</v>
      </c>
      <c r="G1822" s="60" t="s">
        <v>165</v>
      </c>
      <c r="H1822" s="60" t="s">
        <v>3620</v>
      </c>
      <c r="I1822" s="61">
        <v>46209.585305567103</v>
      </c>
      <c r="J1822" s="61">
        <v>46210.283332384301</v>
      </c>
      <c r="K1822" s="60">
        <v>0.7</v>
      </c>
      <c r="L1822" s="60" t="s">
        <v>183</v>
      </c>
      <c r="M1822" s="60" t="s">
        <v>183</v>
      </c>
      <c r="N1822" s="60" t="b">
        <f>FALSE()</f>
        <v>0</v>
      </c>
      <c r="O1822" s="60"/>
      <c r="P1822" s="60"/>
      <c r="Q1822" s="60" t="s">
        <v>236</v>
      </c>
      <c r="R1822" s="60" t="s">
        <v>236</v>
      </c>
      <c r="S1822" s="60"/>
      <c r="T1822" s="60" t="b">
        <f>FALSE()</f>
        <v>0</v>
      </c>
      <c r="U1822" s="60" t="b">
        <f>FALSE()</f>
        <v>0</v>
      </c>
      <c r="V1822" s="60">
        <v>1195</v>
      </c>
      <c r="W1822" s="62" t="s">
        <v>6312</v>
      </c>
      <c r="X1822" s="60">
        <v>3</v>
      </c>
      <c r="Y1822" s="63">
        <v>5.25</v>
      </c>
      <c r="Z1822" s="60" t="b">
        <f>FALSE()</f>
        <v>0</v>
      </c>
      <c r="AA1822" s="60" t="b">
        <f>TRUE()</f>
        <v>1</v>
      </c>
      <c r="AB1822" s="60" t="b">
        <f>FALSE()</f>
        <v>0</v>
      </c>
      <c r="AC1822" s="60" t="b">
        <f>FALSE()</f>
        <v>0</v>
      </c>
      <c r="AD1822" s="60" t="b">
        <f>FALSE()</f>
        <v>0</v>
      </c>
      <c r="AE1822" s="60">
        <v>1</v>
      </c>
      <c r="AF1822" s="64">
        <v>14.3</v>
      </c>
      <c r="AG1822" s="60" t="s">
        <v>74</v>
      </c>
      <c r="AH1822" s="60" t="s">
        <v>6631</v>
      </c>
      <c r="AI1822">
        <f>IF(AND(OR(Company_Explorer!$B$5="All Companies",$E1822=Company_Explorer!$B$5),OR(Company_Explorer!$B$6="All Platforms",$B1822=Company_Explorer!$B$6),OR(Company_Explorer!$B$7="All Roles",$D1822=Company_Explorer!$B$7),OR(Company_Explorer!$B$8="All Ghost Labels",$AG1822=Company_Explorer!$B$8)),1,0)</f>
        <v>0</v>
      </c>
    </row>
    <row r="1823" spans="1:35" ht="15" customHeight="1" x14ac:dyDescent="0.3">
      <c r="A1823" s="65" t="s">
        <v>6632</v>
      </c>
      <c r="B1823" s="65" t="s">
        <v>81</v>
      </c>
      <c r="C1823" s="65" t="s">
        <v>6633</v>
      </c>
      <c r="D1823" s="65" t="s">
        <v>125</v>
      </c>
      <c r="E1823" s="65" t="s">
        <v>6173</v>
      </c>
      <c r="F1823" s="65" t="b">
        <f>TRUE()</f>
        <v>1</v>
      </c>
      <c r="G1823" s="65" t="s">
        <v>165</v>
      </c>
      <c r="H1823" s="65" t="s">
        <v>3630</v>
      </c>
      <c r="I1823" s="66">
        <v>46209.561500833297</v>
      </c>
      <c r="J1823" s="66">
        <v>46210.283333333296</v>
      </c>
      <c r="K1823" s="65">
        <v>0.7</v>
      </c>
      <c r="L1823" s="65" t="s">
        <v>183</v>
      </c>
      <c r="M1823" s="65" t="s">
        <v>183</v>
      </c>
      <c r="N1823" s="65" t="b">
        <f>FALSE()</f>
        <v>0</v>
      </c>
      <c r="O1823" s="65"/>
      <c r="P1823" s="65"/>
      <c r="Q1823" s="65" t="s">
        <v>236</v>
      </c>
      <c r="R1823" s="65" t="s">
        <v>236</v>
      </c>
      <c r="S1823" s="65"/>
      <c r="T1823" s="65" t="b">
        <f>FALSE()</f>
        <v>0</v>
      </c>
      <c r="U1823" s="65" t="b">
        <f>FALSE()</f>
        <v>0</v>
      </c>
      <c r="V1823" s="65">
        <v>273</v>
      </c>
      <c r="W1823" s="67" t="s">
        <v>6634</v>
      </c>
      <c r="X1823" s="65">
        <v>3</v>
      </c>
      <c r="Y1823" s="68">
        <v>5.25</v>
      </c>
      <c r="Z1823" s="65" t="b">
        <f>FALSE()</f>
        <v>0</v>
      </c>
      <c r="AA1823" s="65" t="b">
        <f>TRUE()</f>
        <v>1</v>
      </c>
      <c r="AB1823" s="65" t="b">
        <f>TRUE()</f>
        <v>1</v>
      </c>
      <c r="AC1823" s="65" t="b">
        <f>FALSE()</f>
        <v>0</v>
      </c>
      <c r="AD1823" s="65" t="b">
        <f>FALSE()</f>
        <v>0</v>
      </c>
      <c r="AE1823" s="65">
        <v>2</v>
      </c>
      <c r="AF1823" s="69">
        <v>28.6</v>
      </c>
      <c r="AG1823" s="65" t="s">
        <v>73</v>
      </c>
      <c r="AH1823" s="65" t="s">
        <v>6635</v>
      </c>
      <c r="AI1823">
        <f>IF(AND(OR(Company_Explorer!$B$5="All Companies",$E1823=Company_Explorer!$B$5),OR(Company_Explorer!$B$6="All Platforms",$B1823=Company_Explorer!$B$6),OR(Company_Explorer!$B$7="All Roles",$D1823=Company_Explorer!$B$7),OR(Company_Explorer!$B$8="All Ghost Labels",$AG1823=Company_Explorer!$B$8)),1,0)</f>
        <v>0</v>
      </c>
    </row>
    <row r="1824" spans="1:35" ht="15" customHeight="1" x14ac:dyDescent="0.3">
      <c r="A1824" s="60" t="s">
        <v>6636</v>
      </c>
      <c r="B1824" s="60" t="s">
        <v>81</v>
      </c>
      <c r="C1824" s="60" t="s">
        <v>6637</v>
      </c>
      <c r="D1824" s="60" t="s">
        <v>131</v>
      </c>
      <c r="E1824" s="60" t="s">
        <v>6638</v>
      </c>
      <c r="F1824" s="60" t="b">
        <f>TRUE()</f>
        <v>1</v>
      </c>
      <c r="G1824" s="60" t="s">
        <v>165</v>
      </c>
      <c r="H1824" s="60" t="s">
        <v>3678</v>
      </c>
      <c r="I1824" s="61">
        <v>46209.561909074102</v>
      </c>
      <c r="J1824" s="61">
        <v>46210.283333310203</v>
      </c>
      <c r="K1824" s="60">
        <v>0.7</v>
      </c>
      <c r="L1824" s="60" t="s">
        <v>183</v>
      </c>
      <c r="M1824" s="60" t="s">
        <v>183</v>
      </c>
      <c r="N1824" s="60" t="b">
        <f>FALSE()</f>
        <v>0</v>
      </c>
      <c r="O1824" s="60"/>
      <c r="P1824" s="60"/>
      <c r="Q1824" s="60" t="s">
        <v>236</v>
      </c>
      <c r="R1824" s="60" t="s">
        <v>236</v>
      </c>
      <c r="S1824" s="60"/>
      <c r="T1824" s="60" t="b">
        <f>FALSE()</f>
        <v>0</v>
      </c>
      <c r="U1824" s="60" t="b">
        <f>FALSE()</f>
        <v>0</v>
      </c>
      <c r="V1824" s="60">
        <v>1239</v>
      </c>
      <c r="W1824" s="62" t="s">
        <v>6639</v>
      </c>
      <c r="X1824" s="60">
        <v>2</v>
      </c>
      <c r="Y1824" s="63">
        <v>3.5</v>
      </c>
      <c r="Z1824" s="60" t="b">
        <f>FALSE()</f>
        <v>0</v>
      </c>
      <c r="AA1824" s="60" t="b">
        <f>TRUE()</f>
        <v>1</v>
      </c>
      <c r="AB1824" s="60" t="b">
        <f>FALSE()</f>
        <v>0</v>
      </c>
      <c r="AC1824" s="60" t="b">
        <f>FALSE()</f>
        <v>0</v>
      </c>
      <c r="AD1824" s="60" t="b">
        <f>FALSE()</f>
        <v>0</v>
      </c>
      <c r="AE1824" s="60">
        <v>1</v>
      </c>
      <c r="AF1824" s="64">
        <v>14.3</v>
      </c>
      <c r="AG1824" s="60" t="s">
        <v>74</v>
      </c>
      <c r="AH1824" s="60" t="s">
        <v>6640</v>
      </c>
      <c r="AI1824">
        <f>IF(AND(OR(Company_Explorer!$B$5="All Companies",$E1824=Company_Explorer!$B$5),OR(Company_Explorer!$B$6="All Platforms",$B1824=Company_Explorer!$B$6),OR(Company_Explorer!$B$7="All Roles",$D1824=Company_Explorer!$B$7),OR(Company_Explorer!$B$8="All Ghost Labels",$AG1824=Company_Explorer!$B$8)),1,0)</f>
        <v>0</v>
      </c>
    </row>
    <row r="1825" spans="1:35" ht="15" customHeight="1" x14ac:dyDescent="0.3">
      <c r="A1825" s="65" t="s">
        <v>6641</v>
      </c>
      <c r="B1825" s="65" t="s">
        <v>81</v>
      </c>
      <c r="C1825" s="65" t="s">
        <v>6633</v>
      </c>
      <c r="D1825" s="65" t="s">
        <v>125</v>
      </c>
      <c r="E1825" s="65" t="s">
        <v>6173</v>
      </c>
      <c r="F1825" s="65" t="b">
        <f>TRUE()</f>
        <v>1</v>
      </c>
      <c r="G1825" s="65" t="s">
        <v>165</v>
      </c>
      <c r="H1825" s="65" t="s">
        <v>3620</v>
      </c>
      <c r="I1825" s="66">
        <v>46209.561495786998</v>
      </c>
      <c r="J1825" s="66">
        <v>46210.283333263898</v>
      </c>
      <c r="K1825" s="65">
        <v>0.7</v>
      </c>
      <c r="L1825" s="65" t="s">
        <v>183</v>
      </c>
      <c r="M1825" s="65" t="s">
        <v>183</v>
      </c>
      <c r="N1825" s="65" t="b">
        <f>FALSE()</f>
        <v>0</v>
      </c>
      <c r="O1825" s="65"/>
      <c r="P1825" s="65"/>
      <c r="Q1825" s="65" t="s">
        <v>236</v>
      </c>
      <c r="R1825" s="65" t="s">
        <v>236</v>
      </c>
      <c r="S1825" s="65"/>
      <c r="T1825" s="65" t="b">
        <f>FALSE()</f>
        <v>0</v>
      </c>
      <c r="U1825" s="65" t="b">
        <f>FALSE()</f>
        <v>0</v>
      </c>
      <c r="V1825" s="65">
        <v>273</v>
      </c>
      <c r="W1825" s="67" t="s">
        <v>6634</v>
      </c>
      <c r="X1825" s="65">
        <v>3</v>
      </c>
      <c r="Y1825" s="68">
        <v>5.25</v>
      </c>
      <c r="Z1825" s="65" t="b">
        <f>FALSE()</f>
        <v>0</v>
      </c>
      <c r="AA1825" s="65" t="b">
        <f>TRUE()</f>
        <v>1</v>
      </c>
      <c r="AB1825" s="65" t="b">
        <f>TRUE()</f>
        <v>1</v>
      </c>
      <c r="AC1825" s="65" t="b">
        <f>FALSE()</f>
        <v>0</v>
      </c>
      <c r="AD1825" s="65" t="b">
        <f>FALSE()</f>
        <v>0</v>
      </c>
      <c r="AE1825" s="65">
        <v>2</v>
      </c>
      <c r="AF1825" s="69">
        <v>28.6</v>
      </c>
      <c r="AG1825" s="65" t="s">
        <v>73</v>
      </c>
      <c r="AH1825" s="65" t="s">
        <v>6642</v>
      </c>
      <c r="AI1825">
        <f>IF(AND(OR(Company_Explorer!$B$5="All Companies",$E1825=Company_Explorer!$B$5),OR(Company_Explorer!$B$6="All Platforms",$B1825=Company_Explorer!$B$6),OR(Company_Explorer!$B$7="All Roles",$D1825=Company_Explorer!$B$7),OR(Company_Explorer!$B$8="All Ghost Labels",$AG1825=Company_Explorer!$B$8)),1,0)</f>
        <v>0</v>
      </c>
    </row>
    <row r="1826" spans="1:35" ht="15" customHeight="1" x14ac:dyDescent="0.3">
      <c r="A1826" s="60" t="s">
        <v>6643</v>
      </c>
      <c r="B1826" s="60" t="s">
        <v>81</v>
      </c>
      <c r="C1826" s="60" t="s">
        <v>6644</v>
      </c>
      <c r="D1826" s="60" t="s">
        <v>125</v>
      </c>
      <c r="E1826" s="60" t="s">
        <v>6645</v>
      </c>
      <c r="F1826" s="60" t="b">
        <f>TRUE()</f>
        <v>1</v>
      </c>
      <c r="G1826" s="60" t="s">
        <v>165</v>
      </c>
      <c r="H1826" s="60" t="s">
        <v>4442</v>
      </c>
      <c r="I1826" s="61">
        <v>46209.665874525497</v>
      </c>
      <c r="J1826" s="61">
        <v>46210.283333564803</v>
      </c>
      <c r="K1826" s="60">
        <v>0.6</v>
      </c>
      <c r="L1826" s="60" t="s">
        <v>183</v>
      </c>
      <c r="M1826" s="60" t="s">
        <v>183</v>
      </c>
      <c r="N1826" s="60" t="b">
        <f>FALSE()</f>
        <v>0</v>
      </c>
      <c r="O1826" s="60"/>
      <c r="P1826" s="60"/>
      <c r="Q1826" s="60" t="s">
        <v>236</v>
      </c>
      <c r="R1826" s="60" t="s">
        <v>236</v>
      </c>
      <c r="S1826" s="60"/>
      <c r="T1826" s="60" t="b">
        <f>FALSE()</f>
        <v>0</v>
      </c>
      <c r="U1826" s="60" t="b">
        <f>FALSE()</f>
        <v>0</v>
      </c>
      <c r="V1826" s="60">
        <v>222</v>
      </c>
      <c r="W1826" s="62" t="s">
        <v>6646</v>
      </c>
      <c r="X1826" s="60">
        <v>1</v>
      </c>
      <c r="Y1826" s="63">
        <v>1.75</v>
      </c>
      <c r="Z1826" s="60" t="b">
        <f>FALSE()</f>
        <v>0</v>
      </c>
      <c r="AA1826" s="60" t="b">
        <f>TRUE()</f>
        <v>1</v>
      </c>
      <c r="AB1826" s="60" t="b">
        <f>TRUE()</f>
        <v>1</v>
      </c>
      <c r="AC1826" s="60" t="b">
        <f>FALSE()</f>
        <v>0</v>
      </c>
      <c r="AD1826" s="60" t="b">
        <f>FALSE()</f>
        <v>0</v>
      </c>
      <c r="AE1826" s="60">
        <v>2</v>
      </c>
      <c r="AF1826" s="64">
        <v>28.6</v>
      </c>
      <c r="AG1826" s="60" t="s">
        <v>73</v>
      </c>
      <c r="AH1826" s="60" t="s">
        <v>6647</v>
      </c>
      <c r="AI1826">
        <f>IF(AND(OR(Company_Explorer!$B$5="All Companies",$E1826=Company_Explorer!$B$5),OR(Company_Explorer!$B$6="All Platforms",$B1826=Company_Explorer!$B$6),OR(Company_Explorer!$B$7="All Roles",$D1826=Company_Explorer!$B$7),OR(Company_Explorer!$B$8="All Ghost Labels",$AG1826=Company_Explorer!$B$8)),1,0)</f>
        <v>0</v>
      </c>
    </row>
    <row r="1827" spans="1:35" ht="15" customHeight="1" x14ac:dyDescent="0.3">
      <c r="A1827" s="65" t="s">
        <v>6648</v>
      </c>
      <c r="B1827" s="65" t="s">
        <v>81</v>
      </c>
      <c r="C1827" s="65" t="s">
        <v>6649</v>
      </c>
      <c r="D1827" s="65" t="s">
        <v>126</v>
      </c>
      <c r="E1827" s="65" t="s">
        <v>3726</v>
      </c>
      <c r="F1827" s="65" t="b">
        <f>FALSE()</f>
        <v>0</v>
      </c>
      <c r="G1827" s="65" t="s">
        <v>177</v>
      </c>
      <c r="H1827" s="65" t="s">
        <v>165</v>
      </c>
      <c r="I1827" s="66">
        <v>46209.7571210764</v>
      </c>
      <c r="J1827" s="66">
        <v>46210.283333587999</v>
      </c>
      <c r="K1827" s="65">
        <v>0.5</v>
      </c>
      <c r="L1827" s="65" t="s">
        <v>183</v>
      </c>
      <c r="M1827" s="65" t="s">
        <v>183</v>
      </c>
      <c r="N1827" s="65" t="b">
        <f>TRUE()</f>
        <v>1</v>
      </c>
      <c r="O1827" s="71">
        <v>250000</v>
      </c>
      <c r="P1827" s="71">
        <v>300000</v>
      </c>
      <c r="Q1827" s="65" t="s">
        <v>3663</v>
      </c>
      <c r="R1827" s="65" t="s">
        <v>3961</v>
      </c>
      <c r="S1827" s="71">
        <v>275000</v>
      </c>
      <c r="T1827" s="65" t="b">
        <f>TRUE()</f>
        <v>1</v>
      </c>
      <c r="U1827" s="65" t="b">
        <f>FALSE()</f>
        <v>0</v>
      </c>
      <c r="V1827" s="65">
        <v>372</v>
      </c>
      <c r="W1827" s="65" t="s">
        <v>6650</v>
      </c>
      <c r="X1827" s="65"/>
      <c r="Y1827" s="68"/>
      <c r="Z1827" s="65" t="b">
        <f>TRUE()</f>
        <v>1</v>
      </c>
      <c r="AA1827" s="65" t="b">
        <f>FALSE()</f>
        <v>0</v>
      </c>
      <c r="AB1827" s="65" t="b">
        <f>FALSE()</f>
        <v>0</v>
      </c>
      <c r="AC1827" s="65" t="b">
        <f>FALSE()</f>
        <v>0</v>
      </c>
      <c r="AD1827" s="65" t="b">
        <f>FALSE()</f>
        <v>0</v>
      </c>
      <c r="AE1827" s="65">
        <v>2</v>
      </c>
      <c r="AF1827" s="69">
        <v>28.6</v>
      </c>
      <c r="AG1827" s="65" t="s">
        <v>73</v>
      </c>
      <c r="AH1827" s="65" t="s">
        <v>6651</v>
      </c>
      <c r="AI1827">
        <f>IF(AND(OR(Company_Explorer!$B$5="All Companies",$E1827=Company_Explorer!$B$5),OR(Company_Explorer!$B$6="All Platforms",$B1827=Company_Explorer!$B$6),OR(Company_Explorer!$B$7="All Roles",$D1827=Company_Explorer!$B$7),OR(Company_Explorer!$B$8="All Ghost Labels",$AG1827=Company_Explorer!$B$8)),1,0)</f>
        <v>0</v>
      </c>
    </row>
    <row r="1828" spans="1:35" ht="15" customHeight="1" x14ac:dyDescent="0.3">
      <c r="A1828" s="60" t="s">
        <v>6652</v>
      </c>
      <c r="B1828" s="60" t="s">
        <v>81</v>
      </c>
      <c r="C1828" s="60" t="s">
        <v>4440</v>
      </c>
      <c r="D1828" s="60" t="s">
        <v>125</v>
      </c>
      <c r="E1828" s="60" t="s">
        <v>6653</v>
      </c>
      <c r="F1828" s="60" t="b">
        <f>TRUE()</f>
        <v>1</v>
      </c>
      <c r="G1828" s="60" t="s">
        <v>165</v>
      </c>
      <c r="H1828" s="60" t="s">
        <v>3620</v>
      </c>
      <c r="I1828" s="61">
        <v>46209.666708622703</v>
      </c>
      <c r="J1828" s="61">
        <v>46210.283333391199</v>
      </c>
      <c r="K1828" s="60">
        <v>0.6</v>
      </c>
      <c r="L1828" s="60" t="s">
        <v>183</v>
      </c>
      <c r="M1828" s="60" t="s">
        <v>183</v>
      </c>
      <c r="N1828" s="60" t="b">
        <f>FALSE()</f>
        <v>0</v>
      </c>
      <c r="O1828" s="60"/>
      <c r="P1828" s="60"/>
      <c r="Q1828" s="60" t="s">
        <v>236</v>
      </c>
      <c r="R1828" s="60" t="s">
        <v>236</v>
      </c>
      <c r="S1828" s="60"/>
      <c r="T1828" s="60" t="b">
        <f>FALSE()</f>
        <v>0</v>
      </c>
      <c r="U1828" s="60" t="b">
        <f>FALSE()</f>
        <v>0</v>
      </c>
      <c r="V1828" s="60">
        <v>758</v>
      </c>
      <c r="W1828" s="62" t="s">
        <v>6654</v>
      </c>
      <c r="X1828" s="60">
        <v>1</v>
      </c>
      <c r="Y1828" s="63">
        <v>1.75</v>
      </c>
      <c r="Z1828" s="60" t="b">
        <f>FALSE()</f>
        <v>0</v>
      </c>
      <c r="AA1828" s="60" t="b">
        <f>TRUE()</f>
        <v>1</v>
      </c>
      <c r="AB1828" s="60" t="b">
        <f>FALSE()</f>
        <v>0</v>
      </c>
      <c r="AC1828" s="60" t="b">
        <f>FALSE()</f>
        <v>0</v>
      </c>
      <c r="AD1828" s="60" t="b">
        <f>FALSE()</f>
        <v>0</v>
      </c>
      <c r="AE1828" s="60">
        <v>1</v>
      </c>
      <c r="AF1828" s="64">
        <v>14.3</v>
      </c>
      <c r="AG1828" s="60" t="s">
        <v>74</v>
      </c>
      <c r="AH1828" s="60" t="s">
        <v>6655</v>
      </c>
      <c r="AI1828">
        <f>IF(AND(OR(Company_Explorer!$B$5="All Companies",$E1828=Company_Explorer!$B$5),OR(Company_Explorer!$B$6="All Platforms",$B1828=Company_Explorer!$B$6),OR(Company_Explorer!$B$7="All Roles",$D1828=Company_Explorer!$B$7),OR(Company_Explorer!$B$8="All Ghost Labels",$AG1828=Company_Explorer!$B$8)),1,0)</f>
        <v>0</v>
      </c>
    </row>
    <row r="1829" spans="1:35" ht="15" customHeight="1" x14ac:dyDescent="0.3">
      <c r="A1829" s="65" t="s">
        <v>6656</v>
      </c>
      <c r="B1829" s="65" t="s">
        <v>81</v>
      </c>
      <c r="C1829" s="65" t="s">
        <v>6657</v>
      </c>
      <c r="D1829" s="65" t="s">
        <v>131</v>
      </c>
      <c r="E1829" s="65" t="s">
        <v>6638</v>
      </c>
      <c r="F1829" s="65" t="b">
        <f>TRUE()</f>
        <v>1</v>
      </c>
      <c r="G1829" s="65" t="s">
        <v>165</v>
      </c>
      <c r="H1829" s="65" t="s">
        <v>3678</v>
      </c>
      <c r="I1829" s="66">
        <v>46209.673047326403</v>
      </c>
      <c r="J1829" s="66">
        <v>46210.283333634303</v>
      </c>
      <c r="K1829" s="65">
        <v>0.6</v>
      </c>
      <c r="L1829" s="65" t="s">
        <v>183</v>
      </c>
      <c r="M1829" s="65" t="s">
        <v>183</v>
      </c>
      <c r="N1829" s="65" t="b">
        <f>FALSE()</f>
        <v>0</v>
      </c>
      <c r="O1829" s="65"/>
      <c r="P1829" s="65"/>
      <c r="Q1829" s="65" t="s">
        <v>236</v>
      </c>
      <c r="R1829" s="65" t="s">
        <v>236</v>
      </c>
      <c r="S1829" s="65"/>
      <c r="T1829" s="65" t="b">
        <f>FALSE()</f>
        <v>0</v>
      </c>
      <c r="U1829" s="65" t="b">
        <f>FALSE()</f>
        <v>0</v>
      </c>
      <c r="V1829" s="65">
        <v>1217</v>
      </c>
      <c r="W1829" s="67" t="s">
        <v>6639</v>
      </c>
      <c r="X1829" s="65">
        <v>2</v>
      </c>
      <c r="Y1829" s="68">
        <v>3.5</v>
      </c>
      <c r="Z1829" s="65" t="b">
        <f>FALSE()</f>
        <v>0</v>
      </c>
      <c r="AA1829" s="65" t="b">
        <f>TRUE()</f>
        <v>1</v>
      </c>
      <c r="AB1829" s="65" t="b">
        <f>FALSE()</f>
        <v>0</v>
      </c>
      <c r="AC1829" s="65" t="b">
        <f>FALSE()</f>
        <v>0</v>
      </c>
      <c r="AD1829" s="65" t="b">
        <f>FALSE()</f>
        <v>0</v>
      </c>
      <c r="AE1829" s="65">
        <v>1</v>
      </c>
      <c r="AF1829" s="69">
        <v>14.3</v>
      </c>
      <c r="AG1829" s="65" t="s">
        <v>74</v>
      </c>
      <c r="AH1829" s="65" t="s">
        <v>6658</v>
      </c>
      <c r="AI1829">
        <f>IF(AND(OR(Company_Explorer!$B$5="All Companies",$E1829=Company_Explorer!$B$5),OR(Company_Explorer!$B$6="All Platforms",$B1829=Company_Explorer!$B$6),OR(Company_Explorer!$B$7="All Roles",$D1829=Company_Explorer!$B$7),OR(Company_Explorer!$B$8="All Ghost Labels",$AG1829=Company_Explorer!$B$8)),1,0)</f>
        <v>0</v>
      </c>
    </row>
    <row r="1830" spans="1:35" ht="15" customHeight="1" x14ac:dyDescent="0.3">
      <c r="A1830" s="60" t="s">
        <v>6659</v>
      </c>
      <c r="B1830" s="60" t="s">
        <v>81</v>
      </c>
      <c r="C1830" s="60" t="s">
        <v>6660</v>
      </c>
      <c r="D1830" s="60" t="s">
        <v>126</v>
      </c>
      <c r="E1830" s="60" t="s">
        <v>3701</v>
      </c>
      <c r="F1830" s="60" t="b">
        <f>TRUE()</f>
        <v>1</v>
      </c>
      <c r="G1830" s="60" t="s">
        <v>165</v>
      </c>
      <c r="H1830" s="60" t="s">
        <v>3655</v>
      </c>
      <c r="I1830" s="61">
        <v>46209.659148819497</v>
      </c>
      <c r="J1830" s="61">
        <v>46210.283335752298</v>
      </c>
      <c r="K1830" s="60">
        <v>0.6</v>
      </c>
      <c r="L1830" s="60" t="s">
        <v>183</v>
      </c>
      <c r="M1830" s="60" t="s">
        <v>183</v>
      </c>
      <c r="N1830" s="60" t="b">
        <f>FALSE()</f>
        <v>0</v>
      </c>
      <c r="O1830" s="60"/>
      <c r="P1830" s="60"/>
      <c r="Q1830" s="60" t="s">
        <v>236</v>
      </c>
      <c r="R1830" s="60" t="s">
        <v>236</v>
      </c>
      <c r="S1830" s="60"/>
      <c r="T1830" s="60" t="b">
        <f>FALSE()</f>
        <v>0</v>
      </c>
      <c r="U1830" s="60" t="b">
        <f>FALSE()</f>
        <v>0</v>
      </c>
      <c r="V1830" s="60">
        <v>938</v>
      </c>
      <c r="W1830" s="62" t="s">
        <v>6661</v>
      </c>
      <c r="X1830" s="60">
        <v>6</v>
      </c>
      <c r="Y1830" s="63">
        <v>10.5</v>
      </c>
      <c r="Z1830" s="60" t="b">
        <f>FALSE()</f>
        <v>0</v>
      </c>
      <c r="AA1830" s="60" t="b">
        <f>TRUE()</f>
        <v>1</v>
      </c>
      <c r="AB1830" s="60" t="b">
        <f>FALSE()</f>
        <v>0</v>
      </c>
      <c r="AC1830" s="60" t="b">
        <f>FALSE()</f>
        <v>0</v>
      </c>
      <c r="AD1830" s="60" t="b">
        <f>FALSE()</f>
        <v>0</v>
      </c>
      <c r="AE1830" s="60">
        <v>1</v>
      </c>
      <c r="AF1830" s="64">
        <v>14.3</v>
      </c>
      <c r="AG1830" s="60" t="s">
        <v>74</v>
      </c>
      <c r="AH1830" s="60" t="s">
        <v>6662</v>
      </c>
      <c r="AI1830">
        <f>IF(AND(OR(Company_Explorer!$B$5="All Companies",$E1830=Company_Explorer!$B$5),OR(Company_Explorer!$B$6="All Platforms",$B1830=Company_Explorer!$B$6),OR(Company_Explorer!$B$7="All Roles",$D1830=Company_Explorer!$B$7),OR(Company_Explorer!$B$8="All Ghost Labels",$AG1830=Company_Explorer!$B$8)),1,0)</f>
        <v>0</v>
      </c>
    </row>
    <row r="1831" spans="1:35" ht="15" customHeight="1" x14ac:dyDescent="0.3">
      <c r="A1831" s="65" t="s">
        <v>6663</v>
      </c>
      <c r="B1831" s="65" t="s">
        <v>81</v>
      </c>
      <c r="C1831" s="65" t="s">
        <v>2034</v>
      </c>
      <c r="D1831" s="65" t="s">
        <v>130</v>
      </c>
      <c r="E1831" s="65" t="s">
        <v>6459</v>
      </c>
      <c r="F1831" s="65" t="b">
        <f>TRUE()</f>
        <v>1</v>
      </c>
      <c r="G1831" s="65" t="s">
        <v>177</v>
      </c>
      <c r="H1831" s="65" t="s">
        <v>165</v>
      </c>
      <c r="I1831" s="66">
        <v>46209.742917604199</v>
      </c>
      <c r="J1831" s="66">
        <v>46210.2833358102</v>
      </c>
      <c r="K1831" s="65">
        <v>0.5</v>
      </c>
      <c r="L1831" s="65" t="s">
        <v>183</v>
      </c>
      <c r="M1831" s="65" t="s">
        <v>183</v>
      </c>
      <c r="N1831" s="65" t="b">
        <f>FALSE()</f>
        <v>0</v>
      </c>
      <c r="O1831" s="65"/>
      <c r="P1831" s="65"/>
      <c r="Q1831" s="65" t="s">
        <v>3663</v>
      </c>
      <c r="R1831" s="65" t="s">
        <v>3664</v>
      </c>
      <c r="S1831" s="65"/>
      <c r="T1831" s="65" t="b">
        <f>FALSE()</f>
        <v>0</v>
      </c>
      <c r="U1831" s="65" t="b">
        <f>FALSE()</f>
        <v>0</v>
      </c>
      <c r="V1831" s="65">
        <v>316</v>
      </c>
      <c r="W1831" s="65" t="s">
        <v>6664</v>
      </c>
      <c r="X1831" s="65">
        <v>3</v>
      </c>
      <c r="Y1831" s="68">
        <v>5.25</v>
      </c>
      <c r="Z1831" s="65" t="b">
        <f>FALSE()</f>
        <v>0</v>
      </c>
      <c r="AA1831" s="65" t="b">
        <f>TRUE()</f>
        <v>1</v>
      </c>
      <c r="AB1831" s="65" t="b">
        <f>FALSE()</f>
        <v>0</v>
      </c>
      <c r="AC1831" s="65" t="b">
        <f>FALSE()</f>
        <v>0</v>
      </c>
      <c r="AD1831" s="65" t="b">
        <f>FALSE()</f>
        <v>0</v>
      </c>
      <c r="AE1831" s="65">
        <v>1</v>
      </c>
      <c r="AF1831" s="69">
        <v>14.3</v>
      </c>
      <c r="AG1831" s="65" t="s">
        <v>74</v>
      </c>
      <c r="AH1831" s="65" t="s">
        <v>6665</v>
      </c>
      <c r="AI1831">
        <f>IF(AND(OR(Company_Explorer!$B$5="All Companies",$E1831=Company_Explorer!$B$5),OR(Company_Explorer!$B$6="All Platforms",$B1831=Company_Explorer!$B$6),OR(Company_Explorer!$B$7="All Roles",$D1831=Company_Explorer!$B$7),OR(Company_Explorer!$B$8="All Ghost Labels",$AG1831=Company_Explorer!$B$8)),1,0)</f>
        <v>0</v>
      </c>
    </row>
    <row r="1832" spans="1:35" ht="15" customHeight="1" x14ac:dyDescent="0.3">
      <c r="A1832" s="60" t="s">
        <v>6666</v>
      </c>
      <c r="B1832" s="60" t="s">
        <v>81</v>
      </c>
      <c r="C1832" s="60" t="s">
        <v>6667</v>
      </c>
      <c r="D1832" s="60" t="s">
        <v>126</v>
      </c>
      <c r="E1832" s="60" t="s">
        <v>2873</v>
      </c>
      <c r="F1832" s="60" t="b">
        <f>TRUE()</f>
        <v>1</v>
      </c>
      <c r="G1832" s="60" t="s">
        <v>165</v>
      </c>
      <c r="H1832" s="60" t="s">
        <v>3655</v>
      </c>
      <c r="I1832" s="61">
        <v>46209.756835624998</v>
      </c>
      <c r="J1832" s="61">
        <v>46210.283335879598</v>
      </c>
      <c r="K1832" s="60">
        <v>0.5</v>
      </c>
      <c r="L1832" s="60" t="s">
        <v>183</v>
      </c>
      <c r="M1832" s="60" t="s">
        <v>183</v>
      </c>
      <c r="N1832" s="60" t="b">
        <f>FALSE()</f>
        <v>0</v>
      </c>
      <c r="O1832" s="60"/>
      <c r="P1832" s="60"/>
      <c r="Q1832" s="60" t="s">
        <v>236</v>
      </c>
      <c r="R1832" s="60" t="s">
        <v>236</v>
      </c>
      <c r="S1832" s="60"/>
      <c r="T1832" s="60" t="b">
        <f>FALSE()</f>
        <v>0</v>
      </c>
      <c r="U1832" s="60" t="b">
        <f>FALSE()</f>
        <v>0</v>
      </c>
      <c r="V1832" s="60">
        <v>248</v>
      </c>
      <c r="W1832" s="62" t="s">
        <v>6668</v>
      </c>
      <c r="X1832" s="60">
        <v>1</v>
      </c>
      <c r="Y1832" s="63">
        <v>1.75</v>
      </c>
      <c r="Z1832" s="60" t="b">
        <f>FALSE()</f>
        <v>0</v>
      </c>
      <c r="AA1832" s="60" t="b">
        <f>TRUE()</f>
        <v>1</v>
      </c>
      <c r="AB1832" s="60" t="b">
        <f>TRUE()</f>
        <v>1</v>
      </c>
      <c r="AC1832" s="60" t="b">
        <f>FALSE()</f>
        <v>0</v>
      </c>
      <c r="AD1832" s="60" t="b">
        <f>FALSE()</f>
        <v>0</v>
      </c>
      <c r="AE1832" s="60">
        <v>2</v>
      </c>
      <c r="AF1832" s="64">
        <v>28.6</v>
      </c>
      <c r="AG1832" s="60" t="s">
        <v>73</v>
      </c>
      <c r="AH1832" s="60" t="s">
        <v>6669</v>
      </c>
      <c r="AI1832">
        <f>IF(AND(OR(Company_Explorer!$B$5="All Companies",$E1832=Company_Explorer!$B$5),OR(Company_Explorer!$B$6="All Platforms",$B1832=Company_Explorer!$B$6),OR(Company_Explorer!$B$7="All Roles",$D1832=Company_Explorer!$B$7),OR(Company_Explorer!$B$8="All Ghost Labels",$AG1832=Company_Explorer!$B$8)),1,0)</f>
        <v>0</v>
      </c>
    </row>
    <row r="1833" spans="1:35" ht="15" customHeight="1" x14ac:dyDescent="0.3">
      <c r="A1833" s="65" t="s">
        <v>6670</v>
      </c>
      <c r="B1833" s="65" t="s">
        <v>81</v>
      </c>
      <c r="C1833" s="65" t="s">
        <v>6671</v>
      </c>
      <c r="D1833" s="65" t="s">
        <v>126</v>
      </c>
      <c r="E1833" s="65" t="s">
        <v>6672</v>
      </c>
      <c r="F1833" s="65" t="b">
        <f>TRUE()</f>
        <v>1</v>
      </c>
      <c r="G1833" s="65" t="s">
        <v>165</v>
      </c>
      <c r="H1833" s="65" t="s">
        <v>3672</v>
      </c>
      <c r="I1833" s="66">
        <v>46207.762014317101</v>
      </c>
      <c r="J1833" s="66">
        <v>46210.283336828703</v>
      </c>
      <c r="K1833" s="65">
        <v>2.5</v>
      </c>
      <c r="L1833" s="65" t="s">
        <v>183</v>
      </c>
      <c r="M1833" s="65" t="s">
        <v>183</v>
      </c>
      <c r="N1833" s="65" t="b">
        <f>FALSE()</f>
        <v>0</v>
      </c>
      <c r="O1833" s="65"/>
      <c r="P1833" s="65"/>
      <c r="Q1833" s="65" t="s">
        <v>236</v>
      </c>
      <c r="R1833" s="65" t="s">
        <v>236</v>
      </c>
      <c r="S1833" s="65"/>
      <c r="T1833" s="65" t="b">
        <f>FALSE()</f>
        <v>0</v>
      </c>
      <c r="U1833" s="65" t="b">
        <f>FALSE()</f>
        <v>0</v>
      </c>
      <c r="V1833" s="65">
        <v>496</v>
      </c>
      <c r="W1833" s="67" t="s">
        <v>6673</v>
      </c>
      <c r="X1833" s="65">
        <v>1</v>
      </c>
      <c r="Y1833" s="68">
        <v>1.75</v>
      </c>
      <c r="Z1833" s="65" t="b">
        <f>FALSE()</f>
        <v>0</v>
      </c>
      <c r="AA1833" s="65" t="b">
        <f>TRUE()</f>
        <v>1</v>
      </c>
      <c r="AB1833" s="65" t="b">
        <f>FALSE()</f>
        <v>0</v>
      </c>
      <c r="AC1833" s="65" t="b">
        <f>TRUE()</f>
        <v>1</v>
      </c>
      <c r="AD1833" s="65" t="b">
        <f>FALSE()</f>
        <v>0</v>
      </c>
      <c r="AE1833" s="65">
        <v>2</v>
      </c>
      <c r="AF1833" s="69">
        <v>28.6</v>
      </c>
      <c r="AG1833" s="65" t="s">
        <v>73</v>
      </c>
      <c r="AH1833" s="65" t="s">
        <v>6674</v>
      </c>
      <c r="AI1833">
        <f>IF(AND(OR(Company_Explorer!$B$5="All Companies",$E1833=Company_Explorer!$B$5),OR(Company_Explorer!$B$6="All Platforms",$B1833=Company_Explorer!$B$6),OR(Company_Explorer!$B$7="All Roles",$D1833=Company_Explorer!$B$7),OR(Company_Explorer!$B$8="All Ghost Labels",$AG1833=Company_Explorer!$B$8)),1,0)</f>
        <v>0</v>
      </c>
    </row>
    <row r="1834" spans="1:35" ht="15" customHeight="1" x14ac:dyDescent="0.3">
      <c r="A1834" s="60" t="s">
        <v>6675</v>
      </c>
      <c r="B1834" s="60" t="s">
        <v>81</v>
      </c>
      <c r="C1834" s="60" t="s">
        <v>6676</v>
      </c>
      <c r="D1834" s="60" t="s">
        <v>126</v>
      </c>
      <c r="E1834" s="60" t="s">
        <v>6677</v>
      </c>
      <c r="F1834" s="60" t="b">
        <f>TRUE()</f>
        <v>1</v>
      </c>
      <c r="G1834" s="60" t="s">
        <v>165</v>
      </c>
      <c r="H1834" s="60" t="s">
        <v>3636</v>
      </c>
      <c r="I1834" s="61">
        <v>46206.593445856503</v>
      </c>
      <c r="J1834" s="61">
        <v>46210.283336851899</v>
      </c>
      <c r="K1834" s="60">
        <v>3.7</v>
      </c>
      <c r="L1834" s="60" t="s">
        <v>183</v>
      </c>
      <c r="M1834" s="60" t="s">
        <v>183</v>
      </c>
      <c r="N1834" s="60" t="b">
        <f>FALSE()</f>
        <v>0</v>
      </c>
      <c r="O1834" s="60"/>
      <c r="P1834" s="60"/>
      <c r="Q1834" s="60" t="s">
        <v>236</v>
      </c>
      <c r="R1834" s="60" t="s">
        <v>236</v>
      </c>
      <c r="S1834" s="60"/>
      <c r="T1834" s="60" t="b">
        <f>FALSE()</f>
        <v>0</v>
      </c>
      <c r="U1834" s="60" t="b">
        <f>FALSE()</f>
        <v>0</v>
      </c>
      <c r="V1834" s="60">
        <v>659</v>
      </c>
      <c r="W1834" s="62" t="s">
        <v>6678</v>
      </c>
      <c r="X1834" s="60">
        <v>1</v>
      </c>
      <c r="Y1834" s="63">
        <v>1.75</v>
      </c>
      <c r="Z1834" s="60" t="b">
        <f>FALSE()</f>
        <v>0</v>
      </c>
      <c r="AA1834" s="60" t="b">
        <f>TRUE()</f>
        <v>1</v>
      </c>
      <c r="AB1834" s="60" t="b">
        <f>FALSE()</f>
        <v>0</v>
      </c>
      <c r="AC1834" s="60" t="b">
        <f>TRUE()</f>
        <v>1</v>
      </c>
      <c r="AD1834" s="60" t="b">
        <f>FALSE()</f>
        <v>0</v>
      </c>
      <c r="AE1834" s="60">
        <v>2</v>
      </c>
      <c r="AF1834" s="64">
        <v>28.6</v>
      </c>
      <c r="AG1834" s="60" t="s">
        <v>73</v>
      </c>
      <c r="AH1834" s="60" t="s">
        <v>6679</v>
      </c>
      <c r="AI1834">
        <f>IF(AND(OR(Company_Explorer!$B$5="All Companies",$E1834=Company_Explorer!$B$5),OR(Company_Explorer!$B$6="All Platforms",$B1834=Company_Explorer!$B$6),OR(Company_Explorer!$B$7="All Roles",$D1834=Company_Explorer!$B$7),OR(Company_Explorer!$B$8="All Ghost Labels",$AG1834=Company_Explorer!$B$8)),1,0)</f>
        <v>0</v>
      </c>
    </row>
    <row r="1835" spans="1:35" ht="15" customHeight="1" x14ac:dyDescent="0.3">
      <c r="A1835" s="65" t="s">
        <v>6680</v>
      </c>
      <c r="B1835" s="65" t="s">
        <v>81</v>
      </c>
      <c r="C1835" s="65" t="s">
        <v>6681</v>
      </c>
      <c r="D1835" s="65" t="s">
        <v>126</v>
      </c>
      <c r="E1835" s="65" t="s">
        <v>6682</v>
      </c>
      <c r="F1835" s="65" t="b">
        <f>TRUE()</f>
        <v>1</v>
      </c>
      <c r="G1835" s="65" t="s">
        <v>165</v>
      </c>
      <c r="H1835" s="65" t="s">
        <v>3655</v>
      </c>
      <c r="I1835" s="66">
        <v>46206.734912743101</v>
      </c>
      <c r="J1835" s="66">
        <v>46210.283336886598</v>
      </c>
      <c r="K1835" s="65">
        <v>3.5</v>
      </c>
      <c r="L1835" s="65" t="s">
        <v>183</v>
      </c>
      <c r="M1835" s="65" t="s">
        <v>183</v>
      </c>
      <c r="N1835" s="65" t="b">
        <f>FALSE()</f>
        <v>0</v>
      </c>
      <c r="O1835" s="65"/>
      <c r="P1835" s="65"/>
      <c r="Q1835" s="65" t="s">
        <v>236</v>
      </c>
      <c r="R1835" s="65" t="s">
        <v>236</v>
      </c>
      <c r="S1835" s="65"/>
      <c r="T1835" s="65" t="b">
        <f>FALSE()</f>
        <v>0</v>
      </c>
      <c r="U1835" s="65" t="b">
        <f>FALSE()</f>
        <v>0</v>
      </c>
      <c r="V1835" s="65">
        <v>974</v>
      </c>
      <c r="W1835" s="67" t="s">
        <v>6683</v>
      </c>
      <c r="X1835" s="65">
        <v>1</v>
      </c>
      <c r="Y1835" s="68">
        <v>1.75</v>
      </c>
      <c r="Z1835" s="65" t="b">
        <f>FALSE()</f>
        <v>0</v>
      </c>
      <c r="AA1835" s="65" t="b">
        <f>TRUE()</f>
        <v>1</v>
      </c>
      <c r="AB1835" s="65" t="b">
        <f>FALSE()</f>
        <v>0</v>
      </c>
      <c r="AC1835" s="65" t="b">
        <f>TRUE()</f>
        <v>1</v>
      </c>
      <c r="AD1835" s="65" t="b">
        <f>FALSE()</f>
        <v>0</v>
      </c>
      <c r="AE1835" s="65">
        <v>2</v>
      </c>
      <c r="AF1835" s="69">
        <v>28.6</v>
      </c>
      <c r="AG1835" s="65" t="s">
        <v>73</v>
      </c>
      <c r="AH1835" s="65" t="s">
        <v>6684</v>
      </c>
      <c r="AI1835">
        <f>IF(AND(OR(Company_Explorer!$B$5="All Companies",$E1835=Company_Explorer!$B$5),OR(Company_Explorer!$B$6="All Platforms",$B1835=Company_Explorer!$B$6),OR(Company_Explorer!$B$7="All Roles",$D1835=Company_Explorer!$B$7),OR(Company_Explorer!$B$8="All Ghost Labels",$AG1835=Company_Explorer!$B$8)),1,0)</f>
        <v>0</v>
      </c>
    </row>
    <row r="1836" spans="1:35" ht="15" customHeight="1" x14ac:dyDescent="0.3">
      <c r="A1836" s="60" t="s">
        <v>6685</v>
      </c>
      <c r="B1836" s="60" t="s">
        <v>81</v>
      </c>
      <c r="C1836" s="60" t="s">
        <v>6686</v>
      </c>
      <c r="D1836" s="60" t="s">
        <v>127</v>
      </c>
      <c r="E1836" s="60" t="s">
        <v>153</v>
      </c>
      <c r="F1836" s="60" t="b">
        <f>TRUE()</f>
        <v>1</v>
      </c>
      <c r="G1836" s="60" t="s">
        <v>165</v>
      </c>
      <c r="H1836" s="60" t="s">
        <v>3655</v>
      </c>
      <c r="I1836" s="61">
        <v>46207.527588090299</v>
      </c>
      <c r="J1836" s="61">
        <v>46210.283336990702</v>
      </c>
      <c r="K1836" s="60">
        <v>2.8</v>
      </c>
      <c r="L1836" s="60" t="s">
        <v>183</v>
      </c>
      <c r="M1836" s="60" t="s">
        <v>183</v>
      </c>
      <c r="N1836" s="60" t="b">
        <f>FALSE()</f>
        <v>0</v>
      </c>
      <c r="O1836" s="60"/>
      <c r="P1836" s="60"/>
      <c r="Q1836" s="60" t="s">
        <v>236</v>
      </c>
      <c r="R1836" s="60" t="s">
        <v>236</v>
      </c>
      <c r="S1836" s="60"/>
      <c r="T1836" s="60" t="b">
        <f>FALSE()</f>
        <v>0</v>
      </c>
      <c r="U1836" s="60" t="b">
        <f>FALSE()</f>
        <v>0</v>
      </c>
      <c r="V1836" s="60">
        <v>517</v>
      </c>
      <c r="W1836" s="62" t="s">
        <v>6687</v>
      </c>
      <c r="X1836" s="60">
        <v>12</v>
      </c>
      <c r="Y1836" s="63">
        <v>21</v>
      </c>
      <c r="Z1836" s="60" t="b">
        <f>FALSE()</f>
        <v>0</v>
      </c>
      <c r="AA1836" s="60" t="b">
        <f>TRUE()</f>
        <v>1</v>
      </c>
      <c r="AB1836" s="60" t="b">
        <f>FALSE()</f>
        <v>0</v>
      </c>
      <c r="AC1836" s="60" t="b">
        <f>TRUE()</f>
        <v>1</v>
      </c>
      <c r="AD1836" s="60" t="b">
        <f>FALSE()</f>
        <v>0</v>
      </c>
      <c r="AE1836" s="60">
        <v>2</v>
      </c>
      <c r="AF1836" s="64">
        <v>28.6</v>
      </c>
      <c r="AG1836" s="60" t="s">
        <v>73</v>
      </c>
      <c r="AH1836" s="60" t="s">
        <v>6688</v>
      </c>
      <c r="AI1836">
        <f>IF(AND(OR(Company_Explorer!$B$5="All Companies",$E1836=Company_Explorer!$B$5),OR(Company_Explorer!$B$6="All Platforms",$B1836=Company_Explorer!$B$6),OR(Company_Explorer!$B$7="All Roles",$D1836=Company_Explorer!$B$7),OR(Company_Explorer!$B$8="All Ghost Labels",$AG1836=Company_Explorer!$B$8)),1,0)</f>
        <v>0</v>
      </c>
    </row>
    <row r="1837" spans="1:35" ht="15" customHeight="1" x14ac:dyDescent="0.3">
      <c r="A1837" s="65" t="s">
        <v>6689</v>
      </c>
      <c r="B1837" s="65" t="s">
        <v>81</v>
      </c>
      <c r="C1837" s="65" t="s">
        <v>6690</v>
      </c>
      <c r="D1837" s="65" t="s">
        <v>127</v>
      </c>
      <c r="E1837" s="65" t="s">
        <v>4425</v>
      </c>
      <c r="F1837" s="65" t="b">
        <f>TRUE()</f>
        <v>1</v>
      </c>
      <c r="G1837" s="65" t="s">
        <v>165</v>
      </c>
      <c r="H1837" s="65" t="s">
        <v>3655</v>
      </c>
      <c r="I1837" s="66">
        <v>46206.726477916702</v>
      </c>
      <c r="J1837" s="66">
        <v>46210.283336956003</v>
      </c>
      <c r="K1837" s="65">
        <v>3.6</v>
      </c>
      <c r="L1837" s="65" t="s">
        <v>183</v>
      </c>
      <c r="M1837" s="65" t="s">
        <v>183</v>
      </c>
      <c r="N1837" s="65" t="b">
        <f>FALSE()</f>
        <v>0</v>
      </c>
      <c r="O1837" s="65"/>
      <c r="P1837" s="65"/>
      <c r="Q1837" s="65" t="s">
        <v>236</v>
      </c>
      <c r="R1837" s="65" t="s">
        <v>236</v>
      </c>
      <c r="S1837" s="65"/>
      <c r="T1837" s="65" t="b">
        <f>FALSE()</f>
        <v>0</v>
      </c>
      <c r="U1837" s="65" t="b">
        <f>FALSE()</f>
        <v>0</v>
      </c>
      <c r="V1837" s="65">
        <v>478</v>
      </c>
      <c r="W1837" s="67" t="s">
        <v>6691</v>
      </c>
      <c r="X1837" s="65">
        <v>3</v>
      </c>
      <c r="Y1837" s="68">
        <v>5.25</v>
      </c>
      <c r="Z1837" s="65" t="b">
        <f>FALSE()</f>
        <v>0</v>
      </c>
      <c r="AA1837" s="65" t="b">
        <f>TRUE()</f>
        <v>1</v>
      </c>
      <c r="AB1837" s="65" t="b">
        <f>FALSE()</f>
        <v>0</v>
      </c>
      <c r="AC1837" s="65" t="b">
        <f>TRUE()</f>
        <v>1</v>
      </c>
      <c r="AD1837" s="65" t="b">
        <f>FALSE()</f>
        <v>0</v>
      </c>
      <c r="AE1837" s="65">
        <v>2</v>
      </c>
      <c r="AF1837" s="69">
        <v>28.6</v>
      </c>
      <c r="AG1837" s="65" t="s">
        <v>73</v>
      </c>
      <c r="AH1837" s="65" t="s">
        <v>6692</v>
      </c>
      <c r="AI1837">
        <f>IF(AND(OR(Company_Explorer!$B$5="All Companies",$E1837=Company_Explorer!$B$5),OR(Company_Explorer!$B$6="All Platforms",$B1837=Company_Explorer!$B$6),OR(Company_Explorer!$B$7="All Roles",$D1837=Company_Explorer!$B$7),OR(Company_Explorer!$B$8="All Ghost Labels",$AG1837=Company_Explorer!$B$8)),1,0)</f>
        <v>0</v>
      </c>
    </row>
    <row r="1838" spans="1:35" ht="15" customHeight="1" x14ac:dyDescent="0.3">
      <c r="A1838" s="60" t="s">
        <v>6693</v>
      </c>
      <c r="B1838" s="60" t="s">
        <v>81</v>
      </c>
      <c r="C1838" s="60" t="s">
        <v>6694</v>
      </c>
      <c r="D1838" s="60" t="s">
        <v>127</v>
      </c>
      <c r="E1838" s="60" t="s">
        <v>6695</v>
      </c>
      <c r="F1838" s="60" t="b">
        <f>TRUE()</f>
        <v>1</v>
      </c>
      <c r="G1838" s="60" t="s">
        <v>165</v>
      </c>
      <c r="H1838" s="60" t="s">
        <v>3655</v>
      </c>
      <c r="I1838" s="61">
        <v>46206.589055196797</v>
      </c>
      <c r="J1838" s="61">
        <v>46210.283337013898</v>
      </c>
      <c r="K1838" s="60">
        <v>3.7</v>
      </c>
      <c r="L1838" s="60" t="s">
        <v>183</v>
      </c>
      <c r="M1838" s="60" t="s">
        <v>183</v>
      </c>
      <c r="N1838" s="60" t="b">
        <f>FALSE()</f>
        <v>0</v>
      </c>
      <c r="O1838" s="60"/>
      <c r="P1838" s="60"/>
      <c r="Q1838" s="60" t="s">
        <v>236</v>
      </c>
      <c r="R1838" s="60" t="s">
        <v>236</v>
      </c>
      <c r="S1838" s="60"/>
      <c r="T1838" s="60" t="b">
        <f>FALSE()</f>
        <v>0</v>
      </c>
      <c r="U1838" s="60" t="b">
        <f>FALSE()</f>
        <v>0</v>
      </c>
      <c r="V1838" s="60">
        <v>518</v>
      </c>
      <c r="W1838" s="62" t="s">
        <v>6696</v>
      </c>
      <c r="X1838" s="60">
        <v>1</v>
      </c>
      <c r="Y1838" s="63">
        <v>1.75</v>
      </c>
      <c r="Z1838" s="60" t="b">
        <f>FALSE()</f>
        <v>0</v>
      </c>
      <c r="AA1838" s="60" t="b">
        <f>TRUE()</f>
        <v>1</v>
      </c>
      <c r="AB1838" s="60" t="b">
        <f>FALSE()</f>
        <v>0</v>
      </c>
      <c r="AC1838" s="60" t="b">
        <f>TRUE()</f>
        <v>1</v>
      </c>
      <c r="AD1838" s="60" t="b">
        <f>FALSE()</f>
        <v>0</v>
      </c>
      <c r="AE1838" s="60">
        <v>2</v>
      </c>
      <c r="AF1838" s="64">
        <v>28.6</v>
      </c>
      <c r="AG1838" s="60" t="s">
        <v>73</v>
      </c>
      <c r="AH1838" s="60" t="s">
        <v>6697</v>
      </c>
      <c r="AI1838">
        <f>IF(AND(OR(Company_Explorer!$B$5="All Companies",$E1838=Company_Explorer!$B$5),OR(Company_Explorer!$B$6="All Platforms",$B1838=Company_Explorer!$B$6),OR(Company_Explorer!$B$7="All Roles",$D1838=Company_Explorer!$B$7),OR(Company_Explorer!$B$8="All Ghost Labels",$AG1838=Company_Explorer!$B$8)),1,0)</f>
        <v>0</v>
      </c>
    </row>
    <row r="1839" spans="1:35" ht="15" customHeight="1" x14ac:dyDescent="0.3">
      <c r="A1839" s="65" t="s">
        <v>6698</v>
      </c>
      <c r="B1839" s="65" t="s">
        <v>81</v>
      </c>
      <c r="C1839" s="65" t="s">
        <v>5582</v>
      </c>
      <c r="D1839" s="65" t="s">
        <v>127</v>
      </c>
      <c r="E1839" s="65" t="s">
        <v>5735</v>
      </c>
      <c r="F1839" s="65" t="b">
        <f>TRUE()</f>
        <v>1</v>
      </c>
      <c r="G1839" s="65" t="s">
        <v>165</v>
      </c>
      <c r="H1839" s="65" t="s">
        <v>3672</v>
      </c>
      <c r="I1839" s="66">
        <v>46207.559677060199</v>
      </c>
      <c r="J1839" s="66">
        <v>46210.283337048597</v>
      </c>
      <c r="K1839" s="65">
        <v>2.7</v>
      </c>
      <c r="L1839" s="65" t="s">
        <v>183</v>
      </c>
      <c r="M1839" s="65" t="s">
        <v>183</v>
      </c>
      <c r="N1839" s="65" t="b">
        <f>FALSE()</f>
        <v>0</v>
      </c>
      <c r="O1839" s="65"/>
      <c r="P1839" s="65"/>
      <c r="Q1839" s="65" t="s">
        <v>236</v>
      </c>
      <c r="R1839" s="65" t="s">
        <v>236</v>
      </c>
      <c r="S1839" s="65"/>
      <c r="T1839" s="65" t="b">
        <f>FALSE()</f>
        <v>0</v>
      </c>
      <c r="U1839" s="65" t="b">
        <f>FALSE()</f>
        <v>0</v>
      </c>
      <c r="V1839" s="65">
        <v>183</v>
      </c>
      <c r="W1839" s="67" t="s">
        <v>6699</v>
      </c>
      <c r="X1839" s="65">
        <v>2</v>
      </c>
      <c r="Y1839" s="68">
        <v>3.5</v>
      </c>
      <c r="Z1839" s="65" t="b">
        <f>FALSE()</f>
        <v>0</v>
      </c>
      <c r="AA1839" s="65" t="b">
        <f>TRUE()</f>
        <v>1</v>
      </c>
      <c r="AB1839" s="65" t="b">
        <f>TRUE()</f>
        <v>1</v>
      </c>
      <c r="AC1839" s="65" t="b">
        <f>TRUE()</f>
        <v>1</v>
      </c>
      <c r="AD1839" s="65" t="b">
        <f>FALSE()</f>
        <v>0</v>
      </c>
      <c r="AE1839" s="65">
        <v>3</v>
      </c>
      <c r="AF1839" s="69">
        <v>42.9</v>
      </c>
      <c r="AG1839" s="65" t="s">
        <v>73</v>
      </c>
      <c r="AH1839" s="65" t="s">
        <v>6700</v>
      </c>
      <c r="AI1839">
        <f>IF(AND(OR(Company_Explorer!$B$5="All Companies",$E1839=Company_Explorer!$B$5),OR(Company_Explorer!$B$6="All Platforms",$B1839=Company_Explorer!$B$6),OR(Company_Explorer!$B$7="All Roles",$D1839=Company_Explorer!$B$7),OR(Company_Explorer!$B$8="All Ghost Labels",$AG1839=Company_Explorer!$B$8)),1,0)</f>
        <v>0</v>
      </c>
    </row>
    <row r="1840" spans="1:35" ht="15" customHeight="1" x14ac:dyDescent="0.3">
      <c r="A1840" s="60" t="s">
        <v>6701</v>
      </c>
      <c r="B1840" s="60" t="s">
        <v>81</v>
      </c>
      <c r="C1840" s="60" t="s">
        <v>6702</v>
      </c>
      <c r="D1840" s="60" t="s">
        <v>133</v>
      </c>
      <c r="E1840" s="60" t="s">
        <v>147</v>
      </c>
      <c r="F1840" s="60" t="b">
        <f>TRUE()</f>
        <v>1</v>
      </c>
      <c r="G1840" s="60" t="s">
        <v>165</v>
      </c>
      <c r="H1840" s="60" t="s">
        <v>3620</v>
      </c>
      <c r="I1840" s="61">
        <v>46206.722539791699</v>
      </c>
      <c r="J1840" s="61">
        <v>46210.283337951398</v>
      </c>
      <c r="K1840" s="60">
        <v>3.6</v>
      </c>
      <c r="L1840" s="60" t="s">
        <v>183</v>
      </c>
      <c r="M1840" s="60" t="s">
        <v>183</v>
      </c>
      <c r="N1840" s="60" t="b">
        <f>FALSE()</f>
        <v>0</v>
      </c>
      <c r="O1840" s="60"/>
      <c r="P1840" s="60"/>
      <c r="Q1840" s="60" t="s">
        <v>236</v>
      </c>
      <c r="R1840" s="60" t="s">
        <v>236</v>
      </c>
      <c r="S1840" s="60"/>
      <c r="T1840" s="60" t="b">
        <f>FALSE()</f>
        <v>0</v>
      </c>
      <c r="U1840" s="60" t="b">
        <f>FALSE()</f>
        <v>0</v>
      </c>
      <c r="V1840" s="60">
        <v>246</v>
      </c>
      <c r="W1840" s="62" t="s">
        <v>6703</v>
      </c>
      <c r="X1840" s="60">
        <v>16</v>
      </c>
      <c r="Y1840" s="63">
        <v>28</v>
      </c>
      <c r="Z1840" s="60" t="b">
        <f>FALSE()</f>
        <v>0</v>
      </c>
      <c r="AA1840" s="60" t="b">
        <f>TRUE()</f>
        <v>1</v>
      </c>
      <c r="AB1840" s="60" t="b">
        <f>TRUE()</f>
        <v>1</v>
      </c>
      <c r="AC1840" s="60" t="b">
        <f>TRUE()</f>
        <v>1</v>
      </c>
      <c r="AD1840" s="60" t="b">
        <f>FALSE()</f>
        <v>0</v>
      </c>
      <c r="AE1840" s="60">
        <v>3</v>
      </c>
      <c r="AF1840" s="64">
        <v>42.9</v>
      </c>
      <c r="AG1840" s="60" t="s">
        <v>73</v>
      </c>
      <c r="AH1840" s="60" t="s">
        <v>6704</v>
      </c>
      <c r="AI1840">
        <f>IF(AND(OR(Company_Explorer!$B$5="All Companies",$E1840=Company_Explorer!$B$5),OR(Company_Explorer!$B$6="All Platforms",$B1840=Company_Explorer!$B$6),OR(Company_Explorer!$B$7="All Roles",$D1840=Company_Explorer!$B$7),OR(Company_Explorer!$B$8="All Ghost Labels",$AG1840=Company_Explorer!$B$8)),1,0)</f>
        <v>1</v>
      </c>
    </row>
    <row r="1841" spans="1:35" ht="15" customHeight="1" x14ac:dyDescent="0.3">
      <c r="A1841" s="65" t="s">
        <v>6705</v>
      </c>
      <c r="B1841" s="65" t="s">
        <v>81</v>
      </c>
      <c r="C1841" s="65" t="s">
        <v>3793</v>
      </c>
      <c r="D1841" s="65" t="s">
        <v>127</v>
      </c>
      <c r="E1841" s="65" t="s">
        <v>3726</v>
      </c>
      <c r="F1841" s="65" t="b">
        <f>FALSE()</f>
        <v>0</v>
      </c>
      <c r="G1841" s="65" t="s">
        <v>165</v>
      </c>
      <c r="H1841" s="65" t="s">
        <v>4442</v>
      </c>
      <c r="I1841" s="66">
        <v>46207.515742858799</v>
      </c>
      <c r="J1841" s="66">
        <v>46210.283338020803</v>
      </c>
      <c r="K1841" s="65">
        <v>2.8</v>
      </c>
      <c r="L1841" s="65" t="s">
        <v>183</v>
      </c>
      <c r="M1841" s="65" t="s">
        <v>183</v>
      </c>
      <c r="N1841" s="65" t="b">
        <f>TRUE()</f>
        <v>1</v>
      </c>
      <c r="O1841" s="71">
        <v>304713.59375</v>
      </c>
      <c r="P1841" s="71">
        <v>1306580.625</v>
      </c>
      <c r="Q1841" s="65" t="s">
        <v>3663</v>
      </c>
      <c r="R1841" s="65" t="s">
        <v>3961</v>
      </c>
      <c r="S1841" s="71">
        <v>805647</v>
      </c>
      <c r="T1841" s="65" t="b">
        <f>TRUE()</f>
        <v>1</v>
      </c>
      <c r="U1841" s="65" t="b">
        <f>FALSE()</f>
        <v>0</v>
      </c>
      <c r="V1841" s="65">
        <v>189</v>
      </c>
      <c r="W1841" s="65" t="s">
        <v>6706</v>
      </c>
      <c r="X1841" s="65"/>
      <c r="Y1841" s="68"/>
      <c r="Z1841" s="65" t="b">
        <f>TRUE()</f>
        <v>1</v>
      </c>
      <c r="AA1841" s="65" t="b">
        <f>FALSE()</f>
        <v>0</v>
      </c>
      <c r="AB1841" s="65" t="b">
        <f>TRUE()</f>
        <v>1</v>
      </c>
      <c r="AC1841" s="65" t="b">
        <f>TRUE()</f>
        <v>1</v>
      </c>
      <c r="AD1841" s="65" t="b">
        <f>FALSE()</f>
        <v>0</v>
      </c>
      <c r="AE1841" s="65">
        <v>4</v>
      </c>
      <c r="AF1841" s="69">
        <v>57.1</v>
      </c>
      <c r="AG1841" s="65" t="s">
        <v>72</v>
      </c>
      <c r="AH1841" s="65" t="s">
        <v>6707</v>
      </c>
      <c r="AI1841">
        <f>IF(AND(OR(Company_Explorer!$B$5="All Companies",$E1841=Company_Explorer!$B$5),OR(Company_Explorer!$B$6="All Platforms",$B1841=Company_Explorer!$B$6),OR(Company_Explorer!$B$7="All Roles",$D1841=Company_Explorer!$B$7),OR(Company_Explorer!$B$8="All Ghost Labels",$AG1841=Company_Explorer!$B$8)),1,0)</f>
        <v>0</v>
      </c>
    </row>
    <row r="1842" spans="1:35" ht="15" customHeight="1" x14ac:dyDescent="0.3">
      <c r="A1842" s="60" t="s">
        <v>6708</v>
      </c>
      <c r="B1842" s="60" t="s">
        <v>81</v>
      </c>
      <c r="C1842" s="60" t="s">
        <v>6694</v>
      </c>
      <c r="D1842" s="60" t="s">
        <v>127</v>
      </c>
      <c r="E1842" s="60" t="s">
        <v>6709</v>
      </c>
      <c r="F1842" s="60" t="b">
        <f>TRUE()</f>
        <v>1</v>
      </c>
      <c r="G1842" s="60" t="s">
        <v>165</v>
      </c>
      <c r="H1842" s="60" t="s">
        <v>3655</v>
      </c>
      <c r="I1842" s="61">
        <v>46206.588073888903</v>
      </c>
      <c r="J1842" s="61">
        <v>46210.283338252302</v>
      </c>
      <c r="K1842" s="60">
        <v>3.7</v>
      </c>
      <c r="L1842" s="60" t="s">
        <v>183</v>
      </c>
      <c r="M1842" s="60" t="s">
        <v>183</v>
      </c>
      <c r="N1842" s="60" t="b">
        <f>FALSE()</f>
        <v>0</v>
      </c>
      <c r="O1842" s="60"/>
      <c r="P1842" s="60"/>
      <c r="Q1842" s="60" t="s">
        <v>236</v>
      </c>
      <c r="R1842" s="60" t="s">
        <v>236</v>
      </c>
      <c r="S1842" s="60"/>
      <c r="T1842" s="60" t="b">
        <f>FALSE()</f>
        <v>0</v>
      </c>
      <c r="U1842" s="60" t="b">
        <f>FALSE()</f>
        <v>0</v>
      </c>
      <c r="V1842" s="60">
        <v>518</v>
      </c>
      <c r="W1842" s="62" t="s">
        <v>6696</v>
      </c>
      <c r="X1842" s="60">
        <v>1</v>
      </c>
      <c r="Y1842" s="63">
        <v>1.75</v>
      </c>
      <c r="Z1842" s="60" t="b">
        <f>FALSE()</f>
        <v>0</v>
      </c>
      <c r="AA1842" s="60" t="b">
        <f>TRUE()</f>
        <v>1</v>
      </c>
      <c r="AB1842" s="60" t="b">
        <f>FALSE()</f>
        <v>0</v>
      </c>
      <c r="AC1842" s="60" t="b">
        <f>TRUE()</f>
        <v>1</v>
      </c>
      <c r="AD1842" s="60" t="b">
        <f>FALSE()</f>
        <v>0</v>
      </c>
      <c r="AE1842" s="60">
        <v>2</v>
      </c>
      <c r="AF1842" s="64">
        <v>28.6</v>
      </c>
      <c r="AG1842" s="60" t="s">
        <v>73</v>
      </c>
      <c r="AH1842" s="60" t="s">
        <v>6710</v>
      </c>
      <c r="AI1842">
        <f>IF(AND(OR(Company_Explorer!$B$5="All Companies",$E1842=Company_Explorer!$B$5),OR(Company_Explorer!$B$6="All Platforms",$B1842=Company_Explorer!$B$6),OR(Company_Explorer!$B$7="All Roles",$D1842=Company_Explorer!$B$7),OR(Company_Explorer!$B$8="All Ghost Labels",$AG1842=Company_Explorer!$B$8)),1,0)</f>
        <v>0</v>
      </c>
    </row>
    <row r="1843" spans="1:35" ht="15" customHeight="1" x14ac:dyDescent="0.3">
      <c r="A1843" s="65" t="s">
        <v>6711</v>
      </c>
      <c r="B1843" s="65" t="s">
        <v>81</v>
      </c>
      <c r="C1843" s="65" t="s">
        <v>6712</v>
      </c>
      <c r="D1843" s="65" t="s">
        <v>126</v>
      </c>
      <c r="E1843" s="65" t="s">
        <v>6713</v>
      </c>
      <c r="F1843" s="65" t="b">
        <f>TRUE()</f>
        <v>1</v>
      </c>
      <c r="G1843" s="65" t="s">
        <v>165</v>
      </c>
      <c r="H1843" s="65" t="s">
        <v>3702</v>
      </c>
      <c r="I1843" s="66">
        <v>46206.580140590297</v>
      </c>
      <c r="J1843" s="66">
        <v>46210.283339456</v>
      </c>
      <c r="K1843" s="65">
        <v>3.7</v>
      </c>
      <c r="L1843" s="65" t="s">
        <v>183</v>
      </c>
      <c r="M1843" s="65" t="s">
        <v>183</v>
      </c>
      <c r="N1843" s="65" t="b">
        <f>FALSE()</f>
        <v>0</v>
      </c>
      <c r="O1843" s="65"/>
      <c r="P1843" s="65"/>
      <c r="Q1843" s="65" t="s">
        <v>236</v>
      </c>
      <c r="R1843" s="65" t="s">
        <v>236</v>
      </c>
      <c r="S1843" s="65"/>
      <c r="T1843" s="65" t="b">
        <f>FALSE()</f>
        <v>0</v>
      </c>
      <c r="U1843" s="65" t="b">
        <f>FALSE()</f>
        <v>0</v>
      </c>
      <c r="V1843" s="65">
        <v>583</v>
      </c>
      <c r="W1843" s="67" t="s">
        <v>6714</v>
      </c>
      <c r="X1843" s="65">
        <v>1</v>
      </c>
      <c r="Y1843" s="68">
        <v>1.75</v>
      </c>
      <c r="Z1843" s="65" t="b">
        <f>FALSE()</f>
        <v>0</v>
      </c>
      <c r="AA1843" s="65" t="b">
        <f>TRUE()</f>
        <v>1</v>
      </c>
      <c r="AB1843" s="65" t="b">
        <f>FALSE()</f>
        <v>0</v>
      </c>
      <c r="AC1843" s="65" t="b">
        <f>TRUE()</f>
        <v>1</v>
      </c>
      <c r="AD1843" s="65" t="b">
        <f>FALSE()</f>
        <v>0</v>
      </c>
      <c r="AE1843" s="65">
        <v>2</v>
      </c>
      <c r="AF1843" s="69">
        <v>28.6</v>
      </c>
      <c r="AG1843" s="65" t="s">
        <v>73</v>
      </c>
      <c r="AH1843" s="65" t="s">
        <v>6715</v>
      </c>
      <c r="AI1843">
        <f>IF(AND(OR(Company_Explorer!$B$5="All Companies",$E1843=Company_Explorer!$B$5),OR(Company_Explorer!$B$6="All Platforms",$B1843=Company_Explorer!$B$6),OR(Company_Explorer!$B$7="All Roles",$D1843=Company_Explorer!$B$7),OR(Company_Explorer!$B$8="All Ghost Labels",$AG1843=Company_Explorer!$B$8)),1,0)</f>
        <v>0</v>
      </c>
    </row>
    <row r="1844" spans="1:35" ht="15" customHeight="1" x14ac:dyDescent="0.3">
      <c r="A1844" s="60" t="s">
        <v>6716</v>
      </c>
      <c r="B1844" s="60" t="s">
        <v>81</v>
      </c>
      <c r="C1844" s="60" t="s">
        <v>6717</v>
      </c>
      <c r="D1844" s="60" t="s">
        <v>126</v>
      </c>
      <c r="E1844" s="60" t="s">
        <v>142</v>
      </c>
      <c r="F1844" s="60" t="b">
        <f>TRUE()</f>
        <v>1</v>
      </c>
      <c r="G1844" s="60" t="s">
        <v>165</v>
      </c>
      <c r="H1844" s="60" t="s">
        <v>3702</v>
      </c>
      <c r="I1844" s="61">
        <v>46207.513818634303</v>
      </c>
      <c r="J1844" s="61">
        <v>46210.283339513902</v>
      </c>
      <c r="K1844" s="60">
        <v>2.8</v>
      </c>
      <c r="L1844" s="60" t="s">
        <v>183</v>
      </c>
      <c r="M1844" s="60" t="s">
        <v>183</v>
      </c>
      <c r="N1844" s="60" t="b">
        <f>FALSE()</f>
        <v>0</v>
      </c>
      <c r="O1844" s="60"/>
      <c r="P1844" s="60"/>
      <c r="Q1844" s="60" t="s">
        <v>236</v>
      </c>
      <c r="R1844" s="60" t="s">
        <v>236</v>
      </c>
      <c r="S1844" s="60"/>
      <c r="T1844" s="60" t="b">
        <f>FALSE()</f>
        <v>0</v>
      </c>
      <c r="U1844" s="60" t="b">
        <f>FALSE()</f>
        <v>0</v>
      </c>
      <c r="V1844" s="60">
        <v>446</v>
      </c>
      <c r="W1844" s="62" t="s">
        <v>6718</v>
      </c>
      <c r="X1844" s="60">
        <v>81</v>
      </c>
      <c r="Y1844" s="63">
        <v>141.75</v>
      </c>
      <c r="Z1844" s="60" t="b">
        <f>FALSE()</f>
        <v>0</v>
      </c>
      <c r="AA1844" s="60" t="b">
        <f>TRUE()</f>
        <v>1</v>
      </c>
      <c r="AB1844" s="60" t="b">
        <f>FALSE()</f>
        <v>0</v>
      </c>
      <c r="AC1844" s="60" t="b">
        <f>TRUE()</f>
        <v>1</v>
      </c>
      <c r="AD1844" s="60" t="b">
        <f>TRUE()</f>
        <v>1</v>
      </c>
      <c r="AE1844" s="60">
        <v>4</v>
      </c>
      <c r="AF1844" s="64">
        <v>57.1</v>
      </c>
      <c r="AG1844" s="60" t="s">
        <v>72</v>
      </c>
      <c r="AH1844" s="60" t="s">
        <v>6719</v>
      </c>
      <c r="AI1844">
        <f>IF(AND(OR(Company_Explorer!$B$5="All Companies",$E1844=Company_Explorer!$B$5),OR(Company_Explorer!$B$6="All Platforms",$B1844=Company_Explorer!$B$6),OR(Company_Explorer!$B$7="All Roles",$D1844=Company_Explorer!$B$7),OR(Company_Explorer!$B$8="All Ghost Labels",$AG1844=Company_Explorer!$B$8)),1,0)</f>
        <v>0</v>
      </c>
    </row>
    <row r="1845" spans="1:35" ht="15" customHeight="1" x14ac:dyDescent="0.3">
      <c r="A1845" s="65" t="s">
        <v>6720</v>
      </c>
      <c r="B1845" s="65" t="s">
        <v>81</v>
      </c>
      <c r="C1845" s="65" t="s">
        <v>5461</v>
      </c>
      <c r="D1845" s="65" t="s">
        <v>127</v>
      </c>
      <c r="E1845" s="65" t="s">
        <v>142</v>
      </c>
      <c r="F1845" s="65" t="b">
        <f>TRUE()</f>
        <v>1</v>
      </c>
      <c r="G1845" s="65" t="s">
        <v>165</v>
      </c>
      <c r="H1845" s="65" t="s">
        <v>3655</v>
      </c>
      <c r="I1845" s="66">
        <v>46207.513637453703</v>
      </c>
      <c r="J1845" s="66">
        <v>46210.283339537003</v>
      </c>
      <c r="K1845" s="65">
        <v>2.8</v>
      </c>
      <c r="L1845" s="65" t="s">
        <v>183</v>
      </c>
      <c r="M1845" s="65" t="s">
        <v>183</v>
      </c>
      <c r="N1845" s="65" t="b">
        <f>FALSE()</f>
        <v>0</v>
      </c>
      <c r="O1845" s="65"/>
      <c r="P1845" s="65"/>
      <c r="Q1845" s="65" t="s">
        <v>236</v>
      </c>
      <c r="R1845" s="65" t="s">
        <v>236</v>
      </c>
      <c r="S1845" s="65"/>
      <c r="T1845" s="65" t="b">
        <f>FALSE()</f>
        <v>0</v>
      </c>
      <c r="U1845" s="65" t="b">
        <f>FALSE()</f>
        <v>0</v>
      </c>
      <c r="V1845" s="65">
        <v>792</v>
      </c>
      <c r="W1845" s="67" t="s">
        <v>5462</v>
      </c>
      <c r="X1845" s="65">
        <v>81</v>
      </c>
      <c r="Y1845" s="68">
        <v>141.75</v>
      </c>
      <c r="Z1845" s="65" t="b">
        <f>FALSE()</f>
        <v>0</v>
      </c>
      <c r="AA1845" s="65" t="b">
        <f>TRUE()</f>
        <v>1</v>
      </c>
      <c r="AB1845" s="65" t="b">
        <f>FALSE()</f>
        <v>0</v>
      </c>
      <c r="AC1845" s="65" t="b">
        <f>TRUE()</f>
        <v>1</v>
      </c>
      <c r="AD1845" s="65" t="b">
        <f>TRUE()</f>
        <v>1</v>
      </c>
      <c r="AE1845" s="65">
        <v>4</v>
      </c>
      <c r="AF1845" s="69">
        <v>57.1</v>
      </c>
      <c r="AG1845" s="65" t="s">
        <v>72</v>
      </c>
      <c r="AH1845" s="65" t="s">
        <v>6721</v>
      </c>
      <c r="AI1845">
        <f>IF(AND(OR(Company_Explorer!$B$5="All Companies",$E1845=Company_Explorer!$B$5),OR(Company_Explorer!$B$6="All Platforms",$B1845=Company_Explorer!$B$6),OR(Company_Explorer!$B$7="All Roles",$D1845=Company_Explorer!$B$7),OR(Company_Explorer!$B$8="All Ghost Labels",$AG1845=Company_Explorer!$B$8)),1,0)</f>
        <v>0</v>
      </c>
    </row>
    <row r="1846" spans="1:35" ht="15" customHeight="1" x14ac:dyDescent="0.3">
      <c r="A1846" s="60" t="s">
        <v>6722</v>
      </c>
      <c r="B1846" s="60" t="s">
        <v>81</v>
      </c>
      <c r="C1846" s="60" t="s">
        <v>6723</v>
      </c>
      <c r="D1846" s="60" t="s">
        <v>126</v>
      </c>
      <c r="E1846" s="60" t="s">
        <v>6724</v>
      </c>
      <c r="F1846" s="60" t="b">
        <f>TRUE()</f>
        <v>1</v>
      </c>
      <c r="G1846" s="60" t="s">
        <v>165</v>
      </c>
      <c r="H1846" s="60" t="s">
        <v>3702</v>
      </c>
      <c r="I1846" s="61">
        <v>46206.569373425897</v>
      </c>
      <c r="J1846" s="61">
        <v>46210.283340347203</v>
      </c>
      <c r="K1846" s="60">
        <v>3.7</v>
      </c>
      <c r="L1846" s="60" t="s">
        <v>183</v>
      </c>
      <c r="M1846" s="60" t="s">
        <v>183</v>
      </c>
      <c r="N1846" s="60" t="b">
        <f>FALSE()</f>
        <v>0</v>
      </c>
      <c r="O1846" s="60"/>
      <c r="P1846" s="60"/>
      <c r="Q1846" s="60" t="s">
        <v>236</v>
      </c>
      <c r="R1846" s="60" t="s">
        <v>236</v>
      </c>
      <c r="S1846" s="60"/>
      <c r="T1846" s="60" t="b">
        <f>FALSE()</f>
        <v>0</v>
      </c>
      <c r="U1846" s="60" t="b">
        <f>FALSE()</f>
        <v>0</v>
      </c>
      <c r="V1846" s="60">
        <v>209</v>
      </c>
      <c r="W1846" s="62" t="s">
        <v>6725</v>
      </c>
      <c r="X1846" s="60">
        <v>3</v>
      </c>
      <c r="Y1846" s="63">
        <v>5.25</v>
      </c>
      <c r="Z1846" s="60" t="b">
        <f>FALSE()</f>
        <v>0</v>
      </c>
      <c r="AA1846" s="60" t="b">
        <f>TRUE()</f>
        <v>1</v>
      </c>
      <c r="AB1846" s="60" t="b">
        <f>TRUE()</f>
        <v>1</v>
      </c>
      <c r="AC1846" s="60" t="b">
        <f>TRUE()</f>
        <v>1</v>
      </c>
      <c r="AD1846" s="60" t="b">
        <f>FALSE()</f>
        <v>0</v>
      </c>
      <c r="AE1846" s="60">
        <v>3</v>
      </c>
      <c r="AF1846" s="64">
        <v>42.9</v>
      </c>
      <c r="AG1846" s="60" t="s">
        <v>73</v>
      </c>
      <c r="AH1846" s="60" t="s">
        <v>6726</v>
      </c>
      <c r="AI1846">
        <f>IF(AND(OR(Company_Explorer!$B$5="All Companies",$E1846=Company_Explorer!$B$5),OR(Company_Explorer!$B$6="All Platforms",$B1846=Company_Explorer!$B$6),OR(Company_Explorer!$B$7="All Roles",$D1846=Company_Explorer!$B$7),OR(Company_Explorer!$B$8="All Ghost Labels",$AG1846=Company_Explorer!$B$8)),1,0)</f>
        <v>0</v>
      </c>
    </row>
    <row r="1847" spans="1:35" ht="15" customHeight="1" x14ac:dyDescent="0.3">
      <c r="A1847" s="65" t="s">
        <v>6727</v>
      </c>
      <c r="B1847" s="65" t="s">
        <v>81</v>
      </c>
      <c r="C1847" s="65" t="s">
        <v>6728</v>
      </c>
      <c r="D1847" s="65" t="s">
        <v>136</v>
      </c>
      <c r="E1847" s="65" t="s">
        <v>156</v>
      </c>
      <c r="F1847" s="65" t="b">
        <f>TRUE()</f>
        <v>1</v>
      </c>
      <c r="G1847" s="65" t="s">
        <v>165</v>
      </c>
      <c r="H1847" s="65" t="s">
        <v>3655</v>
      </c>
      <c r="I1847" s="66">
        <v>46206.718877419</v>
      </c>
      <c r="J1847" s="66">
        <v>46210.283340289403</v>
      </c>
      <c r="K1847" s="65">
        <v>3.6</v>
      </c>
      <c r="L1847" s="65" t="s">
        <v>183</v>
      </c>
      <c r="M1847" s="65" t="s">
        <v>183</v>
      </c>
      <c r="N1847" s="65" t="b">
        <f>FALSE()</f>
        <v>0</v>
      </c>
      <c r="O1847" s="65"/>
      <c r="P1847" s="65"/>
      <c r="Q1847" s="65" t="s">
        <v>236</v>
      </c>
      <c r="R1847" s="65" t="s">
        <v>236</v>
      </c>
      <c r="S1847" s="65"/>
      <c r="T1847" s="65" t="b">
        <f>FALSE()</f>
        <v>0</v>
      </c>
      <c r="U1847" s="65" t="b">
        <f>FALSE()</f>
        <v>0</v>
      </c>
      <c r="V1847" s="65">
        <v>734</v>
      </c>
      <c r="W1847" s="67" t="s">
        <v>6729</v>
      </c>
      <c r="X1847" s="65">
        <v>14</v>
      </c>
      <c r="Y1847" s="68">
        <v>24.5</v>
      </c>
      <c r="Z1847" s="65" t="b">
        <f>FALSE()</f>
        <v>0</v>
      </c>
      <c r="AA1847" s="65" t="b">
        <f>TRUE()</f>
        <v>1</v>
      </c>
      <c r="AB1847" s="65" t="b">
        <f>FALSE()</f>
        <v>0</v>
      </c>
      <c r="AC1847" s="65" t="b">
        <f>TRUE()</f>
        <v>1</v>
      </c>
      <c r="AD1847" s="65" t="b">
        <f>FALSE()</f>
        <v>0</v>
      </c>
      <c r="AE1847" s="65">
        <v>2</v>
      </c>
      <c r="AF1847" s="69">
        <v>28.6</v>
      </c>
      <c r="AG1847" s="65" t="s">
        <v>73</v>
      </c>
      <c r="AH1847" s="65" t="s">
        <v>6730</v>
      </c>
      <c r="AI1847">
        <f>IF(AND(OR(Company_Explorer!$B$5="All Companies",$E1847=Company_Explorer!$B$5),OR(Company_Explorer!$B$6="All Platforms",$B1847=Company_Explorer!$B$6),OR(Company_Explorer!$B$7="All Roles",$D1847=Company_Explorer!$B$7),OR(Company_Explorer!$B$8="All Ghost Labels",$AG1847=Company_Explorer!$B$8)),1,0)</f>
        <v>0</v>
      </c>
    </row>
    <row r="1848" spans="1:35" ht="15" customHeight="1" x14ac:dyDescent="0.3">
      <c r="A1848" s="60" t="s">
        <v>6731</v>
      </c>
      <c r="B1848" s="60" t="s">
        <v>81</v>
      </c>
      <c r="C1848" s="60" t="s">
        <v>6732</v>
      </c>
      <c r="D1848" s="60" t="s">
        <v>126</v>
      </c>
      <c r="E1848" s="60" t="s">
        <v>156</v>
      </c>
      <c r="F1848" s="60" t="b">
        <f>TRUE()</f>
        <v>1</v>
      </c>
      <c r="G1848" s="60" t="s">
        <v>165</v>
      </c>
      <c r="H1848" s="60" t="s">
        <v>3620</v>
      </c>
      <c r="I1848" s="61">
        <v>46206.7188777431</v>
      </c>
      <c r="J1848" s="61">
        <v>46210.283340312497</v>
      </c>
      <c r="K1848" s="60">
        <v>3.6</v>
      </c>
      <c r="L1848" s="60" t="s">
        <v>183</v>
      </c>
      <c r="M1848" s="60" t="s">
        <v>183</v>
      </c>
      <c r="N1848" s="60" t="b">
        <f>FALSE()</f>
        <v>0</v>
      </c>
      <c r="O1848" s="60"/>
      <c r="P1848" s="60"/>
      <c r="Q1848" s="60" t="s">
        <v>236</v>
      </c>
      <c r="R1848" s="60" t="s">
        <v>236</v>
      </c>
      <c r="S1848" s="60"/>
      <c r="T1848" s="60" t="b">
        <f>FALSE()</f>
        <v>0</v>
      </c>
      <c r="U1848" s="60" t="b">
        <f>FALSE()</f>
        <v>0</v>
      </c>
      <c r="V1848" s="60">
        <v>500</v>
      </c>
      <c r="W1848" s="62" t="s">
        <v>6733</v>
      </c>
      <c r="X1848" s="60">
        <v>14</v>
      </c>
      <c r="Y1848" s="63">
        <v>24.5</v>
      </c>
      <c r="Z1848" s="60" t="b">
        <f>FALSE()</f>
        <v>0</v>
      </c>
      <c r="AA1848" s="60" t="b">
        <f>TRUE()</f>
        <v>1</v>
      </c>
      <c r="AB1848" s="60" t="b">
        <f>FALSE()</f>
        <v>0</v>
      </c>
      <c r="AC1848" s="60" t="b">
        <f>TRUE()</f>
        <v>1</v>
      </c>
      <c r="AD1848" s="60" t="b">
        <f>FALSE()</f>
        <v>0</v>
      </c>
      <c r="AE1848" s="60">
        <v>2</v>
      </c>
      <c r="AF1848" s="64">
        <v>28.6</v>
      </c>
      <c r="AG1848" s="60" t="s">
        <v>73</v>
      </c>
      <c r="AH1848" s="60" t="s">
        <v>6734</v>
      </c>
      <c r="AI1848">
        <f>IF(AND(OR(Company_Explorer!$B$5="All Companies",$E1848=Company_Explorer!$B$5),OR(Company_Explorer!$B$6="All Platforms",$B1848=Company_Explorer!$B$6),OR(Company_Explorer!$B$7="All Roles",$D1848=Company_Explorer!$B$7),OR(Company_Explorer!$B$8="All Ghost Labels",$AG1848=Company_Explorer!$B$8)),1,0)</f>
        <v>0</v>
      </c>
    </row>
    <row r="1849" spans="1:35" ht="15" customHeight="1" x14ac:dyDescent="0.3">
      <c r="A1849" s="65" t="s">
        <v>6735</v>
      </c>
      <c r="B1849" s="65" t="s">
        <v>81</v>
      </c>
      <c r="C1849" s="65" t="s">
        <v>6736</v>
      </c>
      <c r="D1849" s="65" t="s">
        <v>127</v>
      </c>
      <c r="E1849" s="65" t="s">
        <v>6737</v>
      </c>
      <c r="F1849" s="65" t="b">
        <f>TRUE()</f>
        <v>1</v>
      </c>
      <c r="G1849" s="65" t="s">
        <v>165</v>
      </c>
      <c r="H1849" s="65" t="s">
        <v>3702</v>
      </c>
      <c r="I1849" s="66">
        <v>46207.507670856503</v>
      </c>
      <c r="J1849" s="66">
        <v>46210.283340381997</v>
      </c>
      <c r="K1849" s="65">
        <v>2.8</v>
      </c>
      <c r="L1849" s="65" t="s">
        <v>183</v>
      </c>
      <c r="M1849" s="65" t="s">
        <v>183</v>
      </c>
      <c r="N1849" s="65" t="b">
        <f>TRUE()</f>
        <v>1</v>
      </c>
      <c r="O1849" s="71">
        <v>20000</v>
      </c>
      <c r="P1849" s="71">
        <v>30000</v>
      </c>
      <c r="Q1849" s="65" t="s">
        <v>3663</v>
      </c>
      <c r="R1849" s="65" t="s">
        <v>3664</v>
      </c>
      <c r="S1849" s="71">
        <v>300000</v>
      </c>
      <c r="T1849" s="65" t="b">
        <f>TRUE()</f>
        <v>1</v>
      </c>
      <c r="U1849" s="65" t="b">
        <f>FALSE()</f>
        <v>0</v>
      </c>
      <c r="V1849" s="65">
        <v>163</v>
      </c>
      <c r="W1849" s="67" t="s">
        <v>6738</v>
      </c>
      <c r="X1849" s="65">
        <v>1</v>
      </c>
      <c r="Y1849" s="68">
        <v>1.75</v>
      </c>
      <c r="Z1849" s="65" t="b">
        <f>FALSE()</f>
        <v>0</v>
      </c>
      <c r="AA1849" s="65" t="b">
        <f>FALSE()</f>
        <v>0</v>
      </c>
      <c r="AB1849" s="65" t="b">
        <f>TRUE()</f>
        <v>1</v>
      </c>
      <c r="AC1849" s="65" t="b">
        <f>TRUE()</f>
        <v>1</v>
      </c>
      <c r="AD1849" s="65" t="b">
        <f>FALSE()</f>
        <v>0</v>
      </c>
      <c r="AE1849" s="65">
        <v>2</v>
      </c>
      <c r="AF1849" s="69">
        <v>28.6</v>
      </c>
      <c r="AG1849" s="65" t="s">
        <v>73</v>
      </c>
      <c r="AH1849" s="65" t="s">
        <v>6739</v>
      </c>
      <c r="AI1849">
        <f>IF(AND(OR(Company_Explorer!$B$5="All Companies",$E1849=Company_Explorer!$B$5),OR(Company_Explorer!$B$6="All Platforms",$B1849=Company_Explorer!$B$6),OR(Company_Explorer!$B$7="All Roles",$D1849=Company_Explorer!$B$7),OR(Company_Explorer!$B$8="All Ghost Labels",$AG1849=Company_Explorer!$B$8)),1,0)</f>
        <v>0</v>
      </c>
    </row>
    <row r="1850" spans="1:35" ht="15" customHeight="1" x14ac:dyDescent="0.3">
      <c r="A1850" s="60" t="s">
        <v>6740</v>
      </c>
      <c r="B1850" s="60" t="s">
        <v>81</v>
      </c>
      <c r="C1850" s="60" t="s">
        <v>6741</v>
      </c>
      <c r="D1850" s="60" t="s">
        <v>126</v>
      </c>
      <c r="E1850" s="60" t="s">
        <v>5799</v>
      </c>
      <c r="F1850" s="60" t="b">
        <f>TRUE()</f>
        <v>1</v>
      </c>
      <c r="G1850" s="60" t="s">
        <v>165</v>
      </c>
      <c r="H1850" s="60" t="s">
        <v>3620</v>
      </c>
      <c r="I1850" s="61">
        <v>46206.568366134299</v>
      </c>
      <c r="J1850" s="61">
        <v>46210.283340405098</v>
      </c>
      <c r="K1850" s="60">
        <v>3.7</v>
      </c>
      <c r="L1850" s="60" t="s">
        <v>183</v>
      </c>
      <c r="M1850" s="60" t="s">
        <v>183</v>
      </c>
      <c r="N1850" s="60" t="b">
        <f>FALSE()</f>
        <v>0</v>
      </c>
      <c r="O1850" s="60"/>
      <c r="P1850" s="60"/>
      <c r="Q1850" s="60" t="s">
        <v>236</v>
      </c>
      <c r="R1850" s="60" t="s">
        <v>236</v>
      </c>
      <c r="S1850" s="60"/>
      <c r="T1850" s="60" t="b">
        <f>FALSE()</f>
        <v>0</v>
      </c>
      <c r="U1850" s="60" t="b">
        <f>FALSE()</f>
        <v>0</v>
      </c>
      <c r="V1850" s="60">
        <v>837</v>
      </c>
      <c r="W1850" s="62" t="s">
        <v>6742</v>
      </c>
      <c r="X1850" s="60">
        <v>4</v>
      </c>
      <c r="Y1850" s="63">
        <v>7</v>
      </c>
      <c r="Z1850" s="60" t="b">
        <f>FALSE()</f>
        <v>0</v>
      </c>
      <c r="AA1850" s="60" t="b">
        <f>TRUE()</f>
        <v>1</v>
      </c>
      <c r="AB1850" s="60" t="b">
        <f>FALSE()</f>
        <v>0</v>
      </c>
      <c r="AC1850" s="60" t="b">
        <f>TRUE()</f>
        <v>1</v>
      </c>
      <c r="AD1850" s="60" t="b">
        <f>FALSE()</f>
        <v>0</v>
      </c>
      <c r="AE1850" s="60">
        <v>2</v>
      </c>
      <c r="AF1850" s="64">
        <v>28.6</v>
      </c>
      <c r="AG1850" s="60" t="s">
        <v>73</v>
      </c>
      <c r="AH1850" s="60" t="s">
        <v>6743</v>
      </c>
      <c r="AI1850">
        <f>IF(AND(OR(Company_Explorer!$B$5="All Companies",$E1850=Company_Explorer!$B$5),OR(Company_Explorer!$B$6="All Platforms",$B1850=Company_Explorer!$B$6),OR(Company_Explorer!$B$7="All Roles",$D1850=Company_Explorer!$B$7),OR(Company_Explorer!$B$8="All Ghost Labels",$AG1850=Company_Explorer!$B$8)),1,0)</f>
        <v>0</v>
      </c>
    </row>
    <row r="1851" spans="1:35" ht="15" customHeight="1" x14ac:dyDescent="0.3">
      <c r="A1851" s="65" t="s">
        <v>6744</v>
      </c>
      <c r="B1851" s="65" t="s">
        <v>81</v>
      </c>
      <c r="C1851" s="65" t="s">
        <v>127</v>
      </c>
      <c r="D1851" s="65" t="s">
        <v>127</v>
      </c>
      <c r="E1851" s="65" t="s">
        <v>6745</v>
      </c>
      <c r="F1851" s="65" t="b">
        <f>TRUE()</f>
        <v>1</v>
      </c>
      <c r="G1851" s="65" t="s">
        <v>165</v>
      </c>
      <c r="H1851" s="65" t="s">
        <v>3655</v>
      </c>
      <c r="I1851" s="66">
        <v>46206.717593020803</v>
      </c>
      <c r="J1851" s="66">
        <v>46210.283340358801</v>
      </c>
      <c r="K1851" s="65">
        <v>3.6</v>
      </c>
      <c r="L1851" s="65" t="s">
        <v>183</v>
      </c>
      <c r="M1851" s="65" t="s">
        <v>183</v>
      </c>
      <c r="N1851" s="65" t="b">
        <f>TRUE()</f>
        <v>1</v>
      </c>
      <c r="O1851" s="71">
        <v>304641.34375</v>
      </c>
      <c r="P1851" s="71">
        <v>1305991.375</v>
      </c>
      <c r="Q1851" s="65" t="s">
        <v>3663</v>
      </c>
      <c r="R1851" s="65" t="s">
        <v>3961</v>
      </c>
      <c r="S1851" s="71">
        <v>805316</v>
      </c>
      <c r="T1851" s="65" t="b">
        <f>TRUE()</f>
        <v>1</v>
      </c>
      <c r="U1851" s="65" t="b">
        <f>FALSE()</f>
        <v>0</v>
      </c>
      <c r="V1851" s="65">
        <v>116</v>
      </c>
      <c r="W1851" s="67" t="s">
        <v>6746</v>
      </c>
      <c r="X1851" s="65">
        <v>1</v>
      </c>
      <c r="Y1851" s="68">
        <v>1.75</v>
      </c>
      <c r="Z1851" s="65" t="b">
        <f>FALSE()</f>
        <v>0</v>
      </c>
      <c r="AA1851" s="65" t="b">
        <f>FALSE()</f>
        <v>0</v>
      </c>
      <c r="AB1851" s="65" t="b">
        <f>TRUE()</f>
        <v>1</v>
      </c>
      <c r="AC1851" s="65" t="b">
        <f>TRUE()</f>
        <v>1</v>
      </c>
      <c r="AD1851" s="65" t="b">
        <f>FALSE()</f>
        <v>0</v>
      </c>
      <c r="AE1851" s="65">
        <v>2</v>
      </c>
      <c r="AF1851" s="69">
        <v>28.6</v>
      </c>
      <c r="AG1851" s="65" t="s">
        <v>73</v>
      </c>
      <c r="AH1851" s="65" t="s">
        <v>6747</v>
      </c>
      <c r="AI1851">
        <f>IF(AND(OR(Company_Explorer!$B$5="All Companies",$E1851=Company_Explorer!$B$5),OR(Company_Explorer!$B$6="All Platforms",$B1851=Company_Explorer!$B$6),OR(Company_Explorer!$B$7="All Roles",$D1851=Company_Explorer!$B$7),OR(Company_Explorer!$B$8="All Ghost Labels",$AG1851=Company_Explorer!$B$8)),1,0)</f>
        <v>0</v>
      </c>
    </row>
    <row r="1852" spans="1:35" ht="15" customHeight="1" x14ac:dyDescent="0.3">
      <c r="A1852" s="60" t="s">
        <v>6748</v>
      </c>
      <c r="B1852" s="60" t="s">
        <v>81</v>
      </c>
      <c r="C1852" s="60" t="s">
        <v>127</v>
      </c>
      <c r="D1852" s="60" t="s">
        <v>127</v>
      </c>
      <c r="E1852" s="60" t="s">
        <v>6749</v>
      </c>
      <c r="F1852" s="60" t="b">
        <f>TRUE()</f>
        <v>1</v>
      </c>
      <c r="G1852" s="60" t="s">
        <v>165</v>
      </c>
      <c r="H1852" s="60" t="s">
        <v>3781</v>
      </c>
      <c r="I1852" s="61">
        <v>46207.493077789397</v>
      </c>
      <c r="J1852" s="61">
        <v>46210.283341412003</v>
      </c>
      <c r="K1852" s="60">
        <v>2.8</v>
      </c>
      <c r="L1852" s="60" t="s">
        <v>183</v>
      </c>
      <c r="M1852" s="60" t="s">
        <v>183</v>
      </c>
      <c r="N1852" s="60" t="b">
        <f>TRUE()</f>
        <v>1</v>
      </c>
      <c r="O1852" s="70">
        <v>20000</v>
      </c>
      <c r="P1852" s="70">
        <v>25000</v>
      </c>
      <c r="Q1852" s="60" t="s">
        <v>3663</v>
      </c>
      <c r="R1852" s="60" t="s">
        <v>3664</v>
      </c>
      <c r="S1852" s="70">
        <v>270000</v>
      </c>
      <c r="T1852" s="60" t="b">
        <f>TRUE()</f>
        <v>1</v>
      </c>
      <c r="U1852" s="60" t="b">
        <f>FALSE()</f>
        <v>0</v>
      </c>
      <c r="V1852" s="60">
        <v>81</v>
      </c>
      <c r="W1852" s="62" t="s">
        <v>6750</v>
      </c>
      <c r="X1852" s="60">
        <v>1</v>
      </c>
      <c r="Y1852" s="63">
        <v>1.75</v>
      </c>
      <c r="Z1852" s="60" t="b">
        <f>FALSE()</f>
        <v>0</v>
      </c>
      <c r="AA1852" s="60" t="b">
        <f>FALSE()</f>
        <v>0</v>
      </c>
      <c r="AB1852" s="60" t="b">
        <f>TRUE()</f>
        <v>1</v>
      </c>
      <c r="AC1852" s="60" t="b">
        <f>TRUE()</f>
        <v>1</v>
      </c>
      <c r="AD1852" s="60" t="b">
        <f>FALSE()</f>
        <v>0</v>
      </c>
      <c r="AE1852" s="60">
        <v>2</v>
      </c>
      <c r="AF1852" s="64">
        <v>28.6</v>
      </c>
      <c r="AG1852" s="60" t="s">
        <v>73</v>
      </c>
      <c r="AH1852" s="60" t="s">
        <v>6751</v>
      </c>
      <c r="AI1852">
        <f>IF(AND(OR(Company_Explorer!$B$5="All Companies",$E1852=Company_Explorer!$B$5),OR(Company_Explorer!$B$6="All Platforms",$B1852=Company_Explorer!$B$6),OR(Company_Explorer!$B$7="All Roles",$D1852=Company_Explorer!$B$7),OR(Company_Explorer!$B$8="All Ghost Labels",$AG1852=Company_Explorer!$B$8)),1,0)</f>
        <v>0</v>
      </c>
    </row>
    <row r="1853" spans="1:35" ht="15" customHeight="1" x14ac:dyDescent="0.3">
      <c r="A1853" s="65" t="s">
        <v>6752</v>
      </c>
      <c r="B1853" s="65" t="s">
        <v>81</v>
      </c>
      <c r="C1853" s="65" t="s">
        <v>6753</v>
      </c>
      <c r="D1853" s="65" t="s">
        <v>126</v>
      </c>
      <c r="E1853" s="65" t="s">
        <v>6754</v>
      </c>
      <c r="F1853" s="65" t="b">
        <f>TRUE()</f>
        <v>1</v>
      </c>
      <c r="G1853" s="65" t="s">
        <v>165</v>
      </c>
      <c r="H1853" s="65" t="s">
        <v>3655</v>
      </c>
      <c r="I1853" s="66">
        <v>46206.7083344329</v>
      </c>
      <c r="J1853" s="66">
        <v>46210.283341481503</v>
      </c>
      <c r="K1853" s="65">
        <v>3.6</v>
      </c>
      <c r="L1853" s="65" t="s">
        <v>183</v>
      </c>
      <c r="M1853" s="65" t="s">
        <v>183</v>
      </c>
      <c r="N1853" s="65" t="b">
        <f>FALSE()</f>
        <v>0</v>
      </c>
      <c r="O1853" s="65"/>
      <c r="P1853" s="65"/>
      <c r="Q1853" s="65" t="s">
        <v>236</v>
      </c>
      <c r="R1853" s="65" t="s">
        <v>236</v>
      </c>
      <c r="S1853" s="65"/>
      <c r="T1853" s="65" t="b">
        <f>FALSE()</f>
        <v>0</v>
      </c>
      <c r="U1853" s="65" t="b">
        <f>FALSE()</f>
        <v>0</v>
      </c>
      <c r="V1853" s="65">
        <v>430</v>
      </c>
      <c r="W1853" s="67" t="s">
        <v>6755</v>
      </c>
      <c r="X1853" s="65">
        <v>1</v>
      </c>
      <c r="Y1853" s="68">
        <v>1.75</v>
      </c>
      <c r="Z1853" s="65" t="b">
        <f>FALSE()</f>
        <v>0</v>
      </c>
      <c r="AA1853" s="65" t="b">
        <f>TRUE()</f>
        <v>1</v>
      </c>
      <c r="AB1853" s="65" t="b">
        <f>FALSE()</f>
        <v>0</v>
      </c>
      <c r="AC1853" s="65" t="b">
        <f>TRUE()</f>
        <v>1</v>
      </c>
      <c r="AD1853" s="65" t="b">
        <f>FALSE()</f>
        <v>0</v>
      </c>
      <c r="AE1853" s="65">
        <v>2</v>
      </c>
      <c r="AF1853" s="69">
        <v>28.6</v>
      </c>
      <c r="AG1853" s="65" t="s">
        <v>73</v>
      </c>
      <c r="AH1853" s="65" t="s">
        <v>6756</v>
      </c>
      <c r="AI1853">
        <f>IF(AND(OR(Company_Explorer!$B$5="All Companies",$E1853=Company_Explorer!$B$5),OR(Company_Explorer!$B$6="All Platforms",$B1853=Company_Explorer!$B$6),OR(Company_Explorer!$B$7="All Roles",$D1853=Company_Explorer!$B$7),OR(Company_Explorer!$B$8="All Ghost Labels",$AG1853=Company_Explorer!$B$8)),1,0)</f>
        <v>0</v>
      </c>
    </row>
    <row r="1854" spans="1:35" ht="15" customHeight="1" x14ac:dyDescent="0.3">
      <c r="A1854" s="60" t="s">
        <v>6757</v>
      </c>
      <c r="B1854" s="60" t="s">
        <v>81</v>
      </c>
      <c r="C1854" s="60" t="s">
        <v>6723</v>
      </c>
      <c r="D1854" s="60" t="s">
        <v>126</v>
      </c>
      <c r="E1854" s="60" t="s">
        <v>6724</v>
      </c>
      <c r="F1854" s="60" t="b">
        <f>TRUE()</f>
        <v>1</v>
      </c>
      <c r="G1854" s="60" t="s">
        <v>165</v>
      </c>
      <c r="H1854" s="60" t="s">
        <v>3620</v>
      </c>
      <c r="I1854" s="61">
        <v>46206.5682034028</v>
      </c>
      <c r="J1854" s="61">
        <v>46210.283342627299</v>
      </c>
      <c r="K1854" s="60">
        <v>3.7</v>
      </c>
      <c r="L1854" s="60" t="s">
        <v>183</v>
      </c>
      <c r="M1854" s="60" t="s">
        <v>183</v>
      </c>
      <c r="N1854" s="60" t="b">
        <f>FALSE()</f>
        <v>0</v>
      </c>
      <c r="O1854" s="60"/>
      <c r="P1854" s="60"/>
      <c r="Q1854" s="60" t="s">
        <v>236</v>
      </c>
      <c r="R1854" s="60" t="s">
        <v>236</v>
      </c>
      <c r="S1854" s="60"/>
      <c r="T1854" s="60" t="b">
        <f>FALSE()</f>
        <v>0</v>
      </c>
      <c r="U1854" s="60" t="b">
        <f>FALSE()</f>
        <v>0</v>
      </c>
      <c r="V1854" s="60">
        <v>209</v>
      </c>
      <c r="W1854" s="62" t="s">
        <v>6725</v>
      </c>
      <c r="X1854" s="60">
        <v>3</v>
      </c>
      <c r="Y1854" s="63">
        <v>5.25</v>
      </c>
      <c r="Z1854" s="60" t="b">
        <f>FALSE()</f>
        <v>0</v>
      </c>
      <c r="AA1854" s="60" t="b">
        <f>TRUE()</f>
        <v>1</v>
      </c>
      <c r="AB1854" s="60" t="b">
        <f>TRUE()</f>
        <v>1</v>
      </c>
      <c r="AC1854" s="60" t="b">
        <f>TRUE()</f>
        <v>1</v>
      </c>
      <c r="AD1854" s="60" t="b">
        <f>FALSE()</f>
        <v>0</v>
      </c>
      <c r="AE1854" s="60">
        <v>3</v>
      </c>
      <c r="AF1854" s="64">
        <v>42.9</v>
      </c>
      <c r="AG1854" s="60" t="s">
        <v>73</v>
      </c>
      <c r="AH1854" s="60" t="s">
        <v>6758</v>
      </c>
      <c r="AI1854">
        <f>IF(AND(OR(Company_Explorer!$B$5="All Companies",$E1854=Company_Explorer!$B$5),OR(Company_Explorer!$B$6="All Platforms",$B1854=Company_Explorer!$B$6),OR(Company_Explorer!$B$7="All Roles",$D1854=Company_Explorer!$B$7),OR(Company_Explorer!$B$8="All Ghost Labels",$AG1854=Company_Explorer!$B$8)),1,0)</f>
        <v>0</v>
      </c>
    </row>
    <row r="1855" spans="1:35" ht="15" customHeight="1" x14ac:dyDescent="0.3">
      <c r="A1855" s="65" t="s">
        <v>6759</v>
      </c>
      <c r="B1855" s="65" t="s">
        <v>81</v>
      </c>
      <c r="C1855" s="65" t="s">
        <v>127</v>
      </c>
      <c r="D1855" s="65" t="s">
        <v>127</v>
      </c>
      <c r="E1855" s="65" t="s">
        <v>6760</v>
      </c>
      <c r="F1855" s="65" t="b">
        <f>TRUE()</f>
        <v>1</v>
      </c>
      <c r="G1855" s="65" t="s">
        <v>165</v>
      </c>
      <c r="H1855" s="65" t="s">
        <v>3805</v>
      </c>
      <c r="I1855" s="66">
        <v>46207.476964699097</v>
      </c>
      <c r="J1855" s="66">
        <v>46210.283342696799</v>
      </c>
      <c r="K1855" s="65">
        <v>2.8</v>
      </c>
      <c r="L1855" s="65" t="s">
        <v>183</v>
      </c>
      <c r="M1855" s="65" t="s">
        <v>183</v>
      </c>
      <c r="N1855" s="65" t="b">
        <f>TRUE()</f>
        <v>1</v>
      </c>
      <c r="O1855" s="71">
        <v>15000</v>
      </c>
      <c r="P1855" s="71">
        <v>30000</v>
      </c>
      <c r="Q1855" s="65" t="s">
        <v>3663</v>
      </c>
      <c r="R1855" s="65" t="s">
        <v>3664</v>
      </c>
      <c r="S1855" s="71">
        <v>270000</v>
      </c>
      <c r="T1855" s="65" t="b">
        <f>TRUE()</f>
        <v>1</v>
      </c>
      <c r="U1855" s="65" t="b">
        <f>FALSE()</f>
        <v>0</v>
      </c>
      <c r="V1855" s="65">
        <v>208</v>
      </c>
      <c r="W1855" s="67" t="s">
        <v>6761</v>
      </c>
      <c r="X1855" s="65">
        <v>1</v>
      </c>
      <c r="Y1855" s="68">
        <v>1.75</v>
      </c>
      <c r="Z1855" s="65" t="b">
        <f>FALSE()</f>
        <v>0</v>
      </c>
      <c r="AA1855" s="65" t="b">
        <f>FALSE()</f>
        <v>0</v>
      </c>
      <c r="AB1855" s="65" t="b">
        <f>TRUE()</f>
        <v>1</v>
      </c>
      <c r="AC1855" s="65" t="b">
        <f>TRUE()</f>
        <v>1</v>
      </c>
      <c r="AD1855" s="65" t="b">
        <f>FALSE()</f>
        <v>0</v>
      </c>
      <c r="AE1855" s="65">
        <v>2</v>
      </c>
      <c r="AF1855" s="69">
        <v>28.6</v>
      </c>
      <c r="AG1855" s="65" t="s">
        <v>73</v>
      </c>
      <c r="AH1855" s="65" t="s">
        <v>6762</v>
      </c>
      <c r="AI1855">
        <f>IF(AND(OR(Company_Explorer!$B$5="All Companies",$E1855=Company_Explorer!$B$5),OR(Company_Explorer!$B$6="All Platforms",$B1855=Company_Explorer!$B$6),OR(Company_Explorer!$B$7="All Roles",$D1855=Company_Explorer!$B$7),OR(Company_Explorer!$B$8="All Ghost Labels",$AG1855=Company_Explorer!$B$8)),1,0)</f>
        <v>0</v>
      </c>
    </row>
    <row r="1856" spans="1:35" ht="15" customHeight="1" x14ac:dyDescent="0.3">
      <c r="A1856" s="60" t="s">
        <v>6763</v>
      </c>
      <c r="B1856" s="60" t="s">
        <v>81</v>
      </c>
      <c r="C1856" s="60" t="s">
        <v>6764</v>
      </c>
      <c r="D1856" s="60" t="s">
        <v>126</v>
      </c>
      <c r="E1856" s="60" t="s">
        <v>143</v>
      </c>
      <c r="F1856" s="60" t="b">
        <f>TRUE()</f>
        <v>1</v>
      </c>
      <c r="G1856" s="60" t="s">
        <v>165</v>
      </c>
      <c r="H1856" s="60" t="s">
        <v>3702</v>
      </c>
      <c r="I1856" s="61">
        <v>46206.699279247703</v>
      </c>
      <c r="J1856" s="61">
        <v>46210.283342777802</v>
      </c>
      <c r="K1856" s="60">
        <v>3.6</v>
      </c>
      <c r="L1856" s="60" t="s">
        <v>183</v>
      </c>
      <c r="M1856" s="60" t="s">
        <v>183</v>
      </c>
      <c r="N1856" s="60" t="b">
        <f>FALSE()</f>
        <v>0</v>
      </c>
      <c r="O1856" s="60"/>
      <c r="P1856" s="60"/>
      <c r="Q1856" s="60" t="s">
        <v>236</v>
      </c>
      <c r="R1856" s="60" t="s">
        <v>236</v>
      </c>
      <c r="S1856" s="60"/>
      <c r="T1856" s="60" t="b">
        <f>FALSE()</f>
        <v>0</v>
      </c>
      <c r="U1856" s="60" t="b">
        <f>FALSE()</f>
        <v>0</v>
      </c>
      <c r="V1856" s="60">
        <v>525</v>
      </c>
      <c r="W1856" s="62" t="s">
        <v>6765</v>
      </c>
      <c r="X1856" s="60">
        <v>64</v>
      </c>
      <c r="Y1856" s="63">
        <v>112</v>
      </c>
      <c r="Z1856" s="60" t="b">
        <f>FALSE()</f>
        <v>0</v>
      </c>
      <c r="AA1856" s="60" t="b">
        <f>TRUE()</f>
        <v>1</v>
      </c>
      <c r="AB1856" s="60" t="b">
        <f>FALSE()</f>
        <v>0</v>
      </c>
      <c r="AC1856" s="60" t="b">
        <f>TRUE()</f>
        <v>1</v>
      </c>
      <c r="AD1856" s="60" t="b">
        <f>TRUE()</f>
        <v>1</v>
      </c>
      <c r="AE1856" s="60">
        <v>4</v>
      </c>
      <c r="AF1856" s="64">
        <v>57.1</v>
      </c>
      <c r="AG1856" s="60" t="s">
        <v>72</v>
      </c>
      <c r="AH1856" s="60" t="s">
        <v>6766</v>
      </c>
      <c r="AI1856">
        <f>IF(AND(OR(Company_Explorer!$B$5="All Companies",$E1856=Company_Explorer!$B$5),OR(Company_Explorer!$B$6="All Platforms",$B1856=Company_Explorer!$B$6),OR(Company_Explorer!$B$7="All Roles",$D1856=Company_Explorer!$B$7),OR(Company_Explorer!$B$8="All Ghost Labels",$AG1856=Company_Explorer!$B$8)),1,0)</f>
        <v>0</v>
      </c>
    </row>
    <row r="1857" spans="1:35" ht="15" customHeight="1" x14ac:dyDescent="0.3">
      <c r="A1857" s="65" t="s">
        <v>6767</v>
      </c>
      <c r="B1857" s="65" t="s">
        <v>81</v>
      </c>
      <c r="C1857" s="65" t="s">
        <v>6768</v>
      </c>
      <c r="D1857" s="65" t="s">
        <v>126</v>
      </c>
      <c r="E1857" s="65" t="s">
        <v>6769</v>
      </c>
      <c r="F1857" s="65" t="b">
        <f>TRUE()</f>
        <v>1</v>
      </c>
      <c r="G1857" s="65" t="s">
        <v>165</v>
      </c>
      <c r="H1857" s="65" t="s">
        <v>3620</v>
      </c>
      <c r="I1857" s="66">
        <v>46206.567153136602</v>
      </c>
      <c r="J1857" s="66">
        <v>46210.2833427199</v>
      </c>
      <c r="K1857" s="65">
        <v>3.7</v>
      </c>
      <c r="L1857" s="65" t="s">
        <v>183</v>
      </c>
      <c r="M1857" s="65" t="s">
        <v>183</v>
      </c>
      <c r="N1857" s="65" t="b">
        <f>FALSE()</f>
        <v>0</v>
      </c>
      <c r="O1857" s="65"/>
      <c r="P1857" s="65"/>
      <c r="Q1857" s="65" t="s">
        <v>236</v>
      </c>
      <c r="R1857" s="65" t="s">
        <v>236</v>
      </c>
      <c r="S1857" s="65"/>
      <c r="T1857" s="65" t="b">
        <f>FALSE()</f>
        <v>0</v>
      </c>
      <c r="U1857" s="65" t="b">
        <f>FALSE()</f>
        <v>0</v>
      </c>
      <c r="V1857" s="65">
        <v>357</v>
      </c>
      <c r="W1857" s="67" t="s">
        <v>6770</v>
      </c>
      <c r="X1857" s="65">
        <v>5</v>
      </c>
      <c r="Y1857" s="68">
        <v>8.75</v>
      </c>
      <c r="Z1857" s="65" t="b">
        <f>FALSE()</f>
        <v>0</v>
      </c>
      <c r="AA1857" s="65" t="b">
        <f>TRUE()</f>
        <v>1</v>
      </c>
      <c r="AB1857" s="65" t="b">
        <f>FALSE()</f>
        <v>0</v>
      </c>
      <c r="AC1857" s="65" t="b">
        <f>TRUE()</f>
        <v>1</v>
      </c>
      <c r="AD1857" s="65" t="b">
        <f>FALSE()</f>
        <v>0</v>
      </c>
      <c r="AE1857" s="65">
        <v>2</v>
      </c>
      <c r="AF1857" s="69">
        <v>28.6</v>
      </c>
      <c r="AG1857" s="65" t="s">
        <v>73</v>
      </c>
      <c r="AH1857" s="65" t="s">
        <v>6771</v>
      </c>
      <c r="AI1857">
        <f>IF(AND(OR(Company_Explorer!$B$5="All Companies",$E1857=Company_Explorer!$B$5),OR(Company_Explorer!$B$6="All Platforms",$B1857=Company_Explorer!$B$6),OR(Company_Explorer!$B$7="All Roles",$D1857=Company_Explorer!$B$7),OR(Company_Explorer!$B$8="All Ghost Labels",$AG1857=Company_Explorer!$B$8)),1,0)</f>
        <v>0</v>
      </c>
    </row>
    <row r="1858" spans="1:35" ht="15" customHeight="1" x14ac:dyDescent="0.3">
      <c r="A1858" s="60" t="s">
        <v>6772</v>
      </c>
      <c r="B1858" s="60" t="s">
        <v>81</v>
      </c>
      <c r="C1858" s="60" t="s">
        <v>6723</v>
      </c>
      <c r="D1858" s="60" t="s">
        <v>126</v>
      </c>
      <c r="E1858" s="60" t="s">
        <v>6724</v>
      </c>
      <c r="F1858" s="60" t="b">
        <f>TRUE()</f>
        <v>1</v>
      </c>
      <c r="G1858" s="60" t="s">
        <v>165</v>
      </c>
      <c r="H1858" s="60" t="s">
        <v>3620</v>
      </c>
      <c r="I1858" s="61">
        <v>46206.568002916698</v>
      </c>
      <c r="J1858" s="61">
        <v>46210.283343750001</v>
      </c>
      <c r="K1858" s="60">
        <v>3.7</v>
      </c>
      <c r="L1858" s="60" t="s">
        <v>183</v>
      </c>
      <c r="M1858" s="60" t="s">
        <v>183</v>
      </c>
      <c r="N1858" s="60" t="b">
        <f>FALSE()</f>
        <v>0</v>
      </c>
      <c r="O1858" s="60"/>
      <c r="P1858" s="60"/>
      <c r="Q1858" s="60" t="s">
        <v>236</v>
      </c>
      <c r="R1858" s="60" t="s">
        <v>236</v>
      </c>
      <c r="S1858" s="60"/>
      <c r="T1858" s="60" t="b">
        <f>FALSE()</f>
        <v>0</v>
      </c>
      <c r="U1858" s="60" t="b">
        <f>FALSE()</f>
        <v>0</v>
      </c>
      <c r="V1858" s="60">
        <v>209</v>
      </c>
      <c r="W1858" s="62" t="s">
        <v>6725</v>
      </c>
      <c r="X1858" s="60">
        <v>3</v>
      </c>
      <c r="Y1858" s="63">
        <v>5.25</v>
      </c>
      <c r="Z1858" s="60" t="b">
        <f>FALSE()</f>
        <v>0</v>
      </c>
      <c r="AA1858" s="60" t="b">
        <f>TRUE()</f>
        <v>1</v>
      </c>
      <c r="AB1858" s="60" t="b">
        <f>TRUE()</f>
        <v>1</v>
      </c>
      <c r="AC1858" s="60" t="b">
        <f>TRUE()</f>
        <v>1</v>
      </c>
      <c r="AD1858" s="60" t="b">
        <f>FALSE()</f>
        <v>0</v>
      </c>
      <c r="AE1858" s="60">
        <v>3</v>
      </c>
      <c r="AF1858" s="64">
        <v>42.9</v>
      </c>
      <c r="AG1858" s="60" t="s">
        <v>73</v>
      </c>
      <c r="AH1858" s="60" t="s">
        <v>6773</v>
      </c>
      <c r="AI1858">
        <f>IF(AND(OR(Company_Explorer!$B$5="All Companies",$E1858=Company_Explorer!$B$5),OR(Company_Explorer!$B$6="All Platforms",$B1858=Company_Explorer!$B$6),OR(Company_Explorer!$B$7="All Roles",$D1858=Company_Explorer!$B$7),OR(Company_Explorer!$B$8="All Ghost Labels",$AG1858=Company_Explorer!$B$8)),1,0)</f>
        <v>0</v>
      </c>
    </row>
    <row r="1859" spans="1:35" ht="15" customHeight="1" x14ac:dyDescent="0.3">
      <c r="A1859" s="65" t="s">
        <v>6774</v>
      </c>
      <c r="B1859" s="65" t="s">
        <v>81</v>
      </c>
      <c r="C1859" s="65" t="s">
        <v>6775</v>
      </c>
      <c r="D1859" s="65" t="s">
        <v>126</v>
      </c>
      <c r="E1859" s="65" t="s">
        <v>143</v>
      </c>
      <c r="F1859" s="65" t="b">
        <f>TRUE()</f>
        <v>1</v>
      </c>
      <c r="G1859" s="65" t="s">
        <v>165</v>
      </c>
      <c r="H1859" s="65" t="s">
        <v>3655</v>
      </c>
      <c r="I1859" s="66">
        <v>46206.699230763901</v>
      </c>
      <c r="J1859" s="66">
        <v>46210.283343807903</v>
      </c>
      <c r="K1859" s="65">
        <v>3.6</v>
      </c>
      <c r="L1859" s="65" t="s">
        <v>183</v>
      </c>
      <c r="M1859" s="65" t="s">
        <v>183</v>
      </c>
      <c r="N1859" s="65" t="b">
        <f>FALSE()</f>
        <v>0</v>
      </c>
      <c r="O1859" s="65"/>
      <c r="P1859" s="65"/>
      <c r="Q1859" s="65" t="s">
        <v>236</v>
      </c>
      <c r="R1859" s="65" t="s">
        <v>236</v>
      </c>
      <c r="S1859" s="65"/>
      <c r="T1859" s="65" t="b">
        <f>FALSE()</f>
        <v>0</v>
      </c>
      <c r="U1859" s="65" t="b">
        <f>FALSE()</f>
        <v>0</v>
      </c>
      <c r="V1859" s="65">
        <v>470</v>
      </c>
      <c r="W1859" s="67" t="s">
        <v>6776</v>
      </c>
      <c r="X1859" s="65">
        <v>64</v>
      </c>
      <c r="Y1859" s="68">
        <v>112</v>
      </c>
      <c r="Z1859" s="65" t="b">
        <f>FALSE()</f>
        <v>0</v>
      </c>
      <c r="AA1859" s="65" t="b">
        <f>TRUE()</f>
        <v>1</v>
      </c>
      <c r="AB1859" s="65" t="b">
        <f>FALSE()</f>
        <v>0</v>
      </c>
      <c r="AC1859" s="65" t="b">
        <f>TRUE()</f>
        <v>1</v>
      </c>
      <c r="AD1859" s="65" t="b">
        <f>TRUE()</f>
        <v>1</v>
      </c>
      <c r="AE1859" s="65">
        <v>4</v>
      </c>
      <c r="AF1859" s="69">
        <v>57.1</v>
      </c>
      <c r="AG1859" s="65" t="s">
        <v>72</v>
      </c>
      <c r="AH1859" s="65" t="s">
        <v>6777</v>
      </c>
      <c r="AI1859">
        <f>IF(AND(OR(Company_Explorer!$B$5="All Companies",$E1859=Company_Explorer!$B$5),OR(Company_Explorer!$B$6="All Platforms",$B1859=Company_Explorer!$B$6),OR(Company_Explorer!$B$7="All Roles",$D1859=Company_Explorer!$B$7),OR(Company_Explorer!$B$8="All Ghost Labels",$AG1859=Company_Explorer!$B$8)),1,0)</f>
        <v>0</v>
      </c>
    </row>
    <row r="1860" spans="1:35" ht="15" customHeight="1" x14ac:dyDescent="0.3">
      <c r="A1860" s="60" t="s">
        <v>6778</v>
      </c>
      <c r="B1860" s="60" t="s">
        <v>81</v>
      </c>
      <c r="C1860" s="60" t="s">
        <v>6779</v>
      </c>
      <c r="D1860" s="60" t="s">
        <v>126</v>
      </c>
      <c r="E1860" s="60" t="s">
        <v>6780</v>
      </c>
      <c r="F1860" s="60" t="b">
        <f>TRUE()</f>
        <v>1</v>
      </c>
      <c r="G1860" s="60" t="s">
        <v>165</v>
      </c>
      <c r="H1860" s="60" t="s">
        <v>3655</v>
      </c>
      <c r="I1860" s="61">
        <v>46206.697680405101</v>
      </c>
      <c r="J1860" s="61">
        <v>46210.2833437847</v>
      </c>
      <c r="K1860" s="60">
        <v>3.6</v>
      </c>
      <c r="L1860" s="60" t="s">
        <v>183</v>
      </c>
      <c r="M1860" s="60" t="s">
        <v>183</v>
      </c>
      <c r="N1860" s="60" t="b">
        <f>FALSE()</f>
        <v>0</v>
      </c>
      <c r="O1860" s="60"/>
      <c r="P1860" s="60"/>
      <c r="Q1860" s="60" t="s">
        <v>236</v>
      </c>
      <c r="R1860" s="60" t="s">
        <v>236</v>
      </c>
      <c r="S1860" s="60"/>
      <c r="T1860" s="60" t="b">
        <f>FALSE()</f>
        <v>0</v>
      </c>
      <c r="U1860" s="60" t="b">
        <f>FALSE()</f>
        <v>0</v>
      </c>
      <c r="V1860" s="60">
        <v>1161</v>
      </c>
      <c r="W1860" s="62" t="s">
        <v>6781</v>
      </c>
      <c r="X1860" s="60">
        <v>1</v>
      </c>
      <c r="Y1860" s="63">
        <v>1.75</v>
      </c>
      <c r="Z1860" s="60" t="b">
        <f>FALSE()</f>
        <v>0</v>
      </c>
      <c r="AA1860" s="60" t="b">
        <f>TRUE()</f>
        <v>1</v>
      </c>
      <c r="AB1860" s="60" t="b">
        <f>FALSE()</f>
        <v>0</v>
      </c>
      <c r="AC1860" s="60" t="b">
        <f>TRUE()</f>
        <v>1</v>
      </c>
      <c r="AD1860" s="60" t="b">
        <f>FALSE()</f>
        <v>0</v>
      </c>
      <c r="AE1860" s="60">
        <v>2</v>
      </c>
      <c r="AF1860" s="64">
        <v>28.6</v>
      </c>
      <c r="AG1860" s="60" t="s">
        <v>73</v>
      </c>
      <c r="AH1860" s="60" t="s">
        <v>6782</v>
      </c>
      <c r="AI1860">
        <f>IF(AND(OR(Company_Explorer!$B$5="All Companies",$E1860=Company_Explorer!$B$5),OR(Company_Explorer!$B$6="All Platforms",$B1860=Company_Explorer!$B$6),OR(Company_Explorer!$B$7="All Roles",$D1860=Company_Explorer!$B$7),OR(Company_Explorer!$B$8="All Ghost Labels",$AG1860=Company_Explorer!$B$8)),1,0)</f>
        <v>0</v>
      </c>
    </row>
    <row r="1861" spans="1:35" ht="15" customHeight="1" x14ac:dyDescent="0.3">
      <c r="A1861" s="65" t="s">
        <v>6783</v>
      </c>
      <c r="B1861" s="65" t="s">
        <v>81</v>
      </c>
      <c r="C1861" s="65" t="s">
        <v>6784</v>
      </c>
      <c r="D1861" s="65" t="s">
        <v>126</v>
      </c>
      <c r="E1861" s="65" t="s">
        <v>6769</v>
      </c>
      <c r="F1861" s="65" t="b">
        <f>TRUE()</f>
        <v>1</v>
      </c>
      <c r="G1861" s="65" t="s">
        <v>165</v>
      </c>
      <c r="H1861" s="65" t="s">
        <v>3702</v>
      </c>
      <c r="I1861" s="66">
        <v>46206.566893958297</v>
      </c>
      <c r="J1861" s="66">
        <v>46210.2833438542</v>
      </c>
      <c r="K1861" s="65">
        <v>3.7</v>
      </c>
      <c r="L1861" s="65" t="s">
        <v>183</v>
      </c>
      <c r="M1861" s="65" t="s">
        <v>183</v>
      </c>
      <c r="N1861" s="65" t="b">
        <f>FALSE()</f>
        <v>0</v>
      </c>
      <c r="O1861" s="65"/>
      <c r="P1861" s="65"/>
      <c r="Q1861" s="65" t="s">
        <v>236</v>
      </c>
      <c r="R1861" s="65" t="s">
        <v>236</v>
      </c>
      <c r="S1861" s="65"/>
      <c r="T1861" s="65" t="b">
        <f>FALSE()</f>
        <v>0</v>
      </c>
      <c r="U1861" s="65" t="b">
        <f>FALSE()</f>
        <v>0</v>
      </c>
      <c r="V1861" s="65">
        <v>307</v>
      </c>
      <c r="W1861" s="67" t="s">
        <v>6785</v>
      </c>
      <c r="X1861" s="65">
        <v>5</v>
      </c>
      <c r="Y1861" s="68">
        <v>8.75</v>
      </c>
      <c r="Z1861" s="65" t="b">
        <f>FALSE()</f>
        <v>0</v>
      </c>
      <c r="AA1861" s="65" t="b">
        <f>TRUE()</f>
        <v>1</v>
      </c>
      <c r="AB1861" s="65" t="b">
        <f>FALSE()</f>
        <v>0</v>
      </c>
      <c r="AC1861" s="65" t="b">
        <f>TRUE()</f>
        <v>1</v>
      </c>
      <c r="AD1861" s="65" t="b">
        <f>FALSE()</f>
        <v>0</v>
      </c>
      <c r="AE1861" s="65">
        <v>2</v>
      </c>
      <c r="AF1861" s="69">
        <v>28.6</v>
      </c>
      <c r="AG1861" s="65" t="s">
        <v>73</v>
      </c>
      <c r="AH1861" s="65" t="s">
        <v>6786</v>
      </c>
      <c r="AI1861">
        <f>IF(AND(OR(Company_Explorer!$B$5="All Companies",$E1861=Company_Explorer!$B$5),OR(Company_Explorer!$B$6="All Platforms",$B1861=Company_Explorer!$B$6),OR(Company_Explorer!$B$7="All Roles",$D1861=Company_Explorer!$B$7),OR(Company_Explorer!$B$8="All Ghost Labels",$AG1861=Company_Explorer!$B$8)),1,0)</f>
        <v>0</v>
      </c>
    </row>
    <row r="1862" spans="1:35" ht="15" customHeight="1" x14ac:dyDescent="0.3">
      <c r="A1862" s="60" t="s">
        <v>6787</v>
      </c>
      <c r="B1862" s="60" t="s">
        <v>81</v>
      </c>
      <c r="C1862" s="60" t="s">
        <v>5582</v>
      </c>
      <c r="D1862" s="60" t="s">
        <v>127</v>
      </c>
      <c r="E1862" s="60" t="s">
        <v>6788</v>
      </c>
      <c r="F1862" s="60" t="b">
        <f>TRUE()</f>
        <v>1</v>
      </c>
      <c r="G1862" s="60" t="s">
        <v>165</v>
      </c>
      <c r="H1862" s="60" t="s">
        <v>3678</v>
      </c>
      <c r="I1862" s="61">
        <v>46207.491453750001</v>
      </c>
      <c r="J1862" s="61">
        <v>46210.2833437269</v>
      </c>
      <c r="K1862" s="60">
        <v>2.8</v>
      </c>
      <c r="L1862" s="60" t="s">
        <v>183</v>
      </c>
      <c r="M1862" s="60" t="s">
        <v>183</v>
      </c>
      <c r="N1862" s="60" t="b">
        <f>FALSE()</f>
        <v>0</v>
      </c>
      <c r="O1862" s="60"/>
      <c r="P1862" s="60"/>
      <c r="Q1862" s="60" t="s">
        <v>3663</v>
      </c>
      <c r="R1862" s="60" t="s">
        <v>3961</v>
      </c>
      <c r="S1862" s="60"/>
      <c r="T1862" s="60" t="b">
        <f>FALSE()</f>
        <v>0</v>
      </c>
      <c r="U1862" s="60" t="b">
        <f>FALSE()</f>
        <v>0</v>
      </c>
      <c r="V1862" s="60">
        <v>208</v>
      </c>
      <c r="W1862" s="62" t="s">
        <v>6789</v>
      </c>
      <c r="X1862" s="60">
        <v>1</v>
      </c>
      <c r="Y1862" s="63">
        <v>1.75</v>
      </c>
      <c r="Z1862" s="60" t="b">
        <f>FALSE()</f>
        <v>0</v>
      </c>
      <c r="AA1862" s="60" t="b">
        <f>TRUE()</f>
        <v>1</v>
      </c>
      <c r="AB1862" s="60" t="b">
        <f>TRUE()</f>
        <v>1</v>
      </c>
      <c r="AC1862" s="60" t="b">
        <f>TRUE()</f>
        <v>1</v>
      </c>
      <c r="AD1862" s="60" t="b">
        <f>FALSE()</f>
        <v>0</v>
      </c>
      <c r="AE1862" s="60">
        <v>3</v>
      </c>
      <c r="AF1862" s="64">
        <v>42.9</v>
      </c>
      <c r="AG1862" s="60" t="s">
        <v>73</v>
      </c>
      <c r="AH1862" s="60" t="s">
        <v>6790</v>
      </c>
      <c r="AI1862">
        <f>IF(AND(OR(Company_Explorer!$B$5="All Companies",$E1862=Company_Explorer!$B$5),OR(Company_Explorer!$B$6="All Platforms",$B1862=Company_Explorer!$B$6),OR(Company_Explorer!$B$7="All Roles",$D1862=Company_Explorer!$B$7),OR(Company_Explorer!$B$8="All Ghost Labels",$AG1862=Company_Explorer!$B$8)),1,0)</f>
        <v>0</v>
      </c>
    </row>
    <row r="1863" spans="1:35" ht="15" customHeight="1" x14ac:dyDescent="0.3">
      <c r="A1863" s="65" t="s">
        <v>6791</v>
      </c>
      <c r="B1863" s="65" t="s">
        <v>81</v>
      </c>
      <c r="C1863" s="65" t="s">
        <v>6792</v>
      </c>
      <c r="D1863" s="65" t="s">
        <v>126</v>
      </c>
      <c r="E1863" s="65" t="s">
        <v>6793</v>
      </c>
      <c r="F1863" s="65" t="b">
        <f>TRUE()</f>
        <v>1</v>
      </c>
      <c r="G1863" s="65" t="s">
        <v>165</v>
      </c>
      <c r="H1863" s="65" t="s">
        <v>3630</v>
      </c>
      <c r="I1863" s="66">
        <v>46207.434123587998</v>
      </c>
      <c r="J1863" s="66">
        <v>46210.283343830997</v>
      </c>
      <c r="K1863" s="65">
        <v>2.8</v>
      </c>
      <c r="L1863" s="65" t="s">
        <v>183</v>
      </c>
      <c r="M1863" s="65" t="s">
        <v>183</v>
      </c>
      <c r="N1863" s="65" t="b">
        <f>FALSE()</f>
        <v>0</v>
      </c>
      <c r="O1863" s="65"/>
      <c r="P1863" s="65"/>
      <c r="Q1863" s="65" t="s">
        <v>236</v>
      </c>
      <c r="R1863" s="65" t="s">
        <v>236</v>
      </c>
      <c r="S1863" s="65"/>
      <c r="T1863" s="65" t="b">
        <f>FALSE()</f>
        <v>0</v>
      </c>
      <c r="U1863" s="65" t="b">
        <f>FALSE()</f>
        <v>0</v>
      </c>
      <c r="V1863" s="65">
        <v>219</v>
      </c>
      <c r="W1863" s="67" t="s">
        <v>6794</v>
      </c>
      <c r="X1863" s="65">
        <v>1</v>
      </c>
      <c r="Y1863" s="68">
        <v>1.75</v>
      </c>
      <c r="Z1863" s="65" t="b">
        <f>FALSE()</f>
        <v>0</v>
      </c>
      <c r="AA1863" s="65" t="b">
        <f>TRUE()</f>
        <v>1</v>
      </c>
      <c r="AB1863" s="65" t="b">
        <f>TRUE()</f>
        <v>1</v>
      </c>
      <c r="AC1863" s="65" t="b">
        <f>TRUE()</f>
        <v>1</v>
      </c>
      <c r="AD1863" s="65" t="b">
        <f>FALSE()</f>
        <v>0</v>
      </c>
      <c r="AE1863" s="65">
        <v>3</v>
      </c>
      <c r="AF1863" s="69">
        <v>42.9</v>
      </c>
      <c r="AG1863" s="65" t="s">
        <v>73</v>
      </c>
      <c r="AH1863" s="65" t="s">
        <v>6795</v>
      </c>
      <c r="AI1863">
        <f>IF(AND(OR(Company_Explorer!$B$5="All Companies",$E1863=Company_Explorer!$B$5),OR(Company_Explorer!$B$6="All Platforms",$B1863=Company_Explorer!$B$6),OR(Company_Explorer!$B$7="All Roles",$D1863=Company_Explorer!$B$7),OR(Company_Explorer!$B$8="All Ghost Labels",$AG1863=Company_Explorer!$B$8)),1,0)</f>
        <v>0</v>
      </c>
    </row>
    <row r="1864" spans="1:35" ht="15" customHeight="1" x14ac:dyDescent="0.3">
      <c r="A1864" s="60" t="s">
        <v>6796</v>
      </c>
      <c r="B1864" s="60" t="s">
        <v>81</v>
      </c>
      <c r="C1864" s="60" t="s">
        <v>6797</v>
      </c>
      <c r="D1864" s="60" t="s">
        <v>126</v>
      </c>
      <c r="E1864" s="60" t="s">
        <v>6769</v>
      </c>
      <c r="F1864" s="60" t="b">
        <f>TRUE()</f>
        <v>1</v>
      </c>
      <c r="G1864" s="60" t="s">
        <v>165</v>
      </c>
      <c r="H1864" s="60" t="s">
        <v>3702</v>
      </c>
      <c r="I1864" s="61">
        <v>46206.566522523201</v>
      </c>
      <c r="J1864" s="61">
        <v>46210.283344907402</v>
      </c>
      <c r="K1864" s="60">
        <v>3.7</v>
      </c>
      <c r="L1864" s="60" t="s">
        <v>183</v>
      </c>
      <c r="M1864" s="60" t="s">
        <v>183</v>
      </c>
      <c r="N1864" s="60" t="b">
        <f>FALSE()</f>
        <v>0</v>
      </c>
      <c r="O1864" s="60"/>
      <c r="P1864" s="60"/>
      <c r="Q1864" s="60" t="s">
        <v>236</v>
      </c>
      <c r="R1864" s="60" t="s">
        <v>236</v>
      </c>
      <c r="S1864" s="60"/>
      <c r="T1864" s="60" t="b">
        <f>FALSE()</f>
        <v>0</v>
      </c>
      <c r="U1864" s="60" t="b">
        <f>FALSE()</f>
        <v>0</v>
      </c>
      <c r="V1864" s="60">
        <v>284</v>
      </c>
      <c r="W1864" s="62" t="s">
        <v>6798</v>
      </c>
      <c r="X1864" s="60">
        <v>5</v>
      </c>
      <c r="Y1864" s="63">
        <v>8.75</v>
      </c>
      <c r="Z1864" s="60" t="b">
        <f>FALSE()</f>
        <v>0</v>
      </c>
      <c r="AA1864" s="60" t="b">
        <f>TRUE()</f>
        <v>1</v>
      </c>
      <c r="AB1864" s="60" t="b">
        <f>TRUE()</f>
        <v>1</v>
      </c>
      <c r="AC1864" s="60" t="b">
        <f>TRUE()</f>
        <v>1</v>
      </c>
      <c r="AD1864" s="60" t="b">
        <f>FALSE()</f>
        <v>0</v>
      </c>
      <c r="AE1864" s="60">
        <v>3</v>
      </c>
      <c r="AF1864" s="64">
        <v>42.9</v>
      </c>
      <c r="AG1864" s="60" t="s">
        <v>73</v>
      </c>
      <c r="AH1864" s="60" t="s">
        <v>6799</v>
      </c>
      <c r="AI1864">
        <f>IF(AND(OR(Company_Explorer!$B$5="All Companies",$E1864=Company_Explorer!$B$5),OR(Company_Explorer!$B$6="All Platforms",$B1864=Company_Explorer!$B$6),OR(Company_Explorer!$B$7="All Roles",$D1864=Company_Explorer!$B$7),OR(Company_Explorer!$B$8="All Ghost Labels",$AG1864=Company_Explorer!$B$8)),1,0)</f>
        <v>0</v>
      </c>
    </row>
    <row r="1865" spans="1:35" ht="15" customHeight="1" x14ac:dyDescent="0.3">
      <c r="A1865" s="65" t="s">
        <v>6800</v>
      </c>
      <c r="B1865" s="65" t="s">
        <v>81</v>
      </c>
      <c r="C1865" s="65" t="s">
        <v>6801</v>
      </c>
      <c r="D1865" s="65" t="s">
        <v>126</v>
      </c>
      <c r="E1865" s="65" t="s">
        <v>6802</v>
      </c>
      <c r="F1865" s="65" t="b">
        <f>TRUE()</f>
        <v>1</v>
      </c>
      <c r="G1865" s="65" t="s">
        <v>165</v>
      </c>
      <c r="H1865" s="65" t="s">
        <v>3630</v>
      </c>
      <c r="I1865" s="66">
        <v>46207.418438078697</v>
      </c>
      <c r="J1865" s="66">
        <v>46210.283346087999</v>
      </c>
      <c r="K1865" s="65">
        <v>2.9</v>
      </c>
      <c r="L1865" s="65" t="s">
        <v>183</v>
      </c>
      <c r="M1865" s="65" t="s">
        <v>183</v>
      </c>
      <c r="N1865" s="65" t="b">
        <f>FALSE()</f>
        <v>0</v>
      </c>
      <c r="O1865" s="65"/>
      <c r="P1865" s="65"/>
      <c r="Q1865" s="65" t="s">
        <v>236</v>
      </c>
      <c r="R1865" s="65" t="s">
        <v>236</v>
      </c>
      <c r="S1865" s="65"/>
      <c r="T1865" s="65" t="b">
        <f>FALSE()</f>
        <v>0</v>
      </c>
      <c r="U1865" s="65" t="b">
        <f>FALSE()</f>
        <v>0</v>
      </c>
      <c r="V1865" s="65">
        <v>218</v>
      </c>
      <c r="W1865" s="67" t="s">
        <v>6803</v>
      </c>
      <c r="X1865" s="65">
        <v>1</v>
      </c>
      <c r="Y1865" s="68">
        <v>1.75</v>
      </c>
      <c r="Z1865" s="65" t="b">
        <f>FALSE()</f>
        <v>0</v>
      </c>
      <c r="AA1865" s="65" t="b">
        <f>TRUE()</f>
        <v>1</v>
      </c>
      <c r="AB1865" s="65" t="b">
        <f>TRUE()</f>
        <v>1</v>
      </c>
      <c r="AC1865" s="65" t="b">
        <f>TRUE()</f>
        <v>1</v>
      </c>
      <c r="AD1865" s="65" t="b">
        <f>FALSE()</f>
        <v>0</v>
      </c>
      <c r="AE1865" s="65">
        <v>3</v>
      </c>
      <c r="AF1865" s="69">
        <v>42.9</v>
      </c>
      <c r="AG1865" s="65" t="s">
        <v>73</v>
      </c>
      <c r="AH1865" s="65" t="s">
        <v>6804</v>
      </c>
      <c r="AI1865">
        <f>IF(AND(OR(Company_Explorer!$B$5="All Companies",$E1865=Company_Explorer!$B$5),OR(Company_Explorer!$B$6="All Platforms",$B1865=Company_Explorer!$B$6),OR(Company_Explorer!$B$7="All Roles",$D1865=Company_Explorer!$B$7),OR(Company_Explorer!$B$8="All Ghost Labels",$AG1865=Company_Explorer!$B$8)),1,0)</f>
        <v>0</v>
      </c>
    </row>
    <row r="1866" spans="1:35" ht="15" customHeight="1" x14ac:dyDescent="0.3">
      <c r="A1866" s="60" t="s">
        <v>6805</v>
      </c>
      <c r="B1866" s="60" t="s">
        <v>81</v>
      </c>
      <c r="C1866" s="60" t="s">
        <v>6806</v>
      </c>
      <c r="D1866" s="60" t="s">
        <v>126</v>
      </c>
      <c r="E1866" s="60" t="s">
        <v>3985</v>
      </c>
      <c r="F1866" s="60" t="b">
        <f>TRUE()</f>
        <v>1</v>
      </c>
      <c r="G1866" s="60" t="s">
        <v>165</v>
      </c>
      <c r="H1866" s="60" t="s">
        <v>3620</v>
      </c>
      <c r="I1866" s="61">
        <v>46206.695151006898</v>
      </c>
      <c r="J1866" s="61">
        <v>46210.283347199103</v>
      </c>
      <c r="K1866" s="60">
        <v>3.6</v>
      </c>
      <c r="L1866" s="60" t="s">
        <v>183</v>
      </c>
      <c r="M1866" s="60" t="s">
        <v>183</v>
      </c>
      <c r="N1866" s="60" t="b">
        <f>FALSE()</f>
        <v>0</v>
      </c>
      <c r="O1866" s="60"/>
      <c r="P1866" s="60"/>
      <c r="Q1866" s="60" t="s">
        <v>236</v>
      </c>
      <c r="R1866" s="60" t="s">
        <v>236</v>
      </c>
      <c r="S1866" s="60"/>
      <c r="T1866" s="60" t="b">
        <f>FALSE()</f>
        <v>0</v>
      </c>
      <c r="U1866" s="60" t="b">
        <f>FALSE()</f>
        <v>0</v>
      </c>
      <c r="V1866" s="60">
        <v>477</v>
      </c>
      <c r="W1866" s="62" t="s">
        <v>5524</v>
      </c>
      <c r="X1866" s="60">
        <v>6</v>
      </c>
      <c r="Y1866" s="63">
        <v>10.5</v>
      </c>
      <c r="Z1866" s="60" t="b">
        <f>FALSE()</f>
        <v>0</v>
      </c>
      <c r="AA1866" s="60" t="b">
        <f>TRUE()</f>
        <v>1</v>
      </c>
      <c r="AB1866" s="60" t="b">
        <f>FALSE()</f>
        <v>0</v>
      </c>
      <c r="AC1866" s="60" t="b">
        <f>TRUE()</f>
        <v>1</v>
      </c>
      <c r="AD1866" s="60" t="b">
        <f>FALSE()</f>
        <v>0</v>
      </c>
      <c r="AE1866" s="60">
        <v>2</v>
      </c>
      <c r="AF1866" s="64">
        <v>28.6</v>
      </c>
      <c r="AG1866" s="60" t="s">
        <v>73</v>
      </c>
      <c r="AH1866" s="60" t="s">
        <v>6807</v>
      </c>
      <c r="AI1866">
        <f>IF(AND(OR(Company_Explorer!$B$5="All Companies",$E1866=Company_Explorer!$B$5),OR(Company_Explorer!$B$6="All Platforms",$B1866=Company_Explorer!$B$6),OR(Company_Explorer!$B$7="All Roles",$D1866=Company_Explorer!$B$7),OR(Company_Explorer!$B$8="All Ghost Labels",$AG1866=Company_Explorer!$B$8)),1,0)</f>
        <v>0</v>
      </c>
    </row>
    <row r="1867" spans="1:35" ht="15" customHeight="1" x14ac:dyDescent="0.3">
      <c r="A1867" s="65" t="s">
        <v>6808</v>
      </c>
      <c r="B1867" s="65" t="s">
        <v>81</v>
      </c>
      <c r="C1867" s="65" t="s">
        <v>6809</v>
      </c>
      <c r="D1867" s="65" t="s">
        <v>126</v>
      </c>
      <c r="E1867" s="65" t="s">
        <v>3985</v>
      </c>
      <c r="F1867" s="65" t="b">
        <f>TRUE()</f>
        <v>1</v>
      </c>
      <c r="G1867" s="65" t="s">
        <v>165</v>
      </c>
      <c r="H1867" s="65" t="s">
        <v>3620</v>
      </c>
      <c r="I1867" s="66">
        <v>46206.695131018503</v>
      </c>
      <c r="J1867" s="66">
        <v>46210.283347465302</v>
      </c>
      <c r="K1867" s="65">
        <v>3.6</v>
      </c>
      <c r="L1867" s="65" t="s">
        <v>183</v>
      </c>
      <c r="M1867" s="65" t="s">
        <v>183</v>
      </c>
      <c r="N1867" s="65" t="b">
        <f>FALSE()</f>
        <v>0</v>
      </c>
      <c r="O1867" s="65"/>
      <c r="P1867" s="65"/>
      <c r="Q1867" s="65" t="s">
        <v>236</v>
      </c>
      <c r="R1867" s="65" t="s">
        <v>236</v>
      </c>
      <c r="S1867" s="65"/>
      <c r="T1867" s="65" t="b">
        <f>FALSE()</f>
        <v>0</v>
      </c>
      <c r="U1867" s="65" t="b">
        <f>FALSE()</f>
        <v>0</v>
      </c>
      <c r="V1867" s="65">
        <v>381</v>
      </c>
      <c r="W1867" s="67" t="s">
        <v>5524</v>
      </c>
      <c r="X1867" s="65">
        <v>6</v>
      </c>
      <c r="Y1867" s="68">
        <v>10.5</v>
      </c>
      <c r="Z1867" s="65" t="b">
        <f>FALSE()</f>
        <v>0</v>
      </c>
      <c r="AA1867" s="65" t="b">
        <f>TRUE()</f>
        <v>1</v>
      </c>
      <c r="AB1867" s="65" t="b">
        <f>FALSE()</f>
        <v>0</v>
      </c>
      <c r="AC1867" s="65" t="b">
        <f>TRUE()</f>
        <v>1</v>
      </c>
      <c r="AD1867" s="65" t="b">
        <f>FALSE()</f>
        <v>0</v>
      </c>
      <c r="AE1867" s="65">
        <v>2</v>
      </c>
      <c r="AF1867" s="69">
        <v>28.6</v>
      </c>
      <c r="AG1867" s="65" t="s">
        <v>73</v>
      </c>
      <c r="AH1867" s="65" t="s">
        <v>6810</v>
      </c>
      <c r="AI1867">
        <f>IF(AND(OR(Company_Explorer!$B$5="All Companies",$E1867=Company_Explorer!$B$5),OR(Company_Explorer!$B$6="All Platforms",$B1867=Company_Explorer!$B$6),OR(Company_Explorer!$B$7="All Roles",$D1867=Company_Explorer!$B$7),OR(Company_Explorer!$B$8="All Ghost Labels",$AG1867=Company_Explorer!$B$8)),1,0)</f>
        <v>0</v>
      </c>
    </row>
    <row r="1868" spans="1:35" ht="15" customHeight="1" x14ac:dyDescent="0.3">
      <c r="A1868" s="60" t="s">
        <v>6811</v>
      </c>
      <c r="B1868" s="60" t="s">
        <v>81</v>
      </c>
      <c r="C1868" s="60" t="s">
        <v>6812</v>
      </c>
      <c r="D1868" s="60" t="s">
        <v>126</v>
      </c>
      <c r="E1868" s="60" t="s">
        <v>6813</v>
      </c>
      <c r="F1868" s="60" t="b">
        <f>TRUE()</f>
        <v>1</v>
      </c>
      <c r="G1868" s="60" t="s">
        <v>177</v>
      </c>
      <c r="H1868" s="60" t="s">
        <v>165</v>
      </c>
      <c r="I1868" s="61">
        <v>46207.415921493099</v>
      </c>
      <c r="J1868" s="61">
        <v>46210.283347546298</v>
      </c>
      <c r="K1868" s="60">
        <v>2.9</v>
      </c>
      <c r="L1868" s="60" t="s">
        <v>183</v>
      </c>
      <c r="M1868" s="60" t="s">
        <v>183</v>
      </c>
      <c r="N1868" s="60" t="b">
        <f>FALSE()</f>
        <v>0</v>
      </c>
      <c r="O1868" s="60"/>
      <c r="P1868" s="60"/>
      <c r="Q1868" s="60" t="s">
        <v>236</v>
      </c>
      <c r="R1868" s="60" t="s">
        <v>236</v>
      </c>
      <c r="S1868" s="60"/>
      <c r="T1868" s="60" t="b">
        <f>FALSE()</f>
        <v>0</v>
      </c>
      <c r="U1868" s="60" t="b">
        <f>FALSE()</f>
        <v>0</v>
      </c>
      <c r="V1868" s="60">
        <v>200</v>
      </c>
      <c r="W1868" s="62" t="s">
        <v>6814</v>
      </c>
      <c r="X1868" s="60">
        <v>1</v>
      </c>
      <c r="Y1868" s="63">
        <v>1.75</v>
      </c>
      <c r="Z1868" s="60" t="b">
        <f>FALSE()</f>
        <v>0</v>
      </c>
      <c r="AA1868" s="60" t="b">
        <f>TRUE()</f>
        <v>1</v>
      </c>
      <c r="AB1868" s="60" t="b">
        <f>TRUE()</f>
        <v>1</v>
      </c>
      <c r="AC1868" s="60" t="b">
        <f>TRUE()</f>
        <v>1</v>
      </c>
      <c r="AD1868" s="60" t="b">
        <f>FALSE()</f>
        <v>0</v>
      </c>
      <c r="AE1868" s="60">
        <v>3</v>
      </c>
      <c r="AF1868" s="64">
        <v>42.9</v>
      </c>
      <c r="AG1868" s="60" t="s">
        <v>73</v>
      </c>
      <c r="AH1868" s="60" t="s">
        <v>6815</v>
      </c>
      <c r="AI1868">
        <f>IF(AND(OR(Company_Explorer!$B$5="All Companies",$E1868=Company_Explorer!$B$5),OR(Company_Explorer!$B$6="All Platforms",$B1868=Company_Explorer!$B$6),OR(Company_Explorer!$B$7="All Roles",$D1868=Company_Explorer!$B$7),OR(Company_Explorer!$B$8="All Ghost Labels",$AG1868=Company_Explorer!$B$8)),1,0)</f>
        <v>0</v>
      </c>
    </row>
    <row r="1869" spans="1:35" ht="15" customHeight="1" x14ac:dyDescent="0.3">
      <c r="A1869" s="65" t="s">
        <v>6816</v>
      </c>
      <c r="B1869" s="65" t="s">
        <v>81</v>
      </c>
      <c r="C1869" s="65" t="s">
        <v>6812</v>
      </c>
      <c r="D1869" s="65" t="s">
        <v>126</v>
      </c>
      <c r="E1869" s="65" t="s">
        <v>6817</v>
      </c>
      <c r="F1869" s="65" t="b">
        <f>TRUE()</f>
        <v>1</v>
      </c>
      <c r="G1869" s="65" t="s">
        <v>177</v>
      </c>
      <c r="H1869" s="65" t="s">
        <v>165</v>
      </c>
      <c r="I1869" s="66">
        <v>46207.413721030098</v>
      </c>
      <c r="J1869" s="66">
        <v>46210.283348368102</v>
      </c>
      <c r="K1869" s="65">
        <v>2.9</v>
      </c>
      <c r="L1869" s="65" t="s">
        <v>183</v>
      </c>
      <c r="M1869" s="65" t="s">
        <v>183</v>
      </c>
      <c r="N1869" s="65" t="b">
        <f>FALSE()</f>
        <v>0</v>
      </c>
      <c r="O1869" s="65"/>
      <c r="P1869" s="65"/>
      <c r="Q1869" s="65" t="s">
        <v>236</v>
      </c>
      <c r="R1869" s="65" t="s">
        <v>236</v>
      </c>
      <c r="S1869" s="65"/>
      <c r="T1869" s="65" t="b">
        <f>FALSE()</f>
        <v>0</v>
      </c>
      <c r="U1869" s="65" t="b">
        <f>FALSE()</f>
        <v>0</v>
      </c>
      <c r="V1869" s="65">
        <v>200</v>
      </c>
      <c r="W1869" s="67" t="s">
        <v>6814</v>
      </c>
      <c r="X1869" s="65">
        <v>1</v>
      </c>
      <c r="Y1869" s="68">
        <v>1.75</v>
      </c>
      <c r="Z1869" s="65" t="b">
        <f>FALSE()</f>
        <v>0</v>
      </c>
      <c r="AA1869" s="65" t="b">
        <f>TRUE()</f>
        <v>1</v>
      </c>
      <c r="AB1869" s="65" t="b">
        <f>TRUE()</f>
        <v>1</v>
      </c>
      <c r="AC1869" s="65" t="b">
        <f>TRUE()</f>
        <v>1</v>
      </c>
      <c r="AD1869" s="65" t="b">
        <f>FALSE()</f>
        <v>0</v>
      </c>
      <c r="AE1869" s="65">
        <v>3</v>
      </c>
      <c r="AF1869" s="69">
        <v>42.9</v>
      </c>
      <c r="AG1869" s="65" t="s">
        <v>73</v>
      </c>
      <c r="AH1869" s="65" t="s">
        <v>6818</v>
      </c>
      <c r="AI1869">
        <f>IF(AND(OR(Company_Explorer!$B$5="All Companies",$E1869=Company_Explorer!$B$5),OR(Company_Explorer!$B$6="All Platforms",$B1869=Company_Explorer!$B$6),OR(Company_Explorer!$B$7="All Roles",$D1869=Company_Explorer!$B$7),OR(Company_Explorer!$B$8="All Ghost Labels",$AG1869=Company_Explorer!$B$8)),1,0)</f>
        <v>0</v>
      </c>
    </row>
    <row r="1870" spans="1:35" ht="15" customHeight="1" x14ac:dyDescent="0.3">
      <c r="A1870" s="60" t="s">
        <v>6819</v>
      </c>
      <c r="B1870" s="60" t="s">
        <v>81</v>
      </c>
      <c r="C1870" s="60" t="s">
        <v>6820</v>
      </c>
      <c r="D1870" s="60" t="s">
        <v>126</v>
      </c>
      <c r="E1870" s="60" t="s">
        <v>6769</v>
      </c>
      <c r="F1870" s="60" t="b">
        <f>TRUE()</f>
        <v>1</v>
      </c>
      <c r="G1870" s="60" t="s">
        <v>165</v>
      </c>
      <c r="H1870" s="60" t="s">
        <v>3702</v>
      </c>
      <c r="I1870" s="61">
        <v>46206.566488807897</v>
      </c>
      <c r="J1870" s="61">
        <v>46210.2833483102</v>
      </c>
      <c r="K1870" s="60">
        <v>3.7</v>
      </c>
      <c r="L1870" s="60" t="s">
        <v>183</v>
      </c>
      <c r="M1870" s="60" t="s">
        <v>183</v>
      </c>
      <c r="N1870" s="60" t="b">
        <f>FALSE()</f>
        <v>0</v>
      </c>
      <c r="O1870" s="60"/>
      <c r="P1870" s="60"/>
      <c r="Q1870" s="60" t="s">
        <v>236</v>
      </c>
      <c r="R1870" s="60" t="s">
        <v>236</v>
      </c>
      <c r="S1870" s="60"/>
      <c r="T1870" s="60" t="b">
        <f>FALSE()</f>
        <v>0</v>
      </c>
      <c r="U1870" s="60" t="b">
        <f>FALSE()</f>
        <v>0</v>
      </c>
      <c r="V1870" s="60">
        <v>311</v>
      </c>
      <c r="W1870" s="62" t="s">
        <v>6821</v>
      </c>
      <c r="X1870" s="60">
        <v>5</v>
      </c>
      <c r="Y1870" s="63">
        <v>8.75</v>
      </c>
      <c r="Z1870" s="60" t="b">
        <f>FALSE()</f>
        <v>0</v>
      </c>
      <c r="AA1870" s="60" t="b">
        <f>TRUE()</f>
        <v>1</v>
      </c>
      <c r="AB1870" s="60" t="b">
        <f>FALSE()</f>
        <v>0</v>
      </c>
      <c r="AC1870" s="60" t="b">
        <f>TRUE()</f>
        <v>1</v>
      </c>
      <c r="AD1870" s="60" t="b">
        <f>FALSE()</f>
        <v>0</v>
      </c>
      <c r="AE1870" s="60">
        <v>2</v>
      </c>
      <c r="AF1870" s="64">
        <v>28.6</v>
      </c>
      <c r="AG1870" s="60" t="s">
        <v>73</v>
      </c>
      <c r="AH1870" s="60" t="s">
        <v>6822</v>
      </c>
      <c r="AI1870">
        <f>IF(AND(OR(Company_Explorer!$B$5="All Companies",$E1870=Company_Explorer!$B$5),OR(Company_Explorer!$B$6="All Platforms",$B1870=Company_Explorer!$B$6),OR(Company_Explorer!$B$7="All Roles",$D1870=Company_Explorer!$B$7),OR(Company_Explorer!$B$8="All Ghost Labels",$AG1870=Company_Explorer!$B$8)),1,0)</f>
        <v>0</v>
      </c>
    </row>
    <row r="1871" spans="1:35" ht="15" customHeight="1" x14ac:dyDescent="0.3">
      <c r="A1871" s="65" t="s">
        <v>6823</v>
      </c>
      <c r="B1871" s="65" t="s">
        <v>81</v>
      </c>
      <c r="C1871" s="65" t="s">
        <v>6824</v>
      </c>
      <c r="D1871" s="65" t="s">
        <v>126</v>
      </c>
      <c r="E1871" s="65" t="s">
        <v>3726</v>
      </c>
      <c r="F1871" s="65" t="b">
        <f>FALSE()</f>
        <v>0</v>
      </c>
      <c r="G1871" s="65" t="s">
        <v>165</v>
      </c>
      <c r="H1871" s="65" t="s">
        <v>3655</v>
      </c>
      <c r="I1871" s="66">
        <v>46206.693250810204</v>
      </c>
      <c r="J1871" s="66">
        <v>46210.283348483797</v>
      </c>
      <c r="K1871" s="65">
        <v>3.6</v>
      </c>
      <c r="L1871" s="65" t="s">
        <v>183</v>
      </c>
      <c r="M1871" s="65" t="s">
        <v>183</v>
      </c>
      <c r="N1871" s="65" t="b">
        <f>FALSE()</f>
        <v>0</v>
      </c>
      <c r="O1871" s="65"/>
      <c r="P1871" s="65"/>
      <c r="Q1871" s="65" t="s">
        <v>236</v>
      </c>
      <c r="R1871" s="65" t="s">
        <v>236</v>
      </c>
      <c r="S1871" s="65"/>
      <c r="T1871" s="65" t="b">
        <f>FALSE()</f>
        <v>0</v>
      </c>
      <c r="U1871" s="65" t="b">
        <f>FALSE()</f>
        <v>0</v>
      </c>
      <c r="V1871" s="65">
        <v>600</v>
      </c>
      <c r="W1871" s="67" t="s">
        <v>6825</v>
      </c>
      <c r="X1871" s="65"/>
      <c r="Y1871" s="68"/>
      <c r="Z1871" s="65" t="b">
        <f>TRUE()</f>
        <v>1</v>
      </c>
      <c r="AA1871" s="65" t="b">
        <f>TRUE()</f>
        <v>1</v>
      </c>
      <c r="AB1871" s="65" t="b">
        <f>FALSE()</f>
        <v>0</v>
      </c>
      <c r="AC1871" s="65" t="b">
        <f>TRUE()</f>
        <v>1</v>
      </c>
      <c r="AD1871" s="65" t="b">
        <f>FALSE()</f>
        <v>0</v>
      </c>
      <c r="AE1871" s="65">
        <v>4</v>
      </c>
      <c r="AF1871" s="69">
        <v>57.1</v>
      </c>
      <c r="AG1871" s="65" t="s">
        <v>72</v>
      </c>
      <c r="AH1871" s="65" t="s">
        <v>6826</v>
      </c>
      <c r="AI1871">
        <f>IF(AND(OR(Company_Explorer!$B$5="All Companies",$E1871=Company_Explorer!$B$5),OR(Company_Explorer!$B$6="All Platforms",$B1871=Company_Explorer!$B$6),OR(Company_Explorer!$B$7="All Roles",$D1871=Company_Explorer!$B$7),OR(Company_Explorer!$B$8="All Ghost Labels",$AG1871=Company_Explorer!$B$8)),1,0)</f>
        <v>0</v>
      </c>
    </row>
    <row r="1872" spans="1:35" ht="15" customHeight="1" x14ac:dyDescent="0.3">
      <c r="A1872" s="60" t="s">
        <v>6827</v>
      </c>
      <c r="B1872" s="60" t="s">
        <v>81</v>
      </c>
      <c r="C1872" s="60" t="s">
        <v>6828</v>
      </c>
      <c r="D1872" s="60" t="s">
        <v>126</v>
      </c>
      <c r="E1872" s="60" t="s">
        <v>3726</v>
      </c>
      <c r="F1872" s="60" t="b">
        <f>FALSE()</f>
        <v>0</v>
      </c>
      <c r="G1872" s="60" t="s">
        <v>165</v>
      </c>
      <c r="H1872" s="60" t="s">
        <v>3655</v>
      </c>
      <c r="I1872" s="61">
        <v>46206.6932459491</v>
      </c>
      <c r="J1872" s="61">
        <v>46210.283348414399</v>
      </c>
      <c r="K1872" s="60">
        <v>3.6</v>
      </c>
      <c r="L1872" s="60" t="s">
        <v>183</v>
      </c>
      <c r="M1872" s="60" t="s">
        <v>183</v>
      </c>
      <c r="N1872" s="60" t="b">
        <f>FALSE()</f>
        <v>0</v>
      </c>
      <c r="O1872" s="60"/>
      <c r="P1872" s="60"/>
      <c r="Q1872" s="60" t="s">
        <v>236</v>
      </c>
      <c r="R1872" s="60" t="s">
        <v>236</v>
      </c>
      <c r="S1872" s="60"/>
      <c r="T1872" s="60" t="b">
        <f>FALSE()</f>
        <v>0</v>
      </c>
      <c r="U1872" s="60" t="b">
        <f>FALSE()</f>
        <v>0</v>
      </c>
      <c r="V1872" s="60">
        <v>641</v>
      </c>
      <c r="W1872" s="62" t="s">
        <v>6829</v>
      </c>
      <c r="X1872" s="60"/>
      <c r="Y1872" s="63"/>
      <c r="Z1872" s="60" t="b">
        <f>TRUE()</f>
        <v>1</v>
      </c>
      <c r="AA1872" s="60" t="b">
        <f>TRUE()</f>
        <v>1</v>
      </c>
      <c r="AB1872" s="60" t="b">
        <f>FALSE()</f>
        <v>0</v>
      </c>
      <c r="AC1872" s="60" t="b">
        <f>TRUE()</f>
        <v>1</v>
      </c>
      <c r="AD1872" s="60" t="b">
        <f>FALSE()</f>
        <v>0</v>
      </c>
      <c r="AE1872" s="60">
        <v>4</v>
      </c>
      <c r="AF1872" s="64">
        <v>57.1</v>
      </c>
      <c r="AG1872" s="60" t="s">
        <v>72</v>
      </c>
      <c r="AH1872" s="60" t="s">
        <v>6830</v>
      </c>
      <c r="AI1872">
        <f>IF(AND(OR(Company_Explorer!$B$5="All Companies",$E1872=Company_Explorer!$B$5),OR(Company_Explorer!$B$6="All Platforms",$B1872=Company_Explorer!$B$6),OR(Company_Explorer!$B$7="All Roles",$D1872=Company_Explorer!$B$7),OR(Company_Explorer!$B$8="All Ghost Labels",$AG1872=Company_Explorer!$B$8)),1,0)</f>
        <v>0</v>
      </c>
    </row>
    <row r="1873" spans="1:35" ht="15" customHeight="1" x14ac:dyDescent="0.3">
      <c r="A1873" s="65" t="s">
        <v>6831</v>
      </c>
      <c r="B1873" s="65" t="s">
        <v>81</v>
      </c>
      <c r="C1873" s="65" t="s">
        <v>6832</v>
      </c>
      <c r="D1873" s="65" t="s">
        <v>127</v>
      </c>
      <c r="E1873" s="65" t="s">
        <v>6833</v>
      </c>
      <c r="F1873" s="65" t="b">
        <f>TRUE()</f>
        <v>1</v>
      </c>
      <c r="G1873" s="65" t="s">
        <v>165</v>
      </c>
      <c r="H1873" s="65" t="s">
        <v>3672</v>
      </c>
      <c r="I1873" s="66">
        <v>46207.410825925901</v>
      </c>
      <c r="J1873" s="66">
        <v>46210.283348449098</v>
      </c>
      <c r="K1873" s="65">
        <v>2.9</v>
      </c>
      <c r="L1873" s="65" t="s">
        <v>183</v>
      </c>
      <c r="M1873" s="65" t="s">
        <v>183</v>
      </c>
      <c r="N1873" s="65" t="b">
        <f>TRUE()</f>
        <v>1</v>
      </c>
      <c r="O1873" s="71">
        <v>240000</v>
      </c>
      <c r="P1873" s="71">
        <v>300000</v>
      </c>
      <c r="Q1873" s="65" t="s">
        <v>3663</v>
      </c>
      <c r="R1873" s="65" t="s">
        <v>3961</v>
      </c>
      <c r="S1873" s="71">
        <v>270000</v>
      </c>
      <c r="T1873" s="65" t="b">
        <f>TRUE()</f>
        <v>1</v>
      </c>
      <c r="U1873" s="65" t="b">
        <f>FALSE()</f>
        <v>0</v>
      </c>
      <c r="V1873" s="65">
        <v>302</v>
      </c>
      <c r="W1873" s="67" t="s">
        <v>6834</v>
      </c>
      <c r="X1873" s="65">
        <v>1</v>
      </c>
      <c r="Y1873" s="68">
        <v>1.75</v>
      </c>
      <c r="Z1873" s="65" t="b">
        <f>FALSE()</f>
        <v>0</v>
      </c>
      <c r="AA1873" s="65" t="b">
        <f>FALSE()</f>
        <v>0</v>
      </c>
      <c r="AB1873" s="65" t="b">
        <f>TRUE()</f>
        <v>1</v>
      </c>
      <c r="AC1873" s="65" t="b">
        <f>TRUE()</f>
        <v>1</v>
      </c>
      <c r="AD1873" s="65" t="b">
        <f>FALSE()</f>
        <v>0</v>
      </c>
      <c r="AE1873" s="65">
        <v>2</v>
      </c>
      <c r="AF1873" s="69">
        <v>28.6</v>
      </c>
      <c r="AG1873" s="65" t="s">
        <v>73</v>
      </c>
      <c r="AH1873" s="65" t="s">
        <v>6835</v>
      </c>
      <c r="AI1873">
        <f>IF(AND(OR(Company_Explorer!$B$5="All Companies",$E1873=Company_Explorer!$B$5),OR(Company_Explorer!$B$6="All Platforms",$B1873=Company_Explorer!$B$6),OR(Company_Explorer!$B$7="All Roles",$D1873=Company_Explorer!$B$7),OR(Company_Explorer!$B$8="All Ghost Labels",$AG1873=Company_Explorer!$B$8)),1,0)</f>
        <v>0</v>
      </c>
    </row>
    <row r="1874" spans="1:35" ht="15" customHeight="1" x14ac:dyDescent="0.3">
      <c r="A1874" s="60" t="s">
        <v>6836</v>
      </c>
      <c r="B1874" s="60" t="s">
        <v>81</v>
      </c>
      <c r="C1874" s="60" t="s">
        <v>6837</v>
      </c>
      <c r="D1874" s="60" t="s">
        <v>126</v>
      </c>
      <c r="E1874" s="60" t="s">
        <v>3985</v>
      </c>
      <c r="F1874" s="60" t="b">
        <f>TRUE()</f>
        <v>1</v>
      </c>
      <c r="G1874" s="60" t="s">
        <v>165</v>
      </c>
      <c r="H1874" s="60" t="s">
        <v>3620</v>
      </c>
      <c r="I1874" s="61">
        <v>46206.694899247697</v>
      </c>
      <c r="J1874" s="61">
        <v>46210.283348518496</v>
      </c>
      <c r="K1874" s="60">
        <v>3.6</v>
      </c>
      <c r="L1874" s="60" t="s">
        <v>183</v>
      </c>
      <c r="M1874" s="60" t="s">
        <v>183</v>
      </c>
      <c r="N1874" s="60" t="b">
        <f>FALSE()</f>
        <v>0</v>
      </c>
      <c r="O1874" s="60"/>
      <c r="P1874" s="60"/>
      <c r="Q1874" s="60" t="s">
        <v>236</v>
      </c>
      <c r="R1874" s="60" t="s">
        <v>236</v>
      </c>
      <c r="S1874" s="60"/>
      <c r="T1874" s="60" t="b">
        <f>FALSE()</f>
        <v>0</v>
      </c>
      <c r="U1874" s="60" t="b">
        <f>FALSE()</f>
        <v>0</v>
      </c>
      <c r="V1874" s="60">
        <v>475</v>
      </c>
      <c r="W1874" s="62" t="s">
        <v>6838</v>
      </c>
      <c r="X1874" s="60">
        <v>6</v>
      </c>
      <c r="Y1874" s="63">
        <v>10.5</v>
      </c>
      <c r="Z1874" s="60" t="b">
        <f>FALSE()</f>
        <v>0</v>
      </c>
      <c r="AA1874" s="60" t="b">
        <f>TRUE()</f>
        <v>1</v>
      </c>
      <c r="AB1874" s="60" t="b">
        <f>FALSE()</f>
        <v>0</v>
      </c>
      <c r="AC1874" s="60" t="b">
        <f>TRUE()</f>
        <v>1</v>
      </c>
      <c r="AD1874" s="60" t="b">
        <f>FALSE()</f>
        <v>0</v>
      </c>
      <c r="AE1874" s="60">
        <v>2</v>
      </c>
      <c r="AF1874" s="64">
        <v>28.6</v>
      </c>
      <c r="AG1874" s="60" t="s">
        <v>73</v>
      </c>
      <c r="AH1874" s="60" t="s">
        <v>6839</v>
      </c>
      <c r="AI1874">
        <f>IF(AND(OR(Company_Explorer!$B$5="All Companies",$E1874=Company_Explorer!$B$5),OR(Company_Explorer!$B$6="All Platforms",$B1874=Company_Explorer!$B$6),OR(Company_Explorer!$B$7="All Roles",$D1874=Company_Explorer!$B$7),OR(Company_Explorer!$B$8="All Ghost Labels",$AG1874=Company_Explorer!$B$8)),1,0)</f>
        <v>0</v>
      </c>
    </row>
    <row r="1875" spans="1:35" ht="15" customHeight="1" x14ac:dyDescent="0.3">
      <c r="A1875" s="65" t="s">
        <v>6840</v>
      </c>
      <c r="B1875" s="65" t="s">
        <v>81</v>
      </c>
      <c r="C1875" s="65" t="s">
        <v>6841</v>
      </c>
      <c r="D1875" s="65" t="s">
        <v>126</v>
      </c>
      <c r="E1875" s="65" t="s">
        <v>6769</v>
      </c>
      <c r="F1875" s="65" t="b">
        <f>TRUE()</f>
        <v>1</v>
      </c>
      <c r="G1875" s="65" t="s">
        <v>165</v>
      </c>
      <c r="H1875" s="65" t="s">
        <v>3702</v>
      </c>
      <c r="I1875" s="66">
        <v>46206.5665214931</v>
      </c>
      <c r="J1875" s="66">
        <v>46210.2833484722</v>
      </c>
      <c r="K1875" s="65">
        <v>3.7</v>
      </c>
      <c r="L1875" s="65" t="s">
        <v>183</v>
      </c>
      <c r="M1875" s="65" t="s">
        <v>183</v>
      </c>
      <c r="N1875" s="65" t="b">
        <f>FALSE()</f>
        <v>0</v>
      </c>
      <c r="O1875" s="65"/>
      <c r="P1875" s="65"/>
      <c r="Q1875" s="65" t="s">
        <v>236</v>
      </c>
      <c r="R1875" s="65" t="s">
        <v>236</v>
      </c>
      <c r="S1875" s="65"/>
      <c r="T1875" s="65" t="b">
        <f>FALSE()</f>
        <v>0</v>
      </c>
      <c r="U1875" s="65" t="b">
        <f>FALSE()</f>
        <v>0</v>
      </c>
      <c r="V1875" s="65">
        <v>305</v>
      </c>
      <c r="W1875" s="67" t="s">
        <v>6842</v>
      </c>
      <c r="X1875" s="65">
        <v>5</v>
      </c>
      <c r="Y1875" s="68">
        <v>8.75</v>
      </c>
      <c r="Z1875" s="65" t="b">
        <f>FALSE()</f>
        <v>0</v>
      </c>
      <c r="AA1875" s="65" t="b">
        <f>TRUE()</f>
        <v>1</v>
      </c>
      <c r="AB1875" s="65" t="b">
        <f>FALSE()</f>
        <v>0</v>
      </c>
      <c r="AC1875" s="65" t="b">
        <f>TRUE()</f>
        <v>1</v>
      </c>
      <c r="AD1875" s="65" t="b">
        <f>FALSE()</f>
        <v>0</v>
      </c>
      <c r="AE1875" s="65">
        <v>2</v>
      </c>
      <c r="AF1875" s="69">
        <v>28.6</v>
      </c>
      <c r="AG1875" s="65" t="s">
        <v>73</v>
      </c>
      <c r="AH1875" s="65" t="s">
        <v>6843</v>
      </c>
      <c r="AI1875">
        <f>IF(AND(OR(Company_Explorer!$B$5="All Companies",$E1875=Company_Explorer!$B$5),OR(Company_Explorer!$B$6="All Platforms",$B1875=Company_Explorer!$B$6),OR(Company_Explorer!$B$7="All Roles",$D1875=Company_Explorer!$B$7),OR(Company_Explorer!$B$8="All Ghost Labels",$AG1875=Company_Explorer!$B$8)),1,0)</f>
        <v>0</v>
      </c>
    </row>
    <row r="1876" spans="1:35" ht="15" customHeight="1" x14ac:dyDescent="0.3">
      <c r="A1876" s="60" t="s">
        <v>6844</v>
      </c>
      <c r="B1876" s="60" t="s">
        <v>81</v>
      </c>
      <c r="C1876" s="60" t="s">
        <v>5756</v>
      </c>
      <c r="D1876" s="60" t="s">
        <v>127</v>
      </c>
      <c r="E1876" s="60" t="s">
        <v>6845</v>
      </c>
      <c r="F1876" s="60" t="b">
        <f>TRUE()</f>
        <v>1</v>
      </c>
      <c r="G1876" s="60" t="s">
        <v>165</v>
      </c>
      <c r="H1876" s="60" t="s">
        <v>3672</v>
      </c>
      <c r="I1876" s="61">
        <v>46207.400357580998</v>
      </c>
      <c r="J1876" s="61">
        <v>46210.283349560203</v>
      </c>
      <c r="K1876" s="60">
        <v>2.9</v>
      </c>
      <c r="L1876" s="60" t="s">
        <v>183</v>
      </c>
      <c r="M1876" s="60" t="s">
        <v>183</v>
      </c>
      <c r="N1876" s="60" t="b">
        <f>FALSE()</f>
        <v>0</v>
      </c>
      <c r="O1876" s="60"/>
      <c r="P1876" s="60"/>
      <c r="Q1876" s="60" t="s">
        <v>3663</v>
      </c>
      <c r="R1876" s="60" t="s">
        <v>3664</v>
      </c>
      <c r="S1876" s="60"/>
      <c r="T1876" s="60" t="b">
        <f>FALSE()</f>
        <v>0</v>
      </c>
      <c r="U1876" s="60" t="b">
        <f>FALSE()</f>
        <v>0</v>
      </c>
      <c r="V1876" s="60">
        <v>463</v>
      </c>
      <c r="W1876" s="62" t="s">
        <v>6846</v>
      </c>
      <c r="X1876" s="60">
        <v>1</v>
      </c>
      <c r="Y1876" s="63">
        <v>1.75</v>
      </c>
      <c r="Z1876" s="60" t="b">
        <f>FALSE()</f>
        <v>0</v>
      </c>
      <c r="AA1876" s="60" t="b">
        <f>TRUE()</f>
        <v>1</v>
      </c>
      <c r="AB1876" s="60" t="b">
        <f>FALSE()</f>
        <v>0</v>
      </c>
      <c r="AC1876" s="60" t="b">
        <f>TRUE()</f>
        <v>1</v>
      </c>
      <c r="AD1876" s="60" t="b">
        <f>FALSE()</f>
        <v>0</v>
      </c>
      <c r="AE1876" s="60">
        <v>2</v>
      </c>
      <c r="AF1876" s="64">
        <v>28.6</v>
      </c>
      <c r="AG1876" s="60" t="s">
        <v>73</v>
      </c>
      <c r="AH1876" s="60" t="s">
        <v>6847</v>
      </c>
      <c r="AI1876">
        <f>IF(AND(OR(Company_Explorer!$B$5="All Companies",$E1876=Company_Explorer!$B$5),OR(Company_Explorer!$B$6="All Platforms",$B1876=Company_Explorer!$B$6),OR(Company_Explorer!$B$7="All Roles",$D1876=Company_Explorer!$B$7),OR(Company_Explorer!$B$8="All Ghost Labels",$AG1876=Company_Explorer!$B$8)),1,0)</f>
        <v>0</v>
      </c>
    </row>
    <row r="1877" spans="1:35" ht="15" customHeight="1" x14ac:dyDescent="0.3">
      <c r="A1877" s="65" t="s">
        <v>6848</v>
      </c>
      <c r="B1877" s="65" t="s">
        <v>81</v>
      </c>
      <c r="C1877" s="65" t="s">
        <v>6849</v>
      </c>
      <c r="D1877" s="65" t="s">
        <v>126</v>
      </c>
      <c r="E1877" s="65" t="s">
        <v>3230</v>
      </c>
      <c r="F1877" s="65" t="b">
        <f>TRUE()</f>
        <v>1</v>
      </c>
      <c r="G1877" s="65" t="s">
        <v>165</v>
      </c>
      <c r="H1877" s="65" t="s">
        <v>3636</v>
      </c>
      <c r="I1877" s="66">
        <v>46206.689406365702</v>
      </c>
      <c r="J1877" s="66">
        <v>46210.283350752303</v>
      </c>
      <c r="K1877" s="65">
        <v>3.6</v>
      </c>
      <c r="L1877" s="65" t="s">
        <v>183</v>
      </c>
      <c r="M1877" s="65" t="s">
        <v>183</v>
      </c>
      <c r="N1877" s="65" t="b">
        <f>FALSE()</f>
        <v>0</v>
      </c>
      <c r="O1877" s="65"/>
      <c r="P1877" s="65"/>
      <c r="Q1877" s="65" t="s">
        <v>236</v>
      </c>
      <c r="R1877" s="65" t="s">
        <v>236</v>
      </c>
      <c r="S1877" s="65"/>
      <c r="T1877" s="65" t="b">
        <f>FALSE()</f>
        <v>0</v>
      </c>
      <c r="U1877" s="65" t="b">
        <f>FALSE()</f>
        <v>0</v>
      </c>
      <c r="V1877" s="65">
        <v>576</v>
      </c>
      <c r="W1877" s="67" t="s">
        <v>6850</v>
      </c>
      <c r="X1877" s="65">
        <v>3</v>
      </c>
      <c r="Y1877" s="68">
        <v>5.25</v>
      </c>
      <c r="Z1877" s="65" t="b">
        <f>FALSE()</f>
        <v>0</v>
      </c>
      <c r="AA1877" s="65" t="b">
        <f>TRUE()</f>
        <v>1</v>
      </c>
      <c r="AB1877" s="65" t="b">
        <f>FALSE()</f>
        <v>0</v>
      </c>
      <c r="AC1877" s="65" t="b">
        <f>TRUE()</f>
        <v>1</v>
      </c>
      <c r="AD1877" s="65" t="b">
        <f>FALSE()</f>
        <v>0</v>
      </c>
      <c r="AE1877" s="65">
        <v>2</v>
      </c>
      <c r="AF1877" s="69">
        <v>28.6</v>
      </c>
      <c r="AG1877" s="65" t="s">
        <v>73</v>
      </c>
      <c r="AH1877" s="65" t="s">
        <v>6851</v>
      </c>
      <c r="AI1877">
        <f>IF(AND(OR(Company_Explorer!$B$5="All Companies",$E1877=Company_Explorer!$B$5),OR(Company_Explorer!$B$6="All Platforms",$B1877=Company_Explorer!$B$6),OR(Company_Explorer!$B$7="All Roles",$D1877=Company_Explorer!$B$7),OR(Company_Explorer!$B$8="All Ghost Labels",$AG1877=Company_Explorer!$B$8)),1,0)</f>
        <v>0</v>
      </c>
    </row>
    <row r="1878" spans="1:35" ht="15" customHeight="1" x14ac:dyDescent="0.3">
      <c r="A1878" s="60" t="s">
        <v>6852</v>
      </c>
      <c r="B1878" s="60" t="s">
        <v>81</v>
      </c>
      <c r="C1878" s="60" t="s">
        <v>127</v>
      </c>
      <c r="D1878" s="60" t="s">
        <v>127</v>
      </c>
      <c r="E1878" s="60" t="s">
        <v>6853</v>
      </c>
      <c r="F1878" s="60" t="b">
        <f>TRUE()</f>
        <v>1</v>
      </c>
      <c r="G1878" s="60" t="s">
        <v>165</v>
      </c>
      <c r="H1878" s="60" t="s">
        <v>3702</v>
      </c>
      <c r="I1878" s="61">
        <v>46207.374695567101</v>
      </c>
      <c r="J1878" s="61">
        <v>46210.283350821803</v>
      </c>
      <c r="K1878" s="60">
        <v>2.9</v>
      </c>
      <c r="L1878" s="60" t="s">
        <v>183</v>
      </c>
      <c r="M1878" s="60" t="s">
        <v>183</v>
      </c>
      <c r="N1878" s="60" t="b">
        <f>FALSE()</f>
        <v>0</v>
      </c>
      <c r="O1878" s="60"/>
      <c r="P1878" s="60"/>
      <c r="Q1878" s="60" t="s">
        <v>236</v>
      </c>
      <c r="R1878" s="60" t="s">
        <v>236</v>
      </c>
      <c r="S1878" s="60"/>
      <c r="T1878" s="60" t="b">
        <f>FALSE()</f>
        <v>0</v>
      </c>
      <c r="U1878" s="60" t="b">
        <f>FALSE()</f>
        <v>0</v>
      </c>
      <c r="V1878" s="60">
        <v>201</v>
      </c>
      <c r="W1878" s="62" t="s">
        <v>6854</v>
      </c>
      <c r="X1878" s="60">
        <v>2</v>
      </c>
      <c r="Y1878" s="63">
        <v>3.5</v>
      </c>
      <c r="Z1878" s="60" t="b">
        <f>FALSE()</f>
        <v>0</v>
      </c>
      <c r="AA1878" s="60" t="b">
        <f>TRUE()</f>
        <v>1</v>
      </c>
      <c r="AB1878" s="60" t="b">
        <f>TRUE()</f>
        <v>1</v>
      </c>
      <c r="AC1878" s="60" t="b">
        <f>TRUE()</f>
        <v>1</v>
      </c>
      <c r="AD1878" s="60" t="b">
        <f>FALSE()</f>
        <v>0</v>
      </c>
      <c r="AE1878" s="60">
        <v>3</v>
      </c>
      <c r="AF1878" s="64">
        <v>42.9</v>
      </c>
      <c r="AG1878" s="60" t="s">
        <v>73</v>
      </c>
      <c r="AH1878" s="60" t="s">
        <v>6855</v>
      </c>
      <c r="AI1878">
        <f>IF(AND(OR(Company_Explorer!$B$5="All Companies",$E1878=Company_Explorer!$B$5),OR(Company_Explorer!$B$6="All Platforms",$B1878=Company_Explorer!$B$6),OR(Company_Explorer!$B$7="All Roles",$D1878=Company_Explorer!$B$7),OR(Company_Explorer!$B$8="All Ghost Labels",$AG1878=Company_Explorer!$B$8)),1,0)</f>
        <v>0</v>
      </c>
    </row>
    <row r="1879" spans="1:35" ht="15" customHeight="1" x14ac:dyDescent="0.3">
      <c r="A1879" s="65" t="s">
        <v>6856</v>
      </c>
      <c r="B1879" s="65" t="s">
        <v>81</v>
      </c>
      <c r="C1879" s="65" t="s">
        <v>127</v>
      </c>
      <c r="D1879" s="65" t="s">
        <v>127</v>
      </c>
      <c r="E1879" s="65" t="s">
        <v>6853</v>
      </c>
      <c r="F1879" s="65" t="b">
        <f>TRUE()</f>
        <v>1</v>
      </c>
      <c r="G1879" s="65" t="s">
        <v>165</v>
      </c>
      <c r="H1879" s="65" t="s">
        <v>3702</v>
      </c>
      <c r="I1879" s="66">
        <v>46207.378151527802</v>
      </c>
      <c r="J1879" s="66">
        <v>46210.283349884303</v>
      </c>
      <c r="K1879" s="65">
        <v>2.9</v>
      </c>
      <c r="L1879" s="65" t="s">
        <v>183</v>
      </c>
      <c r="M1879" s="65" t="s">
        <v>183</v>
      </c>
      <c r="N1879" s="65" t="b">
        <f>FALSE()</f>
        <v>0</v>
      </c>
      <c r="O1879" s="65"/>
      <c r="P1879" s="65"/>
      <c r="Q1879" s="65" t="s">
        <v>236</v>
      </c>
      <c r="R1879" s="65" t="s">
        <v>236</v>
      </c>
      <c r="S1879" s="65"/>
      <c r="T1879" s="65" t="b">
        <f>FALSE()</f>
        <v>0</v>
      </c>
      <c r="U1879" s="65" t="b">
        <f>FALSE()</f>
        <v>0</v>
      </c>
      <c r="V1879" s="65">
        <v>201</v>
      </c>
      <c r="W1879" s="67" t="s">
        <v>6854</v>
      </c>
      <c r="X1879" s="65">
        <v>2</v>
      </c>
      <c r="Y1879" s="68">
        <v>3.5</v>
      </c>
      <c r="Z1879" s="65" t="b">
        <f>FALSE()</f>
        <v>0</v>
      </c>
      <c r="AA1879" s="65" t="b">
        <f>TRUE()</f>
        <v>1</v>
      </c>
      <c r="AB1879" s="65" t="b">
        <f>TRUE()</f>
        <v>1</v>
      </c>
      <c r="AC1879" s="65" t="b">
        <f>TRUE()</f>
        <v>1</v>
      </c>
      <c r="AD1879" s="65" t="b">
        <f>FALSE()</f>
        <v>0</v>
      </c>
      <c r="AE1879" s="65">
        <v>3</v>
      </c>
      <c r="AF1879" s="69">
        <v>42.9</v>
      </c>
      <c r="AG1879" s="65" t="s">
        <v>73</v>
      </c>
      <c r="AH1879" s="65" t="s">
        <v>6857</v>
      </c>
      <c r="AI1879">
        <f>IF(AND(OR(Company_Explorer!$B$5="All Companies",$E1879=Company_Explorer!$B$5),OR(Company_Explorer!$B$6="All Platforms",$B1879=Company_Explorer!$B$6),OR(Company_Explorer!$B$7="All Roles",$D1879=Company_Explorer!$B$7),OR(Company_Explorer!$B$8="All Ghost Labels",$AG1879=Company_Explorer!$B$8)),1,0)</f>
        <v>0</v>
      </c>
    </row>
    <row r="1880" spans="1:35" ht="15" customHeight="1" x14ac:dyDescent="0.3">
      <c r="A1880" s="60" t="s">
        <v>6858</v>
      </c>
      <c r="B1880" s="60" t="s">
        <v>81</v>
      </c>
      <c r="C1880" s="60" t="s">
        <v>6859</v>
      </c>
      <c r="D1880" s="60" t="s">
        <v>127</v>
      </c>
      <c r="E1880" s="60" t="s">
        <v>6860</v>
      </c>
      <c r="F1880" s="60" t="b">
        <f>TRUE()</f>
        <v>1</v>
      </c>
      <c r="G1880" s="60" t="s">
        <v>165</v>
      </c>
      <c r="H1880" s="60" t="s">
        <v>3620</v>
      </c>
      <c r="I1880" s="61">
        <v>46207.360004838003</v>
      </c>
      <c r="J1880" s="61">
        <v>46210.2833509954</v>
      </c>
      <c r="K1880" s="60">
        <v>2.9</v>
      </c>
      <c r="L1880" s="60" t="s">
        <v>183</v>
      </c>
      <c r="M1880" s="60" t="s">
        <v>183</v>
      </c>
      <c r="N1880" s="60" t="b">
        <f>FALSE()</f>
        <v>0</v>
      </c>
      <c r="O1880" s="60"/>
      <c r="P1880" s="60"/>
      <c r="Q1880" s="60" t="s">
        <v>236</v>
      </c>
      <c r="R1880" s="60" t="s">
        <v>236</v>
      </c>
      <c r="S1880" s="60"/>
      <c r="T1880" s="60" t="b">
        <f>FALSE()</f>
        <v>0</v>
      </c>
      <c r="U1880" s="60" t="b">
        <f>FALSE()</f>
        <v>0</v>
      </c>
      <c r="V1880" s="60">
        <v>477</v>
      </c>
      <c r="W1880" s="62" t="s">
        <v>6861</v>
      </c>
      <c r="X1880" s="60">
        <v>1</v>
      </c>
      <c r="Y1880" s="63">
        <v>1.75</v>
      </c>
      <c r="Z1880" s="60" t="b">
        <f>FALSE()</f>
        <v>0</v>
      </c>
      <c r="AA1880" s="60" t="b">
        <f>TRUE()</f>
        <v>1</v>
      </c>
      <c r="AB1880" s="60" t="b">
        <f>FALSE()</f>
        <v>0</v>
      </c>
      <c r="AC1880" s="60" t="b">
        <f>TRUE()</f>
        <v>1</v>
      </c>
      <c r="AD1880" s="60" t="b">
        <f>FALSE()</f>
        <v>0</v>
      </c>
      <c r="AE1880" s="60">
        <v>2</v>
      </c>
      <c r="AF1880" s="64">
        <v>28.6</v>
      </c>
      <c r="AG1880" s="60" t="s">
        <v>73</v>
      </c>
      <c r="AH1880" s="60" t="s">
        <v>6862</v>
      </c>
      <c r="AI1880">
        <f>IF(AND(OR(Company_Explorer!$B$5="All Companies",$E1880=Company_Explorer!$B$5),OR(Company_Explorer!$B$6="All Platforms",$B1880=Company_Explorer!$B$6),OR(Company_Explorer!$B$7="All Roles",$D1880=Company_Explorer!$B$7),OR(Company_Explorer!$B$8="All Ghost Labels",$AG1880=Company_Explorer!$B$8)),1,0)</f>
        <v>0</v>
      </c>
    </row>
    <row r="1881" spans="1:35" ht="15" customHeight="1" x14ac:dyDescent="0.3">
      <c r="A1881" s="65" t="s">
        <v>6863</v>
      </c>
      <c r="B1881" s="65" t="s">
        <v>81</v>
      </c>
      <c r="C1881" s="65" t="s">
        <v>6864</v>
      </c>
      <c r="D1881" s="65" t="s">
        <v>126</v>
      </c>
      <c r="E1881" s="65" t="s">
        <v>3868</v>
      </c>
      <c r="F1881" s="65" t="b">
        <f>TRUE()</f>
        <v>1</v>
      </c>
      <c r="G1881" s="65" t="s">
        <v>165</v>
      </c>
      <c r="H1881" s="65" t="s">
        <v>3620</v>
      </c>
      <c r="I1881" s="66">
        <v>46207.153223784699</v>
      </c>
      <c r="J1881" s="66">
        <v>46210.283351956001</v>
      </c>
      <c r="K1881" s="65">
        <v>3.1</v>
      </c>
      <c r="L1881" s="65" t="s">
        <v>183</v>
      </c>
      <c r="M1881" s="65" t="s">
        <v>183</v>
      </c>
      <c r="N1881" s="65" t="b">
        <f>FALSE()</f>
        <v>0</v>
      </c>
      <c r="O1881" s="65"/>
      <c r="P1881" s="65"/>
      <c r="Q1881" s="65" t="s">
        <v>236</v>
      </c>
      <c r="R1881" s="65" t="s">
        <v>236</v>
      </c>
      <c r="S1881" s="65"/>
      <c r="T1881" s="65" t="b">
        <f>FALSE()</f>
        <v>0</v>
      </c>
      <c r="U1881" s="65" t="b">
        <f>FALSE()</f>
        <v>0</v>
      </c>
      <c r="V1881" s="65">
        <v>646</v>
      </c>
      <c r="W1881" s="67" t="s">
        <v>3869</v>
      </c>
      <c r="X1881" s="65">
        <v>12</v>
      </c>
      <c r="Y1881" s="68">
        <v>21</v>
      </c>
      <c r="Z1881" s="65" t="b">
        <f>FALSE()</f>
        <v>0</v>
      </c>
      <c r="AA1881" s="65" t="b">
        <f>TRUE()</f>
        <v>1</v>
      </c>
      <c r="AB1881" s="65" t="b">
        <f>FALSE()</f>
        <v>0</v>
      </c>
      <c r="AC1881" s="65" t="b">
        <f>TRUE()</f>
        <v>1</v>
      </c>
      <c r="AD1881" s="65" t="b">
        <f>FALSE()</f>
        <v>0</v>
      </c>
      <c r="AE1881" s="65">
        <v>2</v>
      </c>
      <c r="AF1881" s="69">
        <v>28.6</v>
      </c>
      <c r="AG1881" s="65" t="s">
        <v>73</v>
      </c>
      <c r="AH1881" s="65" t="s">
        <v>6865</v>
      </c>
      <c r="AI1881">
        <f>IF(AND(OR(Company_Explorer!$B$5="All Companies",$E1881=Company_Explorer!$B$5),OR(Company_Explorer!$B$6="All Platforms",$B1881=Company_Explorer!$B$6),OR(Company_Explorer!$B$7="All Roles",$D1881=Company_Explorer!$B$7),OR(Company_Explorer!$B$8="All Ghost Labels",$AG1881=Company_Explorer!$B$8)),1,0)</f>
        <v>0</v>
      </c>
    </row>
    <row r="1882" spans="1:35" ht="15" customHeight="1" x14ac:dyDescent="0.3">
      <c r="A1882" s="60" t="s">
        <v>6866</v>
      </c>
      <c r="B1882" s="60" t="s">
        <v>81</v>
      </c>
      <c r="C1882" s="60" t="s">
        <v>6867</v>
      </c>
      <c r="D1882" s="60" t="s">
        <v>127</v>
      </c>
      <c r="E1882" s="60" t="s">
        <v>6868</v>
      </c>
      <c r="F1882" s="60" t="b">
        <f>TRUE()</f>
        <v>1</v>
      </c>
      <c r="G1882" s="60" t="s">
        <v>165</v>
      </c>
      <c r="H1882" s="60" t="s">
        <v>3620</v>
      </c>
      <c r="I1882" s="61">
        <v>46207.3364574074</v>
      </c>
      <c r="J1882" s="61">
        <v>46210.283351874998</v>
      </c>
      <c r="K1882" s="60">
        <v>2.9</v>
      </c>
      <c r="L1882" s="60" t="s">
        <v>183</v>
      </c>
      <c r="M1882" s="60" t="s">
        <v>183</v>
      </c>
      <c r="N1882" s="60" t="b">
        <f>FALSE()</f>
        <v>0</v>
      </c>
      <c r="O1882" s="60"/>
      <c r="P1882" s="60"/>
      <c r="Q1882" s="60" t="s">
        <v>3663</v>
      </c>
      <c r="R1882" s="60" t="s">
        <v>3961</v>
      </c>
      <c r="S1882" s="60"/>
      <c r="T1882" s="60" t="b">
        <f>FALSE()</f>
        <v>0</v>
      </c>
      <c r="U1882" s="60" t="b">
        <f>FALSE()</f>
        <v>0</v>
      </c>
      <c r="V1882" s="60">
        <v>325</v>
      </c>
      <c r="W1882" s="62" t="s">
        <v>6869</v>
      </c>
      <c r="X1882" s="60">
        <v>1</v>
      </c>
      <c r="Y1882" s="63">
        <v>1.75</v>
      </c>
      <c r="Z1882" s="60" t="b">
        <f>FALSE()</f>
        <v>0</v>
      </c>
      <c r="AA1882" s="60" t="b">
        <f>TRUE()</f>
        <v>1</v>
      </c>
      <c r="AB1882" s="60" t="b">
        <f>FALSE()</f>
        <v>0</v>
      </c>
      <c r="AC1882" s="60" t="b">
        <f>TRUE()</f>
        <v>1</v>
      </c>
      <c r="AD1882" s="60" t="b">
        <f>FALSE()</f>
        <v>0</v>
      </c>
      <c r="AE1882" s="60">
        <v>2</v>
      </c>
      <c r="AF1882" s="64">
        <v>28.6</v>
      </c>
      <c r="AG1882" s="60" t="s">
        <v>73</v>
      </c>
      <c r="AH1882" s="60" t="s">
        <v>6870</v>
      </c>
      <c r="AI1882">
        <f>IF(AND(OR(Company_Explorer!$B$5="All Companies",$E1882=Company_Explorer!$B$5),OR(Company_Explorer!$B$6="All Platforms",$B1882=Company_Explorer!$B$6),OR(Company_Explorer!$B$7="All Roles",$D1882=Company_Explorer!$B$7),OR(Company_Explorer!$B$8="All Ghost Labels",$AG1882=Company_Explorer!$B$8)),1,0)</f>
        <v>0</v>
      </c>
    </row>
    <row r="1883" spans="1:35" ht="15" customHeight="1" x14ac:dyDescent="0.3">
      <c r="A1883" s="65" t="s">
        <v>6871</v>
      </c>
      <c r="B1883" s="65" t="s">
        <v>81</v>
      </c>
      <c r="C1883" s="65" t="s">
        <v>6872</v>
      </c>
      <c r="D1883" s="65" t="s">
        <v>126</v>
      </c>
      <c r="E1883" s="65" t="s">
        <v>6873</v>
      </c>
      <c r="F1883" s="65" t="b">
        <f>TRUE()</f>
        <v>1</v>
      </c>
      <c r="G1883" s="65" t="s">
        <v>165</v>
      </c>
      <c r="H1883" s="65" t="s">
        <v>3702</v>
      </c>
      <c r="I1883" s="66">
        <v>46206.624709571799</v>
      </c>
      <c r="J1883" s="66">
        <v>46210.283352025501</v>
      </c>
      <c r="K1883" s="65">
        <v>3.7</v>
      </c>
      <c r="L1883" s="65" t="s">
        <v>183</v>
      </c>
      <c r="M1883" s="65" t="s">
        <v>183</v>
      </c>
      <c r="N1883" s="65" t="b">
        <f>FALSE()</f>
        <v>0</v>
      </c>
      <c r="O1883" s="65"/>
      <c r="P1883" s="65"/>
      <c r="Q1883" s="65" t="s">
        <v>236</v>
      </c>
      <c r="R1883" s="65" t="s">
        <v>236</v>
      </c>
      <c r="S1883" s="65"/>
      <c r="T1883" s="65" t="b">
        <f>FALSE()</f>
        <v>0</v>
      </c>
      <c r="U1883" s="65" t="b">
        <f>FALSE()</f>
        <v>0</v>
      </c>
      <c r="V1883" s="65">
        <v>407</v>
      </c>
      <c r="W1883" s="67" t="s">
        <v>6874</v>
      </c>
      <c r="X1883" s="65">
        <v>1</v>
      </c>
      <c r="Y1883" s="68">
        <v>1.75</v>
      </c>
      <c r="Z1883" s="65" t="b">
        <f>FALSE()</f>
        <v>0</v>
      </c>
      <c r="AA1883" s="65" t="b">
        <f>TRUE()</f>
        <v>1</v>
      </c>
      <c r="AB1883" s="65" t="b">
        <f>FALSE()</f>
        <v>0</v>
      </c>
      <c r="AC1883" s="65" t="b">
        <f>TRUE()</f>
        <v>1</v>
      </c>
      <c r="AD1883" s="65" t="b">
        <f>FALSE()</f>
        <v>0</v>
      </c>
      <c r="AE1883" s="65">
        <v>2</v>
      </c>
      <c r="AF1883" s="69">
        <v>28.6</v>
      </c>
      <c r="AG1883" s="65" t="s">
        <v>73</v>
      </c>
      <c r="AH1883" s="65" t="s">
        <v>6875</v>
      </c>
      <c r="AI1883">
        <f>IF(AND(OR(Company_Explorer!$B$5="All Companies",$E1883=Company_Explorer!$B$5),OR(Company_Explorer!$B$6="All Platforms",$B1883=Company_Explorer!$B$6),OR(Company_Explorer!$B$7="All Roles",$D1883=Company_Explorer!$B$7),OR(Company_Explorer!$B$8="All Ghost Labels",$AG1883=Company_Explorer!$B$8)),1,0)</f>
        <v>0</v>
      </c>
    </row>
    <row r="1884" spans="1:35" ht="15" customHeight="1" x14ac:dyDescent="0.3">
      <c r="A1884" s="60" t="s">
        <v>6876</v>
      </c>
      <c r="B1884" s="60" t="s">
        <v>81</v>
      </c>
      <c r="C1884" s="60" t="s">
        <v>6877</v>
      </c>
      <c r="D1884" s="60" t="s">
        <v>126</v>
      </c>
      <c r="E1884" s="60" t="s">
        <v>3810</v>
      </c>
      <c r="F1884" s="60" t="b">
        <f>TRUE()</f>
        <v>1</v>
      </c>
      <c r="G1884" s="60" t="s">
        <v>165</v>
      </c>
      <c r="H1884" s="60" t="s">
        <v>3620</v>
      </c>
      <c r="I1884" s="61">
        <v>46206.684257870402</v>
      </c>
      <c r="J1884" s="61">
        <v>46210.283352048602</v>
      </c>
      <c r="K1884" s="60">
        <v>3.6</v>
      </c>
      <c r="L1884" s="60" t="s">
        <v>183</v>
      </c>
      <c r="M1884" s="60" t="s">
        <v>183</v>
      </c>
      <c r="N1884" s="60" t="b">
        <f>FALSE()</f>
        <v>0</v>
      </c>
      <c r="O1884" s="60"/>
      <c r="P1884" s="60"/>
      <c r="Q1884" s="60" t="s">
        <v>236</v>
      </c>
      <c r="R1884" s="60" t="s">
        <v>236</v>
      </c>
      <c r="S1884" s="60"/>
      <c r="T1884" s="60" t="b">
        <f>FALSE()</f>
        <v>0</v>
      </c>
      <c r="U1884" s="60" t="b">
        <f>FALSE()</f>
        <v>0</v>
      </c>
      <c r="V1884" s="60">
        <v>589</v>
      </c>
      <c r="W1884" s="62" t="s">
        <v>6878</v>
      </c>
      <c r="X1884" s="60">
        <v>10</v>
      </c>
      <c r="Y1884" s="63">
        <v>17.5</v>
      </c>
      <c r="Z1884" s="60" t="b">
        <f>FALSE()</f>
        <v>0</v>
      </c>
      <c r="AA1884" s="60" t="b">
        <f>TRUE()</f>
        <v>1</v>
      </c>
      <c r="AB1884" s="60" t="b">
        <f>FALSE()</f>
        <v>0</v>
      </c>
      <c r="AC1884" s="60" t="b">
        <f>TRUE()</f>
        <v>1</v>
      </c>
      <c r="AD1884" s="60" t="b">
        <f>FALSE()</f>
        <v>0</v>
      </c>
      <c r="AE1884" s="60">
        <v>2</v>
      </c>
      <c r="AF1884" s="64">
        <v>28.6</v>
      </c>
      <c r="AG1884" s="60" t="s">
        <v>73</v>
      </c>
      <c r="AH1884" s="60" t="s">
        <v>6879</v>
      </c>
      <c r="AI1884">
        <f>IF(AND(OR(Company_Explorer!$B$5="All Companies",$E1884=Company_Explorer!$B$5),OR(Company_Explorer!$B$6="All Platforms",$B1884=Company_Explorer!$B$6),OR(Company_Explorer!$B$7="All Roles",$D1884=Company_Explorer!$B$7),OR(Company_Explorer!$B$8="All Ghost Labels",$AG1884=Company_Explorer!$B$8)),1,0)</f>
        <v>0</v>
      </c>
    </row>
    <row r="1885" spans="1:35" ht="15" customHeight="1" x14ac:dyDescent="0.3">
      <c r="A1885" s="65" t="s">
        <v>6880</v>
      </c>
      <c r="B1885" s="65" t="s">
        <v>81</v>
      </c>
      <c r="C1885" s="65" t="s">
        <v>6881</v>
      </c>
      <c r="D1885" s="65" t="s">
        <v>126</v>
      </c>
      <c r="E1885" s="65" t="s">
        <v>146</v>
      </c>
      <c r="F1885" s="65" t="b">
        <f>TRUE()</f>
        <v>1</v>
      </c>
      <c r="G1885" s="65" t="s">
        <v>165</v>
      </c>
      <c r="H1885" s="65" t="s">
        <v>3636</v>
      </c>
      <c r="I1885" s="66">
        <v>46207.327490150499</v>
      </c>
      <c r="J1885" s="66">
        <v>46210.283351979197</v>
      </c>
      <c r="K1885" s="65">
        <v>3</v>
      </c>
      <c r="L1885" s="65" t="s">
        <v>183</v>
      </c>
      <c r="M1885" s="65" t="s">
        <v>183</v>
      </c>
      <c r="N1885" s="65" t="b">
        <f>FALSE()</f>
        <v>0</v>
      </c>
      <c r="O1885" s="65"/>
      <c r="P1885" s="65"/>
      <c r="Q1885" s="65" t="s">
        <v>236</v>
      </c>
      <c r="R1885" s="65" t="s">
        <v>236</v>
      </c>
      <c r="S1885" s="65"/>
      <c r="T1885" s="65" t="b">
        <f>FALSE()</f>
        <v>0</v>
      </c>
      <c r="U1885" s="65" t="b">
        <f>FALSE()</f>
        <v>0</v>
      </c>
      <c r="V1885" s="65">
        <v>403</v>
      </c>
      <c r="W1885" s="67" t="s">
        <v>6882</v>
      </c>
      <c r="X1885" s="65">
        <v>33</v>
      </c>
      <c r="Y1885" s="68">
        <v>57.75</v>
      </c>
      <c r="Z1885" s="65" t="b">
        <f>FALSE()</f>
        <v>0</v>
      </c>
      <c r="AA1885" s="65" t="b">
        <f>TRUE()</f>
        <v>1</v>
      </c>
      <c r="AB1885" s="65" t="b">
        <f>FALSE()</f>
        <v>0</v>
      </c>
      <c r="AC1885" s="65" t="b">
        <f>TRUE()</f>
        <v>1</v>
      </c>
      <c r="AD1885" s="65" t="b">
        <f>FALSE()</f>
        <v>0</v>
      </c>
      <c r="AE1885" s="65">
        <v>2</v>
      </c>
      <c r="AF1885" s="69">
        <v>28.6</v>
      </c>
      <c r="AG1885" s="65" t="s">
        <v>73</v>
      </c>
      <c r="AH1885" s="65" t="s">
        <v>6883</v>
      </c>
      <c r="AI1885">
        <f>IF(AND(OR(Company_Explorer!$B$5="All Companies",$E1885=Company_Explorer!$B$5),OR(Company_Explorer!$B$6="All Platforms",$B1885=Company_Explorer!$B$6),OR(Company_Explorer!$B$7="All Roles",$D1885=Company_Explorer!$B$7),OR(Company_Explorer!$B$8="All Ghost Labels",$AG1885=Company_Explorer!$B$8)),1,0)</f>
        <v>0</v>
      </c>
    </row>
    <row r="1886" spans="1:35" ht="15" customHeight="1" x14ac:dyDescent="0.3">
      <c r="A1886" s="60" t="s">
        <v>6884</v>
      </c>
      <c r="B1886" s="60" t="s">
        <v>81</v>
      </c>
      <c r="C1886" s="60" t="s">
        <v>6885</v>
      </c>
      <c r="D1886" s="60" t="s">
        <v>127</v>
      </c>
      <c r="E1886" s="60" t="s">
        <v>6886</v>
      </c>
      <c r="F1886" s="60" t="b">
        <f>TRUE()</f>
        <v>1</v>
      </c>
      <c r="G1886" s="60" t="s">
        <v>165</v>
      </c>
      <c r="H1886" s="60" t="s">
        <v>3620</v>
      </c>
      <c r="I1886" s="61">
        <v>46207.057961307903</v>
      </c>
      <c r="J1886" s="61">
        <v>46210.283353055602</v>
      </c>
      <c r="K1886" s="60">
        <v>3.2</v>
      </c>
      <c r="L1886" s="60" t="s">
        <v>183</v>
      </c>
      <c r="M1886" s="60" t="s">
        <v>183</v>
      </c>
      <c r="N1886" s="60" t="b">
        <f>FALSE()</f>
        <v>0</v>
      </c>
      <c r="O1886" s="60"/>
      <c r="P1886" s="60"/>
      <c r="Q1886" s="60" t="s">
        <v>236</v>
      </c>
      <c r="R1886" s="60" t="s">
        <v>236</v>
      </c>
      <c r="S1886" s="60"/>
      <c r="T1886" s="60" t="b">
        <f>FALSE()</f>
        <v>0</v>
      </c>
      <c r="U1886" s="60" t="b">
        <f>FALSE()</f>
        <v>0</v>
      </c>
      <c r="V1886" s="60">
        <v>746</v>
      </c>
      <c r="W1886" s="62" t="s">
        <v>6887</v>
      </c>
      <c r="X1886" s="60">
        <v>2</v>
      </c>
      <c r="Y1886" s="63">
        <v>3.5</v>
      </c>
      <c r="Z1886" s="60" t="b">
        <f>FALSE()</f>
        <v>0</v>
      </c>
      <c r="AA1886" s="60" t="b">
        <f>TRUE()</f>
        <v>1</v>
      </c>
      <c r="AB1886" s="60" t="b">
        <f>FALSE()</f>
        <v>0</v>
      </c>
      <c r="AC1886" s="60" t="b">
        <f>TRUE()</f>
        <v>1</v>
      </c>
      <c r="AD1886" s="60" t="b">
        <f>FALSE()</f>
        <v>0</v>
      </c>
      <c r="AE1886" s="60">
        <v>2</v>
      </c>
      <c r="AF1886" s="64">
        <v>28.6</v>
      </c>
      <c r="AG1886" s="60" t="s">
        <v>73</v>
      </c>
      <c r="AH1886" s="60" t="s">
        <v>6888</v>
      </c>
      <c r="AI1886">
        <f>IF(AND(OR(Company_Explorer!$B$5="All Companies",$E1886=Company_Explorer!$B$5),OR(Company_Explorer!$B$6="All Platforms",$B1886=Company_Explorer!$B$6),OR(Company_Explorer!$B$7="All Roles",$D1886=Company_Explorer!$B$7),OR(Company_Explorer!$B$8="All Ghost Labels",$AG1886=Company_Explorer!$B$8)),1,0)</f>
        <v>0</v>
      </c>
    </row>
    <row r="1887" spans="1:35" ht="15" customHeight="1" x14ac:dyDescent="0.3">
      <c r="A1887" s="65" t="s">
        <v>6889</v>
      </c>
      <c r="B1887" s="65" t="s">
        <v>81</v>
      </c>
      <c r="C1887" s="65" t="s">
        <v>6890</v>
      </c>
      <c r="D1887" s="65" t="s">
        <v>126</v>
      </c>
      <c r="E1887" s="65" t="s">
        <v>3726</v>
      </c>
      <c r="F1887" s="65" t="b">
        <f>FALSE()</f>
        <v>0</v>
      </c>
      <c r="G1887" s="65" t="s">
        <v>165</v>
      </c>
      <c r="H1887" s="65" t="s">
        <v>3655</v>
      </c>
      <c r="I1887" s="66">
        <v>46207.149233668999</v>
      </c>
      <c r="J1887" s="66">
        <v>46210.2833529282</v>
      </c>
      <c r="K1887" s="65">
        <v>3.1</v>
      </c>
      <c r="L1887" s="65" t="s">
        <v>183</v>
      </c>
      <c r="M1887" s="65" t="s">
        <v>183</v>
      </c>
      <c r="N1887" s="65" t="b">
        <f>TRUE()</f>
        <v>1</v>
      </c>
      <c r="O1887" s="71">
        <v>7000</v>
      </c>
      <c r="P1887" s="71">
        <v>10000</v>
      </c>
      <c r="Q1887" s="65" t="s">
        <v>3663</v>
      </c>
      <c r="R1887" s="65" t="s">
        <v>6891</v>
      </c>
      <c r="S1887" s="71">
        <v>442000</v>
      </c>
      <c r="T1887" s="65" t="b">
        <f>TRUE()</f>
        <v>1</v>
      </c>
      <c r="U1887" s="65" t="b">
        <f>FALSE()</f>
        <v>0</v>
      </c>
      <c r="V1887" s="65">
        <v>28</v>
      </c>
      <c r="W1887" s="67" t="s">
        <v>6892</v>
      </c>
      <c r="X1887" s="65"/>
      <c r="Y1887" s="68"/>
      <c r="Z1887" s="65" t="b">
        <f>TRUE()</f>
        <v>1</v>
      </c>
      <c r="AA1887" s="65" t="b">
        <f>FALSE()</f>
        <v>0</v>
      </c>
      <c r="AB1887" s="65" t="b">
        <f>TRUE()</f>
        <v>1</v>
      </c>
      <c r="AC1887" s="65" t="b">
        <f>TRUE()</f>
        <v>1</v>
      </c>
      <c r="AD1887" s="65" t="b">
        <f>FALSE()</f>
        <v>0</v>
      </c>
      <c r="AE1887" s="65">
        <v>4</v>
      </c>
      <c r="AF1887" s="69">
        <v>57.1</v>
      </c>
      <c r="AG1887" s="65" t="s">
        <v>72</v>
      </c>
      <c r="AH1887" s="65" t="s">
        <v>6893</v>
      </c>
      <c r="AI1887">
        <f>IF(AND(OR(Company_Explorer!$B$5="All Companies",$E1887=Company_Explorer!$B$5),OR(Company_Explorer!$B$6="All Platforms",$B1887=Company_Explorer!$B$6),OR(Company_Explorer!$B$7="All Roles",$D1887=Company_Explorer!$B$7),OR(Company_Explorer!$B$8="All Ghost Labels",$AG1887=Company_Explorer!$B$8)),1,0)</f>
        <v>0</v>
      </c>
    </row>
    <row r="1888" spans="1:35" ht="15" customHeight="1" x14ac:dyDescent="0.3">
      <c r="A1888" s="60" t="s">
        <v>6894</v>
      </c>
      <c r="B1888" s="60" t="s">
        <v>81</v>
      </c>
      <c r="C1888" s="60" t="s">
        <v>127</v>
      </c>
      <c r="D1888" s="60" t="s">
        <v>127</v>
      </c>
      <c r="E1888" s="60" t="s">
        <v>6886</v>
      </c>
      <c r="F1888" s="60" t="b">
        <f>TRUE()</f>
        <v>1</v>
      </c>
      <c r="G1888" s="60" t="s">
        <v>165</v>
      </c>
      <c r="H1888" s="60" t="s">
        <v>3620</v>
      </c>
      <c r="I1888" s="61">
        <v>46207.057978669</v>
      </c>
      <c r="J1888" s="61">
        <v>46210.283354838</v>
      </c>
      <c r="K1888" s="60">
        <v>3.2</v>
      </c>
      <c r="L1888" s="60" t="s">
        <v>183</v>
      </c>
      <c r="M1888" s="60" t="s">
        <v>183</v>
      </c>
      <c r="N1888" s="60" t="b">
        <f>FALSE()</f>
        <v>0</v>
      </c>
      <c r="O1888" s="60"/>
      <c r="P1888" s="60"/>
      <c r="Q1888" s="60" t="s">
        <v>236</v>
      </c>
      <c r="R1888" s="60" t="s">
        <v>236</v>
      </c>
      <c r="S1888" s="60"/>
      <c r="T1888" s="60" t="b">
        <f>FALSE()</f>
        <v>0</v>
      </c>
      <c r="U1888" s="60" t="b">
        <f>FALSE()</f>
        <v>0</v>
      </c>
      <c r="V1888" s="60">
        <v>745</v>
      </c>
      <c r="W1888" s="62" t="s">
        <v>6895</v>
      </c>
      <c r="X1888" s="60">
        <v>2</v>
      </c>
      <c r="Y1888" s="63">
        <v>3.5</v>
      </c>
      <c r="Z1888" s="60" t="b">
        <f>FALSE()</f>
        <v>0</v>
      </c>
      <c r="AA1888" s="60" t="b">
        <f>TRUE()</f>
        <v>1</v>
      </c>
      <c r="AB1888" s="60" t="b">
        <f>FALSE()</f>
        <v>0</v>
      </c>
      <c r="AC1888" s="60" t="b">
        <f>TRUE()</f>
        <v>1</v>
      </c>
      <c r="AD1888" s="60" t="b">
        <f>FALSE()</f>
        <v>0</v>
      </c>
      <c r="AE1888" s="60">
        <v>2</v>
      </c>
      <c r="AF1888" s="64">
        <v>28.6</v>
      </c>
      <c r="AG1888" s="60" t="s">
        <v>73</v>
      </c>
      <c r="AH1888" s="60" t="s">
        <v>6896</v>
      </c>
      <c r="AI1888">
        <f>IF(AND(OR(Company_Explorer!$B$5="All Companies",$E1888=Company_Explorer!$B$5),OR(Company_Explorer!$B$6="All Platforms",$B1888=Company_Explorer!$B$6),OR(Company_Explorer!$B$7="All Roles",$D1888=Company_Explorer!$B$7),OR(Company_Explorer!$B$8="All Ghost Labels",$AG1888=Company_Explorer!$B$8)),1,0)</f>
        <v>0</v>
      </c>
    </row>
    <row r="1889" spans="1:35" ht="15" customHeight="1" x14ac:dyDescent="0.3">
      <c r="A1889" s="65" t="s">
        <v>6897</v>
      </c>
      <c r="B1889" s="65" t="s">
        <v>81</v>
      </c>
      <c r="C1889" s="65" t="s">
        <v>5828</v>
      </c>
      <c r="D1889" s="65" t="s">
        <v>126</v>
      </c>
      <c r="E1889" s="65" t="s">
        <v>143</v>
      </c>
      <c r="F1889" s="65" t="b">
        <f>TRUE()</f>
        <v>1</v>
      </c>
      <c r="G1889" s="65" t="s">
        <v>165</v>
      </c>
      <c r="H1889" s="65" t="s">
        <v>3620</v>
      </c>
      <c r="I1889" s="66">
        <v>46207.053361747698</v>
      </c>
      <c r="J1889" s="66">
        <v>46210.283355752297</v>
      </c>
      <c r="K1889" s="65">
        <v>3.2</v>
      </c>
      <c r="L1889" s="65" t="s">
        <v>183</v>
      </c>
      <c r="M1889" s="65" t="s">
        <v>183</v>
      </c>
      <c r="N1889" s="65" t="b">
        <f>FALSE()</f>
        <v>0</v>
      </c>
      <c r="O1889" s="65"/>
      <c r="P1889" s="65"/>
      <c r="Q1889" s="65" t="s">
        <v>236</v>
      </c>
      <c r="R1889" s="65" t="s">
        <v>236</v>
      </c>
      <c r="S1889" s="65"/>
      <c r="T1889" s="65" t="b">
        <f>FALSE()</f>
        <v>0</v>
      </c>
      <c r="U1889" s="65" t="b">
        <f>FALSE()</f>
        <v>0</v>
      </c>
      <c r="V1889" s="65">
        <v>316</v>
      </c>
      <c r="W1889" s="67" t="s">
        <v>5829</v>
      </c>
      <c r="X1889" s="65">
        <v>64</v>
      </c>
      <c r="Y1889" s="68">
        <v>112</v>
      </c>
      <c r="Z1889" s="65" t="b">
        <f>FALSE()</f>
        <v>0</v>
      </c>
      <c r="AA1889" s="65" t="b">
        <f>TRUE()</f>
        <v>1</v>
      </c>
      <c r="AB1889" s="65" t="b">
        <f>FALSE()</f>
        <v>0</v>
      </c>
      <c r="AC1889" s="65" t="b">
        <f>TRUE()</f>
        <v>1</v>
      </c>
      <c r="AD1889" s="65" t="b">
        <f>TRUE()</f>
        <v>1</v>
      </c>
      <c r="AE1889" s="65">
        <v>4</v>
      </c>
      <c r="AF1889" s="69">
        <v>57.1</v>
      </c>
      <c r="AG1889" s="65" t="s">
        <v>72</v>
      </c>
      <c r="AH1889" s="65" t="s">
        <v>6898</v>
      </c>
      <c r="AI1889">
        <f>IF(AND(OR(Company_Explorer!$B$5="All Companies",$E1889=Company_Explorer!$B$5),OR(Company_Explorer!$B$6="All Platforms",$B1889=Company_Explorer!$B$6),OR(Company_Explorer!$B$7="All Roles",$D1889=Company_Explorer!$B$7),OR(Company_Explorer!$B$8="All Ghost Labels",$AG1889=Company_Explorer!$B$8)),1,0)</f>
        <v>0</v>
      </c>
    </row>
    <row r="1890" spans="1:35" ht="15" customHeight="1" x14ac:dyDescent="0.3">
      <c r="A1890" s="60" t="s">
        <v>6899</v>
      </c>
      <c r="B1890" s="60" t="s">
        <v>81</v>
      </c>
      <c r="C1890" s="60" t="s">
        <v>6900</v>
      </c>
      <c r="D1890" s="60" t="s">
        <v>126</v>
      </c>
      <c r="E1890" s="60" t="s">
        <v>6901</v>
      </c>
      <c r="F1890" s="60" t="b">
        <f>TRUE()</f>
        <v>1</v>
      </c>
      <c r="G1890" s="60" t="s">
        <v>165</v>
      </c>
      <c r="H1890" s="60" t="s">
        <v>3672</v>
      </c>
      <c r="I1890" s="61">
        <v>46206.656597141198</v>
      </c>
      <c r="J1890" s="61">
        <v>46210.283357141197</v>
      </c>
      <c r="K1890" s="60">
        <v>3.6</v>
      </c>
      <c r="L1890" s="60" t="s">
        <v>183</v>
      </c>
      <c r="M1890" s="60" t="s">
        <v>183</v>
      </c>
      <c r="N1890" s="60" t="b">
        <f>FALSE()</f>
        <v>0</v>
      </c>
      <c r="O1890" s="60"/>
      <c r="P1890" s="60"/>
      <c r="Q1890" s="60" t="s">
        <v>236</v>
      </c>
      <c r="R1890" s="60" t="s">
        <v>236</v>
      </c>
      <c r="S1890" s="60"/>
      <c r="T1890" s="60" t="b">
        <f>FALSE()</f>
        <v>0</v>
      </c>
      <c r="U1890" s="60" t="b">
        <f>FALSE()</f>
        <v>0</v>
      </c>
      <c r="V1890" s="60">
        <v>583</v>
      </c>
      <c r="W1890" s="62" t="s">
        <v>6902</v>
      </c>
      <c r="X1890" s="60">
        <v>2</v>
      </c>
      <c r="Y1890" s="63">
        <v>3.5</v>
      </c>
      <c r="Z1890" s="60" t="b">
        <f>FALSE()</f>
        <v>0</v>
      </c>
      <c r="AA1890" s="60" t="b">
        <f>TRUE()</f>
        <v>1</v>
      </c>
      <c r="AB1890" s="60" t="b">
        <f>FALSE()</f>
        <v>0</v>
      </c>
      <c r="AC1890" s="60" t="b">
        <f>TRUE()</f>
        <v>1</v>
      </c>
      <c r="AD1890" s="60" t="b">
        <f>FALSE()</f>
        <v>0</v>
      </c>
      <c r="AE1890" s="60">
        <v>2</v>
      </c>
      <c r="AF1890" s="64">
        <v>28.6</v>
      </c>
      <c r="AG1890" s="60" t="s">
        <v>73</v>
      </c>
      <c r="AH1890" s="60" t="s">
        <v>6903</v>
      </c>
      <c r="AI1890">
        <f>IF(AND(OR(Company_Explorer!$B$5="All Companies",$E1890=Company_Explorer!$B$5),OR(Company_Explorer!$B$6="All Platforms",$B1890=Company_Explorer!$B$6),OR(Company_Explorer!$B$7="All Roles",$D1890=Company_Explorer!$B$7),OR(Company_Explorer!$B$8="All Ghost Labels",$AG1890=Company_Explorer!$B$8)),1,0)</f>
        <v>0</v>
      </c>
    </row>
    <row r="1891" spans="1:35" ht="15" customHeight="1" x14ac:dyDescent="0.3">
      <c r="A1891" s="65" t="s">
        <v>6904</v>
      </c>
      <c r="B1891" s="65" t="s">
        <v>81</v>
      </c>
      <c r="C1891" s="65" t="s">
        <v>5487</v>
      </c>
      <c r="D1891" s="65" t="s">
        <v>127</v>
      </c>
      <c r="E1891" s="65" t="s">
        <v>6905</v>
      </c>
      <c r="F1891" s="65" t="b">
        <f>TRUE()</f>
        <v>1</v>
      </c>
      <c r="G1891" s="65" t="s">
        <v>165</v>
      </c>
      <c r="H1891" s="65" t="s">
        <v>4442</v>
      </c>
      <c r="I1891" s="66">
        <v>46207.2449360764</v>
      </c>
      <c r="J1891" s="66">
        <v>46210.283358240697</v>
      </c>
      <c r="K1891" s="65">
        <v>3</v>
      </c>
      <c r="L1891" s="65" t="s">
        <v>183</v>
      </c>
      <c r="M1891" s="65" t="s">
        <v>183</v>
      </c>
      <c r="N1891" s="65" t="b">
        <f>TRUE()</f>
        <v>1</v>
      </c>
      <c r="O1891" s="71">
        <v>25000</v>
      </c>
      <c r="P1891" s="71">
        <v>35000</v>
      </c>
      <c r="Q1891" s="65" t="s">
        <v>3663</v>
      </c>
      <c r="R1891" s="65" t="s">
        <v>3664</v>
      </c>
      <c r="S1891" s="71">
        <v>360000</v>
      </c>
      <c r="T1891" s="65" t="b">
        <f>TRUE()</f>
        <v>1</v>
      </c>
      <c r="U1891" s="65" t="b">
        <f>FALSE()</f>
        <v>0</v>
      </c>
      <c r="V1891" s="65">
        <v>469</v>
      </c>
      <c r="W1891" s="67" t="s">
        <v>6906</v>
      </c>
      <c r="X1891" s="65">
        <v>2</v>
      </c>
      <c r="Y1891" s="68">
        <v>3.5</v>
      </c>
      <c r="Z1891" s="65" t="b">
        <f>FALSE()</f>
        <v>0</v>
      </c>
      <c r="AA1891" s="65" t="b">
        <f>FALSE()</f>
        <v>0</v>
      </c>
      <c r="AB1891" s="65" t="b">
        <f>FALSE()</f>
        <v>0</v>
      </c>
      <c r="AC1891" s="65" t="b">
        <f>TRUE()</f>
        <v>1</v>
      </c>
      <c r="AD1891" s="65" t="b">
        <f>FALSE()</f>
        <v>0</v>
      </c>
      <c r="AE1891" s="65">
        <v>1</v>
      </c>
      <c r="AF1891" s="69">
        <v>14.3</v>
      </c>
      <c r="AG1891" s="65" t="s">
        <v>74</v>
      </c>
      <c r="AH1891" s="65" t="s">
        <v>6907</v>
      </c>
      <c r="AI1891">
        <f>IF(AND(OR(Company_Explorer!$B$5="All Companies",$E1891=Company_Explorer!$B$5),OR(Company_Explorer!$B$6="All Platforms",$B1891=Company_Explorer!$B$6),OR(Company_Explorer!$B$7="All Roles",$D1891=Company_Explorer!$B$7),OR(Company_Explorer!$B$8="All Ghost Labels",$AG1891=Company_Explorer!$B$8)),1,0)</f>
        <v>0</v>
      </c>
    </row>
    <row r="1892" spans="1:35" ht="15" customHeight="1" x14ac:dyDescent="0.3">
      <c r="A1892" s="60" t="s">
        <v>6908</v>
      </c>
      <c r="B1892" s="60" t="s">
        <v>81</v>
      </c>
      <c r="C1892" s="60" t="s">
        <v>1811</v>
      </c>
      <c r="D1892" s="60" t="s">
        <v>125</v>
      </c>
      <c r="E1892" s="60" t="s">
        <v>144</v>
      </c>
      <c r="F1892" s="60" t="b">
        <f>TRUE()</f>
        <v>1</v>
      </c>
      <c r="G1892" s="60" t="s">
        <v>165</v>
      </c>
      <c r="H1892" s="60" t="s">
        <v>3655</v>
      </c>
      <c r="I1892" s="61">
        <v>46209.9305808102</v>
      </c>
      <c r="J1892" s="61">
        <v>46210.283359259302</v>
      </c>
      <c r="K1892" s="60">
        <v>0.4</v>
      </c>
      <c r="L1892" s="60" t="s">
        <v>183</v>
      </c>
      <c r="M1892" s="60" t="s">
        <v>183</v>
      </c>
      <c r="N1892" s="60" t="b">
        <f>FALSE()</f>
        <v>0</v>
      </c>
      <c r="O1892" s="60"/>
      <c r="P1892" s="60"/>
      <c r="Q1892" s="60" t="s">
        <v>236</v>
      </c>
      <c r="R1892" s="60" t="s">
        <v>236</v>
      </c>
      <c r="S1892" s="60"/>
      <c r="T1892" s="60" t="b">
        <f>FALSE()</f>
        <v>0</v>
      </c>
      <c r="U1892" s="60" t="b">
        <f>FALSE()</f>
        <v>0</v>
      </c>
      <c r="V1892" s="60">
        <v>135</v>
      </c>
      <c r="W1892" s="62" t="s">
        <v>5853</v>
      </c>
      <c r="X1892" s="60">
        <v>41</v>
      </c>
      <c r="Y1892" s="63">
        <v>71.75</v>
      </c>
      <c r="Z1892" s="60" t="b">
        <f>FALSE()</f>
        <v>0</v>
      </c>
      <c r="AA1892" s="60" t="b">
        <f>TRUE()</f>
        <v>1</v>
      </c>
      <c r="AB1892" s="60" t="b">
        <f>TRUE()</f>
        <v>1</v>
      </c>
      <c r="AC1892" s="60" t="b">
        <f>FALSE()</f>
        <v>0</v>
      </c>
      <c r="AD1892" s="60" t="b">
        <f>FALSE()</f>
        <v>0</v>
      </c>
      <c r="AE1892" s="60">
        <v>2</v>
      </c>
      <c r="AF1892" s="64">
        <v>28.6</v>
      </c>
      <c r="AG1892" s="60" t="s">
        <v>73</v>
      </c>
      <c r="AH1892" s="60" t="s">
        <v>6909</v>
      </c>
      <c r="AI1892">
        <f>IF(AND(OR(Company_Explorer!$B$5="All Companies",$E1892=Company_Explorer!$B$5),OR(Company_Explorer!$B$6="All Platforms",$B1892=Company_Explorer!$B$6),OR(Company_Explorer!$B$7="All Roles",$D1892=Company_Explorer!$B$7),OR(Company_Explorer!$B$8="All Ghost Labels",$AG1892=Company_Explorer!$B$8)),1,0)</f>
        <v>0</v>
      </c>
    </row>
    <row r="1893" spans="1:35" ht="15" customHeight="1" x14ac:dyDescent="0.3">
      <c r="A1893" s="65" t="s">
        <v>6910</v>
      </c>
      <c r="B1893" s="65" t="s">
        <v>81</v>
      </c>
      <c r="C1893" s="65" t="s">
        <v>6911</v>
      </c>
      <c r="D1893" s="65" t="s">
        <v>126</v>
      </c>
      <c r="E1893" s="65" t="s">
        <v>6912</v>
      </c>
      <c r="F1893" s="65" t="b">
        <f>TRUE()</f>
        <v>1</v>
      </c>
      <c r="G1893" s="65" t="s">
        <v>165</v>
      </c>
      <c r="H1893" s="65" t="s">
        <v>3672</v>
      </c>
      <c r="I1893" s="66">
        <v>46207.184773819397</v>
      </c>
      <c r="J1893" s="66">
        <v>46210.283361122703</v>
      </c>
      <c r="K1893" s="65">
        <v>3.1</v>
      </c>
      <c r="L1893" s="65" t="s">
        <v>183</v>
      </c>
      <c r="M1893" s="65" t="s">
        <v>183</v>
      </c>
      <c r="N1893" s="65" t="b">
        <f>TRUE()</f>
        <v>1</v>
      </c>
      <c r="O1893" s="71">
        <v>25000</v>
      </c>
      <c r="P1893" s="71">
        <v>35000</v>
      </c>
      <c r="Q1893" s="65" t="s">
        <v>3663</v>
      </c>
      <c r="R1893" s="65" t="s">
        <v>3664</v>
      </c>
      <c r="S1893" s="71">
        <v>360000</v>
      </c>
      <c r="T1893" s="65" t="b">
        <f>TRUE()</f>
        <v>1</v>
      </c>
      <c r="U1893" s="65" t="b">
        <f>FALSE()</f>
        <v>0</v>
      </c>
      <c r="V1893" s="65">
        <v>366</v>
      </c>
      <c r="W1893" s="67" t="s">
        <v>6913</v>
      </c>
      <c r="X1893" s="65">
        <v>1</v>
      </c>
      <c r="Y1893" s="68">
        <v>1.75</v>
      </c>
      <c r="Z1893" s="65" t="b">
        <f>FALSE()</f>
        <v>0</v>
      </c>
      <c r="AA1893" s="65" t="b">
        <f>FALSE()</f>
        <v>0</v>
      </c>
      <c r="AB1893" s="65" t="b">
        <f>FALSE()</f>
        <v>0</v>
      </c>
      <c r="AC1893" s="65" t="b">
        <f>TRUE()</f>
        <v>1</v>
      </c>
      <c r="AD1893" s="65" t="b">
        <f>FALSE()</f>
        <v>0</v>
      </c>
      <c r="AE1893" s="65">
        <v>1</v>
      </c>
      <c r="AF1893" s="69">
        <v>14.3</v>
      </c>
      <c r="AG1893" s="65" t="s">
        <v>74</v>
      </c>
      <c r="AH1893" s="65" t="s">
        <v>6914</v>
      </c>
      <c r="AI1893">
        <f>IF(AND(OR(Company_Explorer!$B$5="All Companies",$E1893=Company_Explorer!$B$5),OR(Company_Explorer!$B$6="All Platforms",$B1893=Company_Explorer!$B$6),OR(Company_Explorer!$B$7="All Roles",$D1893=Company_Explorer!$B$7),OR(Company_Explorer!$B$8="All Ghost Labels",$AG1893=Company_Explorer!$B$8)),1,0)</f>
        <v>0</v>
      </c>
    </row>
    <row r="1894" spans="1:35" ht="15" customHeight="1" x14ac:dyDescent="0.3">
      <c r="A1894" s="60" t="s">
        <v>6915</v>
      </c>
      <c r="B1894" s="60" t="s">
        <v>81</v>
      </c>
      <c r="C1894" s="60" t="s">
        <v>5582</v>
      </c>
      <c r="D1894" s="60" t="s">
        <v>127</v>
      </c>
      <c r="E1894" s="60" t="s">
        <v>6916</v>
      </c>
      <c r="F1894" s="60" t="b">
        <f>TRUE()</f>
        <v>1</v>
      </c>
      <c r="G1894" s="60" t="s">
        <v>165</v>
      </c>
      <c r="H1894" s="60" t="s">
        <v>3636</v>
      </c>
      <c r="I1894" s="61">
        <v>46207.2586684954</v>
      </c>
      <c r="J1894" s="61">
        <v>46210.283362199101</v>
      </c>
      <c r="K1894" s="60">
        <v>3</v>
      </c>
      <c r="L1894" s="60" t="s">
        <v>183</v>
      </c>
      <c r="M1894" s="60" t="s">
        <v>183</v>
      </c>
      <c r="N1894" s="60" t="b">
        <f>FALSE()</f>
        <v>0</v>
      </c>
      <c r="O1894" s="60"/>
      <c r="P1894" s="60"/>
      <c r="Q1894" s="60" t="s">
        <v>236</v>
      </c>
      <c r="R1894" s="60" t="s">
        <v>236</v>
      </c>
      <c r="S1894" s="60"/>
      <c r="T1894" s="60" t="b">
        <f>FALSE()</f>
        <v>0</v>
      </c>
      <c r="U1894" s="60" t="b">
        <f>FALSE()</f>
        <v>0</v>
      </c>
      <c r="V1894" s="60">
        <v>278</v>
      </c>
      <c r="W1894" s="62" t="s">
        <v>6917</v>
      </c>
      <c r="X1894" s="60">
        <v>1</v>
      </c>
      <c r="Y1894" s="63">
        <v>1.75</v>
      </c>
      <c r="Z1894" s="60" t="b">
        <f>FALSE()</f>
        <v>0</v>
      </c>
      <c r="AA1894" s="60" t="b">
        <f>TRUE()</f>
        <v>1</v>
      </c>
      <c r="AB1894" s="60" t="b">
        <f>TRUE()</f>
        <v>1</v>
      </c>
      <c r="AC1894" s="60" t="b">
        <f>TRUE()</f>
        <v>1</v>
      </c>
      <c r="AD1894" s="60" t="b">
        <f>FALSE()</f>
        <v>0</v>
      </c>
      <c r="AE1894" s="60">
        <v>3</v>
      </c>
      <c r="AF1894" s="64">
        <v>42.9</v>
      </c>
      <c r="AG1894" s="60" t="s">
        <v>73</v>
      </c>
      <c r="AH1894" s="60" t="s">
        <v>6918</v>
      </c>
      <c r="AI1894">
        <f>IF(AND(OR(Company_Explorer!$B$5="All Companies",$E1894=Company_Explorer!$B$5),OR(Company_Explorer!$B$6="All Platforms",$B1894=Company_Explorer!$B$6),OR(Company_Explorer!$B$7="All Roles",$D1894=Company_Explorer!$B$7),OR(Company_Explorer!$B$8="All Ghost Labels",$AG1894=Company_Explorer!$B$8)),1,0)</f>
        <v>0</v>
      </c>
    </row>
    <row r="1895" spans="1:35" ht="15" customHeight="1" x14ac:dyDescent="0.3">
      <c r="A1895" s="65" t="s">
        <v>6919</v>
      </c>
      <c r="B1895" s="65" t="s">
        <v>81</v>
      </c>
      <c r="C1895" s="65" t="s">
        <v>6920</v>
      </c>
      <c r="D1895" s="65" t="s">
        <v>126</v>
      </c>
      <c r="E1895" s="65" t="s">
        <v>4594</v>
      </c>
      <c r="F1895" s="65" t="b">
        <f>TRUE()</f>
        <v>1</v>
      </c>
      <c r="G1895" s="65" t="s">
        <v>165</v>
      </c>
      <c r="H1895" s="65" t="s">
        <v>3636</v>
      </c>
      <c r="I1895" s="66">
        <v>46207.208975057903</v>
      </c>
      <c r="J1895" s="66">
        <v>46210.283363055598</v>
      </c>
      <c r="K1895" s="65">
        <v>3.1</v>
      </c>
      <c r="L1895" s="65" t="s">
        <v>183</v>
      </c>
      <c r="M1895" s="65" t="s">
        <v>183</v>
      </c>
      <c r="N1895" s="65" t="b">
        <f>FALSE()</f>
        <v>0</v>
      </c>
      <c r="O1895" s="65"/>
      <c r="P1895" s="65"/>
      <c r="Q1895" s="65" t="s">
        <v>236</v>
      </c>
      <c r="R1895" s="65" t="s">
        <v>236</v>
      </c>
      <c r="S1895" s="65"/>
      <c r="T1895" s="65" t="b">
        <f>FALSE()</f>
        <v>0</v>
      </c>
      <c r="U1895" s="65" t="b">
        <f>FALSE()</f>
        <v>0</v>
      </c>
      <c r="V1895" s="65">
        <v>844</v>
      </c>
      <c r="W1895" s="67" t="s">
        <v>6921</v>
      </c>
      <c r="X1895" s="65">
        <v>4</v>
      </c>
      <c r="Y1895" s="68">
        <v>7</v>
      </c>
      <c r="Z1895" s="65" t="b">
        <f>FALSE()</f>
        <v>0</v>
      </c>
      <c r="AA1895" s="65" t="b">
        <f>TRUE()</f>
        <v>1</v>
      </c>
      <c r="AB1895" s="65" t="b">
        <f>FALSE()</f>
        <v>0</v>
      </c>
      <c r="AC1895" s="65" t="b">
        <f>TRUE()</f>
        <v>1</v>
      </c>
      <c r="AD1895" s="65" t="b">
        <f>FALSE()</f>
        <v>0</v>
      </c>
      <c r="AE1895" s="65">
        <v>2</v>
      </c>
      <c r="AF1895" s="69">
        <v>28.6</v>
      </c>
      <c r="AG1895" s="65" t="s">
        <v>73</v>
      </c>
      <c r="AH1895" s="65" t="s">
        <v>6922</v>
      </c>
      <c r="AI1895">
        <f>IF(AND(OR(Company_Explorer!$B$5="All Companies",$E1895=Company_Explorer!$B$5),OR(Company_Explorer!$B$6="All Platforms",$B1895=Company_Explorer!$B$6),OR(Company_Explorer!$B$7="All Roles",$D1895=Company_Explorer!$B$7),OR(Company_Explorer!$B$8="All Ghost Labels",$AG1895=Company_Explorer!$B$8)),1,0)</f>
        <v>0</v>
      </c>
    </row>
    <row r="1896" spans="1:35" ht="15" customHeight="1" x14ac:dyDescent="0.3">
      <c r="A1896" s="60" t="s">
        <v>6923</v>
      </c>
      <c r="B1896" s="60" t="s">
        <v>81</v>
      </c>
      <c r="C1896" s="60" t="s">
        <v>5487</v>
      </c>
      <c r="D1896" s="60" t="s">
        <v>127</v>
      </c>
      <c r="E1896" s="60" t="s">
        <v>6905</v>
      </c>
      <c r="F1896" s="60" t="b">
        <f>TRUE()</f>
        <v>1</v>
      </c>
      <c r="G1896" s="60" t="s">
        <v>165</v>
      </c>
      <c r="H1896" s="60" t="s">
        <v>4442</v>
      </c>
      <c r="I1896" s="61">
        <v>46207.250162280099</v>
      </c>
      <c r="J1896" s="61">
        <v>46210.2833639815</v>
      </c>
      <c r="K1896" s="60">
        <v>3</v>
      </c>
      <c r="L1896" s="60" t="s">
        <v>183</v>
      </c>
      <c r="M1896" s="60" t="s">
        <v>183</v>
      </c>
      <c r="N1896" s="60" t="b">
        <f>TRUE()</f>
        <v>1</v>
      </c>
      <c r="O1896" s="70">
        <v>25000</v>
      </c>
      <c r="P1896" s="70">
        <v>35000</v>
      </c>
      <c r="Q1896" s="60" t="s">
        <v>3663</v>
      </c>
      <c r="R1896" s="60" t="s">
        <v>3664</v>
      </c>
      <c r="S1896" s="70">
        <v>360000</v>
      </c>
      <c r="T1896" s="60" t="b">
        <f>TRUE()</f>
        <v>1</v>
      </c>
      <c r="U1896" s="60" t="b">
        <f>FALSE()</f>
        <v>0</v>
      </c>
      <c r="V1896" s="60">
        <v>469</v>
      </c>
      <c r="W1896" s="62" t="s">
        <v>6906</v>
      </c>
      <c r="X1896" s="60">
        <v>2</v>
      </c>
      <c r="Y1896" s="63">
        <v>3.5</v>
      </c>
      <c r="Z1896" s="60" t="b">
        <f>FALSE()</f>
        <v>0</v>
      </c>
      <c r="AA1896" s="60" t="b">
        <f>FALSE()</f>
        <v>0</v>
      </c>
      <c r="AB1896" s="60" t="b">
        <f>FALSE()</f>
        <v>0</v>
      </c>
      <c r="AC1896" s="60" t="b">
        <f>TRUE()</f>
        <v>1</v>
      </c>
      <c r="AD1896" s="60" t="b">
        <f>FALSE()</f>
        <v>0</v>
      </c>
      <c r="AE1896" s="60">
        <v>1</v>
      </c>
      <c r="AF1896" s="64">
        <v>14.3</v>
      </c>
      <c r="AG1896" s="60" t="s">
        <v>74</v>
      </c>
      <c r="AH1896" s="60" t="s">
        <v>6924</v>
      </c>
      <c r="AI1896">
        <f>IF(AND(OR(Company_Explorer!$B$5="All Companies",$E1896=Company_Explorer!$B$5),OR(Company_Explorer!$B$6="All Platforms",$B1896=Company_Explorer!$B$6),OR(Company_Explorer!$B$7="All Roles",$D1896=Company_Explorer!$B$7),OR(Company_Explorer!$B$8="All Ghost Labels",$AG1896=Company_Explorer!$B$8)),1,0)</f>
        <v>0</v>
      </c>
    </row>
    <row r="1897" spans="1:35" ht="15" customHeight="1" x14ac:dyDescent="0.3">
      <c r="A1897" s="65" t="s">
        <v>6925</v>
      </c>
      <c r="B1897" s="65" t="s">
        <v>81</v>
      </c>
      <c r="C1897" s="65" t="s">
        <v>6926</v>
      </c>
      <c r="D1897" s="65" t="s">
        <v>126</v>
      </c>
      <c r="E1897" s="65" t="s">
        <v>4594</v>
      </c>
      <c r="F1897" s="65" t="b">
        <f>TRUE()</f>
        <v>1</v>
      </c>
      <c r="G1897" s="65" t="s">
        <v>165</v>
      </c>
      <c r="H1897" s="65" t="s">
        <v>3636</v>
      </c>
      <c r="I1897" s="66">
        <v>46207.208972627297</v>
      </c>
      <c r="J1897" s="66">
        <v>46210.2833651736</v>
      </c>
      <c r="K1897" s="65">
        <v>3.1</v>
      </c>
      <c r="L1897" s="65" t="s">
        <v>183</v>
      </c>
      <c r="M1897" s="65" t="s">
        <v>183</v>
      </c>
      <c r="N1897" s="65" t="b">
        <f>FALSE()</f>
        <v>0</v>
      </c>
      <c r="O1897" s="65"/>
      <c r="P1897" s="65"/>
      <c r="Q1897" s="65" t="s">
        <v>236</v>
      </c>
      <c r="R1897" s="65" t="s">
        <v>236</v>
      </c>
      <c r="S1897" s="65"/>
      <c r="T1897" s="65" t="b">
        <f>FALSE()</f>
        <v>0</v>
      </c>
      <c r="U1897" s="65" t="b">
        <f>FALSE()</f>
        <v>0</v>
      </c>
      <c r="V1897" s="65">
        <v>840</v>
      </c>
      <c r="W1897" s="67" t="s">
        <v>6927</v>
      </c>
      <c r="X1897" s="65">
        <v>4</v>
      </c>
      <c r="Y1897" s="68">
        <v>7</v>
      </c>
      <c r="Z1897" s="65" t="b">
        <f>FALSE()</f>
        <v>0</v>
      </c>
      <c r="AA1897" s="65" t="b">
        <f>TRUE()</f>
        <v>1</v>
      </c>
      <c r="AB1897" s="65" t="b">
        <f>FALSE()</f>
        <v>0</v>
      </c>
      <c r="AC1897" s="65" t="b">
        <f>TRUE()</f>
        <v>1</v>
      </c>
      <c r="AD1897" s="65" t="b">
        <f>FALSE()</f>
        <v>0</v>
      </c>
      <c r="AE1897" s="65">
        <v>2</v>
      </c>
      <c r="AF1897" s="69">
        <v>28.6</v>
      </c>
      <c r="AG1897" s="65" t="s">
        <v>73</v>
      </c>
      <c r="AH1897" s="65" t="s">
        <v>6928</v>
      </c>
      <c r="AI1897">
        <f>IF(AND(OR(Company_Explorer!$B$5="All Companies",$E1897=Company_Explorer!$B$5),OR(Company_Explorer!$B$6="All Platforms",$B1897=Company_Explorer!$B$6),OR(Company_Explorer!$B$7="All Roles",$D1897=Company_Explorer!$B$7),OR(Company_Explorer!$B$8="All Ghost Labels",$AG1897=Company_Explorer!$B$8)),1,0)</f>
        <v>0</v>
      </c>
    </row>
    <row r="1898" spans="1:35" ht="15" customHeight="1" x14ac:dyDescent="0.3">
      <c r="A1898" s="60" t="s">
        <v>6929</v>
      </c>
      <c r="B1898" s="60" t="s">
        <v>81</v>
      </c>
      <c r="C1898" s="60" t="s">
        <v>6930</v>
      </c>
      <c r="D1898" s="60" t="s">
        <v>126</v>
      </c>
      <c r="E1898" s="60" t="s">
        <v>6901</v>
      </c>
      <c r="F1898" s="60" t="b">
        <f>TRUE()</f>
        <v>1</v>
      </c>
      <c r="G1898" s="60" t="s">
        <v>165</v>
      </c>
      <c r="H1898" s="60" t="s">
        <v>3672</v>
      </c>
      <c r="I1898" s="61">
        <v>46206.656388761599</v>
      </c>
      <c r="J1898" s="61">
        <v>46210.283366145799</v>
      </c>
      <c r="K1898" s="60">
        <v>3.6</v>
      </c>
      <c r="L1898" s="60" t="s">
        <v>183</v>
      </c>
      <c r="M1898" s="60" t="s">
        <v>183</v>
      </c>
      <c r="N1898" s="60" t="b">
        <f>FALSE()</f>
        <v>0</v>
      </c>
      <c r="O1898" s="60"/>
      <c r="P1898" s="60"/>
      <c r="Q1898" s="60" t="s">
        <v>236</v>
      </c>
      <c r="R1898" s="60" t="s">
        <v>236</v>
      </c>
      <c r="S1898" s="60"/>
      <c r="T1898" s="60" t="b">
        <f>FALSE()</f>
        <v>0</v>
      </c>
      <c r="U1898" s="60" t="b">
        <f>FALSE()</f>
        <v>0</v>
      </c>
      <c r="V1898" s="60">
        <v>563</v>
      </c>
      <c r="W1898" s="62" t="s">
        <v>6902</v>
      </c>
      <c r="X1898" s="60">
        <v>2</v>
      </c>
      <c r="Y1898" s="63">
        <v>3.5</v>
      </c>
      <c r="Z1898" s="60" t="b">
        <f>FALSE()</f>
        <v>0</v>
      </c>
      <c r="AA1898" s="60" t="b">
        <f>TRUE()</f>
        <v>1</v>
      </c>
      <c r="AB1898" s="60" t="b">
        <f>FALSE()</f>
        <v>0</v>
      </c>
      <c r="AC1898" s="60" t="b">
        <f>TRUE()</f>
        <v>1</v>
      </c>
      <c r="AD1898" s="60" t="b">
        <f>FALSE()</f>
        <v>0</v>
      </c>
      <c r="AE1898" s="60">
        <v>2</v>
      </c>
      <c r="AF1898" s="64">
        <v>28.6</v>
      </c>
      <c r="AG1898" s="60" t="s">
        <v>73</v>
      </c>
      <c r="AH1898" s="60" t="s">
        <v>6931</v>
      </c>
      <c r="AI1898">
        <f>IF(AND(OR(Company_Explorer!$B$5="All Companies",$E1898=Company_Explorer!$B$5),OR(Company_Explorer!$B$6="All Platforms",$B1898=Company_Explorer!$B$6),OR(Company_Explorer!$B$7="All Roles",$D1898=Company_Explorer!$B$7),OR(Company_Explorer!$B$8="All Ghost Labels",$AG1898=Company_Explorer!$B$8)),1,0)</f>
        <v>0</v>
      </c>
    </row>
    <row r="1899" spans="1:35" ht="15" customHeight="1" x14ac:dyDescent="0.3">
      <c r="A1899" s="65" t="s">
        <v>6932</v>
      </c>
      <c r="B1899" s="65" t="s">
        <v>81</v>
      </c>
      <c r="C1899" s="65" t="s">
        <v>3867</v>
      </c>
      <c r="D1899" s="65" t="s">
        <v>127</v>
      </c>
      <c r="E1899" s="65" t="s">
        <v>6933</v>
      </c>
      <c r="F1899" s="65" t="b">
        <f>TRUE()</f>
        <v>1</v>
      </c>
      <c r="G1899" s="65" t="s">
        <v>165</v>
      </c>
      <c r="H1899" s="65" t="s">
        <v>3702</v>
      </c>
      <c r="I1899" s="66">
        <v>46206.683882245401</v>
      </c>
      <c r="J1899" s="66">
        <v>46210.283367233802</v>
      </c>
      <c r="K1899" s="65">
        <v>3.6</v>
      </c>
      <c r="L1899" s="65" t="s">
        <v>183</v>
      </c>
      <c r="M1899" s="65" t="s">
        <v>183</v>
      </c>
      <c r="N1899" s="65" t="b">
        <f>FALSE()</f>
        <v>0</v>
      </c>
      <c r="O1899" s="65"/>
      <c r="P1899" s="65"/>
      <c r="Q1899" s="65" t="s">
        <v>236</v>
      </c>
      <c r="R1899" s="65" t="s">
        <v>236</v>
      </c>
      <c r="S1899" s="65"/>
      <c r="T1899" s="65" t="b">
        <f>FALSE()</f>
        <v>0</v>
      </c>
      <c r="U1899" s="65" t="b">
        <f>FALSE()</f>
        <v>0</v>
      </c>
      <c r="V1899" s="65">
        <v>1052</v>
      </c>
      <c r="W1899" s="67" t="s">
        <v>6934</v>
      </c>
      <c r="X1899" s="65">
        <v>1</v>
      </c>
      <c r="Y1899" s="68">
        <v>1.75</v>
      </c>
      <c r="Z1899" s="65" t="b">
        <f>FALSE()</f>
        <v>0</v>
      </c>
      <c r="AA1899" s="65" t="b">
        <f>TRUE()</f>
        <v>1</v>
      </c>
      <c r="AB1899" s="65" t="b">
        <f>FALSE()</f>
        <v>0</v>
      </c>
      <c r="AC1899" s="65" t="b">
        <f>TRUE()</f>
        <v>1</v>
      </c>
      <c r="AD1899" s="65" t="b">
        <f>FALSE()</f>
        <v>0</v>
      </c>
      <c r="AE1899" s="65">
        <v>2</v>
      </c>
      <c r="AF1899" s="69">
        <v>28.6</v>
      </c>
      <c r="AG1899" s="65" t="s">
        <v>73</v>
      </c>
      <c r="AH1899" s="65" t="s">
        <v>6935</v>
      </c>
      <c r="AI1899">
        <f>IF(AND(OR(Company_Explorer!$B$5="All Companies",$E1899=Company_Explorer!$B$5),OR(Company_Explorer!$B$6="All Platforms",$B1899=Company_Explorer!$B$6),OR(Company_Explorer!$B$7="All Roles",$D1899=Company_Explorer!$B$7),OR(Company_Explorer!$B$8="All Ghost Labels",$AG1899=Company_Explorer!$B$8)),1,0)</f>
        <v>0</v>
      </c>
    </row>
    <row r="1900" spans="1:35" ht="15" customHeight="1" x14ac:dyDescent="0.3">
      <c r="A1900" s="60" t="s">
        <v>6936</v>
      </c>
      <c r="B1900" s="60" t="s">
        <v>81</v>
      </c>
      <c r="C1900" s="60" t="s">
        <v>6937</v>
      </c>
      <c r="D1900" s="60" t="s">
        <v>127</v>
      </c>
      <c r="E1900" s="60" t="s">
        <v>6938</v>
      </c>
      <c r="F1900" s="60" t="b">
        <f>TRUE()</f>
        <v>1</v>
      </c>
      <c r="G1900" s="60" t="s">
        <v>165</v>
      </c>
      <c r="H1900" s="60" t="s">
        <v>3672</v>
      </c>
      <c r="I1900" s="61">
        <v>46207.237754618101</v>
      </c>
      <c r="J1900" s="61">
        <v>46210.283368124998</v>
      </c>
      <c r="K1900" s="60">
        <v>3</v>
      </c>
      <c r="L1900" s="60" t="s">
        <v>183</v>
      </c>
      <c r="M1900" s="60" t="s">
        <v>183</v>
      </c>
      <c r="N1900" s="60" t="b">
        <f>FALSE()</f>
        <v>0</v>
      </c>
      <c r="O1900" s="60"/>
      <c r="P1900" s="60"/>
      <c r="Q1900" s="60" t="s">
        <v>3663</v>
      </c>
      <c r="R1900" s="60" t="s">
        <v>3664</v>
      </c>
      <c r="S1900" s="60"/>
      <c r="T1900" s="60" t="b">
        <f>FALSE()</f>
        <v>0</v>
      </c>
      <c r="U1900" s="60" t="b">
        <f>FALSE()</f>
        <v>0</v>
      </c>
      <c r="V1900" s="60">
        <v>273</v>
      </c>
      <c r="W1900" s="62" t="s">
        <v>6939</v>
      </c>
      <c r="X1900" s="60">
        <v>1</v>
      </c>
      <c r="Y1900" s="63">
        <v>1.75</v>
      </c>
      <c r="Z1900" s="60" t="b">
        <f>FALSE()</f>
        <v>0</v>
      </c>
      <c r="AA1900" s="60" t="b">
        <f>TRUE()</f>
        <v>1</v>
      </c>
      <c r="AB1900" s="60" t="b">
        <f>TRUE()</f>
        <v>1</v>
      </c>
      <c r="AC1900" s="60" t="b">
        <f>TRUE()</f>
        <v>1</v>
      </c>
      <c r="AD1900" s="60" t="b">
        <f>FALSE()</f>
        <v>0</v>
      </c>
      <c r="AE1900" s="60">
        <v>3</v>
      </c>
      <c r="AF1900" s="64">
        <v>42.9</v>
      </c>
      <c r="AG1900" s="60" t="s">
        <v>73</v>
      </c>
      <c r="AH1900" s="60" t="s">
        <v>6940</v>
      </c>
      <c r="AI1900">
        <f>IF(AND(OR(Company_Explorer!$B$5="All Companies",$E1900=Company_Explorer!$B$5),OR(Company_Explorer!$B$6="All Platforms",$B1900=Company_Explorer!$B$6),OR(Company_Explorer!$B$7="All Roles",$D1900=Company_Explorer!$B$7),OR(Company_Explorer!$B$8="All Ghost Labels",$AG1900=Company_Explorer!$B$8)),1,0)</f>
        <v>0</v>
      </c>
    </row>
    <row r="1901" spans="1:35" ht="15" customHeight="1" x14ac:dyDescent="0.3">
      <c r="A1901" s="65" t="s">
        <v>6941</v>
      </c>
      <c r="B1901" s="65" t="s">
        <v>81</v>
      </c>
      <c r="C1901" s="65" t="s">
        <v>6717</v>
      </c>
      <c r="D1901" s="65" t="s">
        <v>126</v>
      </c>
      <c r="E1901" s="65" t="s">
        <v>142</v>
      </c>
      <c r="F1901" s="65" t="b">
        <f>TRUE()</f>
        <v>1</v>
      </c>
      <c r="G1901" s="65" t="s">
        <v>165</v>
      </c>
      <c r="H1901" s="65" t="s">
        <v>3672</v>
      </c>
      <c r="I1901" s="66">
        <v>46207.263509213</v>
      </c>
      <c r="J1901" s="66">
        <v>46210.283369224497</v>
      </c>
      <c r="K1901" s="65">
        <v>3</v>
      </c>
      <c r="L1901" s="65" t="s">
        <v>183</v>
      </c>
      <c r="M1901" s="65" t="s">
        <v>183</v>
      </c>
      <c r="N1901" s="65" t="b">
        <f>FALSE()</f>
        <v>0</v>
      </c>
      <c r="O1901" s="65"/>
      <c r="P1901" s="65"/>
      <c r="Q1901" s="65" t="s">
        <v>236</v>
      </c>
      <c r="R1901" s="65" t="s">
        <v>236</v>
      </c>
      <c r="S1901" s="65"/>
      <c r="T1901" s="65" t="b">
        <f>FALSE()</f>
        <v>0</v>
      </c>
      <c r="U1901" s="65" t="b">
        <f>FALSE()</f>
        <v>0</v>
      </c>
      <c r="V1901" s="65">
        <v>447</v>
      </c>
      <c r="W1901" s="67" t="s">
        <v>6718</v>
      </c>
      <c r="X1901" s="65">
        <v>81</v>
      </c>
      <c r="Y1901" s="68">
        <v>141.75</v>
      </c>
      <c r="Z1901" s="65" t="b">
        <f>FALSE()</f>
        <v>0</v>
      </c>
      <c r="AA1901" s="65" t="b">
        <f>TRUE()</f>
        <v>1</v>
      </c>
      <c r="AB1901" s="65" t="b">
        <f>FALSE()</f>
        <v>0</v>
      </c>
      <c r="AC1901" s="65" t="b">
        <f>TRUE()</f>
        <v>1</v>
      </c>
      <c r="AD1901" s="65" t="b">
        <f>TRUE()</f>
        <v>1</v>
      </c>
      <c r="AE1901" s="65">
        <v>4</v>
      </c>
      <c r="AF1901" s="69">
        <v>57.1</v>
      </c>
      <c r="AG1901" s="65" t="s">
        <v>72</v>
      </c>
      <c r="AH1901" s="65" t="s">
        <v>6942</v>
      </c>
      <c r="AI1901">
        <f>IF(AND(OR(Company_Explorer!$B$5="All Companies",$E1901=Company_Explorer!$B$5),OR(Company_Explorer!$B$6="All Platforms",$B1901=Company_Explorer!$B$6),OR(Company_Explorer!$B$7="All Roles",$D1901=Company_Explorer!$B$7),OR(Company_Explorer!$B$8="All Ghost Labels",$AG1901=Company_Explorer!$B$8)),1,0)</f>
        <v>0</v>
      </c>
    </row>
    <row r="1902" spans="1:35" ht="15" customHeight="1" x14ac:dyDescent="0.3">
      <c r="A1902" s="60" t="s">
        <v>6943</v>
      </c>
      <c r="B1902" s="60" t="s">
        <v>81</v>
      </c>
      <c r="C1902" s="60" t="s">
        <v>5832</v>
      </c>
      <c r="D1902" s="60" t="s">
        <v>126</v>
      </c>
      <c r="E1902" s="60" t="s">
        <v>5483</v>
      </c>
      <c r="F1902" s="60" t="b">
        <f>TRUE()</f>
        <v>1</v>
      </c>
      <c r="G1902" s="60" t="s">
        <v>165</v>
      </c>
      <c r="H1902" s="60" t="s">
        <v>3672</v>
      </c>
      <c r="I1902" s="61">
        <v>46207.035060868096</v>
      </c>
      <c r="J1902" s="61">
        <v>46210.283370717603</v>
      </c>
      <c r="K1902" s="60">
        <v>3.2</v>
      </c>
      <c r="L1902" s="60" t="s">
        <v>183</v>
      </c>
      <c r="M1902" s="60" t="s">
        <v>183</v>
      </c>
      <c r="N1902" s="60" t="b">
        <f>FALSE()</f>
        <v>0</v>
      </c>
      <c r="O1902" s="60"/>
      <c r="P1902" s="60"/>
      <c r="Q1902" s="60" t="s">
        <v>236</v>
      </c>
      <c r="R1902" s="60" t="s">
        <v>236</v>
      </c>
      <c r="S1902" s="60"/>
      <c r="T1902" s="60" t="b">
        <f>FALSE()</f>
        <v>0</v>
      </c>
      <c r="U1902" s="60" t="b">
        <f>FALSE()</f>
        <v>0</v>
      </c>
      <c r="V1902" s="60">
        <v>286</v>
      </c>
      <c r="W1902" s="62" t="s">
        <v>6944</v>
      </c>
      <c r="X1902" s="60">
        <v>3</v>
      </c>
      <c r="Y1902" s="63">
        <v>5.25</v>
      </c>
      <c r="Z1902" s="60" t="b">
        <f>FALSE()</f>
        <v>0</v>
      </c>
      <c r="AA1902" s="60" t="b">
        <f>TRUE()</f>
        <v>1</v>
      </c>
      <c r="AB1902" s="60" t="b">
        <f>TRUE()</f>
        <v>1</v>
      </c>
      <c r="AC1902" s="60" t="b">
        <f>TRUE()</f>
        <v>1</v>
      </c>
      <c r="AD1902" s="60" t="b">
        <f>FALSE()</f>
        <v>0</v>
      </c>
      <c r="AE1902" s="60">
        <v>3</v>
      </c>
      <c r="AF1902" s="64">
        <v>42.9</v>
      </c>
      <c r="AG1902" s="60" t="s">
        <v>73</v>
      </c>
      <c r="AH1902" s="60" t="s">
        <v>6945</v>
      </c>
      <c r="AI1902">
        <f>IF(AND(OR(Company_Explorer!$B$5="All Companies",$E1902=Company_Explorer!$B$5),OR(Company_Explorer!$B$6="All Platforms",$B1902=Company_Explorer!$B$6),OR(Company_Explorer!$B$7="All Roles",$D1902=Company_Explorer!$B$7),OR(Company_Explorer!$B$8="All Ghost Labels",$AG1902=Company_Explorer!$B$8)),1,0)</f>
        <v>0</v>
      </c>
    </row>
    <row r="1903" spans="1:35" ht="15" customHeight="1" x14ac:dyDescent="0.3">
      <c r="A1903" s="65" t="s">
        <v>6946</v>
      </c>
      <c r="B1903" s="65" t="s">
        <v>81</v>
      </c>
      <c r="C1903" s="65" t="s">
        <v>6947</v>
      </c>
      <c r="D1903" s="65" t="s">
        <v>126</v>
      </c>
      <c r="E1903" s="65" t="s">
        <v>149</v>
      </c>
      <c r="F1903" s="65" t="b">
        <f>TRUE()</f>
        <v>1</v>
      </c>
      <c r="G1903" s="65" t="s">
        <v>165</v>
      </c>
      <c r="H1903" s="65" t="s">
        <v>3702</v>
      </c>
      <c r="I1903" s="66">
        <v>46206.624327916703</v>
      </c>
      <c r="J1903" s="66">
        <v>46210.283371666701</v>
      </c>
      <c r="K1903" s="65">
        <v>3.7</v>
      </c>
      <c r="L1903" s="65" t="s">
        <v>183</v>
      </c>
      <c r="M1903" s="65" t="s">
        <v>183</v>
      </c>
      <c r="N1903" s="65" t="b">
        <f>FALSE()</f>
        <v>0</v>
      </c>
      <c r="O1903" s="65"/>
      <c r="P1903" s="65"/>
      <c r="Q1903" s="65" t="s">
        <v>236</v>
      </c>
      <c r="R1903" s="65" t="s">
        <v>236</v>
      </c>
      <c r="S1903" s="65"/>
      <c r="T1903" s="65" t="b">
        <f>FALSE()</f>
        <v>0</v>
      </c>
      <c r="U1903" s="65" t="b">
        <f>FALSE()</f>
        <v>0</v>
      </c>
      <c r="V1903" s="65">
        <v>711</v>
      </c>
      <c r="W1903" s="67" t="s">
        <v>3698</v>
      </c>
      <c r="X1903" s="65">
        <v>16</v>
      </c>
      <c r="Y1903" s="68">
        <v>28</v>
      </c>
      <c r="Z1903" s="65" t="b">
        <f>FALSE()</f>
        <v>0</v>
      </c>
      <c r="AA1903" s="65" t="b">
        <f>TRUE()</f>
        <v>1</v>
      </c>
      <c r="AB1903" s="65" t="b">
        <f>FALSE()</f>
        <v>0</v>
      </c>
      <c r="AC1903" s="65" t="b">
        <f>TRUE()</f>
        <v>1</v>
      </c>
      <c r="AD1903" s="65" t="b">
        <f>FALSE()</f>
        <v>0</v>
      </c>
      <c r="AE1903" s="65">
        <v>2</v>
      </c>
      <c r="AF1903" s="69">
        <v>28.6</v>
      </c>
      <c r="AG1903" s="65" t="s">
        <v>73</v>
      </c>
      <c r="AH1903" s="65" t="s">
        <v>6948</v>
      </c>
      <c r="AI1903">
        <f>IF(AND(OR(Company_Explorer!$B$5="All Companies",$E1903=Company_Explorer!$B$5),OR(Company_Explorer!$B$6="All Platforms",$B1903=Company_Explorer!$B$6),OR(Company_Explorer!$B$7="All Roles",$D1903=Company_Explorer!$B$7),OR(Company_Explorer!$B$8="All Ghost Labels",$AG1903=Company_Explorer!$B$8)),1,0)</f>
        <v>0</v>
      </c>
    </row>
    <row r="1904" spans="1:35" ht="15" customHeight="1" x14ac:dyDescent="0.3">
      <c r="A1904" s="60" t="s">
        <v>6949</v>
      </c>
      <c r="B1904" s="60" t="s">
        <v>81</v>
      </c>
      <c r="C1904" s="60" t="s">
        <v>6950</v>
      </c>
      <c r="D1904" s="60" t="s">
        <v>126</v>
      </c>
      <c r="E1904" s="60" t="s">
        <v>341</v>
      </c>
      <c r="F1904" s="60" t="b">
        <f>TRUE()</f>
        <v>1</v>
      </c>
      <c r="G1904" s="60" t="s">
        <v>165</v>
      </c>
      <c r="H1904" s="60" t="s">
        <v>3636</v>
      </c>
      <c r="I1904" s="61">
        <v>46206.601586284698</v>
      </c>
      <c r="J1904" s="61">
        <v>46210.283372754602</v>
      </c>
      <c r="K1904" s="60">
        <v>3.7</v>
      </c>
      <c r="L1904" s="60" t="s">
        <v>183</v>
      </c>
      <c r="M1904" s="60" t="s">
        <v>183</v>
      </c>
      <c r="N1904" s="60" t="b">
        <f>FALSE()</f>
        <v>0</v>
      </c>
      <c r="O1904" s="60"/>
      <c r="P1904" s="60"/>
      <c r="Q1904" s="60" t="s">
        <v>236</v>
      </c>
      <c r="R1904" s="60" t="s">
        <v>236</v>
      </c>
      <c r="S1904" s="60"/>
      <c r="T1904" s="60" t="b">
        <f>FALSE()</f>
        <v>0</v>
      </c>
      <c r="U1904" s="60" t="b">
        <f>FALSE()</f>
        <v>0</v>
      </c>
      <c r="V1904" s="60">
        <v>365</v>
      </c>
      <c r="W1904" s="62" t="s">
        <v>6951</v>
      </c>
      <c r="X1904" s="60">
        <v>3</v>
      </c>
      <c r="Y1904" s="63">
        <v>5.25</v>
      </c>
      <c r="Z1904" s="60" t="b">
        <f>FALSE()</f>
        <v>0</v>
      </c>
      <c r="AA1904" s="60" t="b">
        <f>TRUE()</f>
        <v>1</v>
      </c>
      <c r="AB1904" s="60" t="b">
        <f>FALSE()</f>
        <v>0</v>
      </c>
      <c r="AC1904" s="60" t="b">
        <f>TRUE()</f>
        <v>1</v>
      </c>
      <c r="AD1904" s="60" t="b">
        <f>FALSE()</f>
        <v>0</v>
      </c>
      <c r="AE1904" s="60">
        <v>2</v>
      </c>
      <c r="AF1904" s="64">
        <v>28.6</v>
      </c>
      <c r="AG1904" s="60" t="s">
        <v>73</v>
      </c>
      <c r="AH1904" s="60" t="s">
        <v>6952</v>
      </c>
      <c r="AI1904">
        <f>IF(AND(OR(Company_Explorer!$B$5="All Companies",$E1904=Company_Explorer!$B$5),OR(Company_Explorer!$B$6="All Platforms",$B1904=Company_Explorer!$B$6),OR(Company_Explorer!$B$7="All Roles",$D1904=Company_Explorer!$B$7),OR(Company_Explorer!$B$8="All Ghost Labels",$AG1904=Company_Explorer!$B$8)),1,0)</f>
        <v>0</v>
      </c>
    </row>
    <row r="1905" spans="1:35" ht="15" customHeight="1" x14ac:dyDescent="0.3">
      <c r="A1905" s="65" t="s">
        <v>6953</v>
      </c>
      <c r="B1905" s="65" t="s">
        <v>81</v>
      </c>
      <c r="C1905" s="65" t="s">
        <v>6954</v>
      </c>
      <c r="D1905" s="65" t="s">
        <v>126</v>
      </c>
      <c r="E1905" s="65" t="s">
        <v>143</v>
      </c>
      <c r="F1905" s="65" t="b">
        <f>TRUE()</f>
        <v>1</v>
      </c>
      <c r="G1905" s="65" t="s">
        <v>165</v>
      </c>
      <c r="H1905" s="65" t="s">
        <v>3702</v>
      </c>
      <c r="I1905" s="66">
        <v>46207.053383993101</v>
      </c>
      <c r="J1905" s="66">
        <v>46210.283374583298</v>
      </c>
      <c r="K1905" s="65">
        <v>3.2</v>
      </c>
      <c r="L1905" s="65" t="s">
        <v>183</v>
      </c>
      <c r="M1905" s="65" t="s">
        <v>183</v>
      </c>
      <c r="N1905" s="65" t="b">
        <f>FALSE()</f>
        <v>0</v>
      </c>
      <c r="O1905" s="65"/>
      <c r="P1905" s="65"/>
      <c r="Q1905" s="65" t="s">
        <v>236</v>
      </c>
      <c r="R1905" s="65" t="s">
        <v>236</v>
      </c>
      <c r="S1905" s="65"/>
      <c r="T1905" s="65" t="b">
        <f>FALSE()</f>
        <v>0</v>
      </c>
      <c r="U1905" s="65" t="b">
        <f>FALSE()</f>
        <v>0</v>
      </c>
      <c r="V1905" s="65">
        <v>466</v>
      </c>
      <c r="W1905" s="67" t="s">
        <v>6955</v>
      </c>
      <c r="X1905" s="65">
        <v>64</v>
      </c>
      <c r="Y1905" s="68">
        <v>112</v>
      </c>
      <c r="Z1905" s="65" t="b">
        <f>FALSE()</f>
        <v>0</v>
      </c>
      <c r="AA1905" s="65" t="b">
        <f>TRUE()</f>
        <v>1</v>
      </c>
      <c r="AB1905" s="65" t="b">
        <f>FALSE()</f>
        <v>0</v>
      </c>
      <c r="AC1905" s="65" t="b">
        <f>TRUE()</f>
        <v>1</v>
      </c>
      <c r="AD1905" s="65" t="b">
        <f>TRUE()</f>
        <v>1</v>
      </c>
      <c r="AE1905" s="65">
        <v>4</v>
      </c>
      <c r="AF1905" s="69">
        <v>57.1</v>
      </c>
      <c r="AG1905" s="65" t="s">
        <v>72</v>
      </c>
      <c r="AH1905" s="65" t="s">
        <v>6956</v>
      </c>
      <c r="AI1905">
        <f>IF(AND(OR(Company_Explorer!$B$5="All Companies",$E1905=Company_Explorer!$B$5),OR(Company_Explorer!$B$6="All Platforms",$B1905=Company_Explorer!$B$6),OR(Company_Explorer!$B$7="All Roles",$D1905=Company_Explorer!$B$7),OR(Company_Explorer!$B$8="All Ghost Labels",$AG1905=Company_Explorer!$B$8)),1,0)</f>
        <v>0</v>
      </c>
    </row>
    <row r="1906" spans="1:35" ht="15" customHeight="1" x14ac:dyDescent="0.3">
      <c r="A1906" s="60" t="s">
        <v>6957</v>
      </c>
      <c r="B1906" s="60" t="s">
        <v>81</v>
      </c>
      <c r="C1906" s="60" t="s">
        <v>6958</v>
      </c>
      <c r="D1906" s="60" t="s">
        <v>127</v>
      </c>
      <c r="E1906" s="60" t="s">
        <v>5058</v>
      </c>
      <c r="F1906" s="60" t="b">
        <f>TRUE()</f>
        <v>1</v>
      </c>
      <c r="G1906" s="60" t="s">
        <v>165</v>
      </c>
      <c r="H1906" s="60" t="s">
        <v>3620</v>
      </c>
      <c r="I1906" s="61">
        <v>46208.001679259301</v>
      </c>
      <c r="J1906" s="61">
        <v>46210.283375497696</v>
      </c>
      <c r="K1906" s="60">
        <v>2.2999999999999998</v>
      </c>
      <c r="L1906" s="60" t="s">
        <v>183</v>
      </c>
      <c r="M1906" s="60" t="s">
        <v>183</v>
      </c>
      <c r="N1906" s="60" t="b">
        <f>FALSE()</f>
        <v>0</v>
      </c>
      <c r="O1906" s="60"/>
      <c r="P1906" s="60"/>
      <c r="Q1906" s="60" t="s">
        <v>236</v>
      </c>
      <c r="R1906" s="60" t="s">
        <v>236</v>
      </c>
      <c r="S1906" s="60"/>
      <c r="T1906" s="60" t="b">
        <f>FALSE()</f>
        <v>0</v>
      </c>
      <c r="U1906" s="60" t="b">
        <f>FALSE()</f>
        <v>0</v>
      </c>
      <c r="V1906" s="60">
        <v>260</v>
      </c>
      <c r="W1906" s="62" t="s">
        <v>6959</v>
      </c>
      <c r="X1906" s="60">
        <v>12</v>
      </c>
      <c r="Y1906" s="63">
        <v>21</v>
      </c>
      <c r="Z1906" s="60" t="b">
        <f>FALSE()</f>
        <v>0</v>
      </c>
      <c r="AA1906" s="60" t="b">
        <f>TRUE()</f>
        <v>1</v>
      </c>
      <c r="AB1906" s="60" t="b">
        <f>TRUE()</f>
        <v>1</v>
      </c>
      <c r="AC1906" s="60" t="b">
        <f>TRUE()</f>
        <v>1</v>
      </c>
      <c r="AD1906" s="60" t="b">
        <f>FALSE()</f>
        <v>0</v>
      </c>
      <c r="AE1906" s="60">
        <v>3</v>
      </c>
      <c r="AF1906" s="64">
        <v>42.9</v>
      </c>
      <c r="AG1906" s="60" t="s">
        <v>73</v>
      </c>
      <c r="AH1906" s="60" t="s">
        <v>6960</v>
      </c>
      <c r="AI1906">
        <f>IF(AND(OR(Company_Explorer!$B$5="All Companies",$E1906=Company_Explorer!$B$5),OR(Company_Explorer!$B$6="All Platforms",$B1906=Company_Explorer!$B$6),OR(Company_Explorer!$B$7="All Roles",$D1906=Company_Explorer!$B$7),OR(Company_Explorer!$B$8="All Ghost Labels",$AG1906=Company_Explorer!$B$8)),1,0)</f>
        <v>0</v>
      </c>
    </row>
    <row r="1907" spans="1:35" ht="15" customHeight="1" x14ac:dyDescent="0.3">
      <c r="A1907" s="65" t="s">
        <v>6961</v>
      </c>
      <c r="B1907" s="65" t="s">
        <v>81</v>
      </c>
      <c r="C1907" s="65" t="s">
        <v>6962</v>
      </c>
      <c r="D1907" s="65" t="s">
        <v>133</v>
      </c>
      <c r="E1907" s="65" t="s">
        <v>149</v>
      </c>
      <c r="F1907" s="65" t="b">
        <f>TRUE()</f>
        <v>1</v>
      </c>
      <c r="G1907" s="65" t="s">
        <v>165</v>
      </c>
      <c r="H1907" s="65" t="s">
        <v>3702</v>
      </c>
      <c r="I1907" s="66">
        <v>46206.624320555602</v>
      </c>
      <c r="J1907" s="66">
        <v>46210.283376550899</v>
      </c>
      <c r="K1907" s="65">
        <v>3.7</v>
      </c>
      <c r="L1907" s="65" t="s">
        <v>183</v>
      </c>
      <c r="M1907" s="65" t="s">
        <v>183</v>
      </c>
      <c r="N1907" s="65" t="b">
        <f>FALSE()</f>
        <v>0</v>
      </c>
      <c r="O1907" s="65"/>
      <c r="P1907" s="65"/>
      <c r="Q1907" s="65" t="s">
        <v>236</v>
      </c>
      <c r="R1907" s="65" t="s">
        <v>236</v>
      </c>
      <c r="S1907" s="65"/>
      <c r="T1907" s="65" t="b">
        <f>FALSE()</f>
        <v>0</v>
      </c>
      <c r="U1907" s="65" t="b">
        <f>FALSE()</f>
        <v>0</v>
      </c>
      <c r="V1907" s="65">
        <v>811</v>
      </c>
      <c r="W1907" s="67" t="s">
        <v>3698</v>
      </c>
      <c r="X1907" s="65">
        <v>16</v>
      </c>
      <c r="Y1907" s="68">
        <v>28</v>
      </c>
      <c r="Z1907" s="65" t="b">
        <f>FALSE()</f>
        <v>0</v>
      </c>
      <c r="AA1907" s="65" t="b">
        <f>TRUE()</f>
        <v>1</v>
      </c>
      <c r="AB1907" s="65" t="b">
        <f>FALSE()</f>
        <v>0</v>
      </c>
      <c r="AC1907" s="65" t="b">
        <f>TRUE()</f>
        <v>1</v>
      </c>
      <c r="AD1907" s="65" t="b">
        <f>FALSE()</f>
        <v>0</v>
      </c>
      <c r="AE1907" s="65">
        <v>2</v>
      </c>
      <c r="AF1907" s="69">
        <v>28.6</v>
      </c>
      <c r="AG1907" s="65" t="s">
        <v>73</v>
      </c>
      <c r="AH1907" s="65" t="s">
        <v>6963</v>
      </c>
      <c r="AI1907">
        <f>IF(AND(OR(Company_Explorer!$B$5="All Companies",$E1907=Company_Explorer!$B$5),OR(Company_Explorer!$B$6="All Platforms",$B1907=Company_Explorer!$B$6),OR(Company_Explorer!$B$7="All Roles",$D1907=Company_Explorer!$B$7),OR(Company_Explorer!$B$8="All Ghost Labels",$AG1907=Company_Explorer!$B$8)),1,0)</f>
        <v>0</v>
      </c>
    </row>
    <row r="1908" spans="1:35" ht="15" customHeight="1" x14ac:dyDescent="0.3">
      <c r="A1908" s="60" t="s">
        <v>6964</v>
      </c>
      <c r="B1908" s="60" t="s">
        <v>81</v>
      </c>
      <c r="C1908" s="60" t="s">
        <v>6965</v>
      </c>
      <c r="D1908" s="60" t="s">
        <v>126</v>
      </c>
      <c r="E1908" s="60" t="s">
        <v>149</v>
      </c>
      <c r="F1908" s="60" t="b">
        <f>TRUE()</f>
        <v>1</v>
      </c>
      <c r="G1908" s="60" t="s">
        <v>165</v>
      </c>
      <c r="H1908" s="60" t="s">
        <v>3655</v>
      </c>
      <c r="I1908" s="61">
        <v>46206.624246921303</v>
      </c>
      <c r="J1908" s="61">
        <v>46210.283377696796</v>
      </c>
      <c r="K1908" s="60">
        <v>3.7</v>
      </c>
      <c r="L1908" s="60" t="s">
        <v>183</v>
      </c>
      <c r="M1908" s="60" t="s">
        <v>183</v>
      </c>
      <c r="N1908" s="60" t="b">
        <f>FALSE()</f>
        <v>0</v>
      </c>
      <c r="O1908" s="60"/>
      <c r="P1908" s="60"/>
      <c r="Q1908" s="60" t="s">
        <v>236</v>
      </c>
      <c r="R1908" s="60" t="s">
        <v>236</v>
      </c>
      <c r="S1908" s="60"/>
      <c r="T1908" s="60" t="b">
        <f>FALSE()</f>
        <v>0</v>
      </c>
      <c r="U1908" s="60" t="b">
        <f>FALSE()</f>
        <v>0</v>
      </c>
      <c r="V1908" s="60">
        <v>1007</v>
      </c>
      <c r="W1908" s="62" t="s">
        <v>3698</v>
      </c>
      <c r="X1908" s="60">
        <v>16</v>
      </c>
      <c r="Y1908" s="63">
        <v>28</v>
      </c>
      <c r="Z1908" s="60" t="b">
        <f>FALSE()</f>
        <v>0</v>
      </c>
      <c r="AA1908" s="60" t="b">
        <f>TRUE()</f>
        <v>1</v>
      </c>
      <c r="AB1908" s="60" t="b">
        <f>FALSE()</f>
        <v>0</v>
      </c>
      <c r="AC1908" s="60" t="b">
        <f>TRUE()</f>
        <v>1</v>
      </c>
      <c r="AD1908" s="60" t="b">
        <f>FALSE()</f>
        <v>0</v>
      </c>
      <c r="AE1908" s="60">
        <v>2</v>
      </c>
      <c r="AF1908" s="64">
        <v>28.6</v>
      </c>
      <c r="AG1908" s="60" t="s">
        <v>73</v>
      </c>
      <c r="AH1908" s="60" t="s">
        <v>6966</v>
      </c>
      <c r="AI1908">
        <f>IF(AND(OR(Company_Explorer!$B$5="All Companies",$E1908=Company_Explorer!$B$5),OR(Company_Explorer!$B$6="All Platforms",$B1908=Company_Explorer!$B$6),OR(Company_Explorer!$B$7="All Roles",$D1908=Company_Explorer!$B$7),OR(Company_Explorer!$B$8="All Ghost Labels",$AG1908=Company_Explorer!$B$8)),1,0)</f>
        <v>0</v>
      </c>
    </row>
    <row r="1909" spans="1:35" ht="15" customHeight="1" x14ac:dyDescent="0.3">
      <c r="A1909" s="65" t="s">
        <v>6967</v>
      </c>
      <c r="B1909" s="65" t="s">
        <v>81</v>
      </c>
      <c r="C1909" s="65" t="s">
        <v>6968</v>
      </c>
      <c r="D1909" s="65" t="s">
        <v>127</v>
      </c>
      <c r="E1909" s="65" t="s">
        <v>142</v>
      </c>
      <c r="F1909" s="65" t="b">
        <f>TRUE()</f>
        <v>1</v>
      </c>
      <c r="G1909" s="65" t="s">
        <v>165</v>
      </c>
      <c r="H1909" s="65" t="s">
        <v>3655</v>
      </c>
      <c r="I1909" s="66">
        <v>46208.263564548601</v>
      </c>
      <c r="J1909" s="66">
        <v>46210.283378935201</v>
      </c>
      <c r="K1909" s="65">
        <v>2</v>
      </c>
      <c r="L1909" s="65" t="s">
        <v>183</v>
      </c>
      <c r="M1909" s="65" t="s">
        <v>183</v>
      </c>
      <c r="N1909" s="65" t="b">
        <f>FALSE()</f>
        <v>0</v>
      </c>
      <c r="O1909" s="65"/>
      <c r="P1909" s="65"/>
      <c r="Q1909" s="65" t="s">
        <v>236</v>
      </c>
      <c r="R1909" s="65" t="s">
        <v>236</v>
      </c>
      <c r="S1909" s="65"/>
      <c r="T1909" s="65" t="b">
        <f>FALSE()</f>
        <v>0</v>
      </c>
      <c r="U1909" s="65" t="b">
        <f>FALSE()</f>
        <v>0</v>
      </c>
      <c r="V1909" s="65">
        <v>792</v>
      </c>
      <c r="W1909" s="67" t="s">
        <v>6969</v>
      </c>
      <c r="X1909" s="65">
        <v>81</v>
      </c>
      <c r="Y1909" s="68">
        <v>141.75</v>
      </c>
      <c r="Z1909" s="65" t="b">
        <f>FALSE()</f>
        <v>0</v>
      </c>
      <c r="AA1909" s="65" t="b">
        <f>TRUE()</f>
        <v>1</v>
      </c>
      <c r="AB1909" s="65" t="b">
        <f>FALSE()</f>
        <v>0</v>
      </c>
      <c r="AC1909" s="65" t="b">
        <f>TRUE()</f>
        <v>1</v>
      </c>
      <c r="AD1909" s="65" t="b">
        <f>TRUE()</f>
        <v>1</v>
      </c>
      <c r="AE1909" s="65">
        <v>4</v>
      </c>
      <c r="AF1909" s="69">
        <v>57.1</v>
      </c>
      <c r="AG1909" s="65" t="s">
        <v>72</v>
      </c>
      <c r="AH1909" s="65" t="s">
        <v>6970</v>
      </c>
      <c r="AI1909">
        <f>IF(AND(OR(Company_Explorer!$B$5="All Companies",$E1909=Company_Explorer!$B$5),OR(Company_Explorer!$B$6="All Platforms",$B1909=Company_Explorer!$B$6),OR(Company_Explorer!$B$7="All Roles",$D1909=Company_Explorer!$B$7),OR(Company_Explorer!$B$8="All Ghost Labels",$AG1909=Company_Explorer!$B$8)),1,0)</f>
        <v>0</v>
      </c>
    </row>
    <row r="1910" spans="1:35" ht="15" customHeight="1" x14ac:dyDescent="0.3">
      <c r="A1910" s="60" t="s">
        <v>6971</v>
      </c>
      <c r="B1910" s="60" t="s">
        <v>81</v>
      </c>
      <c r="C1910" s="60" t="s">
        <v>6972</v>
      </c>
      <c r="D1910" s="60" t="s">
        <v>126</v>
      </c>
      <c r="E1910" s="60" t="s">
        <v>4028</v>
      </c>
      <c r="F1910" s="60" t="b">
        <f>TRUE()</f>
        <v>1</v>
      </c>
      <c r="G1910" s="60" t="s">
        <v>165</v>
      </c>
      <c r="H1910" s="60" t="s">
        <v>3655</v>
      </c>
      <c r="I1910" s="61">
        <v>46207.012317997702</v>
      </c>
      <c r="J1910" s="61">
        <v>46210.283379884298</v>
      </c>
      <c r="K1910" s="60">
        <v>3.3</v>
      </c>
      <c r="L1910" s="60" t="s">
        <v>183</v>
      </c>
      <c r="M1910" s="60" t="s">
        <v>183</v>
      </c>
      <c r="N1910" s="60" t="b">
        <f>FALSE()</f>
        <v>0</v>
      </c>
      <c r="O1910" s="60"/>
      <c r="P1910" s="60"/>
      <c r="Q1910" s="60" t="s">
        <v>236</v>
      </c>
      <c r="R1910" s="60" t="s">
        <v>236</v>
      </c>
      <c r="S1910" s="60"/>
      <c r="T1910" s="60" t="b">
        <f>FALSE()</f>
        <v>0</v>
      </c>
      <c r="U1910" s="60" t="b">
        <f>FALSE()</f>
        <v>0</v>
      </c>
      <c r="V1910" s="60">
        <v>509</v>
      </c>
      <c r="W1910" s="62" t="s">
        <v>6973</v>
      </c>
      <c r="X1910" s="60">
        <v>6</v>
      </c>
      <c r="Y1910" s="63">
        <v>10.5</v>
      </c>
      <c r="Z1910" s="60" t="b">
        <f>FALSE()</f>
        <v>0</v>
      </c>
      <c r="AA1910" s="60" t="b">
        <f>TRUE()</f>
        <v>1</v>
      </c>
      <c r="AB1910" s="60" t="b">
        <f>FALSE()</f>
        <v>0</v>
      </c>
      <c r="AC1910" s="60" t="b">
        <f>TRUE()</f>
        <v>1</v>
      </c>
      <c r="AD1910" s="60" t="b">
        <f>FALSE()</f>
        <v>0</v>
      </c>
      <c r="AE1910" s="60">
        <v>2</v>
      </c>
      <c r="AF1910" s="64">
        <v>28.6</v>
      </c>
      <c r="AG1910" s="60" t="s">
        <v>73</v>
      </c>
      <c r="AH1910" s="60" t="s">
        <v>6974</v>
      </c>
      <c r="AI1910">
        <f>IF(AND(OR(Company_Explorer!$B$5="All Companies",$E1910=Company_Explorer!$B$5),OR(Company_Explorer!$B$6="All Platforms",$B1910=Company_Explorer!$B$6),OR(Company_Explorer!$B$7="All Roles",$D1910=Company_Explorer!$B$7),OR(Company_Explorer!$B$8="All Ghost Labels",$AG1910=Company_Explorer!$B$8)),1,0)</f>
        <v>0</v>
      </c>
    </row>
    <row r="1911" spans="1:35" ht="15" customHeight="1" x14ac:dyDescent="0.3">
      <c r="A1911" s="65" t="s">
        <v>6975</v>
      </c>
      <c r="B1911" s="65" t="s">
        <v>81</v>
      </c>
      <c r="C1911" s="65" t="s">
        <v>5842</v>
      </c>
      <c r="D1911" s="65" t="s">
        <v>126</v>
      </c>
      <c r="E1911" s="65" t="s">
        <v>143</v>
      </c>
      <c r="F1911" s="65" t="b">
        <f>TRUE()</f>
        <v>1</v>
      </c>
      <c r="G1911" s="65" t="s">
        <v>165</v>
      </c>
      <c r="H1911" s="65" t="s">
        <v>3620</v>
      </c>
      <c r="I1911" s="66">
        <v>46207.053390590299</v>
      </c>
      <c r="J1911" s="66">
        <v>46210.283380983798</v>
      </c>
      <c r="K1911" s="65">
        <v>3.2</v>
      </c>
      <c r="L1911" s="65" t="s">
        <v>183</v>
      </c>
      <c r="M1911" s="65" t="s">
        <v>183</v>
      </c>
      <c r="N1911" s="65" t="b">
        <f>FALSE()</f>
        <v>0</v>
      </c>
      <c r="O1911" s="65"/>
      <c r="P1911" s="65"/>
      <c r="Q1911" s="65" t="s">
        <v>236</v>
      </c>
      <c r="R1911" s="65" t="s">
        <v>236</v>
      </c>
      <c r="S1911" s="65"/>
      <c r="T1911" s="65" t="b">
        <f>FALSE()</f>
        <v>0</v>
      </c>
      <c r="U1911" s="65" t="b">
        <f>FALSE()</f>
        <v>0</v>
      </c>
      <c r="V1911" s="65">
        <v>445</v>
      </c>
      <c r="W1911" s="67" t="s">
        <v>5843</v>
      </c>
      <c r="X1911" s="65">
        <v>64</v>
      </c>
      <c r="Y1911" s="68">
        <v>112</v>
      </c>
      <c r="Z1911" s="65" t="b">
        <f>FALSE()</f>
        <v>0</v>
      </c>
      <c r="AA1911" s="65" t="b">
        <f>TRUE()</f>
        <v>1</v>
      </c>
      <c r="AB1911" s="65" t="b">
        <f>FALSE()</f>
        <v>0</v>
      </c>
      <c r="AC1911" s="65" t="b">
        <f>TRUE()</f>
        <v>1</v>
      </c>
      <c r="AD1911" s="65" t="b">
        <f>TRUE()</f>
        <v>1</v>
      </c>
      <c r="AE1911" s="65">
        <v>4</v>
      </c>
      <c r="AF1911" s="69">
        <v>57.1</v>
      </c>
      <c r="AG1911" s="65" t="s">
        <v>72</v>
      </c>
      <c r="AH1911" s="65" t="s">
        <v>6976</v>
      </c>
      <c r="AI1911">
        <f>IF(AND(OR(Company_Explorer!$B$5="All Companies",$E1911=Company_Explorer!$B$5),OR(Company_Explorer!$B$6="All Platforms",$B1911=Company_Explorer!$B$6),OR(Company_Explorer!$B$7="All Roles",$D1911=Company_Explorer!$B$7),OR(Company_Explorer!$B$8="All Ghost Labels",$AG1911=Company_Explorer!$B$8)),1,0)</f>
        <v>0</v>
      </c>
    </row>
    <row r="1912" spans="1:35" ht="15" customHeight="1" x14ac:dyDescent="0.3">
      <c r="A1912" s="60" t="s">
        <v>6977</v>
      </c>
      <c r="B1912" s="60" t="s">
        <v>81</v>
      </c>
      <c r="C1912" s="60" t="s">
        <v>6978</v>
      </c>
      <c r="D1912" s="60" t="s">
        <v>127</v>
      </c>
      <c r="E1912" s="60" t="s">
        <v>142</v>
      </c>
      <c r="F1912" s="60" t="b">
        <f>TRUE()</f>
        <v>1</v>
      </c>
      <c r="G1912" s="60" t="s">
        <v>165</v>
      </c>
      <c r="H1912" s="60" t="s">
        <v>3655</v>
      </c>
      <c r="I1912" s="61">
        <v>46208.263562511602</v>
      </c>
      <c r="J1912" s="61">
        <v>46210.283381944399</v>
      </c>
      <c r="K1912" s="60">
        <v>2</v>
      </c>
      <c r="L1912" s="60" t="s">
        <v>183</v>
      </c>
      <c r="M1912" s="60" t="s">
        <v>183</v>
      </c>
      <c r="N1912" s="60" t="b">
        <f>FALSE()</f>
        <v>0</v>
      </c>
      <c r="O1912" s="60"/>
      <c r="P1912" s="60"/>
      <c r="Q1912" s="60" t="s">
        <v>236</v>
      </c>
      <c r="R1912" s="60" t="s">
        <v>236</v>
      </c>
      <c r="S1912" s="60"/>
      <c r="T1912" s="60" t="b">
        <f>FALSE()</f>
        <v>0</v>
      </c>
      <c r="U1912" s="60" t="b">
        <f>FALSE()</f>
        <v>0</v>
      </c>
      <c r="V1912" s="60">
        <v>342</v>
      </c>
      <c r="W1912" s="62" t="s">
        <v>6979</v>
      </c>
      <c r="X1912" s="60">
        <v>81</v>
      </c>
      <c r="Y1912" s="63">
        <v>141.75</v>
      </c>
      <c r="Z1912" s="60" t="b">
        <f>FALSE()</f>
        <v>0</v>
      </c>
      <c r="AA1912" s="60" t="b">
        <f>TRUE()</f>
        <v>1</v>
      </c>
      <c r="AB1912" s="60" t="b">
        <f>FALSE()</f>
        <v>0</v>
      </c>
      <c r="AC1912" s="60" t="b">
        <f>TRUE()</f>
        <v>1</v>
      </c>
      <c r="AD1912" s="60" t="b">
        <f>TRUE()</f>
        <v>1</v>
      </c>
      <c r="AE1912" s="60">
        <v>4</v>
      </c>
      <c r="AF1912" s="64">
        <v>57.1</v>
      </c>
      <c r="AG1912" s="60" t="s">
        <v>72</v>
      </c>
      <c r="AH1912" s="60" t="s">
        <v>6980</v>
      </c>
      <c r="AI1912">
        <f>IF(AND(OR(Company_Explorer!$B$5="All Companies",$E1912=Company_Explorer!$B$5),OR(Company_Explorer!$B$6="All Platforms",$B1912=Company_Explorer!$B$6),OR(Company_Explorer!$B$7="All Roles",$D1912=Company_Explorer!$B$7),OR(Company_Explorer!$B$8="All Ghost Labels",$AG1912=Company_Explorer!$B$8)),1,0)</f>
        <v>0</v>
      </c>
    </row>
    <row r="1913" spans="1:35" ht="15" customHeight="1" x14ac:dyDescent="0.3">
      <c r="A1913" s="65" t="s">
        <v>6981</v>
      </c>
      <c r="B1913" s="65" t="s">
        <v>81</v>
      </c>
      <c r="C1913" s="65" t="s">
        <v>6982</v>
      </c>
      <c r="D1913" s="65" t="s">
        <v>127</v>
      </c>
      <c r="E1913" s="65" t="s">
        <v>142</v>
      </c>
      <c r="F1913" s="65" t="b">
        <f>TRUE()</f>
        <v>1</v>
      </c>
      <c r="G1913" s="65" t="s">
        <v>165</v>
      </c>
      <c r="H1913" s="65" t="s">
        <v>3655</v>
      </c>
      <c r="I1913" s="66">
        <v>46206.763470324098</v>
      </c>
      <c r="J1913" s="66">
        <v>46210.283383055597</v>
      </c>
      <c r="K1913" s="65">
        <v>3.5</v>
      </c>
      <c r="L1913" s="65" t="s">
        <v>183</v>
      </c>
      <c r="M1913" s="65" t="s">
        <v>183</v>
      </c>
      <c r="N1913" s="65" t="b">
        <f>FALSE()</f>
        <v>0</v>
      </c>
      <c r="O1913" s="65"/>
      <c r="P1913" s="65"/>
      <c r="Q1913" s="65" t="s">
        <v>236</v>
      </c>
      <c r="R1913" s="65" t="s">
        <v>236</v>
      </c>
      <c r="S1913" s="65"/>
      <c r="T1913" s="65" t="b">
        <f>FALSE()</f>
        <v>0</v>
      </c>
      <c r="U1913" s="65" t="b">
        <f>FALSE()</f>
        <v>0</v>
      </c>
      <c r="V1913" s="65">
        <v>793</v>
      </c>
      <c r="W1913" s="67" t="s">
        <v>5462</v>
      </c>
      <c r="X1913" s="65">
        <v>81</v>
      </c>
      <c r="Y1913" s="68">
        <v>141.75</v>
      </c>
      <c r="Z1913" s="65" t="b">
        <f>FALSE()</f>
        <v>0</v>
      </c>
      <c r="AA1913" s="65" t="b">
        <f>TRUE()</f>
        <v>1</v>
      </c>
      <c r="AB1913" s="65" t="b">
        <f>FALSE()</f>
        <v>0</v>
      </c>
      <c r="AC1913" s="65" t="b">
        <f>TRUE()</f>
        <v>1</v>
      </c>
      <c r="AD1913" s="65" t="b">
        <f>TRUE()</f>
        <v>1</v>
      </c>
      <c r="AE1913" s="65">
        <v>4</v>
      </c>
      <c r="AF1913" s="69">
        <v>57.1</v>
      </c>
      <c r="AG1913" s="65" t="s">
        <v>72</v>
      </c>
      <c r="AH1913" s="65" t="s">
        <v>6983</v>
      </c>
      <c r="AI1913">
        <f>IF(AND(OR(Company_Explorer!$B$5="All Companies",$E1913=Company_Explorer!$B$5),OR(Company_Explorer!$B$6="All Platforms",$B1913=Company_Explorer!$B$6),OR(Company_Explorer!$B$7="All Roles",$D1913=Company_Explorer!$B$7),OR(Company_Explorer!$B$8="All Ghost Labels",$AG1913=Company_Explorer!$B$8)),1,0)</f>
        <v>0</v>
      </c>
    </row>
    <row r="1914" spans="1:35" ht="15" customHeight="1" x14ac:dyDescent="0.3">
      <c r="A1914" s="60" t="s">
        <v>6984</v>
      </c>
      <c r="B1914" s="60" t="s">
        <v>81</v>
      </c>
      <c r="C1914" s="60" t="s">
        <v>6985</v>
      </c>
      <c r="D1914" s="60" t="s">
        <v>126</v>
      </c>
      <c r="E1914" s="60" t="s">
        <v>6986</v>
      </c>
      <c r="F1914" s="60" t="b">
        <f>TRUE()</f>
        <v>1</v>
      </c>
      <c r="G1914" s="60" t="s">
        <v>177</v>
      </c>
      <c r="H1914" s="60" t="s">
        <v>165</v>
      </c>
      <c r="I1914" s="61">
        <v>46207.851462338003</v>
      </c>
      <c r="J1914" s="61">
        <v>46210.283384722199</v>
      </c>
      <c r="K1914" s="60">
        <v>2.4</v>
      </c>
      <c r="L1914" s="60" t="s">
        <v>183</v>
      </c>
      <c r="M1914" s="60" t="s">
        <v>183</v>
      </c>
      <c r="N1914" s="60" t="b">
        <f>TRUE()</f>
        <v>1</v>
      </c>
      <c r="O1914" s="70">
        <v>10000</v>
      </c>
      <c r="P1914" s="70">
        <v>21000</v>
      </c>
      <c r="Q1914" s="60" t="s">
        <v>3663</v>
      </c>
      <c r="R1914" s="60" t="s">
        <v>3664</v>
      </c>
      <c r="S1914" s="70">
        <v>186000</v>
      </c>
      <c r="T1914" s="60" t="b">
        <f>TRUE()</f>
        <v>1</v>
      </c>
      <c r="U1914" s="60" t="b">
        <f>FALSE()</f>
        <v>0</v>
      </c>
      <c r="V1914" s="60">
        <v>295</v>
      </c>
      <c r="W1914" s="62" t="s">
        <v>6987</v>
      </c>
      <c r="X1914" s="60">
        <v>1</v>
      </c>
      <c r="Y1914" s="63">
        <v>1.75</v>
      </c>
      <c r="Z1914" s="60" t="b">
        <f>FALSE()</f>
        <v>0</v>
      </c>
      <c r="AA1914" s="60" t="b">
        <f>FALSE()</f>
        <v>0</v>
      </c>
      <c r="AB1914" s="60" t="b">
        <f>TRUE()</f>
        <v>1</v>
      </c>
      <c r="AC1914" s="60" t="b">
        <f>TRUE()</f>
        <v>1</v>
      </c>
      <c r="AD1914" s="60" t="b">
        <f>FALSE()</f>
        <v>0</v>
      </c>
      <c r="AE1914" s="60">
        <v>2</v>
      </c>
      <c r="AF1914" s="64">
        <v>28.6</v>
      </c>
      <c r="AG1914" s="60" t="s">
        <v>73</v>
      </c>
      <c r="AH1914" s="60" t="s">
        <v>6988</v>
      </c>
      <c r="AI1914">
        <f>IF(AND(OR(Company_Explorer!$B$5="All Companies",$E1914=Company_Explorer!$B$5),OR(Company_Explorer!$B$6="All Platforms",$B1914=Company_Explorer!$B$6),OR(Company_Explorer!$B$7="All Roles",$D1914=Company_Explorer!$B$7),OR(Company_Explorer!$B$8="All Ghost Labels",$AG1914=Company_Explorer!$B$8)),1,0)</f>
        <v>0</v>
      </c>
    </row>
    <row r="1915" spans="1:35" ht="15" customHeight="1" x14ac:dyDescent="0.3">
      <c r="A1915" s="65" t="s">
        <v>6989</v>
      </c>
      <c r="B1915" s="65" t="s">
        <v>81</v>
      </c>
      <c r="C1915" s="65" t="s">
        <v>6954</v>
      </c>
      <c r="D1915" s="65" t="s">
        <v>126</v>
      </c>
      <c r="E1915" s="65" t="s">
        <v>143</v>
      </c>
      <c r="F1915" s="65" t="b">
        <f>TRUE()</f>
        <v>1</v>
      </c>
      <c r="G1915" s="65" t="s">
        <v>165</v>
      </c>
      <c r="H1915" s="65" t="s">
        <v>3702</v>
      </c>
      <c r="I1915" s="66">
        <v>46207.053384687497</v>
      </c>
      <c r="J1915" s="66">
        <v>46210.283394699101</v>
      </c>
      <c r="K1915" s="65">
        <v>3.2</v>
      </c>
      <c r="L1915" s="65" t="s">
        <v>183</v>
      </c>
      <c r="M1915" s="65" t="s">
        <v>183</v>
      </c>
      <c r="N1915" s="65" t="b">
        <f>FALSE()</f>
        <v>0</v>
      </c>
      <c r="O1915" s="65"/>
      <c r="P1915" s="65"/>
      <c r="Q1915" s="65" t="s">
        <v>236</v>
      </c>
      <c r="R1915" s="65" t="s">
        <v>236</v>
      </c>
      <c r="S1915" s="65"/>
      <c r="T1915" s="65" t="b">
        <f>FALSE()</f>
        <v>0</v>
      </c>
      <c r="U1915" s="65" t="b">
        <f>FALSE()</f>
        <v>0</v>
      </c>
      <c r="V1915" s="65">
        <v>466</v>
      </c>
      <c r="W1915" s="67" t="s">
        <v>6955</v>
      </c>
      <c r="X1915" s="65">
        <v>64</v>
      </c>
      <c r="Y1915" s="68">
        <v>112</v>
      </c>
      <c r="Z1915" s="65" t="b">
        <f>FALSE()</f>
        <v>0</v>
      </c>
      <c r="AA1915" s="65" t="b">
        <f>TRUE()</f>
        <v>1</v>
      </c>
      <c r="AB1915" s="65" t="b">
        <f>FALSE()</f>
        <v>0</v>
      </c>
      <c r="AC1915" s="65" t="b">
        <f>TRUE()</f>
        <v>1</v>
      </c>
      <c r="AD1915" s="65" t="b">
        <f>TRUE()</f>
        <v>1</v>
      </c>
      <c r="AE1915" s="65">
        <v>4</v>
      </c>
      <c r="AF1915" s="69">
        <v>57.1</v>
      </c>
      <c r="AG1915" s="65" t="s">
        <v>72</v>
      </c>
      <c r="AH1915" s="65" t="s">
        <v>6990</v>
      </c>
      <c r="AI1915">
        <f>IF(AND(OR(Company_Explorer!$B$5="All Companies",$E1915=Company_Explorer!$B$5),OR(Company_Explorer!$B$6="All Platforms",$B1915=Company_Explorer!$B$6),OR(Company_Explorer!$B$7="All Roles",$D1915=Company_Explorer!$B$7),OR(Company_Explorer!$B$8="All Ghost Labels",$AG1915=Company_Explorer!$B$8)),1,0)</f>
        <v>0</v>
      </c>
    </row>
    <row r="1916" spans="1:35" ht="15" customHeight="1" x14ac:dyDescent="0.3">
      <c r="A1916" s="60" t="s">
        <v>6991</v>
      </c>
      <c r="B1916" s="60" t="s">
        <v>81</v>
      </c>
      <c r="C1916" s="60" t="s">
        <v>6992</v>
      </c>
      <c r="D1916" s="60" t="s">
        <v>126</v>
      </c>
      <c r="E1916" s="60" t="s">
        <v>143</v>
      </c>
      <c r="F1916" s="60" t="b">
        <f>TRUE()</f>
        <v>1</v>
      </c>
      <c r="G1916" s="60" t="s">
        <v>165</v>
      </c>
      <c r="H1916" s="60" t="s">
        <v>3620</v>
      </c>
      <c r="I1916" s="61">
        <v>46207.053366122702</v>
      </c>
      <c r="J1916" s="61">
        <v>46210.283394757003</v>
      </c>
      <c r="K1916" s="60">
        <v>3.2</v>
      </c>
      <c r="L1916" s="60" t="s">
        <v>183</v>
      </c>
      <c r="M1916" s="60" t="s">
        <v>183</v>
      </c>
      <c r="N1916" s="60" t="b">
        <f>FALSE()</f>
        <v>0</v>
      </c>
      <c r="O1916" s="60"/>
      <c r="P1916" s="60"/>
      <c r="Q1916" s="60" t="s">
        <v>236</v>
      </c>
      <c r="R1916" s="60" t="s">
        <v>236</v>
      </c>
      <c r="S1916" s="60"/>
      <c r="T1916" s="60" t="b">
        <f>FALSE()</f>
        <v>0</v>
      </c>
      <c r="U1916" s="60" t="b">
        <f>FALSE()</f>
        <v>0</v>
      </c>
      <c r="V1916" s="60">
        <v>594</v>
      </c>
      <c r="W1916" s="62" t="s">
        <v>6993</v>
      </c>
      <c r="X1916" s="60">
        <v>64</v>
      </c>
      <c r="Y1916" s="63">
        <v>112</v>
      </c>
      <c r="Z1916" s="60" t="b">
        <f>FALSE()</f>
        <v>0</v>
      </c>
      <c r="AA1916" s="60" t="b">
        <f>TRUE()</f>
        <v>1</v>
      </c>
      <c r="AB1916" s="60" t="b">
        <f>FALSE()</f>
        <v>0</v>
      </c>
      <c r="AC1916" s="60" t="b">
        <f>TRUE()</f>
        <v>1</v>
      </c>
      <c r="AD1916" s="60" t="b">
        <f>TRUE()</f>
        <v>1</v>
      </c>
      <c r="AE1916" s="60">
        <v>4</v>
      </c>
      <c r="AF1916" s="64">
        <v>57.1</v>
      </c>
      <c r="AG1916" s="60" t="s">
        <v>72</v>
      </c>
      <c r="AH1916" s="60" t="s">
        <v>6994</v>
      </c>
      <c r="AI1916">
        <f>IF(AND(OR(Company_Explorer!$B$5="All Companies",$E1916=Company_Explorer!$B$5),OR(Company_Explorer!$B$6="All Platforms",$B1916=Company_Explorer!$B$6),OR(Company_Explorer!$B$7="All Roles",$D1916=Company_Explorer!$B$7),OR(Company_Explorer!$B$8="All Ghost Labels",$AG1916=Company_Explorer!$B$8)),1,0)</f>
        <v>0</v>
      </c>
    </row>
    <row r="1917" spans="1:35" ht="15" customHeight="1" x14ac:dyDescent="0.3">
      <c r="A1917" s="65" t="s">
        <v>6995</v>
      </c>
      <c r="B1917" s="65" t="s">
        <v>81</v>
      </c>
      <c r="C1917" s="65" t="s">
        <v>6996</v>
      </c>
      <c r="D1917" s="65" t="s">
        <v>127</v>
      </c>
      <c r="E1917" s="65" t="s">
        <v>149</v>
      </c>
      <c r="F1917" s="65" t="b">
        <f>TRUE()</f>
        <v>1</v>
      </c>
      <c r="G1917" s="65" t="s">
        <v>165</v>
      </c>
      <c r="H1917" s="65" t="s">
        <v>3702</v>
      </c>
      <c r="I1917" s="66">
        <v>46206.624299224502</v>
      </c>
      <c r="J1917" s="66">
        <v>46210.283394837999</v>
      </c>
      <c r="K1917" s="65">
        <v>3.7</v>
      </c>
      <c r="L1917" s="65" t="s">
        <v>183</v>
      </c>
      <c r="M1917" s="65" t="s">
        <v>183</v>
      </c>
      <c r="N1917" s="65" t="b">
        <f>FALSE()</f>
        <v>0</v>
      </c>
      <c r="O1917" s="65"/>
      <c r="P1917" s="65"/>
      <c r="Q1917" s="65" t="s">
        <v>236</v>
      </c>
      <c r="R1917" s="65" t="s">
        <v>236</v>
      </c>
      <c r="S1917" s="65"/>
      <c r="T1917" s="65" t="b">
        <f>FALSE()</f>
        <v>0</v>
      </c>
      <c r="U1917" s="65" t="b">
        <f>FALSE()</f>
        <v>0</v>
      </c>
      <c r="V1917" s="65">
        <v>619</v>
      </c>
      <c r="W1917" s="67" t="s">
        <v>3698</v>
      </c>
      <c r="X1917" s="65">
        <v>16</v>
      </c>
      <c r="Y1917" s="68">
        <v>28</v>
      </c>
      <c r="Z1917" s="65" t="b">
        <f>FALSE()</f>
        <v>0</v>
      </c>
      <c r="AA1917" s="65" t="b">
        <f>TRUE()</f>
        <v>1</v>
      </c>
      <c r="AB1917" s="65" t="b">
        <f>FALSE()</f>
        <v>0</v>
      </c>
      <c r="AC1917" s="65" t="b">
        <f>TRUE()</f>
        <v>1</v>
      </c>
      <c r="AD1917" s="65" t="b">
        <f>FALSE()</f>
        <v>0</v>
      </c>
      <c r="AE1917" s="65">
        <v>2</v>
      </c>
      <c r="AF1917" s="69">
        <v>28.6</v>
      </c>
      <c r="AG1917" s="65" t="s">
        <v>73</v>
      </c>
      <c r="AH1917" s="65" t="s">
        <v>6997</v>
      </c>
      <c r="AI1917">
        <f>IF(AND(OR(Company_Explorer!$B$5="All Companies",$E1917=Company_Explorer!$B$5),OR(Company_Explorer!$B$6="All Platforms",$B1917=Company_Explorer!$B$6),OR(Company_Explorer!$B$7="All Roles",$D1917=Company_Explorer!$B$7),OR(Company_Explorer!$B$8="All Ghost Labels",$AG1917=Company_Explorer!$B$8)),1,0)</f>
        <v>0</v>
      </c>
    </row>
    <row r="1918" spans="1:35" ht="15" customHeight="1" x14ac:dyDescent="0.3">
      <c r="A1918" s="60" t="s">
        <v>6998</v>
      </c>
      <c r="B1918" s="60" t="s">
        <v>81</v>
      </c>
      <c r="C1918" s="60" t="s">
        <v>6999</v>
      </c>
      <c r="D1918" s="60" t="s">
        <v>126</v>
      </c>
      <c r="E1918" s="60" t="s">
        <v>4028</v>
      </c>
      <c r="F1918" s="60" t="b">
        <f>TRUE()</f>
        <v>1</v>
      </c>
      <c r="G1918" s="60" t="s">
        <v>165</v>
      </c>
      <c r="H1918" s="60" t="s">
        <v>3655</v>
      </c>
      <c r="I1918" s="61">
        <v>46207.012322766197</v>
      </c>
      <c r="J1918" s="61">
        <v>46210.283394907397</v>
      </c>
      <c r="K1918" s="60">
        <v>3.3</v>
      </c>
      <c r="L1918" s="60" t="s">
        <v>183</v>
      </c>
      <c r="M1918" s="60" t="s">
        <v>183</v>
      </c>
      <c r="N1918" s="60" t="b">
        <f>FALSE()</f>
        <v>0</v>
      </c>
      <c r="O1918" s="60"/>
      <c r="P1918" s="60"/>
      <c r="Q1918" s="60" t="s">
        <v>236</v>
      </c>
      <c r="R1918" s="60" t="s">
        <v>236</v>
      </c>
      <c r="S1918" s="60"/>
      <c r="T1918" s="60" t="b">
        <f>FALSE()</f>
        <v>0</v>
      </c>
      <c r="U1918" s="60" t="b">
        <f>FALSE()</f>
        <v>0</v>
      </c>
      <c r="V1918" s="60">
        <v>1083</v>
      </c>
      <c r="W1918" s="62" t="s">
        <v>4029</v>
      </c>
      <c r="X1918" s="60">
        <v>6</v>
      </c>
      <c r="Y1918" s="63">
        <v>10.5</v>
      </c>
      <c r="Z1918" s="60" t="b">
        <f>FALSE()</f>
        <v>0</v>
      </c>
      <c r="AA1918" s="60" t="b">
        <f>TRUE()</f>
        <v>1</v>
      </c>
      <c r="AB1918" s="60" t="b">
        <f>FALSE()</f>
        <v>0</v>
      </c>
      <c r="AC1918" s="60" t="b">
        <f>TRUE()</f>
        <v>1</v>
      </c>
      <c r="AD1918" s="60" t="b">
        <f>FALSE()</f>
        <v>0</v>
      </c>
      <c r="AE1918" s="60">
        <v>2</v>
      </c>
      <c r="AF1918" s="64">
        <v>28.6</v>
      </c>
      <c r="AG1918" s="60" t="s">
        <v>73</v>
      </c>
      <c r="AH1918" s="60" t="s">
        <v>7000</v>
      </c>
      <c r="AI1918">
        <f>IF(AND(OR(Company_Explorer!$B$5="All Companies",$E1918=Company_Explorer!$B$5),OR(Company_Explorer!$B$6="All Platforms",$B1918=Company_Explorer!$B$6),OR(Company_Explorer!$B$7="All Roles",$D1918=Company_Explorer!$B$7),OR(Company_Explorer!$B$8="All Ghost Labels",$AG1918=Company_Explorer!$B$8)),1,0)</f>
        <v>0</v>
      </c>
    </row>
    <row r="1919" spans="1:35" ht="15" customHeight="1" x14ac:dyDescent="0.3">
      <c r="A1919" s="65" t="s">
        <v>7001</v>
      </c>
      <c r="B1919" s="65" t="s">
        <v>81</v>
      </c>
      <c r="C1919" s="65" t="s">
        <v>7002</v>
      </c>
      <c r="D1919" s="65" t="s">
        <v>126</v>
      </c>
      <c r="E1919" s="65" t="s">
        <v>5799</v>
      </c>
      <c r="F1919" s="65" t="b">
        <f>TRUE()</f>
        <v>1</v>
      </c>
      <c r="G1919" s="65" t="s">
        <v>165</v>
      </c>
      <c r="H1919" s="65" t="s">
        <v>3620</v>
      </c>
      <c r="I1919" s="66">
        <v>46206.818363356499</v>
      </c>
      <c r="J1919" s="66">
        <v>46210.283394988401</v>
      </c>
      <c r="K1919" s="65">
        <v>3.5</v>
      </c>
      <c r="L1919" s="65" t="s">
        <v>183</v>
      </c>
      <c r="M1919" s="65" t="s">
        <v>183</v>
      </c>
      <c r="N1919" s="65" t="b">
        <f>FALSE()</f>
        <v>0</v>
      </c>
      <c r="O1919" s="65"/>
      <c r="P1919" s="65"/>
      <c r="Q1919" s="65" t="s">
        <v>236</v>
      </c>
      <c r="R1919" s="65" t="s">
        <v>236</v>
      </c>
      <c r="S1919" s="65"/>
      <c r="T1919" s="65" t="b">
        <f>FALSE()</f>
        <v>0</v>
      </c>
      <c r="U1919" s="65" t="b">
        <f>FALSE()</f>
        <v>0</v>
      </c>
      <c r="V1919" s="65">
        <v>653</v>
      </c>
      <c r="W1919" s="67" t="s">
        <v>7003</v>
      </c>
      <c r="X1919" s="65">
        <v>4</v>
      </c>
      <c r="Y1919" s="68">
        <v>7</v>
      </c>
      <c r="Z1919" s="65" t="b">
        <f>FALSE()</f>
        <v>0</v>
      </c>
      <c r="AA1919" s="65" t="b">
        <f>TRUE()</f>
        <v>1</v>
      </c>
      <c r="AB1919" s="65" t="b">
        <f>FALSE()</f>
        <v>0</v>
      </c>
      <c r="AC1919" s="65" t="b">
        <f>TRUE()</f>
        <v>1</v>
      </c>
      <c r="AD1919" s="65" t="b">
        <f>FALSE()</f>
        <v>0</v>
      </c>
      <c r="AE1919" s="65">
        <v>2</v>
      </c>
      <c r="AF1919" s="69">
        <v>28.6</v>
      </c>
      <c r="AG1919" s="65" t="s">
        <v>73</v>
      </c>
      <c r="AH1919" s="65" t="s">
        <v>7004</v>
      </c>
      <c r="AI1919">
        <f>IF(AND(OR(Company_Explorer!$B$5="All Companies",$E1919=Company_Explorer!$B$5),OR(Company_Explorer!$B$6="All Platforms",$B1919=Company_Explorer!$B$6),OR(Company_Explorer!$B$7="All Roles",$D1919=Company_Explorer!$B$7),OR(Company_Explorer!$B$8="All Ghost Labels",$AG1919=Company_Explorer!$B$8)),1,0)</f>
        <v>0</v>
      </c>
    </row>
    <row r="1920" spans="1:35" ht="15" customHeight="1" x14ac:dyDescent="0.3">
      <c r="A1920" s="60" t="s">
        <v>7005</v>
      </c>
      <c r="B1920" s="60" t="s">
        <v>81</v>
      </c>
      <c r="C1920" s="60" t="s">
        <v>7006</v>
      </c>
      <c r="D1920" s="60" t="s">
        <v>126</v>
      </c>
      <c r="E1920" s="60" t="s">
        <v>7007</v>
      </c>
      <c r="F1920" s="60" t="b">
        <f>TRUE()</f>
        <v>1</v>
      </c>
      <c r="G1920" s="60" t="s">
        <v>165</v>
      </c>
      <c r="H1920" s="60" t="s">
        <v>3636</v>
      </c>
      <c r="I1920" s="61">
        <v>46206.793680555602</v>
      </c>
      <c r="J1920" s="61">
        <v>46210.2833958681</v>
      </c>
      <c r="K1920" s="60">
        <v>3.5</v>
      </c>
      <c r="L1920" s="60" t="s">
        <v>183</v>
      </c>
      <c r="M1920" s="60" t="s">
        <v>183</v>
      </c>
      <c r="N1920" s="60" t="b">
        <f>FALSE()</f>
        <v>0</v>
      </c>
      <c r="O1920" s="60"/>
      <c r="P1920" s="60"/>
      <c r="Q1920" s="60" t="s">
        <v>236</v>
      </c>
      <c r="R1920" s="60" t="s">
        <v>236</v>
      </c>
      <c r="S1920" s="60"/>
      <c r="T1920" s="60" t="b">
        <f>FALSE()</f>
        <v>0</v>
      </c>
      <c r="U1920" s="60" t="b">
        <f>FALSE()</f>
        <v>0</v>
      </c>
      <c r="V1920" s="60">
        <v>1284</v>
      </c>
      <c r="W1920" s="62" t="s">
        <v>7008</v>
      </c>
      <c r="X1920" s="60">
        <v>1</v>
      </c>
      <c r="Y1920" s="63">
        <v>1.75</v>
      </c>
      <c r="Z1920" s="60" t="b">
        <f>FALSE()</f>
        <v>0</v>
      </c>
      <c r="AA1920" s="60" t="b">
        <f>TRUE()</f>
        <v>1</v>
      </c>
      <c r="AB1920" s="60" t="b">
        <f>FALSE()</f>
        <v>0</v>
      </c>
      <c r="AC1920" s="60" t="b">
        <f>TRUE()</f>
        <v>1</v>
      </c>
      <c r="AD1920" s="60" t="b">
        <f>FALSE()</f>
        <v>0</v>
      </c>
      <c r="AE1920" s="60">
        <v>2</v>
      </c>
      <c r="AF1920" s="64">
        <v>28.6</v>
      </c>
      <c r="AG1920" s="60" t="s">
        <v>73</v>
      </c>
      <c r="AH1920" s="60" t="s">
        <v>7009</v>
      </c>
      <c r="AI1920">
        <f>IF(AND(OR(Company_Explorer!$B$5="All Companies",$E1920=Company_Explorer!$B$5),OR(Company_Explorer!$B$6="All Platforms",$B1920=Company_Explorer!$B$6),OR(Company_Explorer!$B$7="All Roles",$D1920=Company_Explorer!$B$7),OR(Company_Explorer!$B$8="All Ghost Labels",$AG1920=Company_Explorer!$B$8)),1,0)</f>
        <v>0</v>
      </c>
    </row>
    <row r="1921" spans="1:35" ht="15" customHeight="1" x14ac:dyDescent="0.3">
      <c r="A1921" s="65" t="s">
        <v>7010</v>
      </c>
      <c r="B1921" s="65" t="s">
        <v>81</v>
      </c>
      <c r="C1921" s="65" t="s">
        <v>7011</v>
      </c>
      <c r="D1921" s="65" t="s">
        <v>127</v>
      </c>
      <c r="E1921" s="65" t="s">
        <v>5193</v>
      </c>
      <c r="F1921" s="65" t="b">
        <f>TRUE()</f>
        <v>1</v>
      </c>
      <c r="G1921" s="65" t="s">
        <v>165</v>
      </c>
      <c r="H1921" s="65" t="s">
        <v>3620</v>
      </c>
      <c r="I1921" s="66">
        <v>46206.065859351897</v>
      </c>
      <c r="J1921" s="66">
        <v>46210.283403900503</v>
      </c>
      <c r="K1921" s="65">
        <v>4.2</v>
      </c>
      <c r="L1921" s="65" t="s">
        <v>183</v>
      </c>
      <c r="M1921" s="65" t="s">
        <v>183</v>
      </c>
      <c r="N1921" s="65" t="b">
        <f>FALSE()</f>
        <v>0</v>
      </c>
      <c r="O1921" s="65"/>
      <c r="P1921" s="65"/>
      <c r="Q1921" s="65" t="s">
        <v>236</v>
      </c>
      <c r="R1921" s="65" t="s">
        <v>236</v>
      </c>
      <c r="S1921" s="65"/>
      <c r="T1921" s="65" t="b">
        <f>FALSE()</f>
        <v>0</v>
      </c>
      <c r="U1921" s="65" t="b">
        <f>FALSE()</f>
        <v>0</v>
      </c>
      <c r="V1921" s="65">
        <v>906</v>
      </c>
      <c r="W1921" s="67" t="s">
        <v>7012</v>
      </c>
      <c r="X1921" s="65">
        <v>3</v>
      </c>
      <c r="Y1921" s="68">
        <v>5.25</v>
      </c>
      <c r="Z1921" s="65" t="b">
        <f>FALSE()</f>
        <v>0</v>
      </c>
      <c r="AA1921" s="65" t="b">
        <f>TRUE()</f>
        <v>1</v>
      </c>
      <c r="AB1921" s="65" t="b">
        <f>FALSE()</f>
        <v>0</v>
      </c>
      <c r="AC1921" s="65" t="b">
        <f>TRUE()</f>
        <v>1</v>
      </c>
      <c r="AD1921" s="65" t="b">
        <f>FALSE()</f>
        <v>0</v>
      </c>
      <c r="AE1921" s="65">
        <v>2</v>
      </c>
      <c r="AF1921" s="69">
        <v>28.6</v>
      </c>
      <c r="AG1921" s="65" t="s">
        <v>73</v>
      </c>
      <c r="AH1921" s="65" t="s">
        <v>7013</v>
      </c>
      <c r="AI1921">
        <f>IF(AND(OR(Company_Explorer!$B$5="All Companies",$E1921=Company_Explorer!$B$5),OR(Company_Explorer!$B$6="All Platforms",$B1921=Company_Explorer!$B$6),OR(Company_Explorer!$B$7="All Roles",$D1921=Company_Explorer!$B$7),OR(Company_Explorer!$B$8="All Ghost Labels",$AG1921=Company_Explorer!$B$8)),1,0)</f>
        <v>0</v>
      </c>
    </row>
    <row r="1922" spans="1:35" ht="15" customHeight="1" x14ac:dyDescent="0.3">
      <c r="A1922" s="60" t="s">
        <v>7014</v>
      </c>
      <c r="B1922" s="60" t="s">
        <v>81</v>
      </c>
      <c r="C1922" s="60" t="s">
        <v>7015</v>
      </c>
      <c r="D1922" s="60" t="s">
        <v>126</v>
      </c>
      <c r="E1922" s="60" t="s">
        <v>7016</v>
      </c>
      <c r="F1922" s="60" t="b">
        <f>TRUE()</f>
        <v>1</v>
      </c>
      <c r="G1922" s="60" t="s">
        <v>165</v>
      </c>
      <c r="H1922" s="60" t="s">
        <v>3655</v>
      </c>
      <c r="I1922" s="61">
        <v>46206.494717187503</v>
      </c>
      <c r="J1922" s="61">
        <v>46210.283404016198</v>
      </c>
      <c r="K1922" s="60">
        <v>3.8</v>
      </c>
      <c r="L1922" s="60" t="s">
        <v>183</v>
      </c>
      <c r="M1922" s="60" t="s">
        <v>183</v>
      </c>
      <c r="N1922" s="60" t="b">
        <f>FALSE()</f>
        <v>0</v>
      </c>
      <c r="O1922" s="60"/>
      <c r="P1922" s="60"/>
      <c r="Q1922" s="60" t="s">
        <v>236</v>
      </c>
      <c r="R1922" s="60" t="s">
        <v>236</v>
      </c>
      <c r="S1922" s="60"/>
      <c r="T1922" s="60" t="b">
        <f>FALSE()</f>
        <v>0</v>
      </c>
      <c r="U1922" s="60" t="b">
        <f>FALSE()</f>
        <v>0</v>
      </c>
      <c r="V1922" s="60">
        <v>779</v>
      </c>
      <c r="W1922" s="62" t="s">
        <v>7017</v>
      </c>
      <c r="X1922" s="60">
        <v>1</v>
      </c>
      <c r="Y1922" s="63">
        <v>1.75</v>
      </c>
      <c r="Z1922" s="60" t="b">
        <f>FALSE()</f>
        <v>0</v>
      </c>
      <c r="AA1922" s="60" t="b">
        <f>TRUE()</f>
        <v>1</v>
      </c>
      <c r="AB1922" s="60" t="b">
        <f>FALSE()</f>
        <v>0</v>
      </c>
      <c r="AC1922" s="60" t="b">
        <f>TRUE()</f>
        <v>1</v>
      </c>
      <c r="AD1922" s="60" t="b">
        <f>FALSE()</f>
        <v>0</v>
      </c>
      <c r="AE1922" s="60">
        <v>2</v>
      </c>
      <c r="AF1922" s="64">
        <v>28.6</v>
      </c>
      <c r="AG1922" s="60" t="s">
        <v>73</v>
      </c>
      <c r="AH1922" s="60" t="s">
        <v>7018</v>
      </c>
      <c r="AI1922">
        <f>IF(AND(OR(Company_Explorer!$B$5="All Companies",$E1922=Company_Explorer!$B$5),OR(Company_Explorer!$B$6="All Platforms",$B1922=Company_Explorer!$B$6),OR(Company_Explorer!$B$7="All Roles",$D1922=Company_Explorer!$B$7),OR(Company_Explorer!$B$8="All Ghost Labels",$AG1922=Company_Explorer!$B$8)),1,0)</f>
        <v>0</v>
      </c>
    </row>
    <row r="1923" spans="1:35" ht="15" customHeight="1" x14ac:dyDescent="0.3">
      <c r="A1923" s="65" t="s">
        <v>7019</v>
      </c>
      <c r="B1923" s="65" t="s">
        <v>81</v>
      </c>
      <c r="C1923" s="65" t="s">
        <v>7020</v>
      </c>
      <c r="D1923" s="65" t="s">
        <v>126</v>
      </c>
      <c r="E1923" s="65" t="s">
        <v>7021</v>
      </c>
      <c r="F1923" s="65" t="b">
        <f>TRUE()</f>
        <v>1</v>
      </c>
      <c r="G1923" s="65" t="s">
        <v>165</v>
      </c>
      <c r="H1923" s="65" t="s">
        <v>4442</v>
      </c>
      <c r="I1923" s="66">
        <v>46206.039494930599</v>
      </c>
      <c r="J1923" s="66">
        <v>46210.283403981499</v>
      </c>
      <c r="K1923" s="65">
        <v>4.2</v>
      </c>
      <c r="L1923" s="65" t="s">
        <v>183</v>
      </c>
      <c r="M1923" s="65" t="s">
        <v>183</v>
      </c>
      <c r="N1923" s="65" t="b">
        <f>FALSE()</f>
        <v>0</v>
      </c>
      <c r="O1923" s="65"/>
      <c r="P1923" s="65"/>
      <c r="Q1923" s="65" t="s">
        <v>236</v>
      </c>
      <c r="R1923" s="65" t="s">
        <v>236</v>
      </c>
      <c r="S1923" s="65"/>
      <c r="T1923" s="65" t="b">
        <f>FALSE()</f>
        <v>0</v>
      </c>
      <c r="U1923" s="65" t="b">
        <f>FALSE()</f>
        <v>0</v>
      </c>
      <c r="V1923" s="65">
        <v>1300</v>
      </c>
      <c r="W1923" s="67" t="s">
        <v>7022</v>
      </c>
      <c r="X1923" s="65">
        <v>1</v>
      </c>
      <c r="Y1923" s="68">
        <v>1.75</v>
      </c>
      <c r="Z1923" s="65" t="b">
        <f>FALSE()</f>
        <v>0</v>
      </c>
      <c r="AA1923" s="65" t="b">
        <f>TRUE()</f>
        <v>1</v>
      </c>
      <c r="AB1923" s="65" t="b">
        <f>FALSE()</f>
        <v>0</v>
      </c>
      <c r="AC1923" s="65" t="b">
        <f>TRUE()</f>
        <v>1</v>
      </c>
      <c r="AD1923" s="65" t="b">
        <f>FALSE()</f>
        <v>0</v>
      </c>
      <c r="AE1923" s="65">
        <v>2</v>
      </c>
      <c r="AF1923" s="69">
        <v>28.6</v>
      </c>
      <c r="AG1923" s="65" t="s">
        <v>73</v>
      </c>
      <c r="AH1923" s="65" t="s">
        <v>7023</v>
      </c>
      <c r="AI1923">
        <f>IF(AND(OR(Company_Explorer!$B$5="All Companies",$E1923=Company_Explorer!$B$5),OR(Company_Explorer!$B$6="All Platforms",$B1923=Company_Explorer!$B$6),OR(Company_Explorer!$B$7="All Roles",$D1923=Company_Explorer!$B$7),OR(Company_Explorer!$B$8="All Ghost Labels",$AG1923=Company_Explorer!$B$8)),1,0)</f>
        <v>0</v>
      </c>
    </row>
    <row r="1924" spans="1:35" ht="15" customHeight="1" x14ac:dyDescent="0.3">
      <c r="A1924" s="60" t="s">
        <v>7024</v>
      </c>
      <c r="B1924" s="60" t="s">
        <v>81</v>
      </c>
      <c r="C1924" s="60" t="s">
        <v>7025</v>
      </c>
      <c r="D1924" s="60" t="s">
        <v>126</v>
      </c>
      <c r="E1924" s="60" t="s">
        <v>143</v>
      </c>
      <c r="F1924" s="60" t="b">
        <f>TRUE()</f>
        <v>1</v>
      </c>
      <c r="G1924" s="60" t="s">
        <v>165</v>
      </c>
      <c r="H1924" s="60" t="s">
        <v>3702</v>
      </c>
      <c r="I1924" s="61">
        <v>46206.0533906829</v>
      </c>
      <c r="J1924" s="61">
        <v>46210.283404062502</v>
      </c>
      <c r="K1924" s="60">
        <v>4.2</v>
      </c>
      <c r="L1924" s="60" t="s">
        <v>183</v>
      </c>
      <c r="M1924" s="60" t="s">
        <v>183</v>
      </c>
      <c r="N1924" s="60" t="b">
        <f>FALSE()</f>
        <v>0</v>
      </c>
      <c r="O1924" s="60"/>
      <c r="P1924" s="60"/>
      <c r="Q1924" s="60" t="s">
        <v>236</v>
      </c>
      <c r="R1924" s="60" t="s">
        <v>236</v>
      </c>
      <c r="S1924" s="60"/>
      <c r="T1924" s="60" t="b">
        <f>FALSE()</f>
        <v>0</v>
      </c>
      <c r="U1924" s="60" t="b">
        <f>FALSE()</f>
        <v>0</v>
      </c>
      <c r="V1924" s="60">
        <v>750</v>
      </c>
      <c r="W1924" s="62" t="s">
        <v>7026</v>
      </c>
      <c r="X1924" s="60">
        <v>64</v>
      </c>
      <c r="Y1924" s="63">
        <v>112</v>
      </c>
      <c r="Z1924" s="60" t="b">
        <f>FALSE()</f>
        <v>0</v>
      </c>
      <c r="AA1924" s="60" t="b">
        <f>TRUE()</f>
        <v>1</v>
      </c>
      <c r="AB1924" s="60" t="b">
        <f>FALSE()</f>
        <v>0</v>
      </c>
      <c r="AC1924" s="60" t="b">
        <f>TRUE()</f>
        <v>1</v>
      </c>
      <c r="AD1924" s="60" t="b">
        <f>TRUE()</f>
        <v>1</v>
      </c>
      <c r="AE1924" s="60">
        <v>4</v>
      </c>
      <c r="AF1924" s="64">
        <v>57.1</v>
      </c>
      <c r="AG1924" s="60" t="s">
        <v>72</v>
      </c>
      <c r="AH1924" s="60" t="s">
        <v>7027</v>
      </c>
      <c r="AI1924">
        <f>IF(AND(OR(Company_Explorer!$B$5="All Companies",$E1924=Company_Explorer!$B$5),OR(Company_Explorer!$B$6="All Platforms",$B1924=Company_Explorer!$B$6),OR(Company_Explorer!$B$7="All Roles",$D1924=Company_Explorer!$B$7),OR(Company_Explorer!$B$8="All Ghost Labels",$AG1924=Company_Explorer!$B$8)),1,0)</f>
        <v>0</v>
      </c>
    </row>
    <row r="1925" spans="1:35" ht="15" customHeight="1" x14ac:dyDescent="0.3">
      <c r="A1925" s="65" t="s">
        <v>7028</v>
      </c>
      <c r="B1925" s="65" t="s">
        <v>81</v>
      </c>
      <c r="C1925" s="65" t="s">
        <v>7029</v>
      </c>
      <c r="D1925" s="65" t="s">
        <v>127</v>
      </c>
      <c r="E1925" s="65" t="s">
        <v>7030</v>
      </c>
      <c r="F1925" s="65" t="b">
        <f>TRUE()</f>
        <v>1</v>
      </c>
      <c r="G1925" s="65" t="s">
        <v>165</v>
      </c>
      <c r="H1925" s="65" t="s">
        <v>6253</v>
      </c>
      <c r="I1925" s="66">
        <v>46206.050071736099</v>
      </c>
      <c r="J1925" s="66">
        <v>46210.283404178197</v>
      </c>
      <c r="K1925" s="65">
        <v>4.2</v>
      </c>
      <c r="L1925" s="65" t="s">
        <v>183</v>
      </c>
      <c r="M1925" s="65" t="s">
        <v>183</v>
      </c>
      <c r="N1925" s="65" t="b">
        <f>FALSE()</f>
        <v>0</v>
      </c>
      <c r="O1925" s="65"/>
      <c r="P1925" s="65"/>
      <c r="Q1925" s="65" t="s">
        <v>236</v>
      </c>
      <c r="R1925" s="65" t="s">
        <v>236</v>
      </c>
      <c r="S1925" s="65"/>
      <c r="T1925" s="65" t="b">
        <f>FALSE()</f>
        <v>0</v>
      </c>
      <c r="U1925" s="65" t="b">
        <f>FALSE()</f>
        <v>0</v>
      </c>
      <c r="V1925" s="65">
        <v>188</v>
      </c>
      <c r="W1925" s="67" t="s">
        <v>7031</v>
      </c>
      <c r="X1925" s="65">
        <v>1</v>
      </c>
      <c r="Y1925" s="68">
        <v>1.75</v>
      </c>
      <c r="Z1925" s="65" t="b">
        <f>FALSE()</f>
        <v>0</v>
      </c>
      <c r="AA1925" s="65" t="b">
        <f>TRUE()</f>
        <v>1</v>
      </c>
      <c r="AB1925" s="65" t="b">
        <f>TRUE()</f>
        <v>1</v>
      </c>
      <c r="AC1925" s="65" t="b">
        <f>TRUE()</f>
        <v>1</v>
      </c>
      <c r="AD1925" s="65" t="b">
        <f>FALSE()</f>
        <v>0</v>
      </c>
      <c r="AE1925" s="65">
        <v>3</v>
      </c>
      <c r="AF1925" s="69">
        <v>42.9</v>
      </c>
      <c r="AG1925" s="65" t="s">
        <v>73</v>
      </c>
      <c r="AH1925" s="65" t="s">
        <v>7032</v>
      </c>
      <c r="AI1925">
        <f>IF(AND(OR(Company_Explorer!$B$5="All Companies",$E1925=Company_Explorer!$B$5),OR(Company_Explorer!$B$6="All Platforms",$B1925=Company_Explorer!$B$6),OR(Company_Explorer!$B$7="All Roles",$D1925=Company_Explorer!$B$7),OR(Company_Explorer!$B$8="All Ghost Labels",$AG1925=Company_Explorer!$B$8)),1,0)</f>
        <v>0</v>
      </c>
    </row>
    <row r="1926" spans="1:35" ht="15" customHeight="1" x14ac:dyDescent="0.3">
      <c r="A1926" s="60" t="s">
        <v>7033</v>
      </c>
      <c r="B1926" s="60" t="s">
        <v>81</v>
      </c>
      <c r="C1926" s="60" t="s">
        <v>7034</v>
      </c>
      <c r="D1926" s="60" t="s">
        <v>126</v>
      </c>
      <c r="E1926" s="60" t="s">
        <v>719</v>
      </c>
      <c r="F1926" s="60" t="b">
        <f>TRUE()</f>
        <v>1</v>
      </c>
      <c r="G1926" s="60" t="s">
        <v>165</v>
      </c>
      <c r="H1926" s="60" t="s">
        <v>3702</v>
      </c>
      <c r="I1926" s="61">
        <v>46206.489423090301</v>
      </c>
      <c r="J1926" s="61">
        <v>46210.283405034701</v>
      </c>
      <c r="K1926" s="60">
        <v>3.8</v>
      </c>
      <c r="L1926" s="60" t="s">
        <v>183</v>
      </c>
      <c r="M1926" s="60" t="s">
        <v>183</v>
      </c>
      <c r="N1926" s="60" t="b">
        <f>FALSE()</f>
        <v>0</v>
      </c>
      <c r="O1926" s="60"/>
      <c r="P1926" s="60"/>
      <c r="Q1926" s="60" t="s">
        <v>236</v>
      </c>
      <c r="R1926" s="60" t="s">
        <v>236</v>
      </c>
      <c r="S1926" s="60"/>
      <c r="T1926" s="60" t="b">
        <f>FALSE()</f>
        <v>0</v>
      </c>
      <c r="U1926" s="60" t="b">
        <f>FALSE()</f>
        <v>0</v>
      </c>
      <c r="V1926" s="60">
        <v>547</v>
      </c>
      <c r="W1926" s="60" t="s">
        <v>7035</v>
      </c>
      <c r="X1926" s="60">
        <v>5</v>
      </c>
      <c r="Y1926" s="63">
        <v>8.75</v>
      </c>
      <c r="Z1926" s="60" t="b">
        <f>FALSE()</f>
        <v>0</v>
      </c>
      <c r="AA1926" s="60" t="b">
        <f>TRUE()</f>
        <v>1</v>
      </c>
      <c r="AB1926" s="60" t="b">
        <f>FALSE()</f>
        <v>0</v>
      </c>
      <c r="AC1926" s="60" t="b">
        <f>TRUE()</f>
        <v>1</v>
      </c>
      <c r="AD1926" s="60" t="b">
        <f>FALSE()</f>
        <v>0</v>
      </c>
      <c r="AE1926" s="60">
        <v>2</v>
      </c>
      <c r="AF1926" s="64">
        <v>28.6</v>
      </c>
      <c r="AG1926" s="60" t="s">
        <v>73</v>
      </c>
      <c r="AH1926" s="60" t="s">
        <v>7036</v>
      </c>
      <c r="AI1926">
        <f>IF(AND(OR(Company_Explorer!$B$5="All Companies",$E1926=Company_Explorer!$B$5),OR(Company_Explorer!$B$6="All Platforms",$B1926=Company_Explorer!$B$6),OR(Company_Explorer!$B$7="All Roles",$D1926=Company_Explorer!$B$7),OR(Company_Explorer!$B$8="All Ghost Labels",$AG1926=Company_Explorer!$B$8)),1,0)</f>
        <v>0</v>
      </c>
    </row>
    <row r="1927" spans="1:35" ht="15" customHeight="1" x14ac:dyDescent="0.3">
      <c r="A1927" s="65" t="s">
        <v>7037</v>
      </c>
      <c r="B1927" s="65" t="s">
        <v>81</v>
      </c>
      <c r="C1927" s="65" t="s">
        <v>7038</v>
      </c>
      <c r="D1927" s="65" t="s">
        <v>126</v>
      </c>
      <c r="E1927" s="65" t="s">
        <v>2918</v>
      </c>
      <c r="F1927" s="65" t="b">
        <f>TRUE()</f>
        <v>1</v>
      </c>
      <c r="G1927" s="65" t="s">
        <v>165</v>
      </c>
      <c r="H1927" s="65" t="s">
        <v>3672</v>
      </c>
      <c r="I1927" s="66">
        <v>46206.098293830997</v>
      </c>
      <c r="J1927" s="66">
        <v>46210.283404143498</v>
      </c>
      <c r="K1927" s="65">
        <v>4.2</v>
      </c>
      <c r="L1927" s="65" t="s">
        <v>183</v>
      </c>
      <c r="M1927" s="65" t="s">
        <v>183</v>
      </c>
      <c r="N1927" s="65" t="b">
        <f>FALSE()</f>
        <v>0</v>
      </c>
      <c r="O1927" s="65"/>
      <c r="P1927" s="65"/>
      <c r="Q1927" s="65" t="s">
        <v>236</v>
      </c>
      <c r="R1927" s="65" t="s">
        <v>236</v>
      </c>
      <c r="S1927" s="65"/>
      <c r="T1927" s="65" t="b">
        <f>FALSE()</f>
        <v>0</v>
      </c>
      <c r="U1927" s="65" t="b">
        <f>FALSE()</f>
        <v>0</v>
      </c>
      <c r="V1927" s="65">
        <v>853</v>
      </c>
      <c r="W1927" s="65" t="s">
        <v>2919</v>
      </c>
      <c r="X1927" s="65">
        <v>1</v>
      </c>
      <c r="Y1927" s="68">
        <v>1.75</v>
      </c>
      <c r="Z1927" s="65" t="b">
        <f>FALSE()</f>
        <v>0</v>
      </c>
      <c r="AA1927" s="65" t="b">
        <f>TRUE()</f>
        <v>1</v>
      </c>
      <c r="AB1927" s="65" t="b">
        <f>FALSE()</f>
        <v>0</v>
      </c>
      <c r="AC1927" s="65" t="b">
        <f>TRUE()</f>
        <v>1</v>
      </c>
      <c r="AD1927" s="65" t="b">
        <f>FALSE()</f>
        <v>0</v>
      </c>
      <c r="AE1927" s="65">
        <v>2</v>
      </c>
      <c r="AF1927" s="69">
        <v>28.6</v>
      </c>
      <c r="AG1927" s="65" t="s">
        <v>73</v>
      </c>
      <c r="AH1927" s="65" t="s">
        <v>7039</v>
      </c>
      <c r="AI1927">
        <f>IF(AND(OR(Company_Explorer!$B$5="All Companies",$E1927=Company_Explorer!$B$5),OR(Company_Explorer!$B$6="All Platforms",$B1927=Company_Explorer!$B$6),OR(Company_Explorer!$B$7="All Roles",$D1927=Company_Explorer!$B$7),OR(Company_Explorer!$B$8="All Ghost Labels",$AG1927=Company_Explorer!$B$8)),1,0)</f>
        <v>0</v>
      </c>
    </row>
    <row r="1928" spans="1:35" ht="15" customHeight="1" x14ac:dyDescent="0.3">
      <c r="A1928" s="60" t="s">
        <v>7040</v>
      </c>
      <c r="B1928" s="60" t="s">
        <v>81</v>
      </c>
      <c r="C1928" s="60" t="s">
        <v>7041</v>
      </c>
      <c r="D1928" s="60" t="s">
        <v>126</v>
      </c>
      <c r="E1928" s="60" t="s">
        <v>4610</v>
      </c>
      <c r="F1928" s="60" t="b">
        <f>TRUE()</f>
        <v>1</v>
      </c>
      <c r="G1928" s="60" t="s">
        <v>165</v>
      </c>
      <c r="H1928" s="60" t="s">
        <v>3620</v>
      </c>
      <c r="I1928" s="61">
        <v>46206.488507499998</v>
      </c>
      <c r="J1928" s="61">
        <v>46210.283405150498</v>
      </c>
      <c r="K1928" s="60">
        <v>3.8</v>
      </c>
      <c r="L1928" s="60" t="s">
        <v>183</v>
      </c>
      <c r="M1928" s="60" t="s">
        <v>183</v>
      </c>
      <c r="N1928" s="60" t="b">
        <f>FALSE()</f>
        <v>0</v>
      </c>
      <c r="O1928" s="60"/>
      <c r="P1928" s="60"/>
      <c r="Q1928" s="60" t="s">
        <v>236</v>
      </c>
      <c r="R1928" s="60" t="s">
        <v>236</v>
      </c>
      <c r="S1928" s="60"/>
      <c r="T1928" s="60" t="b">
        <f>FALSE()</f>
        <v>0</v>
      </c>
      <c r="U1928" s="60" t="b">
        <f>FALSE()</f>
        <v>0</v>
      </c>
      <c r="V1928" s="60">
        <v>303</v>
      </c>
      <c r="W1928" s="62" t="s">
        <v>7042</v>
      </c>
      <c r="X1928" s="60">
        <v>12</v>
      </c>
      <c r="Y1928" s="63">
        <v>21</v>
      </c>
      <c r="Z1928" s="60" t="b">
        <f>FALSE()</f>
        <v>0</v>
      </c>
      <c r="AA1928" s="60" t="b">
        <f>TRUE()</f>
        <v>1</v>
      </c>
      <c r="AB1928" s="60" t="b">
        <f>FALSE()</f>
        <v>0</v>
      </c>
      <c r="AC1928" s="60" t="b">
        <f>TRUE()</f>
        <v>1</v>
      </c>
      <c r="AD1928" s="60" t="b">
        <f>FALSE()</f>
        <v>0</v>
      </c>
      <c r="AE1928" s="60">
        <v>2</v>
      </c>
      <c r="AF1928" s="64">
        <v>28.6</v>
      </c>
      <c r="AG1928" s="60" t="s">
        <v>73</v>
      </c>
      <c r="AH1928" s="60" t="s">
        <v>7043</v>
      </c>
      <c r="AI1928">
        <f>IF(AND(OR(Company_Explorer!$B$5="All Companies",$E1928=Company_Explorer!$B$5),OR(Company_Explorer!$B$6="All Platforms",$B1928=Company_Explorer!$B$6),OR(Company_Explorer!$B$7="All Roles",$D1928=Company_Explorer!$B$7),OR(Company_Explorer!$B$8="All Ghost Labels",$AG1928=Company_Explorer!$B$8)),1,0)</f>
        <v>0</v>
      </c>
    </row>
    <row r="1929" spans="1:35" ht="15" customHeight="1" x14ac:dyDescent="0.3">
      <c r="A1929" s="65" t="s">
        <v>7044</v>
      </c>
      <c r="B1929" s="65" t="s">
        <v>81</v>
      </c>
      <c r="C1929" s="65" t="s">
        <v>7045</v>
      </c>
      <c r="D1929" s="65" t="s">
        <v>126</v>
      </c>
      <c r="E1929" s="65" t="s">
        <v>4610</v>
      </c>
      <c r="F1929" s="65" t="b">
        <f>TRUE()</f>
        <v>1</v>
      </c>
      <c r="G1929" s="65" t="s">
        <v>165</v>
      </c>
      <c r="H1929" s="65" t="s">
        <v>3620</v>
      </c>
      <c r="I1929" s="66">
        <v>46206.488496469901</v>
      </c>
      <c r="J1929" s="66">
        <v>46210.283408576397</v>
      </c>
      <c r="K1929" s="65">
        <v>3.8</v>
      </c>
      <c r="L1929" s="65" t="s">
        <v>183</v>
      </c>
      <c r="M1929" s="65" t="s">
        <v>183</v>
      </c>
      <c r="N1929" s="65" t="b">
        <f>FALSE()</f>
        <v>0</v>
      </c>
      <c r="O1929" s="65"/>
      <c r="P1929" s="65"/>
      <c r="Q1929" s="65" t="s">
        <v>236</v>
      </c>
      <c r="R1929" s="65" t="s">
        <v>236</v>
      </c>
      <c r="S1929" s="65"/>
      <c r="T1929" s="65" t="b">
        <f>FALSE()</f>
        <v>0</v>
      </c>
      <c r="U1929" s="65" t="b">
        <f>FALSE()</f>
        <v>0</v>
      </c>
      <c r="V1929" s="65">
        <v>607</v>
      </c>
      <c r="W1929" s="67" t="s">
        <v>7046</v>
      </c>
      <c r="X1929" s="65">
        <v>12</v>
      </c>
      <c r="Y1929" s="68">
        <v>21</v>
      </c>
      <c r="Z1929" s="65" t="b">
        <f>FALSE()</f>
        <v>0</v>
      </c>
      <c r="AA1929" s="65" t="b">
        <f>TRUE()</f>
        <v>1</v>
      </c>
      <c r="AB1929" s="65" t="b">
        <f>FALSE()</f>
        <v>0</v>
      </c>
      <c r="AC1929" s="65" t="b">
        <f>TRUE()</f>
        <v>1</v>
      </c>
      <c r="AD1929" s="65" t="b">
        <f>FALSE()</f>
        <v>0</v>
      </c>
      <c r="AE1929" s="65">
        <v>2</v>
      </c>
      <c r="AF1929" s="69">
        <v>28.6</v>
      </c>
      <c r="AG1929" s="65" t="s">
        <v>73</v>
      </c>
      <c r="AH1929" s="65" t="s">
        <v>7047</v>
      </c>
      <c r="AI1929">
        <f>IF(AND(OR(Company_Explorer!$B$5="All Companies",$E1929=Company_Explorer!$B$5),OR(Company_Explorer!$B$6="All Platforms",$B1929=Company_Explorer!$B$6),OR(Company_Explorer!$B$7="All Roles",$D1929=Company_Explorer!$B$7),OR(Company_Explorer!$B$8="All Ghost Labels",$AG1929=Company_Explorer!$B$8)),1,0)</f>
        <v>0</v>
      </c>
    </row>
    <row r="1930" spans="1:35" ht="15" customHeight="1" x14ac:dyDescent="0.3">
      <c r="A1930" s="60" t="s">
        <v>7048</v>
      </c>
      <c r="B1930" s="60" t="s">
        <v>81</v>
      </c>
      <c r="C1930" s="60" t="s">
        <v>7049</v>
      </c>
      <c r="D1930" s="60" t="s">
        <v>126</v>
      </c>
      <c r="E1930" s="60" t="s">
        <v>4028</v>
      </c>
      <c r="F1930" s="60" t="b">
        <f>TRUE()</f>
        <v>1</v>
      </c>
      <c r="G1930" s="60" t="s">
        <v>165</v>
      </c>
      <c r="H1930" s="60" t="s">
        <v>3655</v>
      </c>
      <c r="I1930" s="61">
        <v>46206.011824143498</v>
      </c>
      <c r="J1930" s="61">
        <v>46210.283408611103</v>
      </c>
      <c r="K1930" s="60">
        <v>4.3</v>
      </c>
      <c r="L1930" s="60" t="s">
        <v>183</v>
      </c>
      <c r="M1930" s="60" t="s">
        <v>183</v>
      </c>
      <c r="N1930" s="60" t="b">
        <f>FALSE()</f>
        <v>0</v>
      </c>
      <c r="O1930" s="60"/>
      <c r="P1930" s="60"/>
      <c r="Q1930" s="60" t="s">
        <v>236</v>
      </c>
      <c r="R1930" s="60" t="s">
        <v>236</v>
      </c>
      <c r="S1930" s="60"/>
      <c r="T1930" s="60" t="b">
        <f>FALSE()</f>
        <v>0</v>
      </c>
      <c r="U1930" s="60" t="b">
        <f>FALSE()</f>
        <v>0</v>
      </c>
      <c r="V1930" s="60">
        <v>611</v>
      </c>
      <c r="W1930" s="62" t="s">
        <v>4029</v>
      </c>
      <c r="X1930" s="60">
        <v>6</v>
      </c>
      <c r="Y1930" s="63">
        <v>10.5</v>
      </c>
      <c r="Z1930" s="60" t="b">
        <f>FALSE()</f>
        <v>0</v>
      </c>
      <c r="AA1930" s="60" t="b">
        <f>TRUE()</f>
        <v>1</v>
      </c>
      <c r="AB1930" s="60" t="b">
        <f>FALSE()</f>
        <v>0</v>
      </c>
      <c r="AC1930" s="60" t="b">
        <f>TRUE()</f>
        <v>1</v>
      </c>
      <c r="AD1930" s="60" t="b">
        <f>FALSE()</f>
        <v>0</v>
      </c>
      <c r="AE1930" s="60">
        <v>2</v>
      </c>
      <c r="AF1930" s="64">
        <v>28.6</v>
      </c>
      <c r="AG1930" s="60" t="s">
        <v>73</v>
      </c>
      <c r="AH1930" s="60" t="s">
        <v>7050</v>
      </c>
      <c r="AI1930">
        <f>IF(AND(OR(Company_Explorer!$B$5="All Companies",$E1930=Company_Explorer!$B$5),OR(Company_Explorer!$B$6="All Platforms",$B1930=Company_Explorer!$B$6),OR(Company_Explorer!$B$7="All Roles",$D1930=Company_Explorer!$B$7),OR(Company_Explorer!$B$8="All Ghost Labels",$AG1930=Company_Explorer!$B$8)),1,0)</f>
        <v>0</v>
      </c>
    </row>
    <row r="1931" spans="1:35" ht="15" customHeight="1" x14ac:dyDescent="0.3">
      <c r="A1931" s="65" t="s">
        <v>7051</v>
      </c>
      <c r="B1931" s="65" t="s">
        <v>81</v>
      </c>
      <c r="C1931" s="65" t="s">
        <v>7052</v>
      </c>
      <c r="D1931" s="65" t="s">
        <v>127</v>
      </c>
      <c r="E1931" s="65" t="s">
        <v>147</v>
      </c>
      <c r="F1931" s="65" t="b">
        <f>TRUE()</f>
        <v>1</v>
      </c>
      <c r="G1931" s="65" t="s">
        <v>165</v>
      </c>
      <c r="H1931" s="65" t="s">
        <v>3620</v>
      </c>
      <c r="I1931" s="66">
        <v>46205.972572627303</v>
      </c>
      <c r="J1931" s="66">
        <v>46210.283408668998</v>
      </c>
      <c r="K1931" s="65">
        <v>4.3</v>
      </c>
      <c r="L1931" s="65" t="s">
        <v>183</v>
      </c>
      <c r="M1931" s="65" t="s">
        <v>183</v>
      </c>
      <c r="N1931" s="65" t="b">
        <f>FALSE()</f>
        <v>0</v>
      </c>
      <c r="O1931" s="65"/>
      <c r="P1931" s="65"/>
      <c r="Q1931" s="65" t="s">
        <v>236</v>
      </c>
      <c r="R1931" s="65" t="s">
        <v>236</v>
      </c>
      <c r="S1931" s="65"/>
      <c r="T1931" s="65" t="b">
        <f>FALSE()</f>
        <v>0</v>
      </c>
      <c r="U1931" s="65" t="b">
        <f>FALSE()</f>
        <v>0</v>
      </c>
      <c r="V1931" s="65">
        <v>281</v>
      </c>
      <c r="W1931" s="67" t="s">
        <v>7053</v>
      </c>
      <c r="X1931" s="65">
        <v>16</v>
      </c>
      <c r="Y1931" s="68">
        <v>28</v>
      </c>
      <c r="Z1931" s="65" t="b">
        <f>FALSE()</f>
        <v>0</v>
      </c>
      <c r="AA1931" s="65" t="b">
        <f>TRUE()</f>
        <v>1</v>
      </c>
      <c r="AB1931" s="65" t="b">
        <f>TRUE()</f>
        <v>1</v>
      </c>
      <c r="AC1931" s="65" t="b">
        <f>TRUE()</f>
        <v>1</v>
      </c>
      <c r="AD1931" s="65" t="b">
        <f>FALSE()</f>
        <v>0</v>
      </c>
      <c r="AE1931" s="65">
        <v>3</v>
      </c>
      <c r="AF1931" s="69">
        <v>42.9</v>
      </c>
      <c r="AG1931" s="65" t="s">
        <v>73</v>
      </c>
      <c r="AH1931" s="65" t="s">
        <v>7054</v>
      </c>
      <c r="AI1931">
        <f>IF(AND(OR(Company_Explorer!$B$5="All Companies",$E1931=Company_Explorer!$B$5),OR(Company_Explorer!$B$6="All Platforms",$B1931=Company_Explorer!$B$6),OR(Company_Explorer!$B$7="All Roles",$D1931=Company_Explorer!$B$7),OR(Company_Explorer!$B$8="All Ghost Labels",$AG1931=Company_Explorer!$B$8)),1,0)</f>
        <v>1</v>
      </c>
    </row>
    <row r="1932" spans="1:35" ht="15" customHeight="1" x14ac:dyDescent="0.3">
      <c r="A1932" s="60" t="s">
        <v>7055</v>
      </c>
      <c r="B1932" s="60" t="s">
        <v>81</v>
      </c>
      <c r="C1932" s="60" t="s">
        <v>7056</v>
      </c>
      <c r="D1932" s="60" t="s">
        <v>127</v>
      </c>
      <c r="E1932" s="60" t="s">
        <v>7057</v>
      </c>
      <c r="F1932" s="60" t="b">
        <f>TRUE()</f>
        <v>1</v>
      </c>
      <c r="G1932" s="60" t="s">
        <v>165</v>
      </c>
      <c r="H1932" s="60" t="s">
        <v>3672</v>
      </c>
      <c r="I1932" s="61">
        <v>46206.486566504602</v>
      </c>
      <c r="J1932" s="61">
        <v>46210.283409745403</v>
      </c>
      <c r="K1932" s="60">
        <v>3.8</v>
      </c>
      <c r="L1932" s="60" t="s">
        <v>183</v>
      </c>
      <c r="M1932" s="60" t="s">
        <v>183</v>
      </c>
      <c r="N1932" s="60" t="b">
        <f>TRUE()</f>
        <v>1</v>
      </c>
      <c r="O1932" s="70">
        <v>1000000</v>
      </c>
      <c r="P1932" s="70">
        <v>1200000</v>
      </c>
      <c r="Q1932" s="60" t="s">
        <v>3663</v>
      </c>
      <c r="R1932" s="60" t="s">
        <v>3961</v>
      </c>
      <c r="S1932" s="70">
        <v>1100000</v>
      </c>
      <c r="T1932" s="60" t="b">
        <f>TRUE()</f>
        <v>1</v>
      </c>
      <c r="U1932" s="60" t="b">
        <f>FALSE()</f>
        <v>0</v>
      </c>
      <c r="V1932" s="60">
        <v>365</v>
      </c>
      <c r="W1932" s="62" t="s">
        <v>7058</v>
      </c>
      <c r="X1932" s="60">
        <v>1</v>
      </c>
      <c r="Y1932" s="63">
        <v>1.75</v>
      </c>
      <c r="Z1932" s="60" t="b">
        <f>FALSE()</f>
        <v>0</v>
      </c>
      <c r="AA1932" s="60" t="b">
        <f>FALSE()</f>
        <v>0</v>
      </c>
      <c r="AB1932" s="60" t="b">
        <f>FALSE()</f>
        <v>0</v>
      </c>
      <c r="AC1932" s="60" t="b">
        <f>TRUE()</f>
        <v>1</v>
      </c>
      <c r="AD1932" s="60" t="b">
        <f>FALSE()</f>
        <v>0</v>
      </c>
      <c r="AE1932" s="60">
        <v>1</v>
      </c>
      <c r="AF1932" s="64">
        <v>14.3</v>
      </c>
      <c r="AG1932" s="60" t="s">
        <v>74</v>
      </c>
      <c r="AH1932" s="60" t="s">
        <v>7059</v>
      </c>
      <c r="AI1932">
        <f>IF(AND(OR(Company_Explorer!$B$5="All Companies",$E1932=Company_Explorer!$B$5),OR(Company_Explorer!$B$6="All Platforms",$B1932=Company_Explorer!$B$6),OR(Company_Explorer!$B$7="All Roles",$D1932=Company_Explorer!$B$7),OR(Company_Explorer!$B$8="All Ghost Labels",$AG1932=Company_Explorer!$B$8)),1,0)</f>
        <v>0</v>
      </c>
    </row>
    <row r="1933" spans="1:35" ht="15" customHeight="1" x14ac:dyDescent="0.3">
      <c r="A1933" s="65" t="s">
        <v>7060</v>
      </c>
      <c r="B1933" s="65" t="s">
        <v>81</v>
      </c>
      <c r="C1933" s="65" t="s">
        <v>7061</v>
      </c>
      <c r="D1933" s="65" t="s">
        <v>126</v>
      </c>
      <c r="E1933" s="65" t="s">
        <v>147</v>
      </c>
      <c r="F1933" s="65" t="b">
        <f>TRUE()</f>
        <v>1</v>
      </c>
      <c r="G1933" s="65" t="s">
        <v>165</v>
      </c>
      <c r="H1933" s="65" t="s">
        <v>3620</v>
      </c>
      <c r="I1933" s="66">
        <v>46205.972572986102</v>
      </c>
      <c r="J1933" s="66">
        <v>46210.283409861098</v>
      </c>
      <c r="K1933" s="65">
        <v>4.3</v>
      </c>
      <c r="L1933" s="65" t="s">
        <v>183</v>
      </c>
      <c r="M1933" s="65" t="s">
        <v>183</v>
      </c>
      <c r="N1933" s="65" t="b">
        <f>FALSE()</f>
        <v>0</v>
      </c>
      <c r="O1933" s="65"/>
      <c r="P1933" s="65"/>
      <c r="Q1933" s="65" t="s">
        <v>236</v>
      </c>
      <c r="R1933" s="65" t="s">
        <v>236</v>
      </c>
      <c r="S1933" s="65"/>
      <c r="T1933" s="65" t="b">
        <f>FALSE()</f>
        <v>0</v>
      </c>
      <c r="U1933" s="65" t="b">
        <f>FALSE()</f>
        <v>0</v>
      </c>
      <c r="V1933" s="65">
        <v>539</v>
      </c>
      <c r="W1933" s="67" t="s">
        <v>7062</v>
      </c>
      <c r="X1933" s="65">
        <v>16</v>
      </c>
      <c r="Y1933" s="68">
        <v>28</v>
      </c>
      <c r="Z1933" s="65" t="b">
        <f>FALSE()</f>
        <v>0</v>
      </c>
      <c r="AA1933" s="65" t="b">
        <f>TRUE()</f>
        <v>1</v>
      </c>
      <c r="AB1933" s="65" t="b">
        <f>FALSE()</f>
        <v>0</v>
      </c>
      <c r="AC1933" s="65" t="b">
        <f>TRUE()</f>
        <v>1</v>
      </c>
      <c r="AD1933" s="65" t="b">
        <f>FALSE()</f>
        <v>0</v>
      </c>
      <c r="AE1933" s="65">
        <v>2</v>
      </c>
      <c r="AF1933" s="69">
        <v>28.6</v>
      </c>
      <c r="AG1933" s="65" t="s">
        <v>73</v>
      </c>
      <c r="AH1933" s="65" t="s">
        <v>7063</v>
      </c>
      <c r="AI1933">
        <f>IF(AND(OR(Company_Explorer!$B$5="All Companies",$E1933=Company_Explorer!$B$5),OR(Company_Explorer!$B$6="All Platforms",$B1933=Company_Explorer!$B$6),OR(Company_Explorer!$B$7="All Roles",$D1933=Company_Explorer!$B$7),OR(Company_Explorer!$B$8="All Ghost Labels",$AG1933=Company_Explorer!$B$8)),1,0)</f>
        <v>1</v>
      </c>
    </row>
    <row r="1934" spans="1:35" ht="15" customHeight="1" x14ac:dyDescent="0.3">
      <c r="A1934" s="60" t="s">
        <v>7064</v>
      </c>
      <c r="B1934" s="60" t="s">
        <v>81</v>
      </c>
      <c r="C1934" s="60" t="s">
        <v>7065</v>
      </c>
      <c r="D1934" s="60" t="s">
        <v>126</v>
      </c>
      <c r="E1934" s="60" t="s">
        <v>7066</v>
      </c>
      <c r="F1934" s="60" t="b">
        <f>TRUE()</f>
        <v>1</v>
      </c>
      <c r="G1934" s="60" t="s">
        <v>165</v>
      </c>
      <c r="H1934" s="60" t="s">
        <v>3702</v>
      </c>
      <c r="I1934" s="61">
        <v>46205.997919791698</v>
      </c>
      <c r="J1934" s="61">
        <v>46210.283409768497</v>
      </c>
      <c r="K1934" s="60">
        <v>4.3</v>
      </c>
      <c r="L1934" s="60" t="s">
        <v>183</v>
      </c>
      <c r="M1934" s="60" t="s">
        <v>183</v>
      </c>
      <c r="N1934" s="60" t="b">
        <f>FALSE()</f>
        <v>0</v>
      </c>
      <c r="O1934" s="60"/>
      <c r="P1934" s="60"/>
      <c r="Q1934" s="60" t="s">
        <v>236</v>
      </c>
      <c r="R1934" s="60" t="s">
        <v>236</v>
      </c>
      <c r="S1934" s="60"/>
      <c r="T1934" s="60" t="b">
        <f>FALSE()</f>
        <v>0</v>
      </c>
      <c r="U1934" s="60" t="b">
        <f>FALSE()</f>
        <v>0</v>
      </c>
      <c r="V1934" s="60">
        <v>914</v>
      </c>
      <c r="W1934" s="62" t="s">
        <v>7067</v>
      </c>
      <c r="X1934" s="60">
        <v>1</v>
      </c>
      <c r="Y1934" s="63">
        <v>1.75</v>
      </c>
      <c r="Z1934" s="60" t="b">
        <f>FALSE()</f>
        <v>0</v>
      </c>
      <c r="AA1934" s="60" t="b">
        <f>TRUE()</f>
        <v>1</v>
      </c>
      <c r="AB1934" s="60" t="b">
        <f>FALSE()</f>
        <v>0</v>
      </c>
      <c r="AC1934" s="60" t="b">
        <f>TRUE()</f>
        <v>1</v>
      </c>
      <c r="AD1934" s="60" t="b">
        <f>FALSE()</f>
        <v>0</v>
      </c>
      <c r="AE1934" s="60">
        <v>2</v>
      </c>
      <c r="AF1934" s="64">
        <v>28.6</v>
      </c>
      <c r="AG1934" s="60" t="s">
        <v>73</v>
      </c>
      <c r="AH1934" s="60" t="s">
        <v>7068</v>
      </c>
      <c r="AI1934">
        <f>IF(AND(OR(Company_Explorer!$B$5="All Companies",$E1934=Company_Explorer!$B$5),OR(Company_Explorer!$B$6="All Platforms",$B1934=Company_Explorer!$B$6),OR(Company_Explorer!$B$7="All Roles",$D1934=Company_Explorer!$B$7),OR(Company_Explorer!$B$8="All Ghost Labels",$AG1934=Company_Explorer!$B$8)),1,0)</f>
        <v>0</v>
      </c>
    </row>
    <row r="1935" spans="1:35" ht="15" customHeight="1" x14ac:dyDescent="0.3">
      <c r="A1935" s="65" t="s">
        <v>7069</v>
      </c>
      <c r="B1935" s="65" t="s">
        <v>81</v>
      </c>
      <c r="C1935" s="65" t="s">
        <v>7070</v>
      </c>
      <c r="D1935" s="65" t="s">
        <v>126</v>
      </c>
      <c r="E1935" s="65" t="s">
        <v>7071</v>
      </c>
      <c r="F1935" s="65" t="b">
        <f>TRUE()</f>
        <v>1</v>
      </c>
      <c r="G1935" s="65" t="s">
        <v>165</v>
      </c>
      <c r="H1935" s="65" t="s">
        <v>3620</v>
      </c>
      <c r="I1935" s="66">
        <v>46206.482737488397</v>
      </c>
      <c r="J1935" s="66">
        <v>46210.2834097222</v>
      </c>
      <c r="K1935" s="65">
        <v>3.8</v>
      </c>
      <c r="L1935" s="65" t="s">
        <v>183</v>
      </c>
      <c r="M1935" s="65" t="s">
        <v>183</v>
      </c>
      <c r="N1935" s="65" t="b">
        <f>FALSE()</f>
        <v>0</v>
      </c>
      <c r="O1935" s="65"/>
      <c r="P1935" s="65"/>
      <c r="Q1935" s="65" t="s">
        <v>236</v>
      </c>
      <c r="R1935" s="65" t="s">
        <v>236</v>
      </c>
      <c r="S1935" s="65"/>
      <c r="T1935" s="65" t="b">
        <f>FALSE()</f>
        <v>0</v>
      </c>
      <c r="U1935" s="65" t="b">
        <f>FALSE()</f>
        <v>0</v>
      </c>
      <c r="V1935" s="65">
        <v>583</v>
      </c>
      <c r="W1935" s="67" t="s">
        <v>7072</v>
      </c>
      <c r="X1935" s="65">
        <v>1</v>
      </c>
      <c r="Y1935" s="68">
        <v>1.75</v>
      </c>
      <c r="Z1935" s="65" t="b">
        <f>FALSE()</f>
        <v>0</v>
      </c>
      <c r="AA1935" s="65" t="b">
        <f>TRUE()</f>
        <v>1</v>
      </c>
      <c r="AB1935" s="65" t="b">
        <f>FALSE()</f>
        <v>0</v>
      </c>
      <c r="AC1935" s="65" t="b">
        <f>TRUE()</f>
        <v>1</v>
      </c>
      <c r="AD1935" s="65" t="b">
        <f>FALSE()</f>
        <v>0</v>
      </c>
      <c r="AE1935" s="65">
        <v>2</v>
      </c>
      <c r="AF1935" s="69">
        <v>28.6</v>
      </c>
      <c r="AG1935" s="65" t="s">
        <v>73</v>
      </c>
      <c r="AH1935" s="65" t="s">
        <v>7073</v>
      </c>
      <c r="AI1935">
        <f>IF(AND(OR(Company_Explorer!$B$5="All Companies",$E1935=Company_Explorer!$B$5),OR(Company_Explorer!$B$6="All Platforms",$B1935=Company_Explorer!$B$6),OR(Company_Explorer!$B$7="All Roles",$D1935=Company_Explorer!$B$7),OR(Company_Explorer!$B$8="All Ghost Labels",$AG1935=Company_Explorer!$B$8)),1,0)</f>
        <v>0</v>
      </c>
    </row>
    <row r="1936" spans="1:35" ht="15" customHeight="1" x14ac:dyDescent="0.3">
      <c r="A1936" s="60" t="s">
        <v>7074</v>
      </c>
      <c r="B1936" s="60" t="s">
        <v>81</v>
      </c>
      <c r="C1936" s="60" t="s">
        <v>7075</v>
      </c>
      <c r="D1936" s="60" t="s">
        <v>126</v>
      </c>
      <c r="E1936" s="60" t="s">
        <v>7076</v>
      </c>
      <c r="F1936" s="60" t="b">
        <f>TRUE()</f>
        <v>1</v>
      </c>
      <c r="G1936" s="60" t="s">
        <v>165</v>
      </c>
      <c r="H1936" s="60" t="s">
        <v>3655</v>
      </c>
      <c r="I1936" s="61">
        <v>46206.467729456002</v>
      </c>
      <c r="J1936" s="61">
        <v>46210.283409919</v>
      </c>
      <c r="K1936" s="60">
        <v>3.8</v>
      </c>
      <c r="L1936" s="60" t="s">
        <v>183</v>
      </c>
      <c r="M1936" s="60" t="s">
        <v>183</v>
      </c>
      <c r="N1936" s="60" t="b">
        <f>FALSE()</f>
        <v>0</v>
      </c>
      <c r="O1936" s="60"/>
      <c r="P1936" s="60"/>
      <c r="Q1936" s="60" t="s">
        <v>236</v>
      </c>
      <c r="R1936" s="60" t="s">
        <v>236</v>
      </c>
      <c r="S1936" s="60"/>
      <c r="T1936" s="60" t="b">
        <f>FALSE()</f>
        <v>0</v>
      </c>
      <c r="U1936" s="60" t="b">
        <f>FALSE()</f>
        <v>0</v>
      </c>
      <c r="V1936" s="60">
        <v>587</v>
      </c>
      <c r="W1936" s="62" t="s">
        <v>7077</v>
      </c>
      <c r="X1936" s="60">
        <v>1</v>
      </c>
      <c r="Y1936" s="63">
        <v>1.75</v>
      </c>
      <c r="Z1936" s="60" t="b">
        <f>FALSE()</f>
        <v>0</v>
      </c>
      <c r="AA1936" s="60" t="b">
        <f>TRUE()</f>
        <v>1</v>
      </c>
      <c r="AB1936" s="60" t="b">
        <f>FALSE()</f>
        <v>0</v>
      </c>
      <c r="AC1936" s="60" t="b">
        <f>TRUE()</f>
        <v>1</v>
      </c>
      <c r="AD1936" s="60" t="b">
        <f>FALSE()</f>
        <v>0</v>
      </c>
      <c r="AE1936" s="60">
        <v>2</v>
      </c>
      <c r="AF1936" s="64">
        <v>28.6</v>
      </c>
      <c r="AG1936" s="60" t="s">
        <v>73</v>
      </c>
      <c r="AH1936" s="60" t="s">
        <v>7078</v>
      </c>
      <c r="AI1936">
        <f>IF(AND(OR(Company_Explorer!$B$5="All Companies",$E1936=Company_Explorer!$B$5),OR(Company_Explorer!$B$6="All Platforms",$B1936=Company_Explorer!$B$6),OR(Company_Explorer!$B$7="All Roles",$D1936=Company_Explorer!$B$7),OR(Company_Explorer!$B$8="All Ghost Labels",$AG1936=Company_Explorer!$B$8)),1,0)</f>
        <v>0</v>
      </c>
    </row>
    <row r="1937" spans="1:35" ht="15" customHeight="1" x14ac:dyDescent="0.3">
      <c r="A1937" s="65" t="s">
        <v>7079</v>
      </c>
      <c r="B1937" s="65" t="s">
        <v>81</v>
      </c>
      <c r="C1937" s="65" t="s">
        <v>7080</v>
      </c>
      <c r="D1937" s="65" t="s">
        <v>125</v>
      </c>
      <c r="E1937" s="65" t="s">
        <v>7081</v>
      </c>
      <c r="F1937" s="65" t="b">
        <f>TRUE()</f>
        <v>1</v>
      </c>
      <c r="G1937" s="65" t="s">
        <v>165</v>
      </c>
      <c r="H1937" s="65" t="s">
        <v>5787</v>
      </c>
      <c r="I1937" s="66">
        <v>46210.231469270802</v>
      </c>
      <c r="J1937" s="66">
        <v>46210.283413460696</v>
      </c>
      <c r="K1937" s="65">
        <v>0.1</v>
      </c>
      <c r="L1937" s="65" t="s">
        <v>183</v>
      </c>
      <c r="M1937" s="65" t="s">
        <v>183</v>
      </c>
      <c r="N1937" s="65" t="b">
        <f>FALSE()</f>
        <v>0</v>
      </c>
      <c r="O1937" s="65"/>
      <c r="P1937" s="65"/>
      <c r="Q1937" s="65" t="s">
        <v>3663</v>
      </c>
      <c r="R1937" s="65" t="s">
        <v>3664</v>
      </c>
      <c r="S1937" s="65"/>
      <c r="T1937" s="65" t="b">
        <f>FALSE()</f>
        <v>0</v>
      </c>
      <c r="U1937" s="65" t="b">
        <f>FALSE()</f>
        <v>0</v>
      </c>
      <c r="V1937" s="65">
        <v>76</v>
      </c>
      <c r="W1937" s="67" t="s">
        <v>7082</v>
      </c>
      <c r="X1937" s="65">
        <v>1</v>
      </c>
      <c r="Y1937" s="68">
        <v>1.75</v>
      </c>
      <c r="Z1937" s="65" t="b">
        <f>FALSE()</f>
        <v>0</v>
      </c>
      <c r="AA1937" s="65" t="b">
        <f>TRUE()</f>
        <v>1</v>
      </c>
      <c r="AB1937" s="65" t="b">
        <f>TRUE()</f>
        <v>1</v>
      </c>
      <c r="AC1937" s="65" t="b">
        <f>FALSE()</f>
        <v>0</v>
      </c>
      <c r="AD1937" s="65" t="b">
        <f>FALSE()</f>
        <v>0</v>
      </c>
      <c r="AE1937" s="65">
        <v>2</v>
      </c>
      <c r="AF1937" s="69">
        <v>28.6</v>
      </c>
      <c r="AG1937" s="65" t="s">
        <v>73</v>
      </c>
      <c r="AH1937" s="65" t="s">
        <v>7083</v>
      </c>
      <c r="AI1937">
        <f>IF(AND(OR(Company_Explorer!$B$5="All Companies",$E1937=Company_Explorer!$B$5),OR(Company_Explorer!$B$6="All Platforms",$B1937=Company_Explorer!$B$6),OR(Company_Explorer!$B$7="All Roles",$D1937=Company_Explorer!$B$7),OR(Company_Explorer!$B$8="All Ghost Labels",$AG1937=Company_Explorer!$B$8)),1,0)</f>
        <v>0</v>
      </c>
    </row>
    <row r="1938" spans="1:35" ht="15" customHeight="1" x14ac:dyDescent="0.3">
      <c r="A1938" s="60" t="s">
        <v>7084</v>
      </c>
      <c r="B1938" s="60" t="s">
        <v>81</v>
      </c>
      <c r="C1938" s="60" t="s">
        <v>7085</v>
      </c>
      <c r="D1938" s="60" t="s">
        <v>128</v>
      </c>
      <c r="E1938" s="60" t="s">
        <v>5859</v>
      </c>
      <c r="F1938" s="60" t="b">
        <f>TRUE()</f>
        <v>1</v>
      </c>
      <c r="G1938" s="60" t="s">
        <v>165</v>
      </c>
      <c r="H1938" s="60" t="s">
        <v>3620</v>
      </c>
      <c r="I1938" s="61">
        <v>46209.873199097201</v>
      </c>
      <c r="J1938" s="61">
        <v>46210.283413518497</v>
      </c>
      <c r="K1938" s="60">
        <v>0.4</v>
      </c>
      <c r="L1938" s="60" t="s">
        <v>183</v>
      </c>
      <c r="M1938" s="60" t="s">
        <v>183</v>
      </c>
      <c r="N1938" s="60" t="b">
        <f>FALSE()</f>
        <v>0</v>
      </c>
      <c r="O1938" s="60"/>
      <c r="P1938" s="60"/>
      <c r="Q1938" s="60" t="s">
        <v>236</v>
      </c>
      <c r="R1938" s="60" t="s">
        <v>236</v>
      </c>
      <c r="S1938" s="60"/>
      <c r="T1938" s="60" t="b">
        <f>FALSE()</f>
        <v>0</v>
      </c>
      <c r="U1938" s="60" t="b">
        <f>FALSE()</f>
        <v>0</v>
      </c>
      <c r="V1938" s="60">
        <v>354</v>
      </c>
      <c r="W1938" s="60" t="s">
        <v>7086</v>
      </c>
      <c r="X1938" s="60">
        <v>2</v>
      </c>
      <c r="Y1938" s="63">
        <v>3.5</v>
      </c>
      <c r="Z1938" s="60" t="b">
        <f>FALSE()</f>
        <v>0</v>
      </c>
      <c r="AA1938" s="60" t="b">
        <f>TRUE()</f>
        <v>1</v>
      </c>
      <c r="AB1938" s="60" t="b">
        <f>FALSE()</f>
        <v>0</v>
      </c>
      <c r="AC1938" s="60" t="b">
        <f>FALSE()</f>
        <v>0</v>
      </c>
      <c r="AD1938" s="60" t="b">
        <f>FALSE()</f>
        <v>0</v>
      </c>
      <c r="AE1938" s="60">
        <v>1</v>
      </c>
      <c r="AF1938" s="64">
        <v>14.3</v>
      </c>
      <c r="AG1938" s="60" t="s">
        <v>74</v>
      </c>
      <c r="AH1938" s="60" t="s">
        <v>7087</v>
      </c>
      <c r="AI1938">
        <f>IF(AND(OR(Company_Explorer!$B$5="All Companies",$E1938=Company_Explorer!$B$5),OR(Company_Explorer!$B$6="All Platforms",$B1938=Company_Explorer!$B$6),OR(Company_Explorer!$B$7="All Roles",$D1938=Company_Explorer!$B$7),OR(Company_Explorer!$B$8="All Ghost Labels",$AG1938=Company_Explorer!$B$8)),1,0)</f>
        <v>0</v>
      </c>
    </row>
    <row r="1939" spans="1:35" ht="15" customHeight="1" x14ac:dyDescent="0.3">
      <c r="A1939" s="65" t="s">
        <v>7088</v>
      </c>
      <c r="B1939" s="65" t="s">
        <v>81</v>
      </c>
      <c r="C1939" s="65" t="s">
        <v>6331</v>
      </c>
      <c r="D1939" s="65" t="s">
        <v>126</v>
      </c>
      <c r="E1939" s="65" t="s">
        <v>5743</v>
      </c>
      <c r="F1939" s="65" t="b">
        <f>TRUE()</f>
        <v>1</v>
      </c>
      <c r="G1939" s="65" t="s">
        <v>165</v>
      </c>
      <c r="H1939" s="65" t="s">
        <v>3655</v>
      </c>
      <c r="I1939" s="66">
        <v>46209.737336423597</v>
      </c>
      <c r="J1939" s="66">
        <v>46210.2834135417</v>
      </c>
      <c r="K1939" s="65">
        <v>0.5</v>
      </c>
      <c r="L1939" s="65" t="s">
        <v>183</v>
      </c>
      <c r="M1939" s="65" t="s">
        <v>183</v>
      </c>
      <c r="N1939" s="65" t="b">
        <f>FALSE()</f>
        <v>0</v>
      </c>
      <c r="O1939" s="65"/>
      <c r="P1939" s="65"/>
      <c r="Q1939" s="65" t="s">
        <v>236</v>
      </c>
      <c r="R1939" s="65" t="s">
        <v>236</v>
      </c>
      <c r="S1939" s="65"/>
      <c r="T1939" s="65" t="b">
        <f>FALSE()</f>
        <v>0</v>
      </c>
      <c r="U1939" s="65" t="b">
        <f>FALSE()</f>
        <v>0</v>
      </c>
      <c r="V1939" s="65">
        <v>46</v>
      </c>
      <c r="W1939" s="67" t="s">
        <v>7089</v>
      </c>
      <c r="X1939" s="65">
        <v>3</v>
      </c>
      <c r="Y1939" s="68">
        <v>5.25</v>
      </c>
      <c r="Z1939" s="65" t="b">
        <f>FALSE()</f>
        <v>0</v>
      </c>
      <c r="AA1939" s="65" t="b">
        <f>TRUE()</f>
        <v>1</v>
      </c>
      <c r="AB1939" s="65" t="b">
        <f>TRUE()</f>
        <v>1</v>
      </c>
      <c r="AC1939" s="65" t="b">
        <f>FALSE()</f>
        <v>0</v>
      </c>
      <c r="AD1939" s="65" t="b">
        <f>FALSE()</f>
        <v>0</v>
      </c>
      <c r="AE1939" s="65">
        <v>2</v>
      </c>
      <c r="AF1939" s="69">
        <v>28.6</v>
      </c>
      <c r="AG1939" s="65" t="s">
        <v>73</v>
      </c>
      <c r="AH1939" s="65" t="s">
        <v>7090</v>
      </c>
      <c r="AI1939">
        <f>IF(AND(OR(Company_Explorer!$B$5="All Companies",$E1939=Company_Explorer!$B$5),OR(Company_Explorer!$B$6="All Platforms",$B1939=Company_Explorer!$B$6),OR(Company_Explorer!$B$7="All Roles",$D1939=Company_Explorer!$B$7),OR(Company_Explorer!$B$8="All Ghost Labels",$AG1939=Company_Explorer!$B$8)),1,0)</f>
        <v>0</v>
      </c>
    </row>
    <row r="1940" spans="1:35" ht="15" customHeight="1" x14ac:dyDescent="0.3">
      <c r="A1940" s="60" t="s">
        <v>7091</v>
      </c>
      <c r="B1940" s="60" t="s">
        <v>81</v>
      </c>
      <c r="C1940" s="60" t="s">
        <v>7092</v>
      </c>
      <c r="D1940" s="60" t="s">
        <v>126</v>
      </c>
      <c r="E1940" s="60" t="s">
        <v>4610</v>
      </c>
      <c r="F1940" s="60" t="b">
        <f>TRUE()</f>
        <v>1</v>
      </c>
      <c r="G1940" s="60" t="s">
        <v>165</v>
      </c>
      <c r="H1940" s="60" t="s">
        <v>3636</v>
      </c>
      <c r="I1940" s="61">
        <v>46209.681290775501</v>
      </c>
      <c r="J1940" s="61">
        <v>46210.283413576399</v>
      </c>
      <c r="K1940" s="60">
        <v>0.6</v>
      </c>
      <c r="L1940" s="60" t="s">
        <v>183</v>
      </c>
      <c r="M1940" s="60" t="s">
        <v>183</v>
      </c>
      <c r="N1940" s="60" t="b">
        <f>FALSE()</f>
        <v>0</v>
      </c>
      <c r="O1940" s="60"/>
      <c r="P1940" s="60"/>
      <c r="Q1940" s="60" t="s">
        <v>236</v>
      </c>
      <c r="R1940" s="60" t="s">
        <v>236</v>
      </c>
      <c r="S1940" s="60"/>
      <c r="T1940" s="60" t="b">
        <f>FALSE()</f>
        <v>0</v>
      </c>
      <c r="U1940" s="60" t="b">
        <f>FALSE()</f>
        <v>0</v>
      </c>
      <c r="V1940" s="60">
        <v>431</v>
      </c>
      <c r="W1940" s="62" t="s">
        <v>7093</v>
      </c>
      <c r="X1940" s="60">
        <v>12</v>
      </c>
      <c r="Y1940" s="63">
        <v>21</v>
      </c>
      <c r="Z1940" s="60" t="b">
        <f>FALSE()</f>
        <v>0</v>
      </c>
      <c r="AA1940" s="60" t="b">
        <f>TRUE()</f>
        <v>1</v>
      </c>
      <c r="AB1940" s="60" t="b">
        <f>FALSE()</f>
        <v>0</v>
      </c>
      <c r="AC1940" s="60" t="b">
        <f>FALSE()</f>
        <v>0</v>
      </c>
      <c r="AD1940" s="60" t="b">
        <f>FALSE()</f>
        <v>0</v>
      </c>
      <c r="AE1940" s="60">
        <v>1</v>
      </c>
      <c r="AF1940" s="64">
        <v>14.3</v>
      </c>
      <c r="AG1940" s="60" t="s">
        <v>74</v>
      </c>
      <c r="AH1940" s="60" t="s">
        <v>7094</v>
      </c>
      <c r="AI1940">
        <f>IF(AND(OR(Company_Explorer!$B$5="All Companies",$E1940=Company_Explorer!$B$5),OR(Company_Explorer!$B$6="All Platforms",$B1940=Company_Explorer!$B$6),OR(Company_Explorer!$B$7="All Roles",$D1940=Company_Explorer!$B$7),OR(Company_Explorer!$B$8="All Ghost Labels",$AG1940=Company_Explorer!$B$8)),1,0)</f>
        <v>0</v>
      </c>
    </row>
    <row r="1941" spans="1:35" ht="15" customHeight="1" x14ac:dyDescent="0.3">
      <c r="A1941" s="65" t="s">
        <v>7095</v>
      </c>
      <c r="B1941" s="65" t="s">
        <v>81</v>
      </c>
      <c r="C1941" s="65" t="s">
        <v>7092</v>
      </c>
      <c r="D1941" s="65" t="s">
        <v>126</v>
      </c>
      <c r="E1941" s="65" t="s">
        <v>4610</v>
      </c>
      <c r="F1941" s="65" t="b">
        <f>TRUE()</f>
        <v>1</v>
      </c>
      <c r="G1941" s="65" t="s">
        <v>165</v>
      </c>
      <c r="H1941" s="65" t="s">
        <v>4661</v>
      </c>
      <c r="I1941" s="66">
        <v>46209.738674363398</v>
      </c>
      <c r="J1941" s="66">
        <v>46210.283414317099</v>
      </c>
      <c r="K1941" s="65">
        <v>0.5</v>
      </c>
      <c r="L1941" s="65" t="s">
        <v>183</v>
      </c>
      <c r="M1941" s="65" t="s">
        <v>183</v>
      </c>
      <c r="N1941" s="65" t="b">
        <f>FALSE()</f>
        <v>0</v>
      </c>
      <c r="O1941" s="65"/>
      <c r="P1941" s="65"/>
      <c r="Q1941" s="65" t="s">
        <v>236</v>
      </c>
      <c r="R1941" s="65" t="s">
        <v>236</v>
      </c>
      <c r="S1941" s="65"/>
      <c r="T1941" s="65" t="b">
        <f>FALSE()</f>
        <v>0</v>
      </c>
      <c r="U1941" s="65" t="b">
        <f>FALSE()</f>
        <v>0</v>
      </c>
      <c r="V1941" s="65">
        <v>435</v>
      </c>
      <c r="W1941" s="67" t="s">
        <v>7096</v>
      </c>
      <c r="X1941" s="65">
        <v>12</v>
      </c>
      <c r="Y1941" s="68">
        <v>21</v>
      </c>
      <c r="Z1941" s="65" t="b">
        <f>FALSE()</f>
        <v>0</v>
      </c>
      <c r="AA1941" s="65" t="b">
        <f>TRUE()</f>
        <v>1</v>
      </c>
      <c r="AB1941" s="65" t="b">
        <f>FALSE()</f>
        <v>0</v>
      </c>
      <c r="AC1941" s="65" t="b">
        <f>FALSE()</f>
        <v>0</v>
      </c>
      <c r="AD1941" s="65" t="b">
        <f>FALSE()</f>
        <v>0</v>
      </c>
      <c r="AE1941" s="65">
        <v>1</v>
      </c>
      <c r="AF1941" s="69">
        <v>14.3</v>
      </c>
      <c r="AG1941" s="65" t="s">
        <v>74</v>
      </c>
      <c r="AH1941" s="65" t="s">
        <v>7097</v>
      </c>
      <c r="AI1941">
        <f>IF(AND(OR(Company_Explorer!$B$5="All Companies",$E1941=Company_Explorer!$B$5),OR(Company_Explorer!$B$6="All Platforms",$B1941=Company_Explorer!$B$6),OR(Company_Explorer!$B$7="All Roles",$D1941=Company_Explorer!$B$7),OR(Company_Explorer!$B$8="All Ghost Labels",$AG1941=Company_Explorer!$B$8)),1,0)</f>
        <v>0</v>
      </c>
    </row>
    <row r="1942" spans="1:35" ht="15" customHeight="1" x14ac:dyDescent="0.3">
      <c r="A1942" s="60" t="s">
        <v>7098</v>
      </c>
      <c r="B1942" s="60" t="s">
        <v>81</v>
      </c>
      <c r="C1942" s="60" t="s">
        <v>3323</v>
      </c>
      <c r="D1942" s="60" t="s">
        <v>129</v>
      </c>
      <c r="E1942" s="60" t="s">
        <v>144</v>
      </c>
      <c r="F1942" s="60" t="b">
        <f>TRUE()</f>
        <v>1</v>
      </c>
      <c r="G1942" s="60" t="s">
        <v>165</v>
      </c>
      <c r="H1942" s="60" t="s">
        <v>3620</v>
      </c>
      <c r="I1942" s="61">
        <v>46209.6803178009</v>
      </c>
      <c r="J1942" s="61">
        <v>46210.283414363403</v>
      </c>
      <c r="K1942" s="60">
        <v>0.6</v>
      </c>
      <c r="L1942" s="60" t="s">
        <v>183</v>
      </c>
      <c r="M1942" s="60" t="s">
        <v>183</v>
      </c>
      <c r="N1942" s="60" t="b">
        <f>FALSE()</f>
        <v>0</v>
      </c>
      <c r="O1942" s="60"/>
      <c r="P1942" s="60"/>
      <c r="Q1942" s="60" t="s">
        <v>236</v>
      </c>
      <c r="R1942" s="60" t="s">
        <v>236</v>
      </c>
      <c r="S1942" s="60"/>
      <c r="T1942" s="60" t="b">
        <f>FALSE()</f>
        <v>0</v>
      </c>
      <c r="U1942" s="60" t="b">
        <f>FALSE()</f>
        <v>0</v>
      </c>
      <c r="V1942" s="60">
        <v>105</v>
      </c>
      <c r="W1942" s="62" t="s">
        <v>7099</v>
      </c>
      <c r="X1942" s="60">
        <v>41</v>
      </c>
      <c r="Y1942" s="63">
        <v>71.75</v>
      </c>
      <c r="Z1942" s="60" t="b">
        <f>FALSE()</f>
        <v>0</v>
      </c>
      <c r="AA1942" s="60" t="b">
        <f>TRUE()</f>
        <v>1</v>
      </c>
      <c r="AB1942" s="60" t="b">
        <f>TRUE()</f>
        <v>1</v>
      </c>
      <c r="AC1942" s="60" t="b">
        <f>FALSE()</f>
        <v>0</v>
      </c>
      <c r="AD1942" s="60" t="b">
        <f>FALSE()</f>
        <v>0</v>
      </c>
      <c r="AE1942" s="60">
        <v>2</v>
      </c>
      <c r="AF1942" s="64">
        <v>28.6</v>
      </c>
      <c r="AG1942" s="60" t="s">
        <v>73</v>
      </c>
      <c r="AH1942" s="60" t="s">
        <v>7100</v>
      </c>
      <c r="AI1942">
        <f>IF(AND(OR(Company_Explorer!$B$5="All Companies",$E1942=Company_Explorer!$B$5),OR(Company_Explorer!$B$6="All Platforms",$B1942=Company_Explorer!$B$6),OR(Company_Explorer!$B$7="All Roles",$D1942=Company_Explorer!$B$7),OR(Company_Explorer!$B$8="All Ghost Labels",$AG1942=Company_Explorer!$B$8)),1,0)</f>
        <v>0</v>
      </c>
    </row>
    <row r="1943" spans="1:35" ht="15" customHeight="1" x14ac:dyDescent="0.3">
      <c r="A1943" s="65" t="s">
        <v>7101</v>
      </c>
      <c r="B1943" s="65" t="s">
        <v>81</v>
      </c>
      <c r="C1943" s="65" t="s">
        <v>7102</v>
      </c>
      <c r="D1943" s="65" t="s">
        <v>126</v>
      </c>
      <c r="E1943" s="65" t="s">
        <v>4610</v>
      </c>
      <c r="F1943" s="65" t="b">
        <f>TRUE()</f>
        <v>1</v>
      </c>
      <c r="G1943" s="65" t="s">
        <v>165</v>
      </c>
      <c r="H1943" s="65" t="s">
        <v>4661</v>
      </c>
      <c r="I1943" s="66">
        <v>46209.738651377302</v>
      </c>
      <c r="J1943" s="66">
        <v>46210.283414421297</v>
      </c>
      <c r="K1943" s="65">
        <v>0.5</v>
      </c>
      <c r="L1943" s="65" t="s">
        <v>183</v>
      </c>
      <c r="M1943" s="65" t="s">
        <v>183</v>
      </c>
      <c r="N1943" s="65" t="b">
        <f>FALSE()</f>
        <v>0</v>
      </c>
      <c r="O1943" s="65"/>
      <c r="P1943" s="65"/>
      <c r="Q1943" s="65" t="s">
        <v>236</v>
      </c>
      <c r="R1943" s="65" t="s">
        <v>236</v>
      </c>
      <c r="S1943" s="65"/>
      <c r="T1943" s="65" t="b">
        <f>FALSE()</f>
        <v>0</v>
      </c>
      <c r="U1943" s="65" t="b">
        <f>FALSE()</f>
        <v>0</v>
      </c>
      <c r="V1943" s="65">
        <v>436</v>
      </c>
      <c r="W1943" s="67" t="s">
        <v>7096</v>
      </c>
      <c r="X1943" s="65">
        <v>12</v>
      </c>
      <c r="Y1943" s="68">
        <v>21</v>
      </c>
      <c r="Z1943" s="65" t="b">
        <f>FALSE()</f>
        <v>0</v>
      </c>
      <c r="AA1943" s="65" t="b">
        <f>TRUE()</f>
        <v>1</v>
      </c>
      <c r="AB1943" s="65" t="b">
        <f>FALSE()</f>
        <v>0</v>
      </c>
      <c r="AC1943" s="65" t="b">
        <f>FALSE()</f>
        <v>0</v>
      </c>
      <c r="AD1943" s="65" t="b">
        <f>FALSE()</f>
        <v>0</v>
      </c>
      <c r="AE1943" s="65">
        <v>1</v>
      </c>
      <c r="AF1943" s="69">
        <v>14.3</v>
      </c>
      <c r="AG1943" s="65" t="s">
        <v>74</v>
      </c>
      <c r="AH1943" s="65" t="s">
        <v>7103</v>
      </c>
      <c r="AI1943">
        <f>IF(AND(OR(Company_Explorer!$B$5="All Companies",$E1943=Company_Explorer!$B$5),OR(Company_Explorer!$B$6="All Platforms",$B1943=Company_Explorer!$B$6),OR(Company_Explorer!$B$7="All Roles",$D1943=Company_Explorer!$B$7),OR(Company_Explorer!$B$8="All Ghost Labels",$AG1943=Company_Explorer!$B$8)),1,0)</f>
        <v>0</v>
      </c>
    </row>
    <row r="1944" spans="1:35" ht="15" customHeight="1" x14ac:dyDescent="0.3">
      <c r="A1944" s="60" t="s">
        <v>7104</v>
      </c>
      <c r="B1944" s="60" t="s">
        <v>81</v>
      </c>
      <c r="C1944" s="60" t="s">
        <v>7105</v>
      </c>
      <c r="D1944" s="60" t="s">
        <v>129</v>
      </c>
      <c r="E1944" s="60" t="s">
        <v>7106</v>
      </c>
      <c r="F1944" s="60" t="b">
        <f>TRUE()</f>
        <v>1</v>
      </c>
      <c r="G1944" s="60" t="s">
        <v>165</v>
      </c>
      <c r="H1944" s="60" t="s">
        <v>4442</v>
      </c>
      <c r="I1944" s="61">
        <v>46209.778961689801</v>
      </c>
      <c r="J1944" s="61">
        <v>46210.283414444399</v>
      </c>
      <c r="K1944" s="60">
        <v>0.5</v>
      </c>
      <c r="L1944" s="60" t="s">
        <v>183</v>
      </c>
      <c r="M1944" s="60" t="s">
        <v>183</v>
      </c>
      <c r="N1944" s="60" t="b">
        <f>FALSE()</f>
        <v>0</v>
      </c>
      <c r="O1944" s="60"/>
      <c r="P1944" s="60"/>
      <c r="Q1944" s="60" t="s">
        <v>236</v>
      </c>
      <c r="R1944" s="60" t="s">
        <v>236</v>
      </c>
      <c r="S1944" s="60"/>
      <c r="T1944" s="60" t="b">
        <f>FALSE()</f>
        <v>0</v>
      </c>
      <c r="U1944" s="60" t="b">
        <f>FALSE()</f>
        <v>0</v>
      </c>
      <c r="V1944" s="60">
        <v>114</v>
      </c>
      <c r="W1944" s="62" t="s">
        <v>7107</v>
      </c>
      <c r="X1944" s="60">
        <v>1</v>
      </c>
      <c r="Y1944" s="63">
        <v>1.75</v>
      </c>
      <c r="Z1944" s="60" t="b">
        <f>FALSE()</f>
        <v>0</v>
      </c>
      <c r="AA1944" s="60" t="b">
        <f>TRUE()</f>
        <v>1</v>
      </c>
      <c r="AB1944" s="60" t="b">
        <f>TRUE()</f>
        <v>1</v>
      </c>
      <c r="AC1944" s="60" t="b">
        <f>FALSE()</f>
        <v>0</v>
      </c>
      <c r="AD1944" s="60" t="b">
        <f>FALSE()</f>
        <v>0</v>
      </c>
      <c r="AE1944" s="60">
        <v>2</v>
      </c>
      <c r="AF1944" s="64">
        <v>28.6</v>
      </c>
      <c r="AG1944" s="60" t="s">
        <v>73</v>
      </c>
      <c r="AH1944" s="60" t="s">
        <v>7108</v>
      </c>
      <c r="AI1944">
        <f>IF(AND(OR(Company_Explorer!$B$5="All Companies",$E1944=Company_Explorer!$B$5),OR(Company_Explorer!$B$6="All Platforms",$B1944=Company_Explorer!$B$6),OR(Company_Explorer!$B$7="All Roles",$D1944=Company_Explorer!$B$7),OR(Company_Explorer!$B$8="All Ghost Labels",$AG1944=Company_Explorer!$B$8)),1,0)</f>
        <v>0</v>
      </c>
    </row>
    <row r="1945" spans="1:35" ht="15" customHeight="1" x14ac:dyDescent="0.3">
      <c r="A1945" s="65" t="s">
        <v>7109</v>
      </c>
      <c r="B1945" s="65" t="s">
        <v>81</v>
      </c>
      <c r="C1945" s="65" t="s">
        <v>7102</v>
      </c>
      <c r="D1945" s="65" t="s">
        <v>126</v>
      </c>
      <c r="E1945" s="65" t="s">
        <v>4610</v>
      </c>
      <c r="F1945" s="65" t="b">
        <f>TRUE()</f>
        <v>1</v>
      </c>
      <c r="G1945" s="65" t="s">
        <v>165</v>
      </c>
      <c r="H1945" s="65" t="s">
        <v>3636</v>
      </c>
      <c r="I1945" s="66">
        <v>46209.681216064797</v>
      </c>
      <c r="J1945" s="66">
        <v>46210.283414398204</v>
      </c>
      <c r="K1945" s="65">
        <v>0.6</v>
      </c>
      <c r="L1945" s="65" t="s">
        <v>183</v>
      </c>
      <c r="M1945" s="65" t="s">
        <v>183</v>
      </c>
      <c r="N1945" s="65" t="b">
        <f>FALSE()</f>
        <v>0</v>
      </c>
      <c r="O1945" s="65"/>
      <c r="P1945" s="65"/>
      <c r="Q1945" s="65" t="s">
        <v>236</v>
      </c>
      <c r="R1945" s="65" t="s">
        <v>236</v>
      </c>
      <c r="S1945" s="65"/>
      <c r="T1945" s="65" t="b">
        <f>FALSE()</f>
        <v>0</v>
      </c>
      <c r="U1945" s="65" t="b">
        <f>FALSE()</f>
        <v>0</v>
      </c>
      <c r="V1945" s="65">
        <v>432</v>
      </c>
      <c r="W1945" s="67" t="s">
        <v>7093</v>
      </c>
      <c r="X1945" s="65">
        <v>12</v>
      </c>
      <c r="Y1945" s="68">
        <v>21</v>
      </c>
      <c r="Z1945" s="65" t="b">
        <f>FALSE()</f>
        <v>0</v>
      </c>
      <c r="AA1945" s="65" t="b">
        <f>TRUE()</f>
        <v>1</v>
      </c>
      <c r="AB1945" s="65" t="b">
        <f>FALSE()</f>
        <v>0</v>
      </c>
      <c r="AC1945" s="65" t="b">
        <f>FALSE()</f>
        <v>0</v>
      </c>
      <c r="AD1945" s="65" t="b">
        <f>FALSE()</f>
        <v>0</v>
      </c>
      <c r="AE1945" s="65">
        <v>1</v>
      </c>
      <c r="AF1945" s="69">
        <v>14.3</v>
      </c>
      <c r="AG1945" s="65" t="s">
        <v>74</v>
      </c>
      <c r="AH1945" s="65" t="s">
        <v>7110</v>
      </c>
      <c r="AI1945">
        <f>IF(AND(OR(Company_Explorer!$B$5="All Companies",$E1945=Company_Explorer!$B$5),OR(Company_Explorer!$B$6="All Platforms",$B1945=Company_Explorer!$B$6),OR(Company_Explorer!$B$7="All Roles",$D1945=Company_Explorer!$B$7),OR(Company_Explorer!$B$8="All Ghost Labels",$AG1945=Company_Explorer!$B$8)),1,0)</f>
        <v>0</v>
      </c>
    </row>
    <row r="1946" spans="1:35" ht="15" customHeight="1" x14ac:dyDescent="0.3">
      <c r="A1946" s="60" t="s">
        <v>7111</v>
      </c>
      <c r="B1946" s="60" t="s">
        <v>81</v>
      </c>
      <c r="C1946" s="60" t="s">
        <v>7112</v>
      </c>
      <c r="D1946" s="60" t="s">
        <v>126</v>
      </c>
      <c r="E1946" s="60" t="s">
        <v>7113</v>
      </c>
      <c r="F1946" s="60" t="b">
        <f>TRUE()</f>
        <v>1</v>
      </c>
      <c r="G1946" s="60" t="s">
        <v>165</v>
      </c>
      <c r="H1946" s="60" t="s">
        <v>3636</v>
      </c>
      <c r="I1946" s="61">
        <v>46209.880951666702</v>
      </c>
      <c r="J1946" s="61">
        <v>46210.283419050902</v>
      </c>
      <c r="K1946" s="60">
        <v>0.4</v>
      </c>
      <c r="L1946" s="60" t="s">
        <v>183</v>
      </c>
      <c r="M1946" s="60" t="s">
        <v>183</v>
      </c>
      <c r="N1946" s="60" t="b">
        <f>FALSE()</f>
        <v>0</v>
      </c>
      <c r="O1946" s="60"/>
      <c r="P1946" s="60"/>
      <c r="Q1946" s="60" t="s">
        <v>236</v>
      </c>
      <c r="R1946" s="60" t="s">
        <v>236</v>
      </c>
      <c r="S1946" s="60"/>
      <c r="T1946" s="60" t="b">
        <f>FALSE()</f>
        <v>0</v>
      </c>
      <c r="U1946" s="60" t="b">
        <f>FALSE()</f>
        <v>0</v>
      </c>
      <c r="V1946" s="60">
        <v>637</v>
      </c>
      <c r="W1946" s="62" t="s">
        <v>7114</v>
      </c>
      <c r="X1946" s="60">
        <v>3</v>
      </c>
      <c r="Y1946" s="63">
        <v>5.25</v>
      </c>
      <c r="Z1946" s="60" t="b">
        <f>FALSE()</f>
        <v>0</v>
      </c>
      <c r="AA1946" s="60" t="b">
        <f>TRUE()</f>
        <v>1</v>
      </c>
      <c r="AB1946" s="60" t="b">
        <f>FALSE()</f>
        <v>0</v>
      </c>
      <c r="AC1946" s="60" t="b">
        <f>FALSE()</f>
        <v>0</v>
      </c>
      <c r="AD1946" s="60" t="b">
        <f>FALSE()</f>
        <v>0</v>
      </c>
      <c r="AE1946" s="60">
        <v>1</v>
      </c>
      <c r="AF1946" s="64">
        <v>14.3</v>
      </c>
      <c r="AG1946" s="60" t="s">
        <v>74</v>
      </c>
      <c r="AH1946" s="60" t="s">
        <v>7115</v>
      </c>
      <c r="AI1946">
        <f>IF(AND(OR(Company_Explorer!$B$5="All Companies",$E1946=Company_Explorer!$B$5),OR(Company_Explorer!$B$6="All Platforms",$B1946=Company_Explorer!$B$6),OR(Company_Explorer!$B$7="All Roles",$D1946=Company_Explorer!$B$7),OR(Company_Explorer!$B$8="All Ghost Labels",$AG1946=Company_Explorer!$B$8)),1,0)</f>
        <v>0</v>
      </c>
    </row>
    <row r="1947" spans="1:35" ht="15" customHeight="1" x14ac:dyDescent="0.3">
      <c r="A1947" s="65" t="s">
        <v>7116</v>
      </c>
      <c r="B1947" s="65" t="s">
        <v>81</v>
      </c>
      <c r="C1947" s="65" t="s">
        <v>7117</v>
      </c>
      <c r="D1947" s="65" t="s">
        <v>132</v>
      </c>
      <c r="E1947" s="65" t="s">
        <v>142</v>
      </c>
      <c r="F1947" s="65" t="b">
        <f>TRUE()</f>
        <v>1</v>
      </c>
      <c r="G1947" s="65" t="s">
        <v>165</v>
      </c>
      <c r="H1947" s="65" t="s">
        <v>3655</v>
      </c>
      <c r="I1947" s="66">
        <v>46210.263854780103</v>
      </c>
      <c r="J1947" s="66">
        <v>46210.283419097199</v>
      </c>
      <c r="K1947" s="65">
        <v>0</v>
      </c>
      <c r="L1947" s="65" t="s">
        <v>183</v>
      </c>
      <c r="M1947" s="65" t="s">
        <v>183</v>
      </c>
      <c r="N1947" s="65" t="b">
        <f>FALSE()</f>
        <v>0</v>
      </c>
      <c r="O1947" s="65"/>
      <c r="P1947" s="65"/>
      <c r="Q1947" s="65" t="s">
        <v>236</v>
      </c>
      <c r="R1947" s="65" t="s">
        <v>236</v>
      </c>
      <c r="S1947" s="65"/>
      <c r="T1947" s="65" t="b">
        <f>FALSE()</f>
        <v>0</v>
      </c>
      <c r="U1947" s="65" t="b">
        <f>FALSE()</f>
        <v>0</v>
      </c>
      <c r="V1947" s="65">
        <v>492</v>
      </c>
      <c r="W1947" s="67" t="s">
        <v>7118</v>
      </c>
      <c r="X1947" s="65">
        <v>81</v>
      </c>
      <c r="Y1947" s="68">
        <v>141.75</v>
      </c>
      <c r="Z1947" s="65" t="b">
        <f>FALSE()</f>
        <v>0</v>
      </c>
      <c r="AA1947" s="65" t="b">
        <f>TRUE()</f>
        <v>1</v>
      </c>
      <c r="AB1947" s="65" t="b">
        <f>FALSE()</f>
        <v>0</v>
      </c>
      <c r="AC1947" s="65" t="b">
        <f>FALSE()</f>
        <v>0</v>
      </c>
      <c r="AD1947" s="65" t="b">
        <f>TRUE()</f>
        <v>1</v>
      </c>
      <c r="AE1947" s="65">
        <v>3</v>
      </c>
      <c r="AF1947" s="69">
        <v>42.9</v>
      </c>
      <c r="AG1947" s="65" t="s">
        <v>73</v>
      </c>
      <c r="AH1947" s="65" t="s">
        <v>7119</v>
      </c>
      <c r="AI1947">
        <f>IF(AND(OR(Company_Explorer!$B$5="All Companies",$E1947=Company_Explorer!$B$5),OR(Company_Explorer!$B$6="All Platforms",$B1947=Company_Explorer!$B$6),OR(Company_Explorer!$B$7="All Roles",$D1947=Company_Explorer!$B$7),OR(Company_Explorer!$B$8="All Ghost Labels",$AG1947=Company_Explorer!$B$8)),1,0)</f>
        <v>0</v>
      </c>
    </row>
    <row r="1948" spans="1:35" ht="15" customHeight="1" x14ac:dyDescent="0.3">
      <c r="A1948" s="60" t="s">
        <v>7120</v>
      </c>
      <c r="B1948" s="60" t="s">
        <v>81</v>
      </c>
      <c r="C1948" s="60" t="s">
        <v>4746</v>
      </c>
      <c r="D1948" s="60" t="s">
        <v>125</v>
      </c>
      <c r="E1948" s="60" t="s">
        <v>142</v>
      </c>
      <c r="F1948" s="60" t="b">
        <f>TRUE()</f>
        <v>1</v>
      </c>
      <c r="G1948" s="60" t="s">
        <v>165</v>
      </c>
      <c r="H1948" s="60" t="s">
        <v>3636</v>
      </c>
      <c r="I1948" s="61">
        <v>46210.263709849503</v>
      </c>
      <c r="J1948" s="61">
        <v>46210.283419016203</v>
      </c>
      <c r="K1948" s="60">
        <v>0</v>
      </c>
      <c r="L1948" s="60" t="s">
        <v>183</v>
      </c>
      <c r="M1948" s="60" t="s">
        <v>183</v>
      </c>
      <c r="N1948" s="60" t="b">
        <f>FALSE()</f>
        <v>0</v>
      </c>
      <c r="O1948" s="60"/>
      <c r="P1948" s="60"/>
      <c r="Q1948" s="60" t="s">
        <v>236</v>
      </c>
      <c r="R1948" s="60" t="s">
        <v>236</v>
      </c>
      <c r="S1948" s="60"/>
      <c r="T1948" s="60" t="b">
        <f>FALSE()</f>
        <v>0</v>
      </c>
      <c r="U1948" s="60" t="b">
        <f>FALSE()</f>
        <v>0</v>
      </c>
      <c r="V1948" s="60">
        <v>725</v>
      </c>
      <c r="W1948" s="62" t="s">
        <v>4747</v>
      </c>
      <c r="X1948" s="60">
        <v>81</v>
      </c>
      <c r="Y1948" s="63">
        <v>141.75</v>
      </c>
      <c r="Z1948" s="60" t="b">
        <f>FALSE()</f>
        <v>0</v>
      </c>
      <c r="AA1948" s="60" t="b">
        <f>TRUE()</f>
        <v>1</v>
      </c>
      <c r="AB1948" s="60" t="b">
        <f>FALSE()</f>
        <v>0</v>
      </c>
      <c r="AC1948" s="60" t="b">
        <f>FALSE()</f>
        <v>0</v>
      </c>
      <c r="AD1948" s="60" t="b">
        <f>TRUE()</f>
        <v>1</v>
      </c>
      <c r="AE1948" s="60">
        <v>3</v>
      </c>
      <c r="AF1948" s="64">
        <v>42.9</v>
      </c>
      <c r="AG1948" s="60" t="s">
        <v>73</v>
      </c>
      <c r="AH1948" s="60" t="s">
        <v>7121</v>
      </c>
      <c r="AI1948">
        <f>IF(AND(OR(Company_Explorer!$B$5="All Companies",$E1948=Company_Explorer!$B$5),OR(Company_Explorer!$B$6="All Platforms",$B1948=Company_Explorer!$B$6),OR(Company_Explorer!$B$7="All Roles",$D1948=Company_Explorer!$B$7),OR(Company_Explorer!$B$8="All Ghost Labels",$AG1948=Company_Explorer!$B$8)),1,0)</f>
        <v>0</v>
      </c>
    </row>
    <row r="1949" spans="1:35" ht="15" customHeight="1" x14ac:dyDescent="0.3">
      <c r="A1949" s="65" t="s">
        <v>7122</v>
      </c>
      <c r="B1949" s="65" t="s">
        <v>81</v>
      </c>
      <c r="C1949" s="65" t="s">
        <v>7123</v>
      </c>
      <c r="D1949" s="65" t="s">
        <v>126</v>
      </c>
      <c r="E1949" s="65" t="s">
        <v>3635</v>
      </c>
      <c r="F1949" s="65" t="b">
        <f>TRUE()</f>
        <v>1</v>
      </c>
      <c r="G1949" s="65" t="s">
        <v>165</v>
      </c>
      <c r="H1949" s="65" t="s">
        <v>3636</v>
      </c>
      <c r="I1949" s="66">
        <v>46209.891171087998</v>
      </c>
      <c r="J1949" s="66">
        <v>46210.283419120402</v>
      </c>
      <c r="K1949" s="65">
        <v>0.4</v>
      </c>
      <c r="L1949" s="65" t="s">
        <v>183</v>
      </c>
      <c r="M1949" s="65" t="s">
        <v>183</v>
      </c>
      <c r="N1949" s="65" t="b">
        <f>FALSE()</f>
        <v>0</v>
      </c>
      <c r="O1949" s="65"/>
      <c r="P1949" s="65"/>
      <c r="Q1949" s="65" t="s">
        <v>236</v>
      </c>
      <c r="R1949" s="65" t="s">
        <v>236</v>
      </c>
      <c r="S1949" s="65"/>
      <c r="T1949" s="65" t="b">
        <f>FALSE()</f>
        <v>0</v>
      </c>
      <c r="U1949" s="65" t="b">
        <f>FALSE()</f>
        <v>0</v>
      </c>
      <c r="V1949" s="65">
        <v>616</v>
      </c>
      <c r="W1949" s="67" t="s">
        <v>7124</v>
      </c>
      <c r="X1949" s="65">
        <v>3</v>
      </c>
      <c r="Y1949" s="68">
        <v>5.25</v>
      </c>
      <c r="Z1949" s="65" t="b">
        <f>FALSE()</f>
        <v>0</v>
      </c>
      <c r="AA1949" s="65" t="b">
        <f>TRUE()</f>
        <v>1</v>
      </c>
      <c r="AB1949" s="65" t="b">
        <f>FALSE()</f>
        <v>0</v>
      </c>
      <c r="AC1949" s="65" t="b">
        <f>FALSE()</f>
        <v>0</v>
      </c>
      <c r="AD1949" s="65" t="b">
        <f>FALSE()</f>
        <v>0</v>
      </c>
      <c r="AE1949" s="65">
        <v>1</v>
      </c>
      <c r="AF1949" s="69">
        <v>14.3</v>
      </c>
      <c r="AG1949" s="65" t="s">
        <v>74</v>
      </c>
      <c r="AH1949" s="65" t="s">
        <v>7125</v>
      </c>
      <c r="AI1949">
        <f>IF(AND(OR(Company_Explorer!$B$5="All Companies",$E1949=Company_Explorer!$B$5),OR(Company_Explorer!$B$6="All Platforms",$B1949=Company_Explorer!$B$6),OR(Company_Explorer!$B$7="All Roles",$D1949=Company_Explorer!$B$7),OR(Company_Explorer!$B$8="All Ghost Labels",$AG1949=Company_Explorer!$B$8)),1,0)</f>
        <v>0</v>
      </c>
    </row>
    <row r="1950" spans="1:35" ht="15" customHeight="1" x14ac:dyDescent="0.3">
      <c r="A1950" s="60" t="s">
        <v>7126</v>
      </c>
      <c r="B1950" s="60" t="s">
        <v>81</v>
      </c>
      <c r="C1950" s="60" t="s">
        <v>7117</v>
      </c>
      <c r="D1950" s="60" t="s">
        <v>132</v>
      </c>
      <c r="E1950" s="60" t="s">
        <v>142</v>
      </c>
      <c r="F1950" s="60" t="b">
        <f>TRUE()</f>
        <v>1</v>
      </c>
      <c r="G1950" s="60" t="s">
        <v>165</v>
      </c>
      <c r="H1950" s="60" t="s">
        <v>3655</v>
      </c>
      <c r="I1950" s="61">
        <v>46210.263734768501</v>
      </c>
      <c r="J1950" s="61">
        <v>46210.283420092601</v>
      </c>
      <c r="K1950" s="60">
        <v>0</v>
      </c>
      <c r="L1950" s="60" t="s">
        <v>183</v>
      </c>
      <c r="M1950" s="60" t="s">
        <v>183</v>
      </c>
      <c r="N1950" s="60" t="b">
        <f>FALSE()</f>
        <v>0</v>
      </c>
      <c r="O1950" s="60"/>
      <c r="P1950" s="60"/>
      <c r="Q1950" s="60" t="s">
        <v>236</v>
      </c>
      <c r="R1950" s="60" t="s">
        <v>236</v>
      </c>
      <c r="S1950" s="60"/>
      <c r="T1950" s="60" t="b">
        <f>FALSE()</f>
        <v>0</v>
      </c>
      <c r="U1950" s="60" t="b">
        <f>FALSE()</f>
        <v>0</v>
      </c>
      <c r="V1950" s="60">
        <v>492</v>
      </c>
      <c r="W1950" s="62" t="s">
        <v>7118</v>
      </c>
      <c r="X1950" s="60">
        <v>81</v>
      </c>
      <c r="Y1950" s="63">
        <v>141.75</v>
      </c>
      <c r="Z1950" s="60" t="b">
        <f>FALSE()</f>
        <v>0</v>
      </c>
      <c r="AA1950" s="60" t="b">
        <f>TRUE()</f>
        <v>1</v>
      </c>
      <c r="AB1950" s="60" t="b">
        <f>FALSE()</f>
        <v>0</v>
      </c>
      <c r="AC1950" s="60" t="b">
        <f>FALSE()</f>
        <v>0</v>
      </c>
      <c r="AD1950" s="60" t="b">
        <f>TRUE()</f>
        <v>1</v>
      </c>
      <c r="AE1950" s="60">
        <v>3</v>
      </c>
      <c r="AF1950" s="64">
        <v>42.9</v>
      </c>
      <c r="AG1950" s="60" t="s">
        <v>73</v>
      </c>
      <c r="AH1950" s="60" t="s">
        <v>7127</v>
      </c>
      <c r="AI1950">
        <f>IF(AND(OR(Company_Explorer!$B$5="All Companies",$E1950=Company_Explorer!$B$5),OR(Company_Explorer!$B$6="All Platforms",$B1950=Company_Explorer!$B$6),OR(Company_Explorer!$B$7="All Roles",$D1950=Company_Explorer!$B$7),OR(Company_Explorer!$B$8="All Ghost Labels",$AG1950=Company_Explorer!$B$8)),1,0)</f>
        <v>0</v>
      </c>
    </row>
    <row r="1951" spans="1:35" ht="15" customHeight="1" x14ac:dyDescent="0.3">
      <c r="A1951" s="65" t="s">
        <v>7128</v>
      </c>
      <c r="B1951" s="65" t="s">
        <v>81</v>
      </c>
      <c r="C1951" s="65" t="s">
        <v>7112</v>
      </c>
      <c r="D1951" s="65" t="s">
        <v>126</v>
      </c>
      <c r="E1951" s="65" t="s">
        <v>7113</v>
      </c>
      <c r="F1951" s="65" t="b">
        <f>TRUE()</f>
        <v>1</v>
      </c>
      <c r="G1951" s="65" t="s">
        <v>165</v>
      </c>
      <c r="H1951" s="65" t="s">
        <v>3636</v>
      </c>
      <c r="I1951" s="66">
        <v>46209.8809628819</v>
      </c>
      <c r="J1951" s="66">
        <v>46210.283419074098</v>
      </c>
      <c r="K1951" s="65">
        <v>0.4</v>
      </c>
      <c r="L1951" s="65" t="s">
        <v>183</v>
      </c>
      <c r="M1951" s="65" t="s">
        <v>183</v>
      </c>
      <c r="N1951" s="65" t="b">
        <f>FALSE()</f>
        <v>0</v>
      </c>
      <c r="O1951" s="65"/>
      <c r="P1951" s="65"/>
      <c r="Q1951" s="65" t="s">
        <v>236</v>
      </c>
      <c r="R1951" s="65" t="s">
        <v>236</v>
      </c>
      <c r="S1951" s="65"/>
      <c r="T1951" s="65" t="b">
        <f>FALSE()</f>
        <v>0</v>
      </c>
      <c r="U1951" s="65" t="b">
        <f>FALSE()</f>
        <v>0</v>
      </c>
      <c r="V1951" s="65">
        <v>637</v>
      </c>
      <c r="W1951" s="67" t="s">
        <v>7114</v>
      </c>
      <c r="X1951" s="65">
        <v>3</v>
      </c>
      <c r="Y1951" s="68">
        <v>5.25</v>
      </c>
      <c r="Z1951" s="65" t="b">
        <f>FALSE()</f>
        <v>0</v>
      </c>
      <c r="AA1951" s="65" t="b">
        <f>TRUE()</f>
        <v>1</v>
      </c>
      <c r="AB1951" s="65" t="b">
        <f>FALSE()</f>
        <v>0</v>
      </c>
      <c r="AC1951" s="65" t="b">
        <f>FALSE()</f>
        <v>0</v>
      </c>
      <c r="AD1951" s="65" t="b">
        <f>FALSE()</f>
        <v>0</v>
      </c>
      <c r="AE1951" s="65">
        <v>1</v>
      </c>
      <c r="AF1951" s="69">
        <v>14.3</v>
      </c>
      <c r="AG1951" s="65" t="s">
        <v>74</v>
      </c>
      <c r="AH1951" s="65" t="s">
        <v>7129</v>
      </c>
      <c r="AI1951">
        <f>IF(AND(OR(Company_Explorer!$B$5="All Companies",$E1951=Company_Explorer!$B$5),OR(Company_Explorer!$B$6="All Platforms",$B1951=Company_Explorer!$B$6),OR(Company_Explorer!$B$7="All Roles",$D1951=Company_Explorer!$B$7),OR(Company_Explorer!$B$8="All Ghost Labels",$AG1951=Company_Explorer!$B$8)),1,0)</f>
        <v>0</v>
      </c>
    </row>
    <row r="1952" spans="1:35" ht="15" customHeight="1" x14ac:dyDescent="0.3">
      <c r="A1952" s="60" t="s">
        <v>7130</v>
      </c>
      <c r="B1952" s="60" t="s">
        <v>81</v>
      </c>
      <c r="C1952" s="60" t="s">
        <v>7131</v>
      </c>
      <c r="D1952" s="60" t="s">
        <v>126</v>
      </c>
      <c r="E1952" s="60" t="s">
        <v>3635</v>
      </c>
      <c r="F1952" s="60" t="b">
        <f>TRUE()</f>
        <v>1</v>
      </c>
      <c r="G1952" s="60" t="s">
        <v>165</v>
      </c>
      <c r="H1952" s="60" t="s">
        <v>3636</v>
      </c>
      <c r="I1952" s="61">
        <v>46209.891593460699</v>
      </c>
      <c r="J1952" s="61">
        <v>46210.283419143503</v>
      </c>
      <c r="K1952" s="60">
        <v>0.4</v>
      </c>
      <c r="L1952" s="60" t="s">
        <v>183</v>
      </c>
      <c r="M1952" s="60" t="s">
        <v>183</v>
      </c>
      <c r="N1952" s="60" t="b">
        <f>FALSE()</f>
        <v>0</v>
      </c>
      <c r="O1952" s="60"/>
      <c r="P1952" s="60"/>
      <c r="Q1952" s="60" t="s">
        <v>236</v>
      </c>
      <c r="R1952" s="60" t="s">
        <v>236</v>
      </c>
      <c r="S1952" s="60"/>
      <c r="T1952" s="60" t="b">
        <f>FALSE()</f>
        <v>0</v>
      </c>
      <c r="U1952" s="60" t="b">
        <f>FALSE()</f>
        <v>0</v>
      </c>
      <c r="V1952" s="60">
        <v>737</v>
      </c>
      <c r="W1952" s="62" t="s">
        <v>7132</v>
      </c>
      <c r="X1952" s="60">
        <v>3</v>
      </c>
      <c r="Y1952" s="63">
        <v>5.25</v>
      </c>
      <c r="Z1952" s="60" t="b">
        <f>FALSE()</f>
        <v>0</v>
      </c>
      <c r="AA1952" s="60" t="b">
        <f>TRUE()</f>
        <v>1</v>
      </c>
      <c r="AB1952" s="60" t="b">
        <f>FALSE()</f>
        <v>0</v>
      </c>
      <c r="AC1952" s="60" t="b">
        <f>FALSE()</f>
        <v>0</v>
      </c>
      <c r="AD1952" s="60" t="b">
        <f>FALSE()</f>
        <v>0</v>
      </c>
      <c r="AE1952" s="60">
        <v>1</v>
      </c>
      <c r="AF1952" s="64">
        <v>14.3</v>
      </c>
      <c r="AG1952" s="60" t="s">
        <v>74</v>
      </c>
      <c r="AH1952" s="60" t="s">
        <v>7133</v>
      </c>
      <c r="AI1952">
        <f>IF(AND(OR(Company_Explorer!$B$5="All Companies",$E1952=Company_Explorer!$B$5),OR(Company_Explorer!$B$6="All Platforms",$B1952=Company_Explorer!$B$6),OR(Company_Explorer!$B$7="All Roles",$D1952=Company_Explorer!$B$7),OR(Company_Explorer!$B$8="All Ghost Labels",$AG1952=Company_Explorer!$B$8)),1,0)</f>
        <v>0</v>
      </c>
    </row>
    <row r="1953" spans="1:35" ht="15" customHeight="1" x14ac:dyDescent="0.3">
      <c r="A1953" s="65" t="s">
        <v>7134</v>
      </c>
      <c r="B1953" s="65" t="s">
        <v>81</v>
      </c>
      <c r="C1953" s="65" t="s">
        <v>7135</v>
      </c>
      <c r="D1953" s="65" t="s">
        <v>126</v>
      </c>
      <c r="E1953" s="65" t="s">
        <v>7136</v>
      </c>
      <c r="F1953" s="65" t="b">
        <f>TRUE()</f>
        <v>1</v>
      </c>
      <c r="G1953" s="65" t="s">
        <v>165</v>
      </c>
      <c r="H1953" s="65" t="s">
        <v>3636</v>
      </c>
      <c r="I1953" s="66">
        <v>46209.891385925897</v>
      </c>
      <c r="J1953" s="66">
        <v>46210.283420069398</v>
      </c>
      <c r="K1953" s="65">
        <v>0.4</v>
      </c>
      <c r="L1953" s="65" t="s">
        <v>183</v>
      </c>
      <c r="M1953" s="65" t="s">
        <v>183</v>
      </c>
      <c r="N1953" s="65" t="b">
        <f>FALSE()</f>
        <v>0</v>
      </c>
      <c r="O1953" s="65"/>
      <c r="P1953" s="65"/>
      <c r="Q1953" s="65" t="s">
        <v>236</v>
      </c>
      <c r="R1953" s="65" t="s">
        <v>236</v>
      </c>
      <c r="S1953" s="65"/>
      <c r="T1953" s="65" t="b">
        <f>FALSE()</f>
        <v>0</v>
      </c>
      <c r="U1953" s="65" t="b">
        <f>FALSE()</f>
        <v>0</v>
      </c>
      <c r="V1953" s="65">
        <v>605</v>
      </c>
      <c r="W1953" s="67" t="s">
        <v>7137</v>
      </c>
      <c r="X1953" s="65">
        <v>1</v>
      </c>
      <c r="Y1953" s="68">
        <v>1.75</v>
      </c>
      <c r="Z1953" s="65" t="b">
        <f>FALSE()</f>
        <v>0</v>
      </c>
      <c r="AA1953" s="65" t="b">
        <f>TRUE()</f>
        <v>1</v>
      </c>
      <c r="AB1953" s="65" t="b">
        <f>FALSE()</f>
        <v>0</v>
      </c>
      <c r="AC1953" s="65" t="b">
        <f>FALSE()</f>
        <v>0</v>
      </c>
      <c r="AD1953" s="65" t="b">
        <f>FALSE()</f>
        <v>0</v>
      </c>
      <c r="AE1953" s="65">
        <v>1</v>
      </c>
      <c r="AF1953" s="69">
        <v>14.3</v>
      </c>
      <c r="AG1953" s="65" t="s">
        <v>74</v>
      </c>
      <c r="AH1953" s="65" t="s">
        <v>7138</v>
      </c>
      <c r="AI1953">
        <f>IF(AND(OR(Company_Explorer!$B$5="All Companies",$E1953=Company_Explorer!$B$5),OR(Company_Explorer!$B$6="All Platforms",$B1953=Company_Explorer!$B$6),OR(Company_Explorer!$B$7="All Roles",$D1953=Company_Explorer!$B$7),OR(Company_Explorer!$B$8="All Ghost Labels",$AG1953=Company_Explorer!$B$8)),1,0)</f>
        <v>0</v>
      </c>
    </row>
    <row r="1954" spans="1:35" ht="15" customHeight="1" x14ac:dyDescent="0.3">
      <c r="A1954" s="60" t="s">
        <v>7139</v>
      </c>
      <c r="B1954" s="60" t="s">
        <v>81</v>
      </c>
      <c r="C1954" s="60" t="s">
        <v>7112</v>
      </c>
      <c r="D1954" s="60" t="s">
        <v>126</v>
      </c>
      <c r="E1954" s="60" t="s">
        <v>7113</v>
      </c>
      <c r="F1954" s="60" t="b">
        <f>TRUE()</f>
        <v>1</v>
      </c>
      <c r="G1954" s="60" t="s">
        <v>165</v>
      </c>
      <c r="H1954" s="60" t="s">
        <v>3636</v>
      </c>
      <c r="I1954" s="61">
        <v>46209.8809282523</v>
      </c>
      <c r="J1954" s="61">
        <v>46210.283420219901</v>
      </c>
      <c r="K1954" s="60">
        <v>0.4</v>
      </c>
      <c r="L1954" s="60" t="s">
        <v>183</v>
      </c>
      <c r="M1954" s="60" t="s">
        <v>183</v>
      </c>
      <c r="N1954" s="60" t="b">
        <f>FALSE()</f>
        <v>0</v>
      </c>
      <c r="O1954" s="60"/>
      <c r="P1954" s="60"/>
      <c r="Q1954" s="60" t="s">
        <v>236</v>
      </c>
      <c r="R1954" s="60" t="s">
        <v>236</v>
      </c>
      <c r="S1954" s="60"/>
      <c r="T1954" s="60" t="b">
        <f>FALSE()</f>
        <v>0</v>
      </c>
      <c r="U1954" s="60" t="b">
        <f>FALSE()</f>
        <v>0</v>
      </c>
      <c r="V1954" s="60">
        <v>637</v>
      </c>
      <c r="W1954" s="62" t="s">
        <v>7114</v>
      </c>
      <c r="X1954" s="60">
        <v>3</v>
      </c>
      <c r="Y1954" s="63">
        <v>5.25</v>
      </c>
      <c r="Z1954" s="60" t="b">
        <f>FALSE()</f>
        <v>0</v>
      </c>
      <c r="AA1954" s="60" t="b">
        <f>TRUE()</f>
        <v>1</v>
      </c>
      <c r="AB1954" s="60" t="b">
        <f>FALSE()</f>
        <v>0</v>
      </c>
      <c r="AC1954" s="60" t="b">
        <f>FALSE()</f>
        <v>0</v>
      </c>
      <c r="AD1954" s="60" t="b">
        <f>FALSE()</f>
        <v>0</v>
      </c>
      <c r="AE1954" s="60">
        <v>1</v>
      </c>
      <c r="AF1954" s="64">
        <v>14.3</v>
      </c>
      <c r="AG1954" s="60" t="s">
        <v>74</v>
      </c>
      <c r="AH1954" s="60" t="s">
        <v>7140</v>
      </c>
      <c r="AI1954">
        <f>IF(AND(OR(Company_Explorer!$B$5="All Companies",$E1954=Company_Explorer!$B$5),OR(Company_Explorer!$B$6="All Platforms",$B1954=Company_Explorer!$B$6),OR(Company_Explorer!$B$7="All Roles",$D1954=Company_Explorer!$B$7),OR(Company_Explorer!$B$8="All Ghost Labels",$AG1954=Company_Explorer!$B$8)),1,0)</f>
        <v>0</v>
      </c>
    </row>
    <row r="1955" spans="1:35" ht="15" customHeight="1" x14ac:dyDescent="0.3">
      <c r="A1955" s="65" t="s">
        <v>7141</v>
      </c>
      <c r="B1955" s="65" t="s">
        <v>81</v>
      </c>
      <c r="C1955" s="65" t="s">
        <v>7142</v>
      </c>
      <c r="D1955" s="65" t="s">
        <v>126</v>
      </c>
      <c r="E1955" s="65" t="s">
        <v>7143</v>
      </c>
      <c r="F1955" s="65" t="b">
        <f>TRUE()</f>
        <v>1</v>
      </c>
      <c r="G1955" s="65" t="s">
        <v>177</v>
      </c>
      <c r="H1955" s="65" t="s">
        <v>165</v>
      </c>
      <c r="I1955" s="66">
        <v>46209.897237916703</v>
      </c>
      <c r="J1955" s="66">
        <v>46210.283418981497</v>
      </c>
      <c r="K1955" s="65">
        <v>0.4</v>
      </c>
      <c r="L1955" s="65" t="s">
        <v>183</v>
      </c>
      <c r="M1955" s="65" t="s">
        <v>183</v>
      </c>
      <c r="N1955" s="65" t="b">
        <f>TRUE()</f>
        <v>1</v>
      </c>
      <c r="O1955" s="71">
        <v>10000</v>
      </c>
      <c r="P1955" s="71">
        <v>15000</v>
      </c>
      <c r="Q1955" s="65" t="s">
        <v>3663</v>
      </c>
      <c r="R1955" s="65" t="s">
        <v>3664</v>
      </c>
      <c r="S1955" s="71">
        <v>150000</v>
      </c>
      <c r="T1955" s="65" t="b">
        <f>TRUE()</f>
        <v>1</v>
      </c>
      <c r="U1955" s="65" t="b">
        <f>FALSE()</f>
        <v>0</v>
      </c>
      <c r="V1955" s="65">
        <v>247</v>
      </c>
      <c r="W1955" s="67" t="s">
        <v>7144</v>
      </c>
      <c r="X1955" s="65">
        <v>1</v>
      </c>
      <c r="Y1955" s="68">
        <v>1.75</v>
      </c>
      <c r="Z1955" s="65" t="b">
        <f>FALSE()</f>
        <v>0</v>
      </c>
      <c r="AA1955" s="65" t="b">
        <f>FALSE()</f>
        <v>0</v>
      </c>
      <c r="AB1955" s="65" t="b">
        <f>TRUE()</f>
        <v>1</v>
      </c>
      <c r="AC1955" s="65" t="b">
        <f>FALSE()</f>
        <v>0</v>
      </c>
      <c r="AD1955" s="65" t="b">
        <f>FALSE()</f>
        <v>0</v>
      </c>
      <c r="AE1955" s="65">
        <v>1</v>
      </c>
      <c r="AF1955" s="69">
        <v>14.3</v>
      </c>
      <c r="AG1955" s="65" t="s">
        <v>74</v>
      </c>
      <c r="AH1955" s="65" t="s">
        <v>7145</v>
      </c>
      <c r="AI1955">
        <f>IF(AND(OR(Company_Explorer!$B$5="All Companies",$E1955=Company_Explorer!$B$5),OR(Company_Explorer!$B$6="All Platforms",$B1955=Company_Explorer!$B$6),OR(Company_Explorer!$B$7="All Roles",$D1955=Company_Explorer!$B$7),OR(Company_Explorer!$B$8="All Ghost Labels",$AG1955=Company_Explorer!$B$8)),1,0)</f>
        <v>0</v>
      </c>
    </row>
    <row r="1956" spans="1:35" ht="15" customHeight="1" x14ac:dyDescent="0.3">
      <c r="A1956" s="60" t="s">
        <v>7146</v>
      </c>
      <c r="B1956" s="60" t="s">
        <v>81</v>
      </c>
      <c r="C1956" s="60" t="s">
        <v>7147</v>
      </c>
      <c r="D1956" s="60" t="s">
        <v>125</v>
      </c>
      <c r="E1956" s="60" t="s">
        <v>156</v>
      </c>
      <c r="F1956" s="60" t="b">
        <f>TRUE()</f>
        <v>1</v>
      </c>
      <c r="G1956" s="60" t="s">
        <v>165</v>
      </c>
      <c r="H1956" s="60" t="s">
        <v>3636</v>
      </c>
      <c r="I1956" s="61">
        <v>46209.477040081001</v>
      </c>
      <c r="J1956" s="61">
        <v>46210.283424791698</v>
      </c>
      <c r="K1956" s="60">
        <v>0.8</v>
      </c>
      <c r="L1956" s="60" t="s">
        <v>183</v>
      </c>
      <c r="M1956" s="60" t="s">
        <v>183</v>
      </c>
      <c r="N1956" s="60" t="b">
        <f>FALSE()</f>
        <v>0</v>
      </c>
      <c r="O1956" s="60"/>
      <c r="P1956" s="60"/>
      <c r="Q1956" s="60" t="s">
        <v>236</v>
      </c>
      <c r="R1956" s="60" t="s">
        <v>236</v>
      </c>
      <c r="S1956" s="60"/>
      <c r="T1956" s="60" t="b">
        <f>FALSE()</f>
        <v>0</v>
      </c>
      <c r="U1956" s="60" t="b">
        <f>FALSE()</f>
        <v>0</v>
      </c>
      <c r="V1956" s="60">
        <v>477</v>
      </c>
      <c r="W1956" s="62" t="s">
        <v>7148</v>
      </c>
      <c r="X1956" s="60">
        <v>14</v>
      </c>
      <c r="Y1956" s="63">
        <v>24.5</v>
      </c>
      <c r="Z1956" s="60" t="b">
        <f>FALSE()</f>
        <v>0</v>
      </c>
      <c r="AA1956" s="60" t="b">
        <f>TRUE()</f>
        <v>1</v>
      </c>
      <c r="AB1956" s="60" t="b">
        <f>FALSE()</f>
        <v>0</v>
      </c>
      <c r="AC1956" s="60" t="b">
        <f>TRUE()</f>
        <v>1</v>
      </c>
      <c r="AD1956" s="60" t="b">
        <f>FALSE()</f>
        <v>0</v>
      </c>
      <c r="AE1956" s="60">
        <v>2</v>
      </c>
      <c r="AF1956" s="64">
        <v>28.6</v>
      </c>
      <c r="AG1956" s="60" t="s">
        <v>73</v>
      </c>
      <c r="AH1956" s="60" t="s">
        <v>7149</v>
      </c>
      <c r="AI1956">
        <f>IF(AND(OR(Company_Explorer!$B$5="All Companies",$E1956=Company_Explorer!$B$5),OR(Company_Explorer!$B$6="All Platforms",$B1956=Company_Explorer!$B$6),OR(Company_Explorer!$B$7="All Roles",$D1956=Company_Explorer!$B$7),OR(Company_Explorer!$B$8="All Ghost Labels",$AG1956=Company_Explorer!$B$8)),1,0)</f>
        <v>0</v>
      </c>
    </row>
    <row r="1957" spans="1:35" ht="15" customHeight="1" x14ac:dyDescent="0.3">
      <c r="A1957" s="65" t="s">
        <v>7150</v>
      </c>
      <c r="B1957" s="65" t="s">
        <v>81</v>
      </c>
      <c r="C1957" s="65" t="s">
        <v>7151</v>
      </c>
      <c r="D1957" s="65" t="s">
        <v>125</v>
      </c>
      <c r="E1957" s="65" t="s">
        <v>7152</v>
      </c>
      <c r="F1957" s="65" t="b">
        <f>TRUE()</f>
        <v>1</v>
      </c>
      <c r="G1957" s="65" t="s">
        <v>165</v>
      </c>
      <c r="H1957" s="65" t="s">
        <v>3620</v>
      </c>
      <c r="I1957" s="66">
        <v>46209.475811354198</v>
      </c>
      <c r="J1957" s="66">
        <v>46210.283424884299</v>
      </c>
      <c r="K1957" s="65">
        <v>0.8</v>
      </c>
      <c r="L1957" s="65" t="s">
        <v>183</v>
      </c>
      <c r="M1957" s="65" t="s">
        <v>183</v>
      </c>
      <c r="N1957" s="65" t="b">
        <f>TRUE()</f>
        <v>1</v>
      </c>
      <c r="O1957" s="71">
        <v>9332.26953125</v>
      </c>
      <c r="P1957" s="71">
        <v>43049.37109375</v>
      </c>
      <c r="Q1957" s="65" t="s">
        <v>3663</v>
      </c>
      <c r="R1957" s="65" t="s">
        <v>3664</v>
      </c>
      <c r="S1957" s="71">
        <v>314290</v>
      </c>
      <c r="T1957" s="65" t="b">
        <f>TRUE()</f>
        <v>1</v>
      </c>
      <c r="U1957" s="65" t="b">
        <f>FALSE()</f>
        <v>0</v>
      </c>
      <c r="V1957" s="65">
        <v>291</v>
      </c>
      <c r="W1957" s="67" t="s">
        <v>7153</v>
      </c>
      <c r="X1957" s="65">
        <v>1</v>
      </c>
      <c r="Y1957" s="68">
        <v>1.75</v>
      </c>
      <c r="Z1957" s="65" t="b">
        <f>FALSE()</f>
        <v>0</v>
      </c>
      <c r="AA1957" s="65" t="b">
        <f>FALSE()</f>
        <v>0</v>
      </c>
      <c r="AB1957" s="65" t="b">
        <f>TRUE()</f>
        <v>1</v>
      </c>
      <c r="AC1957" s="65" t="b">
        <f>TRUE()</f>
        <v>1</v>
      </c>
      <c r="AD1957" s="65" t="b">
        <f>FALSE()</f>
        <v>0</v>
      </c>
      <c r="AE1957" s="65">
        <v>2</v>
      </c>
      <c r="AF1957" s="69">
        <v>28.6</v>
      </c>
      <c r="AG1957" s="65" t="s">
        <v>73</v>
      </c>
      <c r="AH1957" s="65" t="s">
        <v>7154</v>
      </c>
      <c r="AI1957">
        <f>IF(AND(OR(Company_Explorer!$B$5="All Companies",$E1957=Company_Explorer!$B$5),OR(Company_Explorer!$B$6="All Platforms",$B1957=Company_Explorer!$B$6),OR(Company_Explorer!$B$7="All Roles",$D1957=Company_Explorer!$B$7),OR(Company_Explorer!$B$8="All Ghost Labels",$AG1957=Company_Explorer!$B$8)),1,0)</f>
        <v>0</v>
      </c>
    </row>
    <row r="1958" spans="1:35" ht="15" customHeight="1" x14ac:dyDescent="0.3">
      <c r="A1958" s="60" t="s">
        <v>7155</v>
      </c>
      <c r="B1958" s="60" t="s">
        <v>81</v>
      </c>
      <c r="C1958" s="60" t="s">
        <v>7156</v>
      </c>
      <c r="D1958" s="60" t="s">
        <v>130</v>
      </c>
      <c r="E1958" s="60" t="s">
        <v>147</v>
      </c>
      <c r="F1958" s="60" t="b">
        <f>TRUE()</f>
        <v>1</v>
      </c>
      <c r="G1958" s="60" t="s">
        <v>165</v>
      </c>
      <c r="H1958" s="60" t="s">
        <v>3636</v>
      </c>
      <c r="I1958" s="61">
        <v>46209.472572175902</v>
      </c>
      <c r="J1958" s="61">
        <v>46210.283424942099</v>
      </c>
      <c r="K1958" s="60">
        <v>0.8</v>
      </c>
      <c r="L1958" s="60" t="s">
        <v>183</v>
      </c>
      <c r="M1958" s="60" t="s">
        <v>183</v>
      </c>
      <c r="N1958" s="60" t="b">
        <f>FALSE()</f>
        <v>0</v>
      </c>
      <c r="O1958" s="60"/>
      <c r="P1958" s="60"/>
      <c r="Q1958" s="60" t="s">
        <v>236</v>
      </c>
      <c r="R1958" s="60" t="s">
        <v>236</v>
      </c>
      <c r="S1958" s="60"/>
      <c r="T1958" s="60" t="b">
        <f>FALSE()</f>
        <v>0</v>
      </c>
      <c r="U1958" s="60" t="b">
        <f>FALSE()</f>
        <v>0</v>
      </c>
      <c r="V1958" s="60">
        <v>290</v>
      </c>
      <c r="W1958" s="62" t="s">
        <v>7157</v>
      </c>
      <c r="X1958" s="60">
        <v>16</v>
      </c>
      <c r="Y1958" s="63">
        <v>28</v>
      </c>
      <c r="Z1958" s="60" t="b">
        <f>FALSE()</f>
        <v>0</v>
      </c>
      <c r="AA1958" s="60" t="b">
        <f>TRUE()</f>
        <v>1</v>
      </c>
      <c r="AB1958" s="60" t="b">
        <f>TRUE()</f>
        <v>1</v>
      </c>
      <c r="AC1958" s="60" t="b">
        <f>TRUE()</f>
        <v>1</v>
      </c>
      <c r="AD1958" s="60" t="b">
        <f>FALSE()</f>
        <v>0</v>
      </c>
      <c r="AE1958" s="60">
        <v>3</v>
      </c>
      <c r="AF1958" s="64">
        <v>42.9</v>
      </c>
      <c r="AG1958" s="60" t="s">
        <v>73</v>
      </c>
      <c r="AH1958" s="60" t="s">
        <v>7158</v>
      </c>
      <c r="AI1958">
        <f>IF(AND(OR(Company_Explorer!$B$5="All Companies",$E1958=Company_Explorer!$B$5),OR(Company_Explorer!$B$6="All Platforms",$B1958=Company_Explorer!$B$6),OR(Company_Explorer!$B$7="All Roles",$D1958=Company_Explorer!$B$7),OR(Company_Explorer!$B$8="All Ghost Labels",$AG1958=Company_Explorer!$B$8)),1,0)</f>
        <v>1</v>
      </c>
    </row>
    <row r="1959" spans="1:35" ht="15" customHeight="1" x14ac:dyDescent="0.3">
      <c r="A1959" s="65" t="s">
        <v>7159</v>
      </c>
      <c r="B1959" s="65" t="s">
        <v>81</v>
      </c>
      <c r="C1959" s="65" t="s">
        <v>7160</v>
      </c>
      <c r="D1959" s="65" t="s">
        <v>125</v>
      </c>
      <c r="E1959" s="65" t="s">
        <v>156</v>
      </c>
      <c r="F1959" s="65" t="b">
        <f>TRUE()</f>
        <v>1</v>
      </c>
      <c r="G1959" s="65" t="s">
        <v>165</v>
      </c>
      <c r="H1959" s="65" t="s">
        <v>3620</v>
      </c>
      <c r="I1959" s="66">
        <v>46209.477044606501</v>
      </c>
      <c r="J1959" s="66">
        <v>46210.283424861103</v>
      </c>
      <c r="K1959" s="65">
        <v>0.8</v>
      </c>
      <c r="L1959" s="65" t="s">
        <v>183</v>
      </c>
      <c r="M1959" s="65" t="s">
        <v>183</v>
      </c>
      <c r="N1959" s="65" t="b">
        <f>FALSE()</f>
        <v>0</v>
      </c>
      <c r="O1959" s="65"/>
      <c r="P1959" s="65"/>
      <c r="Q1959" s="65" t="s">
        <v>236</v>
      </c>
      <c r="R1959" s="65" t="s">
        <v>236</v>
      </c>
      <c r="S1959" s="65"/>
      <c r="T1959" s="65" t="b">
        <f>FALSE()</f>
        <v>0</v>
      </c>
      <c r="U1959" s="65" t="b">
        <f>FALSE()</f>
        <v>0</v>
      </c>
      <c r="V1959" s="65">
        <v>504</v>
      </c>
      <c r="W1959" s="67" t="s">
        <v>7161</v>
      </c>
      <c r="X1959" s="65">
        <v>14</v>
      </c>
      <c r="Y1959" s="68">
        <v>24.5</v>
      </c>
      <c r="Z1959" s="65" t="b">
        <f>FALSE()</f>
        <v>0</v>
      </c>
      <c r="AA1959" s="65" t="b">
        <f>TRUE()</f>
        <v>1</v>
      </c>
      <c r="AB1959" s="65" t="b">
        <f>FALSE()</f>
        <v>0</v>
      </c>
      <c r="AC1959" s="65" t="b">
        <f>TRUE()</f>
        <v>1</v>
      </c>
      <c r="AD1959" s="65" t="b">
        <f>FALSE()</f>
        <v>0</v>
      </c>
      <c r="AE1959" s="65">
        <v>2</v>
      </c>
      <c r="AF1959" s="69">
        <v>28.6</v>
      </c>
      <c r="AG1959" s="65" t="s">
        <v>73</v>
      </c>
      <c r="AH1959" s="65" t="s">
        <v>7162</v>
      </c>
      <c r="AI1959">
        <f>IF(AND(OR(Company_Explorer!$B$5="All Companies",$E1959=Company_Explorer!$B$5),OR(Company_Explorer!$B$6="All Platforms",$B1959=Company_Explorer!$B$6),OR(Company_Explorer!$B$7="All Roles",$D1959=Company_Explorer!$B$7),OR(Company_Explorer!$B$8="All Ghost Labels",$AG1959=Company_Explorer!$B$8)),1,0)</f>
        <v>0</v>
      </c>
    </row>
    <row r="1960" spans="1:35" ht="15" customHeight="1" x14ac:dyDescent="0.3">
      <c r="A1960" s="60" t="s">
        <v>7163</v>
      </c>
      <c r="B1960" s="60" t="s">
        <v>81</v>
      </c>
      <c r="C1960" s="60" t="s">
        <v>7164</v>
      </c>
      <c r="D1960" s="60" t="s">
        <v>125</v>
      </c>
      <c r="E1960" s="60" t="s">
        <v>7165</v>
      </c>
      <c r="F1960" s="60" t="b">
        <f>TRUE()</f>
        <v>1</v>
      </c>
      <c r="G1960" s="60" t="s">
        <v>165</v>
      </c>
      <c r="H1960" s="60" t="s">
        <v>3805</v>
      </c>
      <c r="I1960" s="61">
        <v>46209.561196736096</v>
      </c>
      <c r="J1960" s="61">
        <v>46210.2834249769</v>
      </c>
      <c r="K1960" s="60">
        <v>0.7</v>
      </c>
      <c r="L1960" s="60" t="s">
        <v>183</v>
      </c>
      <c r="M1960" s="60" t="s">
        <v>183</v>
      </c>
      <c r="N1960" s="60" t="b">
        <f>TRUE()</f>
        <v>1</v>
      </c>
      <c r="O1960" s="70">
        <v>20000</v>
      </c>
      <c r="P1960" s="70">
        <v>40000</v>
      </c>
      <c r="Q1960" s="60" t="s">
        <v>3663</v>
      </c>
      <c r="R1960" s="60" t="s">
        <v>3664</v>
      </c>
      <c r="S1960" s="70">
        <v>360000</v>
      </c>
      <c r="T1960" s="60" t="b">
        <f>TRUE()</f>
        <v>1</v>
      </c>
      <c r="U1960" s="60" t="b">
        <f>FALSE()</f>
        <v>0</v>
      </c>
      <c r="V1960" s="60">
        <v>395</v>
      </c>
      <c r="W1960" s="60" t="s">
        <v>7166</v>
      </c>
      <c r="X1960" s="60">
        <v>1</v>
      </c>
      <c r="Y1960" s="63">
        <v>1.75</v>
      </c>
      <c r="Z1960" s="60" t="b">
        <f>FALSE()</f>
        <v>0</v>
      </c>
      <c r="AA1960" s="60" t="b">
        <f>FALSE()</f>
        <v>0</v>
      </c>
      <c r="AB1960" s="60" t="b">
        <f>FALSE()</f>
        <v>0</v>
      </c>
      <c r="AC1960" s="60" t="b">
        <f>FALSE()</f>
        <v>0</v>
      </c>
      <c r="AD1960" s="60" t="b">
        <f>FALSE()</f>
        <v>0</v>
      </c>
      <c r="AE1960" s="60">
        <v>0</v>
      </c>
      <c r="AF1960" s="64">
        <v>0</v>
      </c>
      <c r="AG1960" s="60" t="s">
        <v>74</v>
      </c>
      <c r="AH1960" s="60" t="s">
        <v>7167</v>
      </c>
      <c r="AI1960">
        <f>IF(AND(OR(Company_Explorer!$B$5="All Companies",$E1960=Company_Explorer!$B$5),OR(Company_Explorer!$B$6="All Platforms",$B1960=Company_Explorer!$B$6),OR(Company_Explorer!$B$7="All Roles",$D1960=Company_Explorer!$B$7),OR(Company_Explorer!$B$8="All Ghost Labels",$AG1960=Company_Explorer!$B$8)),1,0)</f>
        <v>0</v>
      </c>
    </row>
    <row r="1961" spans="1:35" ht="15" customHeight="1" x14ac:dyDescent="0.3">
      <c r="A1961" s="65" t="s">
        <v>7168</v>
      </c>
      <c r="B1961" s="65" t="s">
        <v>81</v>
      </c>
      <c r="C1961" s="65" t="s">
        <v>7169</v>
      </c>
      <c r="D1961" s="65" t="s">
        <v>125</v>
      </c>
      <c r="E1961" s="65" t="s">
        <v>7170</v>
      </c>
      <c r="F1961" s="65" t="b">
        <f>TRUE()</f>
        <v>1</v>
      </c>
      <c r="G1961" s="65" t="s">
        <v>165</v>
      </c>
      <c r="H1961" s="65" t="s">
        <v>3821</v>
      </c>
      <c r="I1961" s="66">
        <v>46209.5462746759</v>
      </c>
      <c r="J1961" s="66">
        <v>46210.283424918998</v>
      </c>
      <c r="K1961" s="65">
        <v>0.7</v>
      </c>
      <c r="L1961" s="65" t="s">
        <v>183</v>
      </c>
      <c r="M1961" s="65" t="s">
        <v>183</v>
      </c>
      <c r="N1961" s="65" t="b">
        <f>TRUE()</f>
        <v>1</v>
      </c>
      <c r="O1961" s="71">
        <v>10000</v>
      </c>
      <c r="P1961" s="71">
        <v>20000</v>
      </c>
      <c r="Q1961" s="65" t="s">
        <v>3663</v>
      </c>
      <c r="R1961" s="65" t="s">
        <v>3664</v>
      </c>
      <c r="S1961" s="71">
        <v>180000</v>
      </c>
      <c r="T1961" s="65" t="b">
        <f>TRUE()</f>
        <v>1</v>
      </c>
      <c r="U1961" s="65" t="b">
        <f>FALSE()</f>
        <v>0</v>
      </c>
      <c r="V1961" s="65">
        <v>254</v>
      </c>
      <c r="W1961" s="67" t="s">
        <v>7171</v>
      </c>
      <c r="X1961" s="65">
        <v>1</v>
      </c>
      <c r="Y1961" s="68">
        <v>1.75</v>
      </c>
      <c r="Z1961" s="65" t="b">
        <f>FALSE()</f>
        <v>0</v>
      </c>
      <c r="AA1961" s="65" t="b">
        <f>FALSE()</f>
        <v>0</v>
      </c>
      <c r="AB1961" s="65" t="b">
        <f>TRUE()</f>
        <v>1</v>
      </c>
      <c r="AC1961" s="65" t="b">
        <f>FALSE()</f>
        <v>0</v>
      </c>
      <c r="AD1961" s="65" t="b">
        <f>FALSE()</f>
        <v>0</v>
      </c>
      <c r="AE1961" s="65">
        <v>1</v>
      </c>
      <c r="AF1961" s="69">
        <v>14.3</v>
      </c>
      <c r="AG1961" s="65" t="s">
        <v>74</v>
      </c>
      <c r="AH1961" s="65" t="s">
        <v>7172</v>
      </c>
      <c r="AI1961">
        <f>IF(AND(OR(Company_Explorer!$B$5="All Companies",$E1961=Company_Explorer!$B$5),OR(Company_Explorer!$B$6="All Platforms",$B1961=Company_Explorer!$B$6),OR(Company_Explorer!$B$7="All Roles",$D1961=Company_Explorer!$B$7),OR(Company_Explorer!$B$8="All Ghost Labels",$AG1961=Company_Explorer!$B$8)),1,0)</f>
        <v>0</v>
      </c>
    </row>
    <row r="1962" spans="1:35" ht="15" customHeight="1" x14ac:dyDescent="0.3">
      <c r="A1962" s="60" t="s">
        <v>7173</v>
      </c>
      <c r="B1962" s="60" t="s">
        <v>81</v>
      </c>
      <c r="C1962" s="60" t="s">
        <v>7174</v>
      </c>
      <c r="D1962" s="60" t="s">
        <v>130</v>
      </c>
      <c r="E1962" s="60" t="s">
        <v>153</v>
      </c>
      <c r="F1962" s="60" t="b">
        <f>TRUE()</f>
        <v>1</v>
      </c>
      <c r="G1962" s="60" t="s">
        <v>165</v>
      </c>
      <c r="H1962" s="60" t="s">
        <v>3636</v>
      </c>
      <c r="I1962" s="61">
        <v>46209.546072511599</v>
      </c>
      <c r="J1962" s="61">
        <v>46210.283425023197</v>
      </c>
      <c r="K1962" s="60">
        <v>0.7</v>
      </c>
      <c r="L1962" s="60" t="s">
        <v>183</v>
      </c>
      <c r="M1962" s="60" t="s">
        <v>183</v>
      </c>
      <c r="N1962" s="60" t="b">
        <f>FALSE()</f>
        <v>0</v>
      </c>
      <c r="O1962" s="60"/>
      <c r="P1962" s="60"/>
      <c r="Q1962" s="60" t="s">
        <v>236</v>
      </c>
      <c r="R1962" s="60" t="s">
        <v>236</v>
      </c>
      <c r="S1962" s="60"/>
      <c r="T1962" s="60" t="b">
        <f>FALSE()</f>
        <v>0</v>
      </c>
      <c r="U1962" s="60" t="b">
        <f>FALSE()</f>
        <v>0</v>
      </c>
      <c r="V1962" s="60">
        <v>1075</v>
      </c>
      <c r="W1962" s="60" t="s">
        <v>7175</v>
      </c>
      <c r="X1962" s="60">
        <v>12</v>
      </c>
      <c r="Y1962" s="63">
        <v>21</v>
      </c>
      <c r="Z1962" s="60" t="b">
        <f>FALSE()</f>
        <v>0</v>
      </c>
      <c r="AA1962" s="60" t="b">
        <f>TRUE()</f>
        <v>1</v>
      </c>
      <c r="AB1962" s="60" t="b">
        <f>FALSE()</f>
        <v>0</v>
      </c>
      <c r="AC1962" s="60" t="b">
        <f>FALSE()</f>
        <v>0</v>
      </c>
      <c r="AD1962" s="60" t="b">
        <f>FALSE()</f>
        <v>0</v>
      </c>
      <c r="AE1962" s="60">
        <v>1</v>
      </c>
      <c r="AF1962" s="64">
        <v>14.3</v>
      </c>
      <c r="AG1962" s="60" t="s">
        <v>74</v>
      </c>
      <c r="AH1962" s="60" t="s">
        <v>7176</v>
      </c>
      <c r="AI1962">
        <f>IF(AND(OR(Company_Explorer!$B$5="All Companies",$E1962=Company_Explorer!$B$5),OR(Company_Explorer!$B$6="All Platforms",$B1962=Company_Explorer!$B$6),OR(Company_Explorer!$B$7="All Roles",$D1962=Company_Explorer!$B$7),OR(Company_Explorer!$B$8="All Ghost Labels",$AG1962=Company_Explorer!$B$8)),1,0)</f>
        <v>0</v>
      </c>
    </row>
    <row r="1963" spans="1:35" ht="15" customHeight="1" x14ac:dyDescent="0.3">
      <c r="A1963" s="65" t="s">
        <v>7177</v>
      </c>
      <c r="B1963" s="65" t="s">
        <v>81</v>
      </c>
      <c r="C1963" s="65" t="s">
        <v>7178</v>
      </c>
      <c r="D1963" s="65" t="s">
        <v>130</v>
      </c>
      <c r="E1963" s="65" t="s">
        <v>147</v>
      </c>
      <c r="F1963" s="65" t="b">
        <f>TRUE()</f>
        <v>1</v>
      </c>
      <c r="G1963" s="65" t="s">
        <v>165</v>
      </c>
      <c r="H1963" s="65" t="s">
        <v>3636</v>
      </c>
      <c r="I1963" s="66">
        <v>46209.472583044</v>
      </c>
      <c r="J1963" s="66">
        <v>46210.2834258449</v>
      </c>
      <c r="K1963" s="65">
        <v>0.8</v>
      </c>
      <c r="L1963" s="65" t="s">
        <v>183</v>
      </c>
      <c r="M1963" s="65" t="s">
        <v>183</v>
      </c>
      <c r="N1963" s="65" t="b">
        <f>FALSE()</f>
        <v>0</v>
      </c>
      <c r="O1963" s="65"/>
      <c r="P1963" s="65"/>
      <c r="Q1963" s="65" t="s">
        <v>236</v>
      </c>
      <c r="R1963" s="65" t="s">
        <v>236</v>
      </c>
      <c r="S1963" s="65"/>
      <c r="T1963" s="65" t="b">
        <f>FALSE()</f>
        <v>0</v>
      </c>
      <c r="U1963" s="65" t="b">
        <f>FALSE()</f>
        <v>0</v>
      </c>
      <c r="V1963" s="65">
        <v>272</v>
      </c>
      <c r="W1963" s="67" t="s">
        <v>7179</v>
      </c>
      <c r="X1963" s="65">
        <v>16</v>
      </c>
      <c r="Y1963" s="68">
        <v>28</v>
      </c>
      <c r="Z1963" s="65" t="b">
        <f>FALSE()</f>
        <v>0</v>
      </c>
      <c r="AA1963" s="65" t="b">
        <f>TRUE()</f>
        <v>1</v>
      </c>
      <c r="AB1963" s="65" t="b">
        <f>TRUE()</f>
        <v>1</v>
      </c>
      <c r="AC1963" s="65" t="b">
        <f>TRUE()</f>
        <v>1</v>
      </c>
      <c r="AD1963" s="65" t="b">
        <f>FALSE()</f>
        <v>0</v>
      </c>
      <c r="AE1963" s="65">
        <v>3</v>
      </c>
      <c r="AF1963" s="69">
        <v>42.9</v>
      </c>
      <c r="AG1963" s="65" t="s">
        <v>73</v>
      </c>
      <c r="AH1963" s="65" t="s">
        <v>7180</v>
      </c>
      <c r="AI1963">
        <f>IF(AND(OR(Company_Explorer!$B$5="All Companies",$E1963=Company_Explorer!$B$5),OR(Company_Explorer!$B$6="All Platforms",$B1963=Company_Explorer!$B$6),OR(Company_Explorer!$B$7="All Roles",$D1963=Company_Explorer!$B$7),OR(Company_Explorer!$B$8="All Ghost Labels",$AG1963=Company_Explorer!$B$8)),1,0)</f>
        <v>1</v>
      </c>
    </row>
    <row r="1964" spans="1:35" ht="15" customHeight="1" x14ac:dyDescent="0.3">
      <c r="A1964" s="60" t="s">
        <v>7181</v>
      </c>
      <c r="B1964" s="60" t="s">
        <v>81</v>
      </c>
      <c r="C1964" s="60" t="s">
        <v>2869</v>
      </c>
      <c r="D1964" s="60" t="s">
        <v>125</v>
      </c>
      <c r="E1964" s="60" t="s">
        <v>144</v>
      </c>
      <c r="F1964" s="60" t="b">
        <f>TRUE()</f>
        <v>1</v>
      </c>
      <c r="G1964" s="60" t="s">
        <v>165</v>
      </c>
      <c r="H1964" s="60" t="s">
        <v>3672</v>
      </c>
      <c r="I1964" s="61">
        <v>46209.474124444401</v>
      </c>
      <c r="J1964" s="61">
        <v>46210.283424826397</v>
      </c>
      <c r="K1964" s="60">
        <v>0.8</v>
      </c>
      <c r="L1964" s="60" t="s">
        <v>183</v>
      </c>
      <c r="M1964" s="60" t="s">
        <v>183</v>
      </c>
      <c r="N1964" s="60" t="b">
        <f>FALSE()</f>
        <v>0</v>
      </c>
      <c r="O1964" s="60"/>
      <c r="P1964" s="60"/>
      <c r="Q1964" s="60" t="s">
        <v>236</v>
      </c>
      <c r="R1964" s="60" t="s">
        <v>236</v>
      </c>
      <c r="S1964" s="60"/>
      <c r="T1964" s="60" t="b">
        <f>FALSE()</f>
        <v>0</v>
      </c>
      <c r="U1964" s="60" t="b">
        <f>FALSE()</f>
        <v>0</v>
      </c>
      <c r="V1964" s="60">
        <v>152</v>
      </c>
      <c r="W1964" s="62" t="s">
        <v>6612</v>
      </c>
      <c r="X1964" s="60">
        <v>41</v>
      </c>
      <c r="Y1964" s="63">
        <v>71.75</v>
      </c>
      <c r="Z1964" s="60" t="b">
        <f>FALSE()</f>
        <v>0</v>
      </c>
      <c r="AA1964" s="60" t="b">
        <f>TRUE()</f>
        <v>1</v>
      </c>
      <c r="AB1964" s="60" t="b">
        <f>TRUE()</f>
        <v>1</v>
      </c>
      <c r="AC1964" s="60" t="b">
        <f>TRUE()</f>
        <v>1</v>
      </c>
      <c r="AD1964" s="60" t="b">
        <f>FALSE()</f>
        <v>0</v>
      </c>
      <c r="AE1964" s="60">
        <v>3</v>
      </c>
      <c r="AF1964" s="64">
        <v>42.9</v>
      </c>
      <c r="AG1964" s="60" t="s">
        <v>73</v>
      </c>
      <c r="AH1964" s="60" t="s">
        <v>7182</v>
      </c>
      <c r="AI1964">
        <f>IF(AND(OR(Company_Explorer!$B$5="All Companies",$E1964=Company_Explorer!$B$5),OR(Company_Explorer!$B$6="All Platforms",$B1964=Company_Explorer!$B$6),OR(Company_Explorer!$B$7="All Roles",$D1964=Company_Explorer!$B$7),OR(Company_Explorer!$B$8="All Ghost Labels",$AG1964=Company_Explorer!$B$8)),1,0)</f>
        <v>0</v>
      </c>
    </row>
    <row r="1965" spans="1:35" ht="15" customHeight="1" x14ac:dyDescent="0.3">
      <c r="A1965" s="65" t="s">
        <v>7183</v>
      </c>
      <c r="B1965" s="65" t="s">
        <v>81</v>
      </c>
      <c r="C1965" s="65" t="s">
        <v>125</v>
      </c>
      <c r="D1965" s="65" t="s">
        <v>125</v>
      </c>
      <c r="E1965" s="65" t="s">
        <v>159</v>
      </c>
      <c r="F1965" s="65" t="b">
        <f>TRUE()</f>
        <v>1</v>
      </c>
      <c r="G1965" s="65" t="s">
        <v>165</v>
      </c>
      <c r="H1965" s="65" t="s">
        <v>3620</v>
      </c>
      <c r="I1965" s="66">
        <v>46209.544658171297</v>
      </c>
      <c r="J1965" s="66">
        <v>46210.283425949099</v>
      </c>
      <c r="K1965" s="65">
        <v>0.7</v>
      </c>
      <c r="L1965" s="65" t="s">
        <v>183</v>
      </c>
      <c r="M1965" s="65" t="s">
        <v>183</v>
      </c>
      <c r="N1965" s="65" t="b">
        <f>FALSE()</f>
        <v>0</v>
      </c>
      <c r="O1965" s="65"/>
      <c r="P1965" s="65"/>
      <c r="Q1965" s="65" t="s">
        <v>236</v>
      </c>
      <c r="R1965" s="65" t="s">
        <v>236</v>
      </c>
      <c r="S1965" s="65"/>
      <c r="T1965" s="65" t="b">
        <f>FALSE()</f>
        <v>0</v>
      </c>
      <c r="U1965" s="65" t="b">
        <f>FALSE()</f>
        <v>0</v>
      </c>
      <c r="V1965" s="65">
        <v>597</v>
      </c>
      <c r="W1965" s="67" t="s">
        <v>7184</v>
      </c>
      <c r="X1965" s="65">
        <v>3</v>
      </c>
      <c r="Y1965" s="68">
        <v>5.25</v>
      </c>
      <c r="Z1965" s="65" t="b">
        <f>FALSE()</f>
        <v>0</v>
      </c>
      <c r="AA1965" s="65" t="b">
        <f>TRUE()</f>
        <v>1</v>
      </c>
      <c r="AB1965" s="65" t="b">
        <f>FALSE()</f>
        <v>0</v>
      </c>
      <c r="AC1965" s="65" t="b">
        <f>FALSE()</f>
        <v>0</v>
      </c>
      <c r="AD1965" s="65" t="b">
        <f>FALSE()</f>
        <v>0</v>
      </c>
      <c r="AE1965" s="65">
        <v>1</v>
      </c>
      <c r="AF1965" s="69">
        <v>14.3</v>
      </c>
      <c r="AG1965" s="65" t="s">
        <v>74</v>
      </c>
      <c r="AH1965" s="65" t="s">
        <v>7185</v>
      </c>
      <c r="AI1965">
        <f>IF(AND(OR(Company_Explorer!$B$5="All Companies",$E1965=Company_Explorer!$B$5),OR(Company_Explorer!$B$6="All Platforms",$B1965=Company_Explorer!$B$6),OR(Company_Explorer!$B$7="All Roles",$D1965=Company_Explorer!$B$7),OR(Company_Explorer!$B$8="All Ghost Labels",$AG1965=Company_Explorer!$B$8)),1,0)</f>
        <v>0</v>
      </c>
    </row>
    <row r="1966" spans="1:35" ht="15" customHeight="1" x14ac:dyDescent="0.3">
      <c r="A1966" s="60" t="s">
        <v>7186</v>
      </c>
      <c r="B1966" s="60" t="s">
        <v>81</v>
      </c>
      <c r="C1966" s="60" t="s">
        <v>7187</v>
      </c>
      <c r="D1966" s="60" t="s">
        <v>125</v>
      </c>
      <c r="E1966" s="60" t="s">
        <v>153</v>
      </c>
      <c r="F1966" s="60" t="b">
        <f>TRUE()</f>
        <v>1</v>
      </c>
      <c r="G1966" s="60" t="s">
        <v>165</v>
      </c>
      <c r="H1966" s="60" t="s">
        <v>3636</v>
      </c>
      <c r="I1966" s="61">
        <v>46209.544416504599</v>
      </c>
      <c r="J1966" s="61">
        <v>46210.283425995403</v>
      </c>
      <c r="K1966" s="60">
        <v>0.7</v>
      </c>
      <c r="L1966" s="60" t="s">
        <v>183</v>
      </c>
      <c r="M1966" s="60" t="s">
        <v>183</v>
      </c>
      <c r="N1966" s="60" t="b">
        <f>FALSE()</f>
        <v>0</v>
      </c>
      <c r="O1966" s="60"/>
      <c r="P1966" s="60"/>
      <c r="Q1966" s="60" t="s">
        <v>236</v>
      </c>
      <c r="R1966" s="60" t="s">
        <v>236</v>
      </c>
      <c r="S1966" s="60"/>
      <c r="T1966" s="60" t="b">
        <f>FALSE()</f>
        <v>0</v>
      </c>
      <c r="U1966" s="60" t="b">
        <f>FALSE()</f>
        <v>0</v>
      </c>
      <c r="V1966" s="60">
        <v>826</v>
      </c>
      <c r="W1966" s="60" t="s">
        <v>7188</v>
      </c>
      <c r="X1966" s="60">
        <v>12</v>
      </c>
      <c r="Y1966" s="63">
        <v>21</v>
      </c>
      <c r="Z1966" s="60" t="b">
        <f>FALSE()</f>
        <v>0</v>
      </c>
      <c r="AA1966" s="60" t="b">
        <f>TRUE()</f>
        <v>1</v>
      </c>
      <c r="AB1966" s="60" t="b">
        <f>FALSE()</f>
        <v>0</v>
      </c>
      <c r="AC1966" s="60" t="b">
        <f>FALSE()</f>
        <v>0</v>
      </c>
      <c r="AD1966" s="60" t="b">
        <f>FALSE()</f>
        <v>0</v>
      </c>
      <c r="AE1966" s="60">
        <v>1</v>
      </c>
      <c r="AF1966" s="64">
        <v>14.3</v>
      </c>
      <c r="AG1966" s="60" t="s">
        <v>74</v>
      </c>
      <c r="AH1966" s="60" t="s">
        <v>7189</v>
      </c>
      <c r="AI1966">
        <f>IF(AND(OR(Company_Explorer!$B$5="All Companies",$E1966=Company_Explorer!$B$5),OR(Company_Explorer!$B$6="All Platforms",$B1966=Company_Explorer!$B$6),OR(Company_Explorer!$B$7="All Roles",$D1966=Company_Explorer!$B$7),OR(Company_Explorer!$B$8="All Ghost Labels",$AG1966=Company_Explorer!$B$8)),1,0)</f>
        <v>0</v>
      </c>
    </row>
    <row r="1967" spans="1:35" ht="15" customHeight="1" x14ac:dyDescent="0.3">
      <c r="A1967" s="65" t="s">
        <v>7190</v>
      </c>
      <c r="B1967" s="65" t="s">
        <v>81</v>
      </c>
      <c r="C1967" s="65" t="s">
        <v>7191</v>
      </c>
      <c r="D1967" s="65" t="s">
        <v>126</v>
      </c>
      <c r="E1967" s="65" t="s">
        <v>147</v>
      </c>
      <c r="F1967" s="65" t="b">
        <f>TRUE()</f>
        <v>1</v>
      </c>
      <c r="G1967" s="65" t="s">
        <v>165</v>
      </c>
      <c r="H1967" s="65" t="s">
        <v>3636</v>
      </c>
      <c r="I1967" s="66">
        <v>46209.472575231499</v>
      </c>
      <c r="J1967" s="66">
        <v>46210.2834259722</v>
      </c>
      <c r="K1967" s="65">
        <v>0.8</v>
      </c>
      <c r="L1967" s="65" t="s">
        <v>183</v>
      </c>
      <c r="M1967" s="65" t="s">
        <v>183</v>
      </c>
      <c r="N1967" s="65" t="b">
        <f>FALSE()</f>
        <v>0</v>
      </c>
      <c r="O1967" s="65"/>
      <c r="P1967" s="65"/>
      <c r="Q1967" s="65" t="s">
        <v>236</v>
      </c>
      <c r="R1967" s="65" t="s">
        <v>236</v>
      </c>
      <c r="S1967" s="65"/>
      <c r="T1967" s="65" t="b">
        <f>FALSE()</f>
        <v>0</v>
      </c>
      <c r="U1967" s="65" t="b">
        <f>FALSE()</f>
        <v>0</v>
      </c>
      <c r="V1967" s="65">
        <v>195</v>
      </c>
      <c r="W1967" s="67" t="s">
        <v>3770</v>
      </c>
      <c r="X1967" s="65">
        <v>16</v>
      </c>
      <c r="Y1967" s="68">
        <v>28</v>
      </c>
      <c r="Z1967" s="65" t="b">
        <f>FALSE()</f>
        <v>0</v>
      </c>
      <c r="AA1967" s="65" t="b">
        <f>TRUE()</f>
        <v>1</v>
      </c>
      <c r="AB1967" s="65" t="b">
        <f>TRUE()</f>
        <v>1</v>
      </c>
      <c r="AC1967" s="65" t="b">
        <f>TRUE()</f>
        <v>1</v>
      </c>
      <c r="AD1967" s="65" t="b">
        <f>FALSE()</f>
        <v>0</v>
      </c>
      <c r="AE1967" s="65">
        <v>3</v>
      </c>
      <c r="AF1967" s="69">
        <v>42.9</v>
      </c>
      <c r="AG1967" s="65" t="s">
        <v>73</v>
      </c>
      <c r="AH1967" s="65" t="s">
        <v>7192</v>
      </c>
      <c r="AI1967">
        <f>IF(AND(OR(Company_Explorer!$B$5="All Companies",$E1967=Company_Explorer!$B$5),OR(Company_Explorer!$B$6="All Platforms",$B1967=Company_Explorer!$B$6),OR(Company_Explorer!$B$7="All Roles",$D1967=Company_Explorer!$B$7),OR(Company_Explorer!$B$8="All Ghost Labels",$AG1967=Company_Explorer!$B$8)),1,0)</f>
        <v>1</v>
      </c>
    </row>
    <row r="1968" spans="1:35" ht="15" customHeight="1" x14ac:dyDescent="0.3">
      <c r="A1968" s="60" t="s">
        <v>7193</v>
      </c>
      <c r="B1968" s="60" t="s">
        <v>81</v>
      </c>
      <c r="C1968" s="60" t="s">
        <v>7194</v>
      </c>
      <c r="D1968" s="60" t="s">
        <v>126</v>
      </c>
      <c r="E1968" s="60" t="s">
        <v>147</v>
      </c>
      <c r="F1968" s="60" t="b">
        <f>TRUE()</f>
        <v>1</v>
      </c>
      <c r="G1968" s="60" t="s">
        <v>165</v>
      </c>
      <c r="H1968" s="60" t="s">
        <v>3636</v>
      </c>
      <c r="I1968" s="61">
        <v>46209.472565763899</v>
      </c>
      <c r="J1968" s="61">
        <v>46210.2834283333</v>
      </c>
      <c r="K1968" s="60">
        <v>0.8</v>
      </c>
      <c r="L1968" s="60" t="s">
        <v>183</v>
      </c>
      <c r="M1968" s="60" t="s">
        <v>183</v>
      </c>
      <c r="N1968" s="60" t="b">
        <f>FALSE()</f>
        <v>0</v>
      </c>
      <c r="O1968" s="60"/>
      <c r="P1968" s="60"/>
      <c r="Q1968" s="60" t="s">
        <v>236</v>
      </c>
      <c r="R1968" s="60" t="s">
        <v>236</v>
      </c>
      <c r="S1968" s="60"/>
      <c r="T1968" s="60" t="b">
        <f>FALSE()</f>
        <v>0</v>
      </c>
      <c r="U1968" s="60" t="b">
        <f>FALSE()</f>
        <v>0</v>
      </c>
      <c r="V1968" s="60">
        <v>293</v>
      </c>
      <c r="W1968" s="62" t="s">
        <v>7157</v>
      </c>
      <c r="X1968" s="60">
        <v>16</v>
      </c>
      <c r="Y1968" s="63">
        <v>28</v>
      </c>
      <c r="Z1968" s="60" t="b">
        <f>FALSE()</f>
        <v>0</v>
      </c>
      <c r="AA1968" s="60" t="b">
        <f>TRUE()</f>
        <v>1</v>
      </c>
      <c r="AB1968" s="60" t="b">
        <f>TRUE()</f>
        <v>1</v>
      </c>
      <c r="AC1968" s="60" t="b">
        <f>TRUE()</f>
        <v>1</v>
      </c>
      <c r="AD1968" s="60" t="b">
        <f>FALSE()</f>
        <v>0</v>
      </c>
      <c r="AE1968" s="60">
        <v>3</v>
      </c>
      <c r="AF1968" s="64">
        <v>42.9</v>
      </c>
      <c r="AG1968" s="60" t="s">
        <v>73</v>
      </c>
      <c r="AH1968" s="60" t="s">
        <v>7195</v>
      </c>
      <c r="AI1968">
        <f>IF(AND(OR(Company_Explorer!$B$5="All Companies",$E1968=Company_Explorer!$B$5),OR(Company_Explorer!$B$6="All Platforms",$B1968=Company_Explorer!$B$6),OR(Company_Explorer!$B$7="All Roles",$D1968=Company_Explorer!$B$7),OR(Company_Explorer!$B$8="All Ghost Labels",$AG1968=Company_Explorer!$B$8)),1,0)</f>
        <v>1</v>
      </c>
    </row>
    <row r="1969" spans="1:35" ht="15" customHeight="1" x14ac:dyDescent="0.3">
      <c r="A1969" s="65" t="s">
        <v>7196</v>
      </c>
      <c r="B1969" s="65" t="s">
        <v>81</v>
      </c>
      <c r="C1969" s="65" t="s">
        <v>2349</v>
      </c>
      <c r="D1969" s="65" t="s">
        <v>131</v>
      </c>
      <c r="E1969" s="65" t="s">
        <v>7197</v>
      </c>
      <c r="F1969" s="65" t="b">
        <f>TRUE()</f>
        <v>1</v>
      </c>
      <c r="G1969" s="65" t="s">
        <v>165</v>
      </c>
      <c r="H1969" s="65" t="s">
        <v>4302</v>
      </c>
      <c r="I1969" s="66">
        <v>46209.539587442101</v>
      </c>
      <c r="J1969" s="66">
        <v>46210.283428379596</v>
      </c>
      <c r="K1969" s="65">
        <v>0.7</v>
      </c>
      <c r="L1969" s="65" t="s">
        <v>183</v>
      </c>
      <c r="M1969" s="65" t="s">
        <v>183</v>
      </c>
      <c r="N1969" s="65" t="b">
        <f>TRUE()</f>
        <v>1</v>
      </c>
      <c r="O1969" s="71">
        <v>18000</v>
      </c>
      <c r="P1969" s="71">
        <v>25000</v>
      </c>
      <c r="Q1969" s="65" t="s">
        <v>3663</v>
      </c>
      <c r="R1969" s="65" t="s">
        <v>3664</v>
      </c>
      <c r="S1969" s="71">
        <v>258000</v>
      </c>
      <c r="T1969" s="65" t="b">
        <f>TRUE()</f>
        <v>1</v>
      </c>
      <c r="U1969" s="65" t="b">
        <f>FALSE()</f>
        <v>0</v>
      </c>
      <c r="V1969" s="65">
        <v>192</v>
      </c>
      <c r="W1969" s="67" t="s">
        <v>7198</v>
      </c>
      <c r="X1969" s="65">
        <v>1</v>
      </c>
      <c r="Y1969" s="68">
        <v>1.75</v>
      </c>
      <c r="Z1969" s="65" t="b">
        <f>FALSE()</f>
        <v>0</v>
      </c>
      <c r="AA1969" s="65" t="b">
        <f>FALSE()</f>
        <v>0</v>
      </c>
      <c r="AB1969" s="65" t="b">
        <f>TRUE()</f>
        <v>1</v>
      </c>
      <c r="AC1969" s="65" t="b">
        <f>TRUE()</f>
        <v>1</v>
      </c>
      <c r="AD1969" s="65" t="b">
        <f>FALSE()</f>
        <v>0</v>
      </c>
      <c r="AE1969" s="65">
        <v>2</v>
      </c>
      <c r="AF1969" s="69">
        <v>28.6</v>
      </c>
      <c r="AG1969" s="65" t="s">
        <v>73</v>
      </c>
      <c r="AH1969" s="65" t="s">
        <v>7199</v>
      </c>
      <c r="AI1969">
        <f>IF(AND(OR(Company_Explorer!$B$5="All Companies",$E1969=Company_Explorer!$B$5),OR(Company_Explorer!$B$6="All Platforms",$B1969=Company_Explorer!$B$6),OR(Company_Explorer!$B$7="All Roles",$D1969=Company_Explorer!$B$7),OR(Company_Explorer!$B$8="All Ghost Labels",$AG1969=Company_Explorer!$B$8)),1,0)</f>
        <v>0</v>
      </c>
    </row>
    <row r="1970" spans="1:35" ht="15" customHeight="1" x14ac:dyDescent="0.3">
      <c r="A1970" s="60" t="s">
        <v>7200</v>
      </c>
      <c r="B1970" s="60" t="s">
        <v>81</v>
      </c>
      <c r="C1970" s="60" t="s">
        <v>6394</v>
      </c>
      <c r="D1970" s="60" t="s">
        <v>125</v>
      </c>
      <c r="E1970" s="60" t="s">
        <v>147</v>
      </c>
      <c r="F1970" s="60" t="b">
        <f>TRUE()</f>
        <v>1</v>
      </c>
      <c r="G1970" s="60" t="s">
        <v>165</v>
      </c>
      <c r="H1970" s="60" t="s">
        <v>3620</v>
      </c>
      <c r="I1970" s="61">
        <v>46209.472583761599</v>
      </c>
      <c r="J1970" s="61">
        <v>46210.283428414397</v>
      </c>
      <c r="K1970" s="60">
        <v>0.8</v>
      </c>
      <c r="L1970" s="60" t="s">
        <v>183</v>
      </c>
      <c r="M1970" s="60" t="s">
        <v>183</v>
      </c>
      <c r="N1970" s="60" t="b">
        <f>FALSE()</f>
        <v>0</v>
      </c>
      <c r="O1970" s="60"/>
      <c r="P1970" s="60"/>
      <c r="Q1970" s="60" t="s">
        <v>236</v>
      </c>
      <c r="R1970" s="60" t="s">
        <v>236</v>
      </c>
      <c r="S1970" s="60"/>
      <c r="T1970" s="60" t="b">
        <f>FALSE()</f>
        <v>0</v>
      </c>
      <c r="U1970" s="60" t="b">
        <f>FALSE()</f>
        <v>0</v>
      </c>
      <c r="V1970" s="60">
        <v>447</v>
      </c>
      <c r="W1970" s="62" t="s">
        <v>3770</v>
      </c>
      <c r="X1970" s="60">
        <v>16</v>
      </c>
      <c r="Y1970" s="63">
        <v>28</v>
      </c>
      <c r="Z1970" s="60" t="b">
        <f>FALSE()</f>
        <v>0</v>
      </c>
      <c r="AA1970" s="60" t="b">
        <f>TRUE()</f>
        <v>1</v>
      </c>
      <c r="AB1970" s="60" t="b">
        <f>FALSE()</f>
        <v>0</v>
      </c>
      <c r="AC1970" s="60" t="b">
        <f>TRUE()</f>
        <v>1</v>
      </c>
      <c r="AD1970" s="60" t="b">
        <f>FALSE()</f>
        <v>0</v>
      </c>
      <c r="AE1970" s="60">
        <v>2</v>
      </c>
      <c r="AF1970" s="64">
        <v>28.6</v>
      </c>
      <c r="AG1970" s="60" t="s">
        <v>73</v>
      </c>
      <c r="AH1970" s="60" t="s">
        <v>7201</v>
      </c>
      <c r="AI1970">
        <f>IF(AND(OR(Company_Explorer!$B$5="All Companies",$E1970=Company_Explorer!$B$5),OR(Company_Explorer!$B$6="All Platforms",$B1970=Company_Explorer!$B$6),OR(Company_Explorer!$B$7="All Roles",$D1970=Company_Explorer!$B$7),OR(Company_Explorer!$B$8="All Ghost Labels",$AG1970=Company_Explorer!$B$8)),1,0)</f>
        <v>1</v>
      </c>
    </row>
    <row r="1971" spans="1:35" ht="15" customHeight="1" x14ac:dyDescent="0.3">
      <c r="A1971" s="65" t="s">
        <v>7202</v>
      </c>
      <c r="B1971" s="65" t="s">
        <v>81</v>
      </c>
      <c r="C1971" s="65" t="s">
        <v>4388</v>
      </c>
      <c r="D1971" s="65" t="s">
        <v>125</v>
      </c>
      <c r="E1971" s="65" t="s">
        <v>7203</v>
      </c>
      <c r="F1971" s="65" t="b">
        <f>TRUE()</f>
        <v>1</v>
      </c>
      <c r="G1971" s="65" t="s">
        <v>165</v>
      </c>
      <c r="H1971" s="65" t="s">
        <v>3678</v>
      </c>
      <c r="I1971" s="66">
        <v>46209.542060347201</v>
      </c>
      <c r="J1971" s="66">
        <v>46210.283428449096</v>
      </c>
      <c r="K1971" s="65">
        <v>0.7</v>
      </c>
      <c r="L1971" s="65" t="s">
        <v>183</v>
      </c>
      <c r="M1971" s="65" t="s">
        <v>183</v>
      </c>
      <c r="N1971" s="65" t="b">
        <f>FALSE()</f>
        <v>0</v>
      </c>
      <c r="O1971" s="65"/>
      <c r="P1971" s="65"/>
      <c r="Q1971" s="65" t="s">
        <v>236</v>
      </c>
      <c r="R1971" s="65" t="s">
        <v>236</v>
      </c>
      <c r="S1971" s="65"/>
      <c r="T1971" s="65" t="b">
        <f>FALSE()</f>
        <v>0</v>
      </c>
      <c r="U1971" s="65" t="b">
        <f>FALSE()</f>
        <v>0</v>
      </c>
      <c r="V1971" s="65">
        <v>388</v>
      </c>
      <c r="W1971" s="67" t="s">
        <v>7204</v>
      </c>
      <c r="X1971" s="65">
        <v>1</v>
      </c>
      <c r="Y1971" s="68">
        <v>1.75</v>
      </c>
      <c r="Z1971" s="65" t="b">
        <f>FALSE()</f>
        <v>0</v>
      </c>
      <c r="AA1971" s="65" t="b">
        <f>TRUE()</f>
        <v>1</v>
      </c>
      <c r="AB1971" s="65" t="b">
        <f>FALSE()</f>
        <v>0</v>
      </c>
      <c r="AC1971" s="65" t="b">
        <f>TRUE()</f>
        <v>1</v>
      </c>
      <c r="AD1971" s="65" t="b">
        <f>FALSE()</f>
        <v>0</v>
      </c>
      <c r="AE1971" s="65">
        <v>2</v>
      </c>
      <c r="AF1971" s="69">
        <v>28.6</v>
      </c>
      <c r="AG1971" s="65" t="s">
        <v>73</v>
      </c>
      <c r="AH1971" s="65" t="s">
        <v>7205</v>
      </c>
      <c r="AI1971">
        <f>IF(AND(OR(Company_Explorer!$B$5="All Companies",$E1971=Company_Explorer!$B$5),OR(Company_Explorer!$B$6="All Platforms",$B1971=Company_Explorer!$B$6),OR(Company_Explorer!$B$7="All Roles",$D1971=Company_Explorer!$B$7),OR(Company_Explorer!$B$8="All Ghost Labels",$AG1971=Company_Explorer!$B$8)),1,0)</f>
        <v>0</v>
      </c>
    </row>
    <row r="1972" spans="1:35" ht="15" customHeight="1" x14ac:dyDescent="0.3">
      <c r="A1972" s="60" t="s">
        <v>7206</v>
      </c>
      <c r="B1972" s="60" t="s">
        <v>81</v>
      </c>
      <c r="C1972" s="60" t="s">
        <v>7207</v>
      </c>
      <c r="D1972" s="60" t="s">
        <v>125</v>
      </c>
      <c r="E1972" s="60" t="s">
        <v>153</v>
      </c>
      <c r="F1972" s="60" t="b">
        <f>TRUE()</f>
        <v>1</v>
      </c>
      <c r="G1972" s="60" t="s">
        <v>165</v>
      </c>
      <c r="H1972" s="60" t="s">
        <v>3636</v>
      </c>
      <c r="I1972" s="61">
        <v>46209.544216643502</v>
      </c>
      <c r="J1972" s="61">
        <v>46210.283429386604</v>
      </c>
      <c r="K1972" s="60">
        <v>0.7</v>
      </c>
      <c r="L1972" s="60" t="s">
        <v>183</v>
      </c>
      <c r="M1972" s="60" t="s">
        <v>183</v>
      </c>
      <c r="N1972" s="60" t="b">
        <f>FALSE()</f>
        <v>0</v>
      </c>
      <c r="O1972" s="60"/>
      <c r="P1972" s="60"/>
      <c r="Q1972" s="60" t="s">
        <v>236</v>
      </c>
      <c r="R1972" s="60" t="s">
        <v>236</v>
      </c>
      <c r="S1972" s="60"/>
      <c r="T1972" s="60" t="b">
        <f>FALSE()</f>
        <v>0</v>
      </c>
      <c r="U1972" s="60" t="b">
        <f>FALSE()</f>
        <v>0</v>
      </c>
      <c r="V1972" s="60">
        <v>923</v>
      </c>
      <c r="W1972" s="62" t="s">
        <v>7208</v>
      </c>
      <c r="X1972" s="60">
        <v>12</v>
      </c>
      <c r="Y1972" s="63">
        <v>21</v>
      </c>
      <c r="Z1972" s="60" t="b">
        <f>FALSE()</f>
        <v>0</v>
      </c>
      <c r="AA1972" s="60" t="b">
        <f>TRUE()</f>
        <v>1</v>
      </c>
      <c r="AB1972" s="60" t="b">
        <f>FALSE()</f>
        <v>0</v>
      </c>
      <c r="AC1972" s="60" t="b">
        <f>TRUE()</f>
        <v>1</v>
      </c>
      <c r="AD1972" s="60" t="b">
        <f>FALSE()</f>
        <v>0</v>
      </c>
      <c r="AE1972" s="60">
        <v>2</v>
      </c>
      <c r="AF1972" s="64">
        <v>28.6</v>
      </c>
      <c r="AG1972" s="60" t="s">
        <v>73</v>
      </c>
      <c r="AH1972" s="60" t="s">
        <v>7209</v>
      </c>
      <c r="AI1972">
        <f>IF(AND(OR(Company_Explorer!$B$5="All Companies",$E1972=Company_Explorer!$B$5),OR(Company_Explorer!$B$6="All Platforms",$B1972=Company_Explorer!$B$6),OR(Company_Explorer!$B$7="All Roles",$D1972=Company_Explorer!$B$7),OR(Company_Explorer!$B$8="All Ghost Labels",$AG1972=Company_Explorer!$B$8)),1,0)</f>
        <v>0</v>
      </c>
    </row>
    <row r="1973" spans="1:35" ht="15" customHeight="1" x14ac:dyDescent="0.3">
      <c r="A1973" s="65" t="s">
        <v>7210</v>
      </c>
      <c r="B1973" s="65" t="s">
        <v>81</v>
      </c>
      <c r="C1973" s="65" t="s">
        <v>2349</v>
      </c>
      <c r="D1973" s="65" t="s">
        <v>131</v>
      </c>
      <c r="E1973" s="65" t="s">
        <v>7211</v>
      </c>
      <c r="F1973" s="65" t="b">
        <f>TRUE()</f>
        <v>1</v>
      </c>
      <c r="G1973" s="65" t="s">
        <v>165</v>
      </c>
      <c r="H1973" s="65" t="s">
        <v>4302</v>
      </c>
      <c r="I1973" s="66">
        <v>46209.5379959028</v>
      </c>
      <c r="J1973" s="66">
        <v>46210.283429479197</v>
      </c>
      <c r="K1973" s="65">
        <v>0.7</v>
      </c>
      <c r="L1973" s="65" t="s">
        <v>183</v>
      </c>
      <c r="M1973" s="65" t="s">
        <v>183</v>
      </c>
      <c r="N1973" s="65" t="b">
        <f>TRUE()</f>
        <v>1</v>
      </c>
      <c r="O1973" s="71">
        <v>20000</v>
      </c>
      <c r="P1973" s="71">
        <v>25000</v>
      </c>
      <c r="Q1973" s="65" t="s">
        <v>3663</v>
      </c>
      <c r="R1973" s="65" t="s">
        <v>3664</v>
      </c>
      <c r="S1973" s="71">
        <v>270000</v>
      </c>
      <c r="T1973" s="65" t="b">
        <f>TRUE()</f>
        <v>1</v>
      </c>
      <c r="U1973" s="65" t="b">
        <f>FALSE()</f>
        <v>0</v>
      </c>
      <c r="V1973" s="65">
        <v>215</v>
      </c>
      <c r="W1973" s="67" t="s">
        <v>7212</v>
      </c>
      <c r="X1973" s="65">
        <v>1</v>
      </c>
      <c r="Y1973" s="68">
        <v>1.75</v>
      </c>
      <c r="Z1973" s="65" t="b">
        <f>FALSE()</f>
        <v>0</v>
      </c>
      <c r="AA1973" s="65" t="b">
        <f>FALSE()</f>
        <v>0</v>
      </c>
      <c r="AB1973" s="65" t="b">
        <f>TRUE()</f>
        <v>1</v>
      </c>
      <c r="AC1973" s="65" t="b">
        <f>TRUE()</f>
        <v>1</v>
      </c>
      <c r="AD1973" s="65" t="b">
        <f>FALSE()</f>
        <v>0</v>
      </c>
      <c r="AE1973" s="65">
        <v>2</v>
      </c>
      <c r="AF1973" s="69">
        <v>28.6</v>
      </c>
      <c r="AG1973" s="65" t="s">
        <v>73</v>
      </c>
      <c r="AH1973" s="65" t="s">
        <v>7213</v>
      </c>
      <c r="AI1973">
        <f>IF(AND(OR(Company_Explorer!$B$5="All Companies",$E1973=Company_Explorer!$B$5),OR(Company_Explorer!$B$6="All Platforms",$B1973=Company_Explorer!$B$6),OR(Company_Explorer!$B$7="All Roles",$D1973=Company_Explorer!$B$7),OR(Company_Explorer!$B$8="All Ghost Labels",$AG1973=Company_Explorer!$B$8)),1,0)</f>
        <v>0</v>
      </c>
    </row>
    <row r="1974" spans="1:35" ht="15" customHeight="1" x14ac:dyDescent="0.3">
      <c r="A1974" s="60" t="s">
        <v>7214</v>
      </c>
      <c r="B1974" s="60" t="s">
        <v>81</v>
      </c>
      <c r="C1974" s="60" t="s">
        <v>7215</v>
      </c>
      <c r="D1974" s="60" t="s">
        <v>126</v>
      </c>
      <c r="E1974" s="60" t="s">
        <v>147</v>
      </c>
      <c r="F1974" s="60" t="b">
        <f>TRUE()</f>
        <v>1</v>
      </c>
      <c r="G1974" s="60" t="s">
        <v>165</v>
      </c>
      <c r="H1974" s="60" t="s">
        <v>3636</v>
      </c>
      <c r="I1974" s="61">
        <v>46209.472566296303</v>
      </c>
      <c r="J1974" s="61">
        <v>46210.283429421303</v>
      </c>
      <c r="K1974" s="60">
        <v>0.8</v>
      </c>
      <c r="L1974" s="60" t="s">
        <v>183</v>
      </c>
      <c r="M1974" s="60" t="s">
        <v>183</v>
      </c>
      <c r="N1974" s="60" t="b">
        <f>FALSE()</f>
        <v>0</v>
      </c>
      <c r="O1974" s="60"/>
      <c r="P1974" s="60"/>
      <c r="Q1974" s="60" t="s">
        <v>236</v>
      </c>
      <c r="R1974" s="60" t="s">
        <v>236</v>
      </c>
      <c r="S1974" s="60"/>
      <c r="T1974" s="60" t="b">
        <f>FALSE()</f>
        <v>0</v>
      </c>
      <c r="U1974" s="60" t="b">
        <f>FALSE()</f>
        <v>0</v>
      </c>
      <c r="V1974" s="60">
        <v>371</v>
      </c>
      <c r="W1974" s="62" t="s">
        <v>7216</v>
      </c>
      <c r="X1974" s="60">
        <v>16</v>
      </c>
      <c r="Y1974" s="63">
        <v>28</v>
      </c>
      <c r="Z1974" s="60" t="b">
        <f>FALSE()</f>
        <v>0</v>
      </c>
      <c r="AA1974" s="60" t="b">
        <f>TRUE()</f>
        <v>1</v>
      </c>
      <c r="AB1974" s="60" t="b">
        <f>FALSE()</f>
        <v>0</v>
      </c>
      <c r="AC1974" s="60" t="b">
        <f>TRUE()</f>
        <v>1</v>
      </c>
      <c r="AD1974" s="60" t="b">
        <f>FALSE()</f>
        <v>0</v>
      </c>
      <c r="AE1974" s="60">
        <v>2</v>
      </c>
      <c r="AF1974" s="64">
        <v>28.6</v>
      </c>
      <c r="AG1974" s="60" t="s">
        <v>73</v>
      </c>
      <c r="AH1974" s="60" t="s">
        <v>7217</v>
      </c>
      <c r="AI1974">
        <f>IF(AND(OR(Company_Explorer!$B$5="All Companies",$E1974=Company_Explorer!$B$5),OR(Company_Explorer!$B$6="All Platforms",$B1974=Company_Explorer!$B$6),OR(Company_Explorer!$B$7="All Roles",$D1974=Company_Explorer!$B$7),OR(Company_Explorer!$B$8="All Ghost Labels",$AG1974=Company_Explorer!$B$8)),1,0)</f>
        <v>1</v>
      </c>
    </row>
    <row r="1975" spans="1:35" ht="15" customHeight="1" x14ac:dyDescent="0.3">
      <c r="A1975" s="65" t="s">
        <v>7218</v>
      </c>
      <c r="B1975" s="65" t="s">
        <v>81</v>
      </c>
      <c r="C1975" s="65" t="s">
        <v>6615</v>
      </c>
      <c r="D1975" s="65" t="s">
        <v>125</v>
      </c>
      <c r="E1975" s="65" t="s">
        <v>7219</v>
      </c>
      <c r="F1975" s="65" t="b">
        <f>TRUE()</f>
        <v>1</v>
      </c>
      <c r="G1975" s="65" t="s">
        <v>165</v>
      </c>
      <c r="H1975" s="65" t="s">
        <v>3678</v>
      </c>
      <c r="I1975" s="66">
        <v>46209.441695196801</v>
      </c>
      <c r="J1975" s="66">
        <v>46210.283429536998</v>
      </c>
      <c r="K1975" s="65">
        <v>0.8</v>
      </c>
      <c r="L1975" s="65" t="s">
        <v>183</v>
      </c>
      <c r="M1975" s="65" t="s">
        <v>183</v>
      </c>
      <c r="N1975" s="65" t="b">
        <f>TRUE()</f>
        <v>1</v>
      </c>
      <c r="O1975" s="71">
        <v>100000</v>
      </c>
      <c r="P1975" s="71">
        <v>600000</v>
      </c>
      <c r="Q1975" s="65" t="s">
        <v>3663</v>
      </c>
      <c r="R1975" s="65" t="s">
        <v>3961</v>
      </c>
      <c r="S1975" s="71">
        <v>350000</v>
      </c>
      <c r="T1975" s="65" t="b">
        <f>TRUE()</f>
        <v>1</v>
      </c>
      <c r="U1975" s="65" t="b">
        <f>FALSE()</f>
        <v>0</v>
      </c>
      <c r="V1975" s="65">
        <v>190</v>
      </c>
      <c r="W1975" s="67" t="s">
        <v>7220</v>
      </c>
      <c r="X1975" s="65">
        <v>1</v>
      </c>
      <c r="Y1975" s="68">
        <v>1.75</v>
      </c>
      <c r="Z1975" s="65" t="b">
        <f>FALSE()</f>
        <v>0</v>
      </c>
      <c r="AA1975" s="65" t="b">
        <f>FALSE()</f>
        <v>0</v>
      </c>
      <c r="AB1975" s="65" t="b">
        <f>TRUE()</f>
        <v>1</v>
      </c>
      <c r="AC1975" s="65" t="b">
        <f>TRUE()</f>
        <v>1</v>
      </c>
      <c r="AD1975" s="65" t="b">
        <f>FALSE()</f>
        <v>0</v>
      </c>
      <c r="AE1975" s="65">
        <v>2</v>
      </c>
      <c r="AF1975" s="69">
        <v>28.6</v>
      </c>
      <c r="AG1975" s="65" t="s">
        <v>73</v>
      </c>
      <c r="AH1975" s="65" t="s">
        <v>7221</v>
      </c>
      <c r="AI1975">
        <f>IF(AND(OR(Company_Explorer!$B$5="All Companies",$E1975=Company_Explorer!$B$5),OR(Company_Explorer!$B$6="All Platforms",$B1975=Company_Explorer!$B$6),OR(Company_Explorer!$B$7="All Roles",$D1975=Company_Explorer!$B$7),OR(Company_Explorer!$B$8="All Ghost Labels",$AG1975=Company_Explorer!$B$8)),1,0)</f>
        <v>0</v>
      </c>
    </row>
    <row r="1976" spans="1:35" ht="15" customHeight="1" x14ac:dyDescent="0.3">
      <c r="A1976" s="60" t="s">
        <v>7222</v>
      </c>
      <c r="B1976" s="60" t="s">
        <v>81</v>
      </c>
      <c r="C1976" s="60" t="s">
        <v>7223</v>
      </c>
      <c r="D1976" s="60" t="s">
        <v>125</v>
      </c>
      <c r="E1976" s="60" t="s">
        <v>7224</v>
      </c>
      <c r="F1976" s="60" t="b">
        <f>TRUE()</f>
        <v>1</v>
      </c>
      <c r="G1976" s="60" t="s">
        <v>165</v>
      </c>
      <c r="H1976" s="60" t="s">
        <v>3672</v>
      </c>
      <c r="I1976" s="61">
        <v>46209.536008298601</v>
      </c>
      <c r="J1976" s="61">
        <v>46210.283429502299</v>
      </c>
      <c r="K1976" s="60">
        <v>0.7</v>
      </c>
      <c r="L1976" s="60" t="s">
        <v>183</v>
      </c>
      <c r="M1976" s="60" t="s">
        <v>183</v>
      </c>
      <c r="N1976" s="60" t="b">
        <f>FALSE()</f>
        <v>0</v>
      </c>
      <c r="O1976" s="60"/>
      <c r="P1976" s="60"/>
      <c r="Q1976" s="60" t="s">
        <v>236</v>
      </c>
      <c r="R1976" s="60" t="s">
        <v>236</v>
      </c>
      <c r="S1976" s="60"/>
      <c r="T1976" s="60" t="b">
        <f>FALSE()</f>
        <v>0</v>
      </c>
      <c r="U1976" s="60" t="b">
        <f>FALSE()</f>
        <v>0</v>
      </c>
      <c r="V1976" s="60">
        <v>600</v>
      </c>
      <c r="W1976" s="62" t="s">
        <v>7225</v>
      </c>
      <c r="X1976" s="60">
        <v>1</v>
      </c>
      <c r="Y1976" s="63">
        <v>1.75</v>
      </c>
      <c r="Z1976" s="60" t="b">
        <f>FALSE()</f>
        <v>0</v>
      </c>
      <c r="AA1976" s="60" t="b">
        <f>TRUE()</f>
        <v>1</v>
      </c>
      <c r="AB1976" s="60" t="b">
        <f>FALSE()</f>
        <v>0</v>
      </c>
      <c r="AC1976" s="60" t="b">
        <f>TRUE()</f>
        <v>1</v>
      </c>
      <c r="AD1976" s="60" t="b">
        <f>FALSE()</f>
        <v>0</v>
      </c>
      <c r="AE1976" s="60">
        <v>2</v>
      </c>
      <c r="AF1976" s="64">
        <v>28.6</v>
      </c>
      <c r="AG1976" s="60" t="s">
        <v>73</v>
      </c>
      <c r="AH1976" s="60" t="s">
        <v>7226</v>
      </c>
      <c r="AI1976">
        <f>IF(AND(OR(Company_Explorer!$B$5="All Companies",$E1976=Company_Explorer!$B$5),OR(Company_Explorer!$B$6="All Platforms",$B1976=Company_Explorer!$B$6),OR(Company_Explorer!$B$7="All Roles",$D1976=Company_Explorer!$B$7),OR(Company_Explorer!$B$8="All Ghost Labels",$AG1976=Company_Explorer!$B$8)),1,0)</f>
        <v>0</v>
      </c>
    </row>
    <row r="1977" spans="1:35" ht="15" customHeight="1" x14ac:dyDescent="0.3">
      <c r="A1977" s="65" t="s">
        <v>7227</v>
      </c>
      <c r="B1977" s="65" t="s">
        <v>81</v>
      </c>
      <c r="C1977" s="65" t="s">
        <v>7151</v>
      </c>
      <c r="D1977" s="65" t="s">
        <v>125</v>
      </c>
      <c r="E1977" s="65" t="s">
        <v>7228</v>
      </c>
      <c r="F1977" s="65" t="b">
        <f>TRUE()</f>
        <v>1</v>
      </c>
      <c r="G1977" s="65" t="s">
        <v>165</v>
      </c>
      <c r="H1977" s="65" t="s">
        <v>3655</v>
      </c>
      <c r="I1977" s="66">
        <v>46209.440799618103</v>
      </c>
      <c r="J1977" s="66">
        <v>46210.283429444498</v>
      </c>
      <c r="K1977" s="65">
        <v>0.8</v>
      </c>
      <c r="L1977" s="65" t="s">
        <v>183</v>
      </c>
      <c r="M1977" s="65" t="s">
        <v>183</v>
      </c>
      <c r="N1977" s="65" t="b">
        <f>TRUE()</f>
        <v>1</v>
      </c>
      <c r="O1977" s="71">
        <v>25000</v>
      </c>
      <c r="P1977" s="71">
        <v>35000</v>
      </c>
      <c r="Q1977" s="65" t="s">
        <v>3663</v>
      </c>
      <c r="R1977" s="65" t="s">
        <v>3664</v>
      </c>
      <c r="S1977" s="71">
        <v>360000</v>
      </c>
      <c r="T1977" s="65" t="b">
        <f>TRUE()</f>
        <v>1</v>
      </c>
      <c r="U1977" s="65" t="b">
        <f>FALSE()</f>
        <v>0</v>
      </c>
      <c r="V1977" s="65">
        <v>243</v>
      </c>
      <c r="W1977" s="67" t="s">
        <v>7229</v>
      </c>
      <c r="X1977" s="65">
        <v>1</v>
      </c>
      <c r="Y1977" s="68">
        <v>1.75</v>
      </c>
      <c r="Z1977" s="65" t="b">
        <f>FALSE()</f>
        <v>0</v>
      </c>
      <c r="AA1977" s="65" t="b">
        <f>FALSE()</f>
        <v>0</v>
      </c>
      <c r="AB1977" s="65" t="b">
        <f>TRUE()</f>
        <v>1</v>
      </c>
      <c r="AC1977" s="65" t="b">
        <f>TRUE()</f>
        <v>1</v>
      </c>
      <c r="AD1977" s="65" t="b">
        <f>FALSE()</f>
        <v>0</v>
      </c>
      <c r="AE1977" s="65">
        <v>2</v>
      </c>
      <c r="AF1977" s="69">
        <v>28.6</v>
      </c>
      <c r="AG1977" s="65" t="s">
        <v>73</v>
      </c>
      <c r="AH1977" s="65" t="s">
        <v>7230</v>
      </c>
      <c r="AI1977">
        <f>IF(AND(OR(Company_Explorer!$B$5="All Companies",$E1977=Company_Explorer!$B$5),OR(Company_Explorer!$B$6="All Platforms",$B1977=Company_Explorer!$B$6),OR(Company_Explorer!$B$7="All Roles",$D1977=Company_Explorer!$B$7),OR(Company_Explorer!$B$8="All Ghost Labels",$AG1977=Company_Explorer!$B$8)),1,0)</f>
        <v>0</v>
      </c>
    </row>
    <row r="1978" spans="1:35" ht="15" customHeight="1" x14ac:dyDescent="0.3">
      <c r="A1978" s="60" t="s">
        <v>7231</v>
      </c>
      <c r="B1978" s="60" t="s">
        <v>81</v>
      </c>
      <c r="C1978" s="60" t="s">
        <v>7232</v>
      </c>
      <c r="D1978" s="60" t="s">
        <v>126</v>
      </c>
      <c r="E1978" s="60" t="s">
        <v>147</v>
      </c>
      <c r="F1978" s="60" t="b">
        <f>TRUE()</f>
        <v>1</v>
      </c>
      <c r="G1978" s="60" t="s">
        <v>165</v>
      </c>
      <c r="H1978" s="60" t="s">
        <v>3655</v>
      </c>
      <c r="I1978" s="61">
        <v>46209.472575185202</v>
      </c>
      <c r="J1978" s="61">
        <v>46210.283429456002</v>
      </c>
      <c r="K1978" s="60">
        <v>0.8</v>
      </c>
      <c r="L1978" s="60" t="s">
        <v>183</v>
      </c>
      <c r="M1978" s="60" t="s">
        <v>183</v>
      </c>
      <c r="N1978" s="60" t="b">
        <f>FALSE()</f>
        <v>0</v>
      </c>
      <c r="O1978" s="60"/>
      <c r="P1978" s="60"/>
      <c r="Q1978" s="60" t="s">
        <v>236</v>
      </c>
      <c r="R1978" s="60" t="s">
        <v>236</v>
      </c>
      <c r="S1978" s="60"/>
      <c r="T1978" s="60" t="b">
        <f>FALSE()</f>
        <v>0</v>
      </c>
      <c r="U1978" s="60" t="b">
        <f>FALSE()</f>
        <v>0</v>
      </c>
      <c r="V1978" s="60">
        <v>109</v>
      </c>
      <c r="W1978" s="62" t="s">
        <v>7233</v>
      </c>
      <c r="X1978" s="60">
        <v>16</v>
      </c>
      <c r="Y1978" s="63">
        <v>28</v>
      </c>
      <c r="Z1978" s="60" t="b">
        <f>FALSE()</f>
        <v>0</v>
      </c>
      <c r="AA1978" s="60" t="b">
        <f>TRUE()</f>
        <v>1</v>
      </c>
      <c r="AB1978" s="60" t="b">
        <f>TRUE()</f>
        <v>1</v>
      </c>
      <c r="AC1978" s="60" t="b">
        <f>TRUE()</f>
        <v>1</v>
      </c>
      <c r="AD1978" s="60" t="b">
        <f>FALSE()</f>
        <v>0</v>
      </c>
      <c r="AE1978" s="60">
        <v>3</v>
      </c>
      <c r="AF1978" s="64">
        <v>42.9</v>
      </c>
      <c r="AG1978" s="60" t="s">
        <v>73</v>
      </c>
      <c r="AH1978" s="60" t="s">
        <v>7234</v>
      </c>
      <c r="AI1978">
        <f>IF(AND(OR(Company_Explorer!$B$5="All Companies",$E1978=Company_Explorer!$B$5),OR(Company_Explorer!$B$6="All Platforms",$B1978=Company_Explorer!$B$6),OR(Company_Explorer!$B$7="All Roles",$D1978=Company_Explorer!$B$7),OR(Company_Explorer!$B$8="All Ghost Labels",$AG1978=Company_Explorer!$B$8)),1,0)</f>
        <v>1</v>
      </c>
    </row>
    <row r="1979" spans="1:35" ht="15" customHeight="1" x14ac:dyDescent="0.3">
      <c r="A1979" s="65" t="s">
        <v>7235</v>
      </c>
      <c r="B1979" s="65" t="s">
        <v>81</v>
      </c>
      <c r="C1979" s="65" t="s">
        <v>7236</v>
      </c>
      <c r="D1979" s="65" t="s">
        <v>126</v>
      </c>
      <c r="E1979" s="65" t="s">
        <v>147</v>
      </c>
      <c r="F1979" s="65" t="b">
        <f>TRUE()</f>
        <v>1</v>
      </c>
      <c r="G1979" s="65" t="s">
        <v>165</v>
      </c>
      <c r="H1979" s="65" t="s">
        <v>3620</v>
      </c>
      <c r="I1979" s="66">
        <v>46209.472575856496</v>
      </c>
      <c r="J1979" s="66">
        <v>46210.283430567099</v>
      </c>
      <c r="K1979" s="65">
        <v>0.8</v>
      </c>
      <c r="L1979" s="65" t="s">
        <v>183</v>
      </c>
      <c r="M1979" s="65" t="s">
        <v>183</v>
      </c>
      <c r="N1979" s="65" t="b">
        <f>FALSE()</f>
        <v>0</v>
      </c>
      <c r="O1979" s="65"/>
      <c r="P1979" s="65"/>
      <c r="Q1979" s="65" t="s">
        <v>236</v>
      </c>
      <c r="R1979" s="65" t="s">
        <v>236</v>
      </c>
      <c r="S1979" s="65"/>
      <c r="T1979" s="65" t="b">
        <f>FALSE()</f>
        <v>0</v>
      </c>
      <c r="U1979" s="65" t="b">
        <f>FALSE()</f>
        <v>0</v>
      </c>
      <c r="V1979" s="65">
        <v>372</v>
      </c>
      <c r="W1979" s="67" t="s">
        <v>7237</v>
      </c>
      <c r="X1979" s="65">
        <v>16</v>
      </c>
      <c r="Y1979" s="68">
        <v>28</v>
      </c>
      <c r="Z1979" s="65" t="b">
        <f>FALSE()</f>
        <v>0</v>
      </c>
      <c r="AA1979" s="65" t="b">
        <f>TRUE()</f>
        <v>1</v>
      </c>
      <c r="AB1979" s="65" t="b">
        <f>FALSE()</f>
        <v>0</v>
      </c>
      <c r="AC1979" s="65" t="b">
        <f>TRUE()</f>
        <v>1</v>
      </c>
      <c r="AD1979" s="65" t="b">
        <f>FALSE()</f>
        <v>0</v>
      </c>
      <c r="AE1979" s="65">
        <v>2</v>
      </c>
      <c r="AF1979" s="69">
        <v>28.6</v>
      </c>
      <c r="AG1979" s="65" t="s">
        <v>73</v>
      </c>
      <c r="AH1979" s="65" t="s">
        <v>7238</v>
      </c>
      <c r="AI1979">
        <f>IF(AND(OR(Company_Explorer!$B$5="All Companies",$E1979=Company_Explorer!$B$5),OR(Company_Explorer!$B$6="All Platforms",$B1979=Company_Explorer!$B$6),OR(Company_Explorer!$B$7="All Roles",$D1979=Company_Explorer!$B$7),OR(Company_Explorer!$B$8="All Ghost Labels",$AG1979=Company_Explorer!$B$8)),1,0)</f>
        <v>1</v>
      </c>
    </row>
    <row r="1980" spans="1:35" ht="15" customHeight="1" x14ac:dyDescent="0.3">
      <c r="A1980" s="60" t="s">
        <v>7239</v>
      </c>
      <c r="B1980" s="60" t="s">
        <v>81</v>
      </c>
      <c r="C1980" s="60" t="s">
        <v>6394</v>
      </c>
      <c r="D1980" s="60" t="s">
        <v>125</v>
      </c>
      <c r="E1980" s="60" t="s">
        <v>147</v>
      </c>
      <c r="F1980" s="60" t="b">
        <f>TRUE()</f>
        <v>1</v>
      </c>
      <c r="G1980" s="60" t="s">
        <v>165</v>
      </c>
      <c r="H1980" s="60" t="s">
        <v>3620</v>
      </c>
      <c r="I1980" s="61">
        <v>46209.4725658565</v>
      </c>
      <c r="J1980" s="61">
        <v>46210.283432025499</v>
      </c>
      <c r="K1980" s="60">
        <v>0.8</v>
      </c>
      <c r="L1980" s="60" t="s">
        <v>183</v>
      </c>
      <c r="M1980" s="60" t="s">
        <v>183</v>
      </c>
      <c r="N1980" s="60" t="b">
        <f>FALSE()</f>
        <v>0</v>
      </c>
      <c r="O1980" s="60"/>
      <c r="P1980" s="60"/>
      <c r="Q1980" s="60" t="s">
        <v>236</v>
      </c>
      <c r="R1980" s="60" t="s">
        <v>236</v>
      </c>
      <c r="S1980" s="60"/>
      <c r="T1980" s="60" t="b">
        <f>FALSE()</f>
        <v>0</v>
      </c>
      <c r="U1980" s="60" t="b">
        <f>FALSE()</f>
        <v>0</v>
      </c>
      <c r="V1980" s="60">
        <v>420</v>
      </c>
      <c r="W1980" s="62" t="s">
        <v>7240</v>
      </c>
      <c r="X1980" s="60">
        <v>16</v>
      </c>
      <c r="Y1980" s="63">
        <v>28</v>
      </c>
      <c r="Z1980" s="60" t="b">
        <f>FALSE()</f>
        <v>0</v>
      </c>
      <c r="AA1980" s="60" t="b">
        <f>TRUE()</f>
        <v>1</v>
      </c>
      <c r="AB1980" s="60" t="b">
        <f>FALSE()</f>
        <v>0</v>
      </c>
      <c r="AC1980" s="60" t="b">
        <f>TRUE()</f>
        <v>1</v>
      </c>
      <c r="AD1980" s="60" t="b">
        <f>FALSE()</f>
        <v>0</v>
      </c>
      <c r="AE1980" s="60">
        <v>2</v>
      </c>
      <c r="AF1980" s="64">
        <v>28.6</v>
      </c>
      <c r="AG1980" s="60" t="s">
        <v>73</v>
      </c>
      <c r="AH1980" s="60" t="s">
        <v>7241</v>
      </c>
      <c r="AI1980">
        <f>IF(AND(OR(Company_Explorer!$B$5="All Companies",$E1980=Company_Explorer!$B$5),OR(Company_Explorer!$B$6="All Platforms",$B1980=Company_Explorer!$B$6),OR(Company_Explorer!$B$7="All Roles",$D1980=Company_Explorer!$B$7),OR(Company_Explorer!$B$8="All Ghost Labels",$AG1980=Company_Explorer!$B$8)),1,0)</f>
        <v>1</v>
      </c>
    </row>
    <row r="1981" spans="1:35" ht="15" customHeight="1" x14ac:dyDescent="0.3">
      <c r="A1981" s="65" t="s">
        <v>7242</v>
      </c>
      <c r="B1981" s="65" t="s">
        <v>81</v>
      </c>
      <c r="C1981" s="65" t="s">
        <v>4044</v>
      </c>
      <c r="D1981" s="65" t="s">
        <v>125</v>
      </c>
      <c r="E1981" s="65" t="s">
        <v>7243</v>
      </c>
      <c r="F1981" s="65" t="b">
        <f>TRUE()</f>
        <v>1</v>
      </c>
      <c r="G1981" s="65" t="s">
        <v>165</v>
      </c>
      <c r="H1981" s="65" t="s">
        <v>3702</v>
      </c>
      <c r="I1981" s="66">
        <v>46209.534144919002</v>
      </c>
      <c r="J1981" s="66">
        <v>46210.283432060198</v>
      </c>
      <c r="K1981" s="65">
        <v>0.7</v>
      </c>
      <c r="L1981" s="65" t="s">
        <v>183</v>
      </c>
      <c r="M1981" s="65" t="s">
        <v>183</v>
      </c>
      <c r="N1981" s="65" t="b">
        <f>TRUE()</f>
        <v>1</v>
      </c>
      <c r="O1981" s="71">
        <v>12000</v>
      </c>
      <c r="P1981" s="71">
        <v>50000</v>
      </c>
      <c r="Q1981" s="65" t="s">
        <v>3663</v>
      </c>
      <c r="R1981" s="65" t="s">
        <v>3664</v>
      </c>
      <c r="S1981" s="71">
        <v>372000</v>
      </c>
      <c r="T1981" s="65" t="b">
        <f>TRUE()</f>
        <v>1</v>
      </c>
      <c r="U1981" s="65" t="b">
        <f>FALSE()</f>
        <v>0</v>
      </c>
      <c r="V1981" s="65">
        <v>315</v>
      </c>
      <c r="W1981" s="65" t="s">
        <v>7244</v>
      </c>
      <c r="X1981" s="65">
        <v>1</v>
      </c>
      <c r="Y1981" s="68">
        <v>1.75</v>
      </c>
      <c r="Z1981" s="65" t="b">
        <f>FALSE()</f>
        <v>0</v>
      </c>
      <c r="AA1981" s="65" t="b">
        <f>FALSE()</f>
        <v>0</v>
      </c>
      <c r="AB1981" s="65" t="b">
        <f>FALSE()</f>
        <v>0</v>
      </c>
      <c r="AC1981" s="65" t="b">
        <f>TRUE()</f>
        <v>1</v>
      </c>
      <c r="AD1981" s="65" t="b">
        <f>FALSE()</f>
        <v>0</v>
      </c>
      <c r="AE1981" s="65">
        <v>1</v>
      </c>
      <c r="AF1981" s="69">
        <v>14.3</v>
      </c>
      <c r="AG1981" s="65" t="s">
        <v>74</v>
      </c>
      <c r="AH1981" s="65" t="s">
        <v>7245</v>
      </c>
      <c r="AI1981">
        <f>IF(AND(OR(Company_Explorer!$B$5="All Companies",$E1981=Company_Explorer!$B$5),OR(Company_Explorer!$B$6="All Platforms",$B1981=Company_Explorer!$B$6),OR(Company_Explorer!$B$7="All Roles",$D1981=Company_Explorer!$B$7),OR(Company_Explorer!$B$8="All Ghost Labels",$AG1981=Company_Explorer!$B$8)),1,0)</f>
        <v>0</v>
      </c>
    </row>
    <row r="1982" spans="1:35" ht="15" customHeight="1" x14ac:dyDescent="0.3">
      <c r="A1982" s="60" t="s">
        <v>7246</v>
      </c>
      <c r="B1982" s="60" t="s">
        <v>81</v>
      </c>
      <c r="C1982" s="60" t="s">
        <v>7247</v>
      </c>
      <c r="D1982" s="60" t="s">
        <v>130</v>
      </c>
      <c r="E1982" s="60" t="s">
        <v>7248</v>
      </c>
      <c r="F1982" s="60" t="b">
        <f>TRUE()</f>
        <v>1</v>
      </c>
      <c r="G1982" s="60" t="s">
        <v>165</v>
      </c>
      <c r="H1982" s="60" t="s">
        <v>4442</v>
      </c>
      <c r="I1982" s="61">
        <v>46209.463621828698</v>
      </c>
      <c r="J1982" s="61">
        <v>46210.283432083299</v>
      </c>
      <c r="K1982" s="60">
        <v>0.8</v>
      </c>
      <c r="L1982" s="60" t="s">
        <v>183</v>
      </c>
      <c r="M1982" s="60" t="s">
        <v>183</v>
      </c>
      <c r="N1982" s="60" t="b">
        <f>FALSE()</f>
        <v>0</v>
      </c>
      <c r="O1982" s="60"/>
      <c r="P1982" s="60"/>
      <c r="Q1982" s="60" t="s">
        <v>236</v>
      </c>
      <c r="R1982" s="60" t="s">
        <v>236</v>
      </c>
      <c r="S1982" s="60"/>
      <c r="T1982" s="60" t="b">
        <f>FALSE()</f>
        <v>0</v>
      </c>
      <c r="U1982" s="60" t="b">
        <f>FALSE()</f>
        <v>0</v>
      </c>
      <c r="V1982" s="60">
        <v>133</v>
      </c>
      <c r="W1982" s="62" t="s">
        <v>7249</v>
      </c>
      <c r="X1982" s="60">
        <v>1</v>
      </c>
      <c r="Y1982" s="63">
        <v>1.75</v>
      </c>
      <c r="Z1982" s="60" t="b">
        <f>FALSE()</f>
        <v>0</v>
      </c>
      <c r="AA1982" s="60" t="b">
        <f>TRUE()</f>
        <v>1</v>
      </c>
      <c r="AB1982" s="60" t="b">
        <f>TRUE()</f>
        <v>1</v>
      </c>
      <c r="AC1982" s="60" t="b">
        <f>TRUE()</f>
        <v>1</v>
      </c>
      <c r="AD1982" s="60" t="b">
        <f>FALSE()</f>
        <v>0</v>
      </c>
      <c r="AE1982" s="60">
        <v>3</v>
      </c>
      <c r="AF1982" s="64">
        <v>42.9</v>
      </c>
      <c r="AG1982" s="60" t="s">
        <v>73</v>
      </c>
      <c r="AH1982" s="60" t="s">
        <v>7250</v>
      </c>
      <c r="AI1982">
        <f>IF(AND(OR(Company_Explorer!$B$5="All Companies",$E1982=Company_Explorer!$B$5),OR(Company_Explorer!$B$6="All Platforms",$B1982=Company_Explorer!$B$6),OR(Company_Explorer!$B$7="All Roles",$D1982=Company_Explorer!$B$7),OR(Company_Explorer!$B$8="All Ghost Labels",$AG1982=Company_Explorer!$B$8)),1,0)</f>
        <v>0</v>
      </c>
    </row>
    <row r="1983" spans="1:35" ht="15" customHeight="1" x14ac:dyDescent="0.3">
      <c r="A1983" s="65" t="s">
        <v>7251</v>
      </c>
      <c r="B1983" s="65" t="s">
        <v>81</v>
      </c>
      <c r="C1983" s="65" t="s">
        <v>7252</v>
      </c>
      <c r="D1983" s="65" t="s">
        <v>125</v>
      </c>
      <c r="E1983" s="65" t="s">
        <v>3726</v>
      </c>
      <c r="F1983" s="65" t="b">
        <f>FALSE()</f>
        <v>0</v>
      </c>
      <c r="G1983" s="65" t="s">
        <v>165</v>
      </c>
      <c r="H1983" s="65" t="s">
        <v>3636</v>
      </c>
      <c r="I1983" s="66">
        <v>46209.4391102546</v>
      </c>
      <c r="J1983" s="66">
        <v>46210.283432916702</v>
      </c>
      <c r="K1983" s="65">
        <v>0.8</v>
      </c>
      <c r="L1983" s="65" t="s">
        <v>183</v>
      </c>
      <c r="M1983" s="65" t="s">
        <v>183</v>
      </c>
      <c r="N1983" s="65" t="b">
        <f>TRUE()</f>
        <v>1</v>
      </c>
      <c r="O1983" s="71">
        <v>1000000</v>
      </c>
      <c r="P1983" s="71">
        <v>2000000</v>
      </c>
      <c r="Q1983" s="65" t="s">
        <v>3663</v>
      </c>
      <c r="R1983" s="65" t="s">
        <v>3961</v>
      </c>
      <c r="S1983" s="71">
        <v>1500000</v>
      </c>
      <c r="T1983" s="65" t="b">
        <f>TRUE()</f>
        <v>1</v>
      </c>
      <c r="U1983" s="65" t="b">
        <f>FALSE()</f>
        <v>0</v>
      </c>
      <c r="V1983" s="65">
        <v>264</v>
      </c>
      <c r="W1983" s="67" t="s">
        <v>7253</v>
      </c>
      <c r="X1983" s="65"/>
      <c r="Y1983" s="68"/>
      <c r="Z1983" s="65" t="b">
        <f>TRUE()</f>
        <v>1</v>
      </c>
      <c r="AA1983" s="65" t="b">
        <f>FALSE()</f>
        <v>0</v>
      </c>
      <c r="AB1983" s="65" t="b">
        <f>TRUE()</f>
        <v>1</v>
      </c>
      <c r="AC1983" s="65" t="b">
        <f>TRUE()</f>
        <v>1</v>
      </c>
      <c r="AD1983" s="65" t="b">
        <f>FALSE()</f>
        <v>0</v>
      </c>
      <c r="AE1983" s="65">
        <v>4</v>
      </c>
      <c r="AF1983" s="69">
        <v>57.1</v>
      </c>
      <c r="AG1983" s="65" t="s">
        <v>72</v>
      </c>
      <c r="AH1983" s="65" t="s">
        <v>7254</v>
      </c>
      <c r="AI1983">
        <f>IF(AND(OR(Company_Explorer!$B$5="All Companies",$E1983=Company_Explorer!$B$5),OR(Company_Explorer!$B$6="All Platforms",$B1983=Company_Explorer!$B$6),OR(Company_Explorer!$B$7="All Roles",$D1983=Company_Explorer!$B$7),OR(Company_Explorer!$B$8="All Ghost Labels",$AG1983=Company_Explorer!$B$8)),1,0)</f>
        <v>0</v>
      </c>
    </row>
    <row r="1984" spans="1:35" ht="15" customHeight="1" x14ac:dyDescent="0.3">
      <c r="A1984" s="60" t="s">
        <v>7255</v>
      </c>
      <c r="B1984" s="60" t="s">
        <v>81</v>
      </c>
      <c r="C1984" s="60" t="s">
        <v>7256</v>
      </c>
      <c r="D1984" s="60" t="s">
        <v>126</v>
      </c>
      <c r="E1984" s="60" t="s">
        <v>153</v>
      </c>
      <c r="F1984" s="60" t="b">
        <f>TRUE()</f>
        <v>1</v>
      </c>
      <c r="G1984" s="60" t="s">
        <v>165</v>
      </c>
      <c r="H1984" s="60" t="s">
        <v>4442</v>
      </c>
      <c r="I1984" s="61">
        <v>46209.527631423603</v>
      </c>
      <c r="J1984" s="61">
        <v>46210.283432881901</v>
      </c>
      <c r="K1984" s="60">
        <v>0.8</v>
      </c>
      <c r="L1984" s="60" t="s">
        <v>183</v>
      </c>
      <c r="M1984" s="60" t="s">
        <v>183</v>
      </c>
      <c r="N1984" s="60" t="b">
        <f>FALSE()</f>
        <v>0</v>
      </c>
      <c r="O1984" s="60"/>
      <c r="P1984" s="60"/>
      <c r="Q1984" s="60" t="s">
        <v>236</v>
      </c>
      <c r="R1984" s="60" t="s">
        <v>236</v>
      </c>
      <c r="S1984" s="60"/>
      <c r="T1984" s="60" t="b">
        <f>FALSE()</f>
        <v>0</v>
      </c>
      <c r="U1984" s="60" t="b">
        <f>FALSE()</f>
        <v>0</v>
      </c>
      <c r="V1984" s="60">
        <v>207</v>
      </c>
      <c r="W1984" s="62" t="s">
        <v>7257</v>
      </c>
      <c r="X1984" s="60">
        <v>12</v>
      </c>
      <c r="Y1984" s="63">
        <v>21</v>
      </c>
      <c r="Z1984" s="60" t="b">
        <f>FALSE()</f>
        <v>0</v>
      </c>
      <c r="AA1984" s="60" t="b">
        <f>TRUE()</f>
        <v>1</v>
      </c>
      <c r="AB1984" s="60" t="b">
        <f>TRUE()</f>
        <v>1</v>
      </c>
      <c r="AC1984" s="60" t="b">
        <f>TRUE()</f>
        <v>1</v>
      </c>
      <c r="AD1984" s="60" t="b">
        <f>FALSE()</f>
        <v>0</v>
      </c>
      <c r="AE1984" s="60">
        <v>3</v>
      </c>
      <c r="AF1984" s="64">
        <v>42.9</v>
      </c>
      <c r="AG1984" s="60" t="s">
        <v>73</v>
      </c>
      <c r="AH1984" s="60" t="s">
        <v>7258</v>
      </c>
      <c r="AI1984">
        <f>IF(AND(OR(Company_Explorer!$B$5="All Companies",$E1984=Company_Explorer!$B$5),OR(Company_Explorer!$B$6="All Platforms",$B1984=Company_Explorer!$B$6),OR(Company_Explorer!$B$7="All Roles",$D1984=Company_Explorer!$B$7),OR(Company_Explorer!$B$8="All Ghost Labels",$AG1984=Company_Explorer!$B$8)),1,0)</f>
        <v>0</v>
      </c>
    </row>
    <row r="1985" spans="1:35" ht="15" customHeight="1" x14ac:dyDescent="0.3">
      <c r="A1985" s="65" t="s">
        <v>7259</v>
      </c>
      <c r="B1985" s="65" t="s">
        <v>81</v>
      </c>
      <c r="C1985" s="65" t="s">
        <v>7260</v>
      </c>
      <c r="D1985" s="65" t="s">
        <v>125</v>
      </c>
      <c r="E1985" s="65" t="s">
        <v>7261</v>
      </c>
      <c r="F1985" s="65" t="b">
        <f>TRUE()</f>
        <v>1</v>
      </c>
      <c r="G1985" s="65" t="s">
        <v>165</v>
      </c>
      <c r="H1985" s="65" t="s">
        <v>3620</v>
      </c>
      <c r="I1985" s="66">
        <v>46209.456813877303</v>
      </c>
      <c r="J1985" s="66">
        <v>46210.283433067103</v>
      </c>
      <c r="K1985" s="65">
        <v>0.8</v>
      </c>
      <c r="L1985" s="65" t="s">
        <v>183</v>
      </c>
      <c r="M1985" s="65" t="s">
        <v>183</v>
      </c>
      <c r="N1985" s="65" t="b">
        <f>TRUE()</f>
        <v>1</v>
      </c>
      <c r="O1985" s="71">
        <v>2000000</v>
      </c>
      <c r="P1985" s="71">
        <v>3000000</v>
      </c>
      <c r="Q1985" s="65" t="s">
        <v>3663</v>
      </c>
      <c r="R1985" s="65" t="s">
        <v>3961</v>
      </c>
      <c r="S1985" s="71">
        <v>2500000</v>
      </c>
      <c r="T1985" s="65" t="b">
        <f>TRUE()</f>
        <v>1</v>
      </c>
      <c r="U1985" s="65" t="b">
        <f>FALSE()</f>
        <v>0</v>
      </c>
      <c r="V1985" s="65">
        <v>256</v>
      </c>
      <c r="W1985" s="67" t="s">
        <v>7262</v>
      </c>
      <c r="X1985" s="65">
        <v>1</v>
      </c>
      <c r="Y1985" s="68">
        <v>1.75</v>
      </c>
      <c r="Z1985" s="65" t="b">
        <f>FALSE()</f>
        <v>0</v>
      </c>
      <c r="AA1985" s="65" t="b">
        <f>FALSE()</f>
        <v>0</v>
      </c>
      <c r="AB1985" s="65" t="b">
        <f>TRUE()</f>
        <v>1</v>
      </c>
      <c r="AC1985" s="65" t="b">
        <f>TRUE()</f>
        <v>1</v>
      </c>
      <c r="AD1985" s="65" t="b">
        <f>FALSE()</f>
        <v>0</v>
      </c>
      <c r="AE1985" s="65">
        <v>2</v>
      </c>
      <c r="AF1985" s="69">
        <v>28.6</v>
      </c>
      <c r="AG1985" s="65" t="s">
        <v>73</v>
      </c>
      <c r="AH1985" s="65" t="s">
        <v>7263</v>
      </c>
      <c r="AI1985">
        <f>IF(AND(OR(Company_Explorer!$B$5="All Companies",$E1985=Company_Explorer!$B$5),OR(Company_Explorer!$B$6="All Platforms",$B1985=Company_Explorer!$B$6),OR(Company_Explorer!$B$7="All Roles",$D1985=Company_Explorer!$B$7),OR(Company_Explorer!$B$8="All Ghost Labels",$AG1985=Company_Explorer!$B$8)),1,0)</f>
        <v>0</v>
      </c>
    </row>
    <row r="1986" spans="1:35" ht="15" customHeight="1" x14ac:dyDescent="0.3">
      <c r="A1986" s="60" t="s">
        <v>7264</v>
      </c>
      <c r="B1986" s="60" t="s">
        <v>81</v>
      </c>
      <c r="C1986" s="60" t="s">
        <v>7265</v>
      </c>
      <c r="D1986" s="60" t="s">
        <v>126</v>
      </c>
      <c r="E1986" s="60" t="s">
        <v>158</v>
      </c>
      <c r="F1986" s="60" t="b">
        <f>TRUE()</f>
        <v>1</v>
      </c>
      <c r="G1986" s="60" t="s">
        <v>165</v>
      </c>
      <c r="H1986" s="60" t="s">
        <v>3655</v>
      </c>
      <c r="I1986" s="61">
        <v>46209.4406135069</v>
      </c>
      <c r="J1986" s="61">
        <v>46210.2834329861</v>
      </c>
      <c r="K1986" s="60">
        <v>0.8</v>
      </c>
      <c r="L1986" s="60" t="s">
        <v>183</v>
      </c>
      <c r="M1986" s="60" t="s">
        <v>183</v>
      </c>
      <c r="N1986" s="60" t="b">
        <f>FALSE()</f>
        <v>0</v>
      </c>
      <c r="O1986" s="60"/>
      <c r="P1986" s="60"/>
      <c r="Q1986" s="60" t="s">
        <v>236</v>
      </c>
      <c r="R1986" s="60" t="s">
        <v>236</v>
      </c>
      <c r="S1986" s="60"/>
      <c r="T1986" s="60" t="b">
        <f>FALSE()</f>
        <v>0</v>
      </c>
      <c r="U1986" s="60" t="b">
        <f>FALSE()</f>
        <v>0</v>
      </c>
      <c r="V1986" s="60">
        <v>656</v>
      </c>
      <c r="W1986" s="62" t="s">
        <v>7266</v>
      </c>
      <c r="X1986" s="60">
        <v>1</v>
      </c>
      <c r="Y1986" s="63">
        <v>1.75</v>
      </c>
      <c r="Z1986" s="60" t="b">
        <f>FALSE()</f>
        <v>0</v>
      </c>
      <c r="AA1986" s="60" t="b">
        <f>TRUE()</f>
        <v>1</v>
      </c>
      <c r="AB1986" s="60" t="b">
        <f>FALSE()</f>
        <v>0</v>
      </c>
      <c r="AC1986" s="60" t="b">
        <f>TRUE()</f>
        <v>1</v>
      </c>
      <c r="AD1986" s="60" t="b">
        <f>FALSE()</f>
        <v>0</v>
      </c>
      <c r="AE1986" s="60">
        <v>2</v>
      </c>
      <c r="AF1986" s="64">
        <v>28.6</v>
      </c>
      <c r="AG1986" s="60" t="s">
        <v>73</v>
      </c>
      <c r="AH1986" s="60" t="s">
        <v>7267</v>
      </c>
      <c r="AI1986">
        <f>IF(AND(OR(Company_Explorer!$B$5="All Companies",$E1986=Company_Explorer!$B$5),OR(Company_Explorer!$B$6="All Platforms",$B1986=Company_Explorer!$B$6),OR(Company_Explorer!$B$7="All Roles",$D1986=Company_Explorer!$B$7),OR(Company_Explorer!$B$8="All Ghost Labels",$AG1986=Company_Explorer!$B$8)),1,0)</f>
        <v>0</v>
      </c>
    </row>
    <row r="1987" spans="1:35" ht="15" customHeight="1" x14ac:dyDescent="0.3">
      <c r="A1987" s="65" t="s">
        <v>7268</v>
      </c>
      <c r="B1987" s="65" t="s">
        <v>81</v>
      </c>
      <c r="C1987" s="65" t="s">
        <v>7269</v>
      </c>
      <c r="D1987" s="65" t="s">
        <v>126</v>
      </c>
      <c r="E1987" s="65" t="s">
        <v>7270</v>
      </c>
      <c r="F1987" s="65" t="b">
        <f>TRUE()</f>
        <v>1</v>
      </c>
      <c r="G1987" s="65" t="s">
        <v>165</v>
      </c>
      <c r="H1987" s="65" t="s">
        <v>3620</v>
      </c>
      <c r="I1987" s="66">
        <v>46209.440589699101</v>
      </c>
      <c r="J1987" s="66">
        <v>46210.283433020799</v>
      </c>
      <c r="K1987" s="65">
        <v>0.8</v>
      </c>
      <c r="L1987" s="65" t="s">
        <v>183</v>
      </c>
      <c r="M1987" s="65" t="s">
        <v>183</v>
      </c>
      <c r="N1987" s="65" t="b">
        <f>FALSE()</f>
        <v>0</v>
      </c>
      <c r="O1987" s="65"/>
      <c r="P1987" s="65"/>
      <c r="Q1987" s="65" t="s">
        <v>236</v>
      </c>
      <c r="R1987" s="65" t="s">
        <v>236</v>
      </c>
      <c r="S1987" s="65"/>
      <c r="T1987" s="65" t="b">
        <f>FALSE()</f>
        <v>0</v>
      </c>
      <c r="U1987" s="65" t="b">
        <f>FALSE()</f>
        <v>0</v>
      </c>
      <c r="V1987" s="65">
        <v>801</v>
      </c>
      <c r="W1987" s="67" t="s">
        <v>7271</v>
      </c>
      <c r="X1987" s="65">
        <v>1</v>
      </c>
      <c r="Y1987" s="68">
        <v>1.75</v>
      </c>
      <c r="Z1987" s="65" t="b">
        <f>FALSE()</f>
        <v>0</v>
      </c>
      <c r="AA1987" s="65" t="b">
        <f>TRUE()</f>
        <v>1</v>
      </c>
      <c r="AB1987" s="65" t="b">
        <f>FALSE()</f>
        <v>0</v>
      </c>
      <c r="AC1987" s="65" t="b">
        <f>TRUE()</f>
        <v>1</v>
      </c>
      <c r="AD1987" s="65" t="b">
        <f>FALSE()</f>
        <v>0</v>
      </c>
      <c r="AE1987" s="65">
        <v>2</v>
      </c>
      <c r="AF1987" s="69">
        <v>28.6</v>
      </c>
      <c r="AG1987" s="65" t="s">
        <v>73</v>
      </c>
      <c r="AH1987" s="65" t="s">
        <v>7272</v>
      </c>
      <c r="AI1987">
        <f>IF(AND(OR(Company_Explorer!$B$5="All Companies",$E1987=Company_Explorer!$B$5),OR(Company_Explorer!$B$6="All Platforms",$B1987=Company_Explorer!$B$6),OR(Company_Explorer!$B$7="All Roles",$D1987=Company_Explorer!$B$7),OR(Company_Explorer!$B$8="All Ghost Labels",$AG1987=Company_Explorer!$B$8)),1,0)</f>
        <v>0</v>
      </c>
    </row>
    <row r="1988" spans="1:35" ht="15" customHeight="1" x14ac:dyDescent="0.3">
      <c r="A1988" s="60" t="s">
        <v>7273</v>
      </c>
      <c r="B1988" s="60" t="s">
        <v>81</v>
      </c>
      <c r="C1988" s="60" t="s">
        <v>7151</v>
      </c>
      <c r="D1988" s="60" t="s">
        <v>125</v>
      </c>
      <c r="E1988" s="60" t="s">
        <v>7274</v>
      </c>
      <c r="F1988" s="60" t="b">
        <f>TRUE()</f>
        <v>1</v>
      </c>
      <c r="G1988" s="60" t="s">
        <v>165</v>
      </c>
      <c r="H1988" s="60" t="s">
        <v>3620</v>
      </c>
      <c r="I1988" s="61">
        <v>46209.533592465297</v>
      </c>
      <c r="J1988" s="61">
        <v>46210.283432939803</v>
      </c>
      <c r="K1988" s="60">
        <v>0.7</v>
      </c>
      <c r="L1988" s="60" t="s">
        <v>183</v>
      </c>
      <c r="M1988" s="60" t="s">
        <v>183</v>
      </c>
      <c r="N1988" s="60" t="b">
        <f>TRUE()</f>
        <v>1</v>
      </c>
      <c r="O1988" s="70">
        <v>100000</v>
      </c>
      <c r="P1988" s="70">
        <v>200000</v>
      </c>
      <c r="Q1988" s="60" t="s">
        <v>3663</v>
      </c>
      <c r="R1988" s="60" t="s">
        <v>3961</v>
      </c>
      <c r="S1988" s="70">
        <v>150000</v>
      </c>
      <c r="T1988" s="60" t="b">
        <f>TRUE()</f>
        <v>1</v>
      </c>
      <c r="U1988" s="60" t="b">
        <f>FALSE()</f>
        <v>0</v>
      </c>
      <c r="V1988" s="60">
        <v>288</v>
      </c>
      <c r="W1988" s="62" t="s">
        <v>7275</v>
      </c>
      <c r="X1988" s="60">
        <v>1</v>
      </c>
      <c r="Y1988" s="63">
        <v>1.75</v>
      </c>
      <c r="Z1988" s="60" t="b">
        <f>FALSE()</f>
        <v>0</v>
      </c>
      <c r="AA1988" s="60" t="b">
        <f>FALSE()</f>
        <v>0</v>
      </c>
      <c r="AB1988" s="60" t="b">
        <f>TRUE()</f>
        <v>1</v>
      </c>
      <c r="AC1988" s="60" t="b">
        <f>TRUE()</f>
        <v>1</v>
      </c>
      <c r="AD1988" s="60" t="b">
        <f>FALSE()</f>
        <v>0</v>
      </c>
      <c r="AE1988" s="60">
        <v>2</v>
      </c>
      <c r="AF1988" s="64">
        <v>28.6</v>
      </c>
      <c r="AG1988" s="60" t="s">
        <v>73</v>
      </c>
      <c r="AH1988" s="60" t="s">
        <v>7276</v>
      </c>
      <c r="AI1988">
        <f>IF(AND(OR(Company_Explorer!$B$5="All Companies",$E1988=Company_Explorer!$B$5),OR(Company_Explorer!$B$6="All Platforms",$B1988=Company_Explorer!$B$6),OR(Company_Explorer!$B$7="All Roles",$D1988=Company_Explorer!$B$7),OR(Company_Explorer!$B$8="All Ghost Labels",$AG1988=Company_Explorer!$B$8)),1,0)</f>
        <v>0</v>
      </c>
    </row>
    <row r="1989" spans="1:35" ht="15" customHeight="1" x14ac:dyDescent="0.3">
      <c r="A1989" s="65" t="s">
        <v>7277</v>
      </c>
      <c r="B1989" s="65" t="s">
        <v>81</v>
      </c>
      <c r="C1989" s="65" t="s">
        <v>2968</v>
      </c>
      <c r="D1989" s="65" t="s">
        <v>125</v>
      </c>
      <c r="E1989" s="65" t="s">
        <v>3726</v>
      </c>
      <c r="F1989" s="65" t="b">
        <f>FALSE()</f>
        <v>0</v>
      </c>
      <c r="G1989" s="65" t="s">
        <v>165</v>
      </c>
      <c r="H1989" s="65" t="s">
        <v>3805</v>
      </c>
      <c r="I1989" s="66">
        <v>46209.456439351903</v>
      </c>
      <c r="J1989" s="66">
        <v>46210.283433148201</v>
      </c>
      <c r="K1989" s="65">
        <v>0.8</v>
      </c>
      <c r="L1989" s="65" t="s">
        <v>183</v>
      </c>
      <c r="M1989" s="65" t="s">
        <v>183</v>
      </c>
      <c r="N1989" s="65" t="b">
        <f>TRUE()</f>
        <v>1</v>
      </c>
      <c r="O1989" s="71">
        <v>40000</v>
      </c>
      <c r="P1989" s="71">
        <v>50000</v>
      </c>
      <c r="Q1989" s="65" t="s">
        <v>3663</v>
      </c>
      <c r="R1989" s="65" t="s">
        <v>3664</v>
      </c>
      <c r="S1989" s="71">
        <v>540000</v>
      </c>
      <c r="T1989" s="65" t="b">
        <f>TRUE()</f>
        <v>1</v>
      </c>
      <c r="U1989" s="65" t="b">
        <f>FALSE()</f>
        <v>0</v>
      </c>
      <c r="V1989" s="65">
        <v>317</v>
      </c>
      <c r="W1989" s="67" t="s">
        <v>7278</v>
      </c>
      <c r="X1989" s="65"/>
      <c r="Y1989" s="68"/>
      <c r="Z1989" s="65" t="b">
        <f>TRUE()</f>
        <v>1</v>
      </c>
      <c r="AA1989" s="65" t="b">
        <f>FALSE()</f>
        <v>0</v>
      </c>
      <c r="AB1989" s="65" t="b">
        <f>FALSE()</f>
        <v>0</v>
      </c>
      <c r="AC1989" s="65" t="b">
        <f>TRUE()</f>
        <v>1</v>
      </c>
      <c r="AD1989" s="65" t="b">
        <f>FALSE()</f>
        <v>0</v>
      </c>
      <c r="AE1989" s="65">
        <v>3</v>
      </c>
      <c r="AF1989" s="69">
        <v>42.9</v>
      </c>
      <c r="AG1989" s="65" t="s">
        <v>73</v>
      </c>
      <c r="AH1989" s="65" t="s">
        <v>7279</v>
      </c>
      <c r="AI1989">
        <f>IF(AND(OR(Company_Explorer!$B$5="All Companies",$E1989=Company_Explorer!$B$5),OR(Company_Explorer!$B$6="All Platforms",$B1989=Company_Explorer!$B$6),OR(Company_Explorer!$B$7="All Roles",$D1989=Company_Explorer!$B$7),OR(Company_Explorer!$B$8="All Ghost Labels",$AG1989=Company_Explorer!$B$8)),1,0)</f>
        <v>0</v>
      </c>
    </row>
    <row r="1990" spans="1:35" ht="15" customHeight="1" x14ac:dyDescent="0.3">
      <c r="A1990" s="60" t="s">
        <v>7280</v>
      </c>
      <c r="B1990" s="60" t="s">
        <v>81</v>
      </c>
      <c r="C1990" s="60" t="s">
        <v>7281</v>
      </c>
      <c r="D1990" s="60" t="s">
        <v>126</v>
      </c>
      <c r="E1990" s="60" t="s">
        <v>153</v>
      </c>
      <c r="F1990" s="60" t="b">
        <f>TRUE()</f>
        <v>1</v>
      </c>
      <c r="G1990" s="60" t="s">
        <v>165</v>
      </c>
      <c r="H1990" s="60" t="s">
        <v>4442</v>
      </c>
      <c r="I1990" s="61">
        <v>46209.527617928201</v>
      </c>
      <c r="J1990" s="61">
        <v>46210.283433981502</v>
      </c>
      <c r="K1990" s="60">
        <v>0.8</v>
      </c>
      <c r="L1990" s="60" t="s">
        <v>183</v>
      </c>
      <c r="M1990" s="60" t="s">
        <v>183</v>
      </c>
      <c r="N1990" s="60" t="b">
        <f>FALSE()</f>
        <v>0</v>
      </c>
      <c r="O1990" s="60"/>
      <c r="P1990" s="60"/>
      <c r="Q1990" s="60" t="s">
        <v>236</v>
      </c>
      <c r="R1990" s="60" t="s">
        <v>236</v>
      </c>
      <c r="S1990" s="60"/>
      <c r="T1990" s="60" t="b">
        <f>FALSE()</f>
        <v>0</v>
      </c>
      <c r="U1990" s="60" t="b">
        <f>FALSE()</f>
        <v>0</v>
      </c>
      <c r="V1990" s="60">
        <v>207</v>
      </c>
      <c r="W1990" s="62" t="s">
        <v>7282</v>
      </c>
      <c r="X1990" s="60">
        <v>12</v>
      </c>
      <c r="Y1990" s="63">
        <v>21</v>
      </c>
      <c r="Z1990" s="60" t="b">
        <f>FALSE()</f>
        <v>0</v>
      </c>
      <c r="AA1990" s="60" t="b">
        <f>TRUE()</f>
        <v>1</v>
      </c>
      <c r="AB1990" s="60" t="b">
        <f>TRUE()</f>
        <v>1</v>
      </c>
      <c r="AC1990" s="60" t="b">
        <f>TRUE()</f>
        <v>1</v>
      </c>
      <c r="AD1990" s="60" t="b">
        <f>FALSE()</f>
        <v>0</v>
      </c>
      <c r="AE1990" s="60">
        <v>3</v>
      </c>
      <c r="AF1990" s="64">
        <v>42.9</v>
      </c>
      <c r="AG1990" s="60" t="s">
        <v>73</v>
      </c>
      <c r="AH1990" s="60" t="s">
        <v>7283</v>
      </c>
      <c r="AI1990">
        <f>IF(AND(OR(Company_Explorer!$B$5="All Companies",$E1990=Company_Explorer!$B$5),OR(Company_Explorer!$B$6="All Platforms",$B1990=Company_Explorer!$B$6),OR(Company_Explorer!$B$7="All Roles",$D1990=Company_Explorer!$B$7),OR(Company_Explorer!$B$8="All Ghost Labels",$AG1990=Company_Explorer!$B$8)),1,0)</f>
        <v>0</v>
      </c>
    </row>
    <row r="1991" spans="1:35" ht="15" customHeight="1" x14ac:dyDescent="0.3">
      <c r="A1991" s="65" t="s">
        <v>7284</v>
      </c>
      <c r="B1991" s="65" t="s">
        <v>81</v>
      </c>
      <c r="C1991" s="65" t="s">
        <v>7285</v>
      </c>
      <c r="D1991" s="65" t="s">
        <v>128</v>
      </c>
      <c r="E1991" s="65" t="s">
        <v>3726</v>
      </c>
      <c r="F1991" s="65" t="b">
        <f>FALSE()</f>
        <v>0</v>
      </c>
      <c r="G1991" s="65" t="s">
        <v>177</v>
      </c>
      <c r="H1991" s="65" t="s">
        <v>165</v>
      </c>
      <c r="I1991" s="66">
        <v>46209.438321539397</v>
      </c>
      <c r="J1991" s="66">
        <v>46210.283434097197</v>
      </c>
      <c r="K1991" s="65">
        <v>0.8</v>
      </c>
      <c r="L1991" s="65" t="s">
        <v>183</v>
      </c>
      <c r="M1991" s="65" t="s">
        <v>183</v>
      </c>
      <c r="N1991" s="65" t="b">
        <f>FALSE()</f>
        <v>0</v>
      </c>
      <c r="O1991" s="65"/>
      <c r="P1991" s="65"/>
      <c r="Q1991" s="65" t="s">
        <v>3663</v>
      </c>
      <c r="R1991" s="65" t="s">
        <v>3961</v>
      </c>
      <c r="S1991" s="65"/>
      <c r="T1991" s="65" t="b">
        <f>FALSE()</f>
        <v>0</v>
      </c>
      <c r="U1991" s="65" t="b">
        <f>FALSE()</f>
        <v>0</v>
      </c>
      <c r="V1991" s="65">
        <v>352</v>
      </c>
      <c r="W1991" s="67" t="s">
        <v>7286</v>
      </c>
      <c r="X1991" s="65"/>
      <c r="Y1991" s="68"/>
      <c r="Z1991" s="65" t="b">
        <f>TRUE()</f>
        <v>1</v>
      </c>
      <c r="AA1991" s="65" t="b">
        <f>TRUE()</f>
        <v>1</v>
      </c>
      <c r="AB1991" s="65" t="b">
        <f>FALSE()</f>
        <v>0</v>
      </c>
      <c r="AC1991" s="65" t="b">
        <f>TRUE()</f>
        <v>1</v>
      </c>
      <c r="AD1991" s="65" t="b">
        <f>FALSE()</f>
        <v>0</v>
      </c>
      <c r="AE1991" s="65">
        <v>4</v>
      </c>
      <c r="AF1991" s="69">
        <v>57.1</v>
      </c>
      <c r="AG1991" s="65" t="s">
        <v>72</v>
      </c>
      <c r="AH1991" s="65" t="s">
        <v>7287</v>
      </c>
      <c r="AI1991">
        <f>IF(AND(OR(Company_Explorer!$B$5="All Companies",$E1991=Company_Explorer!$B$5),OR(Company_Explorer!$B$6="All Platforms",$B1991=Company_Explorer!$B$6),OR(Company_Explorer!$B$7="All Roles",$D1991=Company_Explorer!$B$7),OR(Company_Explorer!$B$8="All Ghost Labels",$AG1991=Company_Explorer!$B$8)),1,0)</f>
        <v>0</v>
      </c>
    </row>
    <row r="1992" spans="1:35" ht="15" customHeight="1" x14ac:dyDescent="0.3">
      <c r="A1992" s="60" t="s">
        <v>7288</v>
      </c>
      <c r="B1992" s="60" t="s">
        <v>81</v>
      </c>
      <c r="C1992" s="60" t="s">
        <v>7289</v>
      </c>
      <c r="D1992" s="60" t="s">
        <v>125</v>
      </c>
      <c r="E1992" s="60" t="s">
        <v>7290</v>
      </c>
      <c r="F1992" s="60" t="b">
        <f>TRUE()</f>
        <v>1</v>
      </c>
      <c r="G1992" s="60" t="s">
        <v>165</v>
      </c>
      <c r="H1992" s="60" t="s">
        <v>3636</v>
      </c>
      <c r="I1992" s="61">
        <v>46209.436478715303</v>
      </c>
      <c r="J1992" s="61">
        <v>46210.283435590303</v>
      </c>
      <c r="K1992" s="60">
        <v>0.8</v>
      </c>
      <c r="L1992" s="60" t="s">
        <v>183</v>
      </c>
      <c r="M1992" s="60" t="s">
        <v>183</v>
      </c>
      <c r="N1992" s="60" t="b">
        <f>TRUE()</f>
        <v>1</v>
      </c>
      <c r="O1992" s="70">
        <v>2800000</v>
      </c>
      <c r="P1992" s="70">
        <v>3700000</v>
      </c>
      <c r="Q1992" s="60" t="s">
        <v>3663</v>
      </c>
      <c r="R1992" s="60" t="s">
        <v>3961</v>
      </c>
      <c r="S1992" s="70">
        <v>3250000</v>
      </c>
      <c r="T1992" s="60" t="b">
        <f>TRUE()</f>
        <v>1</v>
      </c>
      <c r="U1992" s="60" t="b">
        <f>FALSE()</f>
        <v>0</v>
      </c>
      <c r="V1992" s="60">
        <v>294</v>
      </c>
      <c r="W1992" s="62" t="s">
        <v>7291</v>
      </c>
      <c r="X1992" s="60">
        <v>1</v>
      </c>
      <c r="Y1992" s="63">
        <v>1.75</v>
      </c>
      <c r="Z1992" s="60" t="b">
        <f>FALSE()</f>
        <v>0</v>
      </c>
      <c r="AA1992" s="60" t="b">
        <f>FALSE()</f>
        <v>0</v>
      </c>
      <c r="AB1992" s="60" t="b">
        <f>TRUE()</f>
        <v>1</v>
      </c>
      <c r="AC1992" s="60" t="b">
        <f>TRUE()</f>
        <v>1</v>
      </c>
      <c r="AD1992" s="60" t="b">
        <f>FALSE()</f>
        <v>0</v>
      </c>
      <c r="AE1992" s="60">
        <v>2</v>
      </c>
      <c r="AF1992" s="64">
        <v>28.6</v>
      </c>
      <c r="AG1992" s="60" t="s">
        <v>73</v>
      </c>
      <c r="AH1992" s="60" t="s">
        <v>7292</v>
      </c>
      <c r="AI1992">
        <f>IF(AND(OR(Company_Explorer!$B$5="All Companies",$E1992=Company_Explorer!$B$5),OR(Company_Explorer!$B$6="All Platforms",$B1992=Company_Explorer!$B$6),OR(Company_Explorer!$B$7="All Roles",$D1992=Company_Explorer!$B$7),OR(Company_Explorer!$B$8="All Ghost Labels",$AG1992=Company_Explorer!$B$8)),1,0)</f>
        <v>0</v>
      </c>
    </row>
    <row r="1993" spans="1:35" ht="15" customHeight="1" x14ac:dyDescent="0.3">
      <c r="A1993" s="65" t="s">
        <v>7293</v>
      </c>
      <c r="B1993" s="65" t="s">
        <v>81</v>
      </c>
      <c r="C1993" s="65" t="s">
        <v>7294</v>
      </c>
      <c r="D1993" s="65" t="s">
        <v>126</v>
      </c>
      <c r="E1993" s="65" t="s">
        <v>7295</v>
      </c>
      <c r="F1993" s="65" t="b">
        <f>TRUE()</f>
        <v>1</v>
      </c>
      <c r="G1993" s="65" t="s">
        <v>165</v>
      </c>
      <c r="H1993" s="65" t="s">
        <v>3636</v>
      </c>
      <c r="I1993" s="66">
        <v>46209.452640416697</v>
      </c>
      <c r="J1993" s="66">
        <v>46210.2834363773</v>
      </c>
      <c r="K1993" s="65">
        <v>0.8</v>
      </c>
      <c r="L1993" s="65" t="s">
        <v>183</v>
      </c>
      <c r="M1993" s="65" t="s">
        <v>183</v>
      </c>
      <c r="N1993" s="65" t="b">
        <f>FALSE()</f>
        <v>0</v>
      </c>
      <c r="O1993" s="65"/>
      <c r="P1993" s="65"/>
      <c r="Q1993" s="65" t="s">
        <v>236</v>
      </c>
      <c r="R1993" s="65" t="s">
        <v>236</v>
      </c>
      <c r="S1993" s="65"/>
      <c r="T1993" s="65" t="b">
        <f>FALSE()</f>
        <v>0</v>
      </c>
      <c r="U1993" s="65" t="b">
        <f>FALSE()</f>
        <v>0</v>
      </c>
      <c r="V1993" s="65">
        <v>528</v>
      </c>
      <c r="W1993" s="67" t="s">
        <v>7296</v>
      </c>
      <c r="X1993" s="65">
        <v>1</v>
      </c>
      <c r="Y1993" s="68">
        <v>1.75</v>
      </c>
      <c r="Z1993" s="65" t="b">
        <f>FALSE()</f>
        <v>0</v>
      </c>
      <c r="AA1993" s="65" t="b">
        <f>TRUE()</f>
        <v>1</v>
      </c>
      <c r="AB1993" s="65" t="b">
        <f>FALSE()</f>
        <v>0</v>
      </c>
      <c r="AC1993" s="65" t="b">
        <f>TRUE()</f>
        <v>1</v>
      </c>
      <c r="AD1993" s="65" t="b">
        <f>FALSE()</f>
        <v>0</v>
      </c>
      <c r="AE1993" s="65">
        <v>2</v>
      </c>
      <c r="AF1993" s="69">
        <v>28.6</v>
      </c>
      <c r="AG1993" s="65" t="s">
        <v>73</v>
      </c>
      <c r="AH1993" s="65" t="s">
        <v>7297</v>
      </c>
      <c r="AI1993">
        <f>IF(AND(OR(Company_Explorer!$B$5="All Companies",$E1993=Company_Explorer!$B$5),OR(Company_Explorer!$B$6="All Platforms",$B1993=Company_Explorer!$B$6),OR(Company_Explorer!$B$7="All Roles",$D1993=Company_Explorer!$B$7),OR(Company_Explorer!$B$8="All Ghost Labels",$AG1993=Company_Explorer!$B$8)),1,0)</f>
        <v>0</v>
      </c>
    </row>
    <row r="1994" spans="1:35" ht="15" customHeight="1" x14ac:dyDescent="0.3">
      <c r="A1994" s="60" t="s">
        <v>7298</v>
      </c>
      <c r="B1994" s="60" t="s">
        <v>81</v>
      </c>
      <c r="C1994" s="60" t="s">
        <v>7299</v>
      </c>
      <c r="D1994" s="60" t="s">
        <v>130</v>
      </c>
      <c r="E1994" s="60" t="s">
        <v>7300</v>
      </c>
      <c r="F1994" s="60" t="b">
        <f>TRUE()</f>
        <v>1</v>
      </c>
      <c r="G1994" s="60" t="s">
        <v>165</v>
      </c>
      <c r="H1994" s="60" t="s">
        <v>3630</v>
      </c>
      <c r="I1994" s="61">
        <v>46209.527518830997</v>
      </c>
      <c r="J1994" s="61">
        <v>46210.283436458303</v>
      </c>
      <c r="K1994" s="60">
        <v>0.8</v>
      </c>
      <c r="L1994" s="60" t="s">
        <v>183</v>
      </c>
      <c r="M1994" s="60" t="s">
        <v>183</v>
      </c>
      <c r="N1994" s="60" t="b">
        <f>FALSE()</f>
        <v>0</v>
      </c>
      <c r="O1994" s="60"/>
      <c r="P1994" s="60"/>
      <c r="Q1994" s="60" t="s">
        <v>236</v>
      </c>
      <c r="R1994" s="60" t="s">
        <v>236</v>
      </c>
      <c r="S1994" s="60"/>
      <c r="T1994" s="60" t="b">
        <f>FALSE()</f>
        <v>0</v>
      </c>
      <c r="U1994" s="60" t="b">
        <f>FALSE()</f>
        <v>0</v>
      </c>
      <c r="V1994" s="60">
        <v>161</v>
      </c>
      <c r="W1994" s="62" t="s">
        <v>7301</v>
      </c>
      <c r="X1994" s="60">
        <v>1</v>
      </c>
      <c r="Y1994" s="63">
        <v>1.75</v>
      </c>
      <c r="Z1994" s="60" t="b">
        <f>FALSE()</f>
        <v>0</v>
      </c>
      <c r="AA1994" s="60" t="b">
        <f>TRUE()</f>
        <v>1</v>
      </c>
      <c r="AB1994" s="60" t="b">
        <f>TRUE()</f>
        <v>1</v>
      </c>
      <c r="AC1994" s="60" t="b">
        <f>TRUE()</f>
        <v>1</v>
      </c>
      <c r="AD1994" s="60" t="b">
        <f>FALSE()</f>
        <v>0</v>
      </c>
      <c r="AE1994" s="60">
        <v>3</v>
      </c>
      <c r="AF1994" s="64">
        <v>42.9</v>
      </c>
      <c r="AG1994" s="60" t="s">
        <v>73</v>
      </c>
      <c r="AH1994" s="60" t="s">
        <v>7302</v>
      </c>
      <c r="AI1994">
        <f>IF(AND(OR(Company_Explorer!$B$5="All Companies",$E1994=Company_Explorer!$B$5),OR(Company_Explorer!$B$6="All Platforms",$B1994=Company_Explorer!$B$6),OR(Company_Explorer!$B$7="All Roles",$D1994=Company_Explorer!$B$7),OR(Company_Explorer!$B$8="All Ghost Labels",$AG1994=Company_Explorer!$B$8)),1,0)</f>
        <v>0</v>
      </c>
    </row>
    <row r="1995" spans="1:35" ht="15" customHeight="1" x14ac:dyDescent="0.3">
      <c r="A1995" s="65" t="s">
        <v>7303</v>
      </c>
      <c r="B1995" s="65" t="s">
        <v>81</v>
      </c>
      <c r="C1995" s="65" t="s">
        <v>7304</v>
      </c>
      <c r="D1995" s="65" t="s">
        <v>130</v>
      </c>
      <c r="E1995" s="65" t="s">
        <v>5693</v>
      </c>
      <c r="F1995" s="65" t="b">
        <f>TRUE()</f>
        <v>1</v>
      </c>
      <c r="G1995" s="65" t="s">
        <v>165</v>
      </c>
      <c r="H1995" s="65" t="s">
        <v>3655</v>
      </c>
      <c r="I1995" s="66">
        <v>46209.5239784722</v>
      </c>
      <c r="J1995" s="66">
        <v>46210.283436435202</v>
      </c>
      <c r="K1995" s="65">
        <v>0.8</v>
      </c>
      <c r="L1995" s="65" t="s">
        <v>183</v>
      </c>
      <c r="M1995" s="65" t="s">
        <v>183</v>
      </c>
      <c r="N1995" s="65" t="b">
        <f>FALSE()</f>
        <v>0</v>
      </c>
      <c r="O1995" s="65"/>
      <c r="P1995" s="65"/>
      <c r="Q1995" s="65" t="s">
        <v>236</v>
      </c>
      <c r="R1995" s="65" t="s">
        <v>236</v>
      </c>
      <c r="S1995" s="65"/>
      <c r="T1995" s="65" t="b">
        <f>FALSE()</f>
        <v>0</v>
      </c>
      <c r="U1995" s="65" t="b">
        <f>FALSE()</f>
        <v>0</v>
      </c>
      <c r="V1995" s="65">
        <v>837</v>
      </c>
      <c r="W1995" s="67" t="s">
        <v>7305</v>
      </c>
      <c r="X1995" s="65">
        <v>2</v>
      </c>
      <c r="Y1995" s="68">
        <v>3.5</v>
      </c>
      <c r="Z1995" s="65" t="b">
        <f>FALSE()</f>
        <v>0</v>
      </c>
      <c r="AA1995" s="65" t="b">
        <f>TRUE()</f>
        <v>1</v>
      </c>
      <c r="AB1995" s="65" t="b">
        <f>FALSE()</f>
        <v>0</v>
      </c>
      <c r="AC1995" s="65" t="b">
        <f>TRUE()</f>
        <v>1</v>
      </c>
      <c r="AD1995" s="65" t="b">
        <f>FALSE()</f>
        <v>0</v>
      </c>
      <c r="AE1995" s="65">
        <v>2</v>
      </c>
      <c r="AF1995" s="69">
        <v>28.6</v>
      </c>
      <c r="AG1995" s="65" t="s">
        <v>73</v>
      </c>
      <c r="AH1995" s="65" t="s">
        <v>7306</v>
      </c>
      <c r="AI1995">
        <f>IF(AND(OR(Company_Explorer!$B$5="All Companies",$E1995=Company_Explorer!$B$5),OR(Company_Explorer!$B$6="All Platforms",$B1995=Company_Explorer!$B$6),OR(Company_Explorer!$B$7="All Roles",$D1995=Company_Explorer!$B$7),OR(Company_Explorer!$B$8="All Ghost Labels",$AG1995=Company_Explorer!$B$8)),1,0)</f>
        <v>0</v>
      </c>
    </row>
    <row r="1996" spans="1:35" ht="15" customHeight="1" x14ac:dyDescent="0.3">
      <c r="A1996" s="60" t="s">
        <v>7307</v>
      </c>
      <c r="B1996" s="60" t="s">
        <v>81</v>
      </c>
      <c r="C1996" s="60" t="s">
        <v>7308</v>
      </c>
      <c r="D1996" s="60" t="s">
        <v>131</v>
      </c>
      <c r="E1996" s="60" t="s">
        <v>7309</v>
      </c>
      <c r="F1996" s="60" t="b">
        <f>TRUE()</f>
        <v>1</v>
      </c>
      <c r="G1996" s="60" t="s">
        <v>165</v>
      </c>
      <c r="H1996" s="60" t="s">
        <v>3678</v>
      </c>
      <c r="I1996" s="61">
        <v>46209.447219791698</v>
      </c>
      <c r="J1996" s="61">
        <v>46210.283436423597</v>
      </c>
      <c r="K1996" s="60">
        <v>0.8</v>
      </c>
      <c r="L1996" s="60" t="s">
        <v>183</v>
      </c>
      <c r="M1996" s="60" t="s">
        <v>183</v>
      </c>
      <c r="N1996" s="60" t="b">
        <f>FALSE()</f>
        <v>0</v>
      </c>
      <c r="O1996" s="60"/>
      <c r="P1996" s="60"/>
      <c r="Q1996" s="60" t="s">
        <v>236</v>
      </c>
      <c r="R1996" s="60" t="s">
        <v>236</v>
      </c>
      <c r="S1996" s="60"/>
      <c r="T1996" s="60" t="b">
        <f>FALSE()</f>
        <v>0</v>
      </c>
      <c r="U1996" s="60" t="b">
        <f>FALSE()</f>
        <v>0</v>
      </c>
      <c r="V1996" s="60">
        <v>993</v>
      </c>
      <c r="W1996" s="62" t="s">
        <v>7310</v>
      </c>
      <c r="X1996" s="60">
        <v>2</v>
      </c>
      <c r="Y1996" s="63">
        <v>3.5</v>
      </c>
      <c r="Z1996" s="60" t="b">
        <f>FALSE()</f>
        <v>0</v>
      </c>
      <c r="AA1996" s="60" t="b">
        <f>TRUE()</f>
        <v>1</v>
      </c>
      <c r="AB1996" s="60" t="b">
        <f>FALSE()</f>
        <v>0</v>
      </c>
      <c r="AC1996" s="60" t="b">
        <f>TRUE()</f>
        <v>1</v>
      </c>
      <c r="AD1996" s="60" t="b">
        <f>FALSE()</f>
        <v>0</v>
      </c>
      <c r="AE1996" s="60">
        <v>2</v>
      </c>
      <c r="AF1996" s="64">
        <v>28.6</v>
      </c>
      <c r="AG1996" s="60" t="s">
        <v>73</v>
      </c>
      <c r="AH1996" s="60" t="s">
        <v>7311</v>
      </c>
      <c r="AI1996">
        <f>IF(AND(OR(Company_Explorer!$B$5="All Companies",$E1996=Company_Explorer!$B$5),OR(Company_Explorer!$B$6="All Platforms",$B1996=Company_Explorer!$B$6),OR(Company_Explorer!$B$7="All Roles",$D1996=Company_Explorer!$B$7),OR(Company_Explorer!$B$8="All Ghost Labels",$AG1996=Company_Explorer!$B$8)),1,0)</f>
        <v>0</v>
      </c>
    </row>
    <row r="1997" spans="1:35" ht="15" customHeight="1" x14ac:dyDescent="0.3">
      <c r="A1997" s="65" t="s">
        <v>7312</v>
      </c>
      <c r="B1997" s="65" t="s">
        <v>81</v>
      </c>
      <c r="C1997" s="65" t="s">
        <v>7313</v>
      </c>
      <c r="D1997" s="65" t="s">
        <v>125</v>
      </c>
      <c r="E1997" s="65" t="s">
        <v>7314</v>
      </c>
      <c r="F1997" s="65" t="b">
        <f>TRUE()</f>
        <v>1</v>
      </c>
      <c r="G1997" s="65" t="s">
        <v>165</v>
      </c>
      <c r="H1997" s="65" t="s">
        <v>4093</v>
      </c>
      <c r="I1997" s="66">
        <v>46209.520908263898</v>
      </c>
      <c r="J1997" s="66">
        <v>46210.283436516198</v>
      </c>
      <c r="K1997" s="65">
        <v>0.8</v>
      </c>
      <c r="L1997" s="65" t="s">
        <v>183</v>
      </c>
      <c r="M1997" s="65" t="s">
        <v>183</v>
      </c>
      <c r="N1997" s="65" t="b">
        <f>TRUE()</f>
        <v>1</v>
      </c>
      <c r="O1997" s="71">
        <v>15000</v>
      </c>
      <c r="P1997" s="71">
        <v>50000</v>
      </c>
      <c r="Q1997" s="65" t="s">
        <v>3663</v>
      </c>
      <c r="R1997" s="65" t="s">
        <v>3664</v>
      </c>
      <c r="S1997" s="71">
        <v>390000</v>
      </c>
      <c r="T1997" s="65" t="b">
        <f>TRUE()</f>
        <v>1</v>
      </c>
      <c r="U1997" s="65" t="b">
        <f>FALSE()</f>
        <v>0</v>
      </c>
      <c r="V1997" s="65">
        <v>270</v>
      </c>
      <c r="W1997" s="65" t="s">
        <v>7315</v>
      </c>
      <c r="X1997" s="65">
        <v>1</v>
      </c>
      <c r="Y1997" s="68">
        <v>1.75</v>
      </c>
      <c r="Z1997" s="65" t="b">
        <f>FALSE()</f>
        <v>0</v>
      </c>
      <c r="AA1997" s="65" t="b">
        <f>FALSE()</f>
        <v>0</v>
      </c>
      <c r="AB1997" s="65" t="b">
        <f>TRUE()</f>
        <v>1</v>
      </c>
      <c r="AC1997" s="65" t="b">
        <f>TRUE()</f>
        <v>1</v>
      </c>
      <c r="AD1997" s="65" t="b">
        <f>FALSE()</f>
        <v>0</v>
      </c>
      <c r="AE1997" s="65">
        <v>2</v>
      </c>
      <c r="AF1997" s="69">
        <v>28.6</v>
      </c>
      <c r="AG1997" s="65" t="s">
        <v>73</v>
      </c>
      <c r="AH1997" s="65" t="s">
        <v>7316</v>
      </c>
      <c r="AI1997">
        <f>IF(AND(OR(Company_Explorer!$B$5="All Companies",$E1997=Company_Explorer!$B$5),OR(Company_Explorer!$B$6="All Platforms",$B1997=Company_Explorer!$B$6),OR(Company_Explorer!$B$7="All Roles",$D1997=Company_Explorer!$B$7),OR(Company_Explorer!$B$8="All Ghost Labels",$AG1997=Company_Explorer!$B$8)),1,0)</f>
        <v>0</v>
      </c>
    </row>
    <row r="1998" spans="1:35" ht="15" customHeight="1" x14ac:dyDescent="0.3">
      <c r="A1998" s="60" t="s">
        <v>7317</v>
      </c>
      <c r="B1998" s="60" t="s">
        <v>81</v>
      </c>
      <c r="C1998" s="60" t="s">
        <v>7318</v>
      </c>
      <c r="D1998" s="60" t="s">
        <v>131</v>
      </c>
      <c r="E1998" s="60" t="s">
        <v>7309</v>
      </c>
      <c r="F1998" s="60" t="b">
        <f>TRUE()</f>
        <v>1</v>
      </c>
      <c r="G1998" s="60" t="s">
        <v>165</v>
      </c>
      <c r="H1998" s="60" t="s">
        <v>3678</v>
      </c>
      <c r="I1998" s="61">
        <v>46209.4471396644</v>
      </c>
      <c r="J1998" s="61">
        <v>46210.283436539401</v>
      </c>
      <c r="K1998" s="60">
        <v>0.8</v>
      </c>
      <c r="L1998" s="60" t="s">
        <v>183</v>
      </c>
      <c r="M1998" s="60" t="s">
        <v>183</v>
      </c>
      <c r="N1998" s="60" t="b">
        <f>FALSE()</f>
        <v>0</v>
      </c>
      <c r="O1998" s="60"/>
      <c r="P1998" s="60"/>
      <c r="Q1998" s="60" t="s">
        <v>236</v>
      </c>
      <c r="R1998" s="60" t="s">
        <v>236</v>
      </c>
      <c r="S1998" s="60"/>
      <c r="T1998" s="60" t="b">
        <f>FALSE()</f>
        <v>0</v>
      </c>
      <c r="U1998" s="60" t="b">
        <f>FALSE()</f>
        <v>0</v>
      </c>
      <c r="V1998" s="60">
        <v>957</v>
      </c>
      <c r="W1998" s="62" t="s">
        <v>7319</v>
      </c>
      <c r="X1998" s="60">
        <v>2</v>
      </c>
      <c r="Y1998" s="63">
        <v>3.5</v>
      </c>
      <c r="Z1998" s="60" t="b">
        <f>FALSE()</f>
        <v>0</v>
      </c>
      <c r="AA1998" s="60" t="b">
        <f>TRUE()</f>
        <v>1</v>
      </c>
      <c r="AB1998" s="60" t="b">
        <f>FALSE()</f>
        <v>0</v>
      </c>
      <c r="AC1998" s="60" t="b">
        <f>TRUE()</f>
        <v>1</v>
      </c>
      <c r="AD1998" s="60" t="b">
        <f>FALSE()</f>
        <v>0</v>
      </c>
      <c r="AE1998" s="60">
        <v>2</v>
      </c>
      <c r="AF1998" s="64">
        <v>28.6</v>
      </c>
      <c r="AG1998" s="60" t="s">
        <v>73</v>
      </c>
      <c r="AH1998" s="60" t="s">
        <v>7320</v>
      </c>
      <c r="AI1998">
        <f>IF(AND(OR(Company_Explorer!$B$5="All Companies",$E1998=Company_Explorer!$B$5),OR(Company_Explorer!$B$6="All Platforms",$B1998=Company_Explorer!$B$6),OR(Company_Explorer!$B$7="All Roles",$D1998=Company_Explorer!$B$7),OR(Company_Explorer!$B$8="All Ghost Labels",$AG1998=Company_Explorer!$B$8)),1,0)</f>
        <v>0</v>
      </c>
    </row>
    <row r="1999" spans="1:35" ht="15" customHeight="1" x14ac:dyDescent="0.3">
      <c r="A1999" s="65" t="s">
        <v>7321</v>
      </c>
      <c r="B1999" s="65" t="s">
        <v>81</v>
      </c>
      <c r="C1999" s="65" t="s">
        <v>7322</v>
      </c>
      <c r="D1999" s="65" t="s">
        <v>125</v>
      </c>
      <c r="E1999" s="65" t="s">
        <v>7323</v>
      </c>
      <c r="F1999" s="65" t="b">
        <f>TRUE()</f>
        <v>1</v>
      </c>
      <c r="G1999" s="65" t="s">
        <v>165</v>
      </c>
      <c r="H1999" s="65" t="s">
        <v>5568</v>
      </c>
      <c r="I1999" s="66">
        <v>46209.429477881997</v>
      </c>
      <c r="J1999" s="66">
        <v>46210.283436562502</v>
      </c>
      <c r="K1999" s="65">
        <v>0.9</v>
      </c>
      <c r="L1999" s="65" t="s">
        <v>183</v>
      </c>
      <c r="M1999" s="65" t="s">
        <v>183</v>
      </c>
      <c r="N1999" s="65" t="b">
        <f>TRUE()</f>
        <v>1</v>
      </c>
      <c r="O1999" s="71">
        <v>10000</v>
      </c>
      <c r="P1999" s="71">
        <v>25000</v>
      </c>
      <c r="Q1999" s="65" t="s">
        <v>3663</v>
      </c>
      <c r="R1999" s="65" t="s">
        <v>3664</v>
      </c>
      <c r="S1999" s="71">
        <v>210000</v>
      </c>
      <c r="T1999" s="65" t="b">
        <f>TRUE()</f>
        <v>1</v>
      </c>
      <c r="U1999" s="65" t="b">
        <f>FALSE()</f>
        <v>0</v>
      </c>
      <c r="V1999" s="65">
        <v>63</v>
      </c>
      <c r="W1999" s="67" t="s">
        <v>7324</v>
      </c>
      <c r="X1999" s="65">
        <v>1</v>
      </c>
      <c r="Y1999" s="68">
        <v>1.75</v>
      </c>
      <c r="Z1999" s="65" t="b">
        <f>FALSE()</f>
        <v>0</v>
      </c>
      <c r="AA1999" s="65" t="b">
        <f>FALSE()</f>
        <v>0</v>
      </c>
      <c r="AB1999" s="65" t="b">
        <f>TRUE()</f>
        <v>1</v>
      </c>
      <c r="AC1999" s="65" t="b">
        <f>TRUE()</f>
        <v>1</v>
      </c>
      <c r="AD1999" s="65" t="b">
        <f>FALSE()</f>
        <v>0</v>
      </c>
      <c r="AE1999" s="65">
        <v>2</v>
      </c>
      <c r="AF1999" s="69">
        <v>28.6</v>
      </c>
      <c r="AG1999" s="65" t="s">
        <v>73</v>
      </c>
      <c r="AH1999" s="65" t="s">
        <v>7325</v>
      </c>
      <c r="AI1999">
        <f>IF(AND(OR(Company_Explorer!$B$5="All Companies",$E1999=Company_Explorer!$B$5),OR(Company_Explorer!$B$6="All Platforms",$B1999=Company_Explorer!$B$6),OR(Company_Explorer!$B$7="All Roles",$D1999=Company_Explorer!$B$7),OR(Company_Explorer!$B$8="All Ghost Labels",$AG1999=Company_Explorer!$B$8)),1,0)</f>
        <v>0</v>
      </c>
    </row>
    <row r="2000" spans="1:35" ht="15" customHeight="1" x14ac:dyDescent="0.3">
      <c r="A2000" s="60" t="s">
        <v>7326</v>
      </c>
      <c r="B2000" s="60" t="s">
        <v>81</v>
      </c>
      <c r="C2000" s="60" t="s">
        <v>7327</v>
      </c>
      <c r="D2000" s="60" t="s">
        <v>125</v>
      </c>
      <c r="E2000" s="60" t="s">
        <v>7328</v>
      </c>
      <c r="F2000" s="60" t="b">
        <f>TRUE()</f>
        <v>1</v>
      </c>
      <c r="G2000" s="60" t="s">
        <v>165</v>
      </c>
      <c r="H2000" s="60" t="s">
        <v>3636</v>
      </c>
      <c r="I2000" s="61">
        <v>46209.428898263897</v>
      </c>
      <c r="J2000" s="61">
        <v>46210.283436620397</v>
      </c>
      <c r="K2000" s="60">
        <v>0.9</v>
      </c>
      <c r="L2000" s="60" t="s">
        <v>183</v>
      </c>
      <c r="M2000" s="60" t="s">
        <v>183</v>
      </c>
      <c r="N2000" s="60" t="b">
        <f>FALSE()</f>
        <v>0</v>
      </c>
      <c r="O2000" s="60"/>
      <c r="P2000" s="60"/>
      <c r="Q2000" s="60" t="s">
        <v>236</v>
      </c>
      <c r="R2000" s="60" t="s">
        <v>236</v>
      </c>
      <c r="S2000" s="60"/>
      <c r="T2000" s="60" t="b">
        <f>FALSE()</f>
        <v>0</v>
      </c>
      <c r="U2000" s="60" t="b">
        <f>FALSE()</f>
        <v>0</v>
      </c>
      <c r="V2000" s="60">
        <v>1076</v>
      </c>
      <c r="W2000" s="62" t="s">
        <v>7329</v>
      </c>
      <c r="X2000" s="60">
        <v>1</v>
      </c>
      <c r="Y2000" s="63">
        <v>1.75</v>
      </c>
      <c r="Z2000" s="60" t="b">
        <f>FALSE()</f>
        <v>0</v>
      </c>
      <c r="AA2000" s="60" t="b">
        <f>TRUE()</f>
        <v>1</v>
      </c>
      <c r="AB2000" s="60" t="b">
        <f>FALSE()</f>
        <v>0</v>
      </c>
      <c r="AC2000" s="60" t="b">
        <f>TRUE()</f>
        <v>1</v>
      </c>
      <c r="AD2000" s="60" t="b">
        <f>FALSE()</f>
        <v>0</v>
      </c>
      <c r="AE2000" s="60">
        <v>2</v>
      </c>
      <c r="AF2000" s="64">
        <v>28.6</v>
      </c>
      <c r="AG2000" s="60" t="s">
        <v>73</v>
      </c>
      <c r="AH2000" s="60" t="s">
        <v>7330</v>
      </c>
      <c r="AI2000">
        <f>IF(AND(OR(Company_Explorer!$B$5="All Companies",$E2000=Company_Explorer!$B$5),OR(Company_Explorer!$B$6="All Platforms",$B2000=Company_Explorer!$B$6),OR(Company_Explorer!$B$7="All Roles",$D2000=Company_Explorer!$B$7),OR(Company_Explorer!$B$8="All Ghost Labels",$AG2000=Company_Explorer!$B$8)),1,0)</f>
        <v>0</v>
      </c>
    </row>
    <row r="2001" spans="1:35" ht="15" customHeight="1" x14ac:dyDescent="0.3">
      <c r="A2001" s="65" t="s">
        <v>7331</v>
      </c>
      <c r="B2001" s="65" t="s">
        <v>81</v>
      </c>
      <c r="C2001" s="65" t="s">
        <v>7332</v>
      </c>
      <c r="D2001" s="65" t="s">
        <v>126</v>
      </c>
      <c r="E2001" s="65" t="s">
        <v>7333</v>
      </c>
      <c r="F2001" s="65" t="b">
        <f>TRUE()</f>
        <v>1</v>
      </c>
      <c r="G2001" s="65" t="s">
        <v>165</v>
      </c>
      <c r="H2001" s="65" t="s">
        <v>3630</v>
      </c>
      <c r="I2001" s="66">
        <v>46209.431964976902</v>
      </c>
      <c r="J2001" s="66">
        <v>46210.283437500002</v>
      </c>
      <c r="K2001" s="65">
        <v>0.9</v>
      </c>
      <c r="L2001" s="65" t="s">
        <v>183</v>
      </c>
      <c r="M2001" s="65" t="s">
        <v>183</v>
      </c>
      <c r="N2001" s="65" t="b">
        <f>TRUE()</f>
        <v>1</v>
      </c>
      <c r="O2001" s="71">
        <v>1000</v>
      </c>
      <c r="P2001" s="71">
        <v>2000</v>
      </c>
      <c r="Q2001" s="65" t="s">
        <v>3663</v>
      </c>
      <c r="R2001" s="65" t="s">
        <v>3664</v>
      </c>
      <c r="S2001" s="71">
        <v>18000</v>
      </c>
      <c r="T2001" s="65" t="b">
        <f>TRUE()</f>
        <v>1</v>
      </c>
      <c r="U2001" s="65" t="b">
        <f>TRUE()</f>
        <v>1</v>
      </c>
      <c r="V2001" s="65">
        <v>165</v>
      </c>
      <c r="W2001" s="67" t="s">
        <v>7334</v>
      </c>
      <c r="X2001" s="65">
        <v>1</v>
      </c>
      <c r="Y2001" s="68">
        <v>1.75</v>
      </c>
      <c r="Z2001" s="65" t="b">
        <f>FALSE()</f>
        <v>0</v>
      </c>
      <c r="AA2001" s="65" t="b">
        <f>FALSE()</f>
        <v>0</v>
      </c>
      <c r="AB2001" s="65" t="b">
        <f>TRUE()</f>
        <v>1</v>
      </c>
      <c r="AC2001" s="65" t="b">
        <f>TRUE()</f>
        <v>1</v>
      </c>
      <c r="AD2001" s="65" t="b">
        <f>FALSE()</f>
        <v>0</v>
      </c>
      <c r="AE2001" s="65">
        <v>2</v>
      </c>
      <c r="AF2001" s="69">
        <v>28.6</v>
      </c>
      <c r="AG2001" s="65" t="s">
        <v>73</v>
      </c>
      <c r="AH2001" s="65" t="s">
        <v>7335</v>
      </c>
      <c r="AI2001">
        <f>IF(AND(OR(Company_Explorer!$B$5="All Companies",$E2001=Company_Explorer!$B$5),OR(Company_Explorer!$B$6="All Platforms",$B2001=Company_Explorer!$B$6),OR(Company_Explorer!$B$7="All Roles",$D2001=Company_Explorer!$B$7),OR(Company_Explorer!$B$8="All Ghost Labels",$AG2001=Company_Explorer!$B$8)),1,0)</f>
        <v>0</v>
      </c>
    </row>
    <row r="2002" spans="1:35" ht="15" customHeight="1" x14ac:dyDescent="0.3">
      <c r="A2002" s="60" t="s">
        <v>7336</v>
      </c>
      <c r="B2002" s="60" t="s">
        <v>82</v>
      </c>
      <c r="C2002" s="60" t="s">
        <v>7337</v>
      </c>
      <c r="D2002" s="60" t="s">
        <v>126</v>
      </c>
      <c r="E2002" s="60" t="s">
        <v>3013</v>
      </c>
      <c r="F2002" s="60" t="b">
        <f>TRUE()</f>
        <v>1</v>
      </c>
      <c r="G2002" s="60" t="s">
        <v>165</v>
      </c>
      <c r="H2002" s="60" t="s">
        <v>165</v>
      </c>
      <c r="I2002" s="61">
        <v>46203</v>
      </c>
      <c r="J2002" s="61">
        <v>46210.2850169097</v>
      </c>
      <c r="K2002" s="60">
        <v>39</v>
      </c>
      <c r="L2002" s="60" t="s">
        <v>192</v>
      </c>
      <c r="M2002" s="60" t="s">
        <v>183</v>
      </c>
      <c r="N2002" s="60" t="b">
        <f>FALSE()</f>
        <v>0</v>
      </c>
      <c r="O2002" s="60"/>
      <c r="P2002" s="60"/>
      <c r="Q2002" s="60" t="s">
        <v>3663</v>
      </c>
      <c r="R2002" s="60" t="s">
        <v>236</v>
      </c>
      <c r="S2002" s="60"/>
      <c r="T2002" s="60" t="b">
        <f>FALSE()</f>
        <v>0</v>
      </c>
      <c r="U2002" s="60" t="b">
        <f>FALSE()</f>
        <v>0</v>
      </c>
      <c r="V2002" s="60">
        <v>785</v>
      </c>
      <c r="W2002" s="60" t="s">
        <v>3014</v>
      </c>
      <c r="X2002" s="60">
        <v>5</v>
      </c>
      <c r="Y2002" s="63">
        <v>1.21</v>
      </c>
      <c r="Z2002" s="60" t="b">
        <f>FALSE()</f>
        <v>0</v>
      </c>
      <c r="AA2002" s="60" t="b">
        <f>TRUE()</f>
        <v>1</v>
      </c>
      <c r="AB2002" s="60" t="b">
        <f>FALSE()</f>
        <v>0</v>
      </c>
      <c r="AC2002" s="60" t="b">
        <f>FALSE()</f>
        <v>0</v>
      </c>
      <c r="AD2002" s="60" t="b">
        <f>FALSE()</f>
        <v>0</v>
      </c>
      <c r="AE2002" s="60">
        <v>1</v>
      </c>
      <c r="AF2002" s="64">
        <v>14.3</v>
      </c>
      <c r="AG2002" s="60" t="s">
        <v>74</v>
      </c>
      <c r="AH2002" s="60" t="s">
        <v>7338</v>
      </c>
      <c r="AI2002">
        <f>IF(AND(OR(Company_Explorer!$B$5="All Companies",$E2002=Company_Explorer!$B$5),OR(Company_Explorer!$B$6="All Platforms",$B2002=Company_Explorer!$B$6),OR(Company_Explorer!$B$7="All Roles",$D2002=Company_Explorer!$B$7),OR(Company_Explorer!$B$8="All Ghost Labels",$AG2002=Company_Explorer!$B$8)),1,0)</f>
        <v>0</v>
      </c>
    </row>
    <row r="2003" spans="1:35" ht="15" customHeight="1" x14ac:dyDescent="0.3">
      <c r="A2003" s="65" t="s">
        <v>7339</v>
      </c>
      <c r="B2003" s="65" t="s">
        <v>82</v>
      </c>
      <c r="C2003" s="65" t="s">
        <v>7340</v>
      </c>
      <c r="D2003" s="65" t="s">
        <v>126</v>
      </c>
      <c r="E2003" s="65" t="s">
        <v>7341</v>
      </c>
      <c r="F2003" s="65" t="b">
        <f>TRUE()</f>
        <v>1</v>
      </c>
      <c r="G2003" s="65" t="s">
        <v>166</v>
      </c>
      <c r="H2003" s="65" t="s">
        <v>235</v>
      </c>
      <c r="I2003" s="66">
        <v>46196</v>
      </c>
      <c r="J2003" s="66">
        <v>46210.285023854201</v>
      </c>
      <c r="K2003" s="65">
        <v>14</v>
      </c>
      <c r="L2003" s="65" t="s">
        <v>192</v>
      </c>
      <c r="M2003" s="65" t="s">
        <v>183</v>
      </c>
      <c r="N2003" s="65" t="b">
        <f>FALSE()</f>
        <v>0</v>
      </c>
      <c r="O2003" s="65"/>
      <c r="P2003" s="65"/>
      <c r="Q2003" s="65" t="s">
        <v>3663</v>
      </c>
      <c r="R2003" s="65" t="s">
        <v>236</v>
      </c>
      <c r="S2003" s="65"/>
      <c r="T2003" s="65" t="b">
        <f>FALSE()</f>
        <v>0</v>
      </c>
      <c r="U2003" s="65" t="b">
        <f>FALSE()</f>
        <v>0</v>
      </c>
      <c r="V2003" s="65">
        <v>553</v>
      </c>
      <c r="W2003" s="67" t="s">
        <v>7342</v>
      </c>
      <c r="X2003" s="65">
        <v>2</v>
      </c>
      <c r="Y2003" s="68">
        <v>0.48</v>
      </c>
      <c r="Z2003" s="65" t="b">
        <f>FALSE()</f>
        <v>0</v>
      </c>
      <c r="AA2003" s="65" t="b">
        <f>TRUE()</f>
        <v>1</v>
      </c>
      <c r="AB2003" s="65" t="b">
        <f>FALSE()</f>
        <v>0</v>
      </c>
      <c r="AC2003" s="65" t="b">
        <f>FALSE()</f>
        <v>0</v>
      </c>
      <c r="AD2003" s="65" t="b">
        <f>FALSE()</f>
        <v>0</v>
      </c>
      <c r="AE2003" s="65">
        <v>1</v>
      </c>
      <c r="AF2003" s="69">
        <v>14.3</v>
      </c>
      <c r="AG2003" s="65" t="s">
        <v>74</v>
      </c>
      <c r="AH2003" s="65" t="s">
        <v>7343</v>
      </c>
      <c r="AI2003">
        <f>IF(AND(OR(Company_Explorer!$B$5="All Companies",$E2003=Company_Explorer!$B$5),OR(Company_Explorer!$B$6="All Platforms",$B2003=Company_Explorer!$B$6),OR(Company_Explorer!$B$7="All Roles",$D2003=Company_Explorer!$B$7),OR(Company_Explorer!$B$8="All Ghost Labels",$AG2003=Company_Explorer!$B$8)),1,0)</f>
        <v>0</v>
      </c>
    </row>
    <row r="2004" spans="1:35" ht="15" customHeight="1" x14ac:dyDescent="0.3">
      <c r="A2004" s="60" t="s">
        <v>7344</v>
      </c>
      <c r="B2004" s="60" t="s">
        <v>82</v>
      </c>
      <c r="C2004" s="60" t="s">
        <v>7345</v>
      </c>
      <c r="D2004" s="60" t="s">
        <v>126</v>
      </c>
      <c r="E2004" s="60" t="s">
        <v>7346</v>
      </c>
      <c r="F2004" s="60" t="b">
        <f>TRUE()</f>
        <v>1</v>
      </c>
      <c r="G2004" s="60" t="s">
        <v>165</v>
      </c>
      <c r="H2004" s="60" t="s">
        <v>165</v>
      </c>
      <c r="I2004" s="61">
        <v>46196</v>
      </c>
      <c r="J2004" s="61">
        <v>46210.285023969896</v>
      </c>
      <c r="K2004" s="60">
        <v>46</v>
      </c>
      <c r="L2004" s="60" t="s">
        <v>183</v>
      </c>
      <c r="M2004" s="60" t="s">
        <v>183</v>
      </c>
      <c r="N2004" s="60" t="b">
        <f>FALSE()</f>
        <v>0</v>
      </c>
      <c r="O2004" s="60"/>
      <c r="P2004" s="60"/>
      <c r="Q2004" s="60" t="s">
        <v>3663</v>
      </c>
      <c r="R2004" s="60" t="s">
        <v>236</v>
      </c>
      <c r="S2004" s="60"/>
      <c r="T2004" s="60" t="b">
        <f>FALSE()</f>
        <v>0</v>
      </c>
      <c r="U2004" s="60" t="b">
        <f>FALSE()</f>
        <v>0</v>
      </c>
      <c r="V2004" s="60">
        <v>1314</v>
      </c>
      <c r="W2004" s="62" t="s">
        <v>7347</v>
      </c>
      <c r="X2004" s="60">
        <v>10</v>
      </c>
      <c r="Y2004" s="63">
        <v>2.41</v>
      </c>
      <c r="Z2004" s="60" t="b">
        <f>FALSE()</f>
        <v>0</v>
      </c>
      <c r="AA2004" s="60" t="b">
        <f>TRUE()</f>
        <v>1</v>
      </c>
      <c r="AB2004" s="60" t="b">
        <f>FALSE()</f>
        <v>0</v>
      </c>
      <c r="AC2004" s="60" t="b">
        <f>FALSE()</f>
        <v>0</v>
      </c>
      <c r="AD2004" s="60" t="b">
        <f>TRUE()</f>
        <v>1</v>
      </c>
      <c r="AE2004" s="60">
        <v>3</v>
      </c>
      <c r="AF2004" s="64">
        <v>42.9</v>
      </c>
      <c r="AG2004" s="60" t="s">
        <v>73</v>
      </c>
      <c r="AH2004" s="60" t="s">
        <v>7348</v>
      </c>
      <c r="AI2004">
        <f>IF(AND(OR(Company_Explorer!$B$5="All Companies",$E2004=Company_Explorer!$B$5),OR(Company_Explorer!$B$6="All Platforms",$B2004=Company_Explorer!$B$6),OR(Company_Explorer!$B$7="All Roles",$D2004=Company_Explorer!$B$7),OR(Company_Explorer!$B$8="All Ghost Labels",$AG2004=Company_Explorer!$B$8)),1,0)</f>
        <v>0</v>
      </c>
    </row>
    <row r="2005" spans="1:35" ht="15" customHeight="1" x14ac:dyDescent="0.3">
      <c r="A2005" s="65" t="s">
        <v>7349</v>
      </c>
      <c r="B2005" s="65" t="s">
        <v>82</v>
      </c>
      <c r="C2005" s="65" t="s">
        <v>7350</v>
      </c>
      <c r="D2005" s="65" t="s">
        <v>129</v>
      </c>
      <c r="E2005" s="65" t="s">
        <v>3726</v>
      </c>
      <c r="F2005" s="65" t="b">
        <f>FALSE()</f>
        <v>0</v>
      </c>
      <c r="G2005" s="65" t="s">
        <v>165</v>
      </c>
      <c r="H2005" s="65" t="s">
        <v>165</v>
      </c>
      <c r="I2005" s="66">
        <v>46200</v>
      </c>
      <c r="J2005" s="66">
        <v>46210.285032048603</v>
      </c>
      <c r="K2005" s="65">
        <v>41</v>
      </c>
      <c r="L2005" s="65" t="s">
        <v>192</v>
      </c>
      <c r="M2005" s="65" t="s">
        <v>183</v>
      </c>
      <c r="N2005" s="65" t="b">
        <f>TRUE()</f>
        <v>1</v>
      </c>
      <c r="O2005" s="71">
        <v>4000000</v>
      </c>
      <c r="P2005" s="71">
        <v>4000000</v>
      </c>
      <c r="Q2005" s="65" t="s">
        <v>3663</v>
      </c>
      <c r="R2005" s="65" t="s">
        <v>7351</v>
      </c>
      <c r="S2005" s="71">
        <v>4000000</v>
      </c>
      <c r="T2005" s="65" t="b">
        <f>TRUE()</f>
        <v>1</v>
      </c>
      <c r="U2005" s="65" t="b">
        <f>FALSE()</f>
        <v>0</v>
      </c>
      <c r="V2005" s="65">
        <v>311</v>
      </c>
      <c r="W2005" s="67" t="s">
        <v>7352</v>
      </c>
      <c r="X2005" s="65"/>
      <c r="Y2005" s="68"/>
      <c r="Z2005" s="65" t="b">
        <f>TRUE()</f>
        <v>1</v>
      </c>
      <c r="AA2005" s="65" t="b">
        <f>FALSE()</f>
        <v>0</v>
      </c>
      <c r="AB2005" s="65" t="b">
        <f>FALSE()</f>
        <v>0</v>
      </c>
      <c r="AC2005" s="65" t="b">
        <f>FALSE()</f>
        <v>0</v>
      </c>
      <c r="AD2005" s="65" t="b">
        <f>FALSE()</f>
        <v>0</v>
      </c>
      <c r="AE2005" s="65">
        <v>2</v>
      </c>
      <c r="AF2005" s="69">
        <v>28.6</v>
      </c>
      <c r="AG2005" s="65" t="s">
        <v>73</v>
      </c>
      <c r="AH2005" s="65" t="s">
        <v>7353</v>
      </c>
      <c r="AI2005">
        <f>IF(AND(OR(Company_Explorer!$B$5="All Companies",$E2005=Company_Explorer!$B$5),OR(Company_Explorer!$B$6="All Platforms",$B2005=Company_Explorer!$B$6),OR(Company_Explorer!$B$7="All Roles",$D2005=Company_Explorer!$B$7),OR(Company_Explorer!$B$8="All Ghost Labels",$AG2005=Company_Explorer!$B$8)),1,0)</f>
        <v>0</v>
      </c>
    </row>
    <row r="2006" spans="1:35" ht="15" customHeight="1" x14ac:dyDescent="0.3">
      <c r="A2006" s="60" t="s">
        <v>7354</v>
      </c>
      <c r="B2006" s="60" t="s">
        <v>82</v>
      </c>
      <c r="C2006" s="60" t="s">
        <v>7355</v>
      </c>
      <c r="D2006" s="60" t="s">
        <v>128</v>
      </c>
      <c r="E2006" s="60" t="s">
        <v>7356</v>
      </c>
      <c r="F2006" s="60" t="b">
        <f>TRUE()</f>
        <v>1</v>
      </c>
      <c r="G2006" s="60" t="s">
        <v>175</v>
      </c>
      <c r="H2006" s="60" t="s">
        <v>254</v>
      </c>
      <c r="I2006" s="61">
        <v>46210</v>
      </c>
      <c r="J2006" s="61">
        <v>46210.285034178203</v>
      </c>
      <c r="K2006" s="60">
        <v>122</v>
      </c>
      <c r="L2006" s="60" t="s">
        <v>183</v>
      </c>
      <c r="M2006" s="60" t="s">
        <v>183</v>
      </c>
      <c r="N2006" s="60" t="b">
        <f>TRUE()</f>
        <v>1</v>
      </c>
      <c r="O2006" s="70">
        <v>240000</v>
      </c>
      <c r="P2006" s="70">
        <v>620000</v>
      </c>
      <c r="Q2006" s="60" t="s">
        <v>3663</v>
      </c>
      <c r="R2006" s="60" t="s">
        <v>7351</v>
      </c>
      <c r="S2006" s="70">
        <v>430000</v>
      </c>
      <c r="T2006" s="60" t="b">
        <f>TRUE()</f>
        <v>1</v>
      </c>
      <c r="U2006" s="60" t="b">
        <f>FALSE()</f>
        <v>0</v>
      </c>
      <c r="V2006" s="60">
        <v>572</v>
      </c>
      <c r="W2006" s="62" t="s">
        <v>7357</v>
      </c>
      <c r="X2006" s="60">
        <v>2</v>
      </c>
      <c r="Y2006" s="63">
        <v>0.48</v>
      </c>
      <c r="Z2006" s="60" t="b">
        <f>FALSE()</f>
        <v>0</v>
      </c>
      <c r="AA2006" s="60" t="b">
        <f>FALSE()</f>
        <v>0</v>
      </c>
      <c r="AB2006" s="60" t="b">
        <f>FALSE()</f>
        <v>0</v>
      </c>
      <c r="AC2006" s="60" t="b">
        <f>TRUE()</f>
        <v>1</v>
      </c>
      <c r="AD2006" s="60" t="b">
        <f>FALSE()</f>
        <v>0</v>
      </c>
      <c r="AE2006" s="60">
        <v>1</v>
      </c>
      <c r="AF2006" s="64">
        <v>14.3</v>
      </c>
      <c r="AG2006" s="60" t="s">
        <v>74</v>
      </c>
      <c r="AH2006" s="60" t="s">
        <v>7358</v>
      </c>
      <c r="AI2006">
        <f>IF(AND(OR(Company_Explorer!$B$5="All Companies",$E2006=Company_Explorer!$B$5),OR(Company_Explorer!$B$6="All Platforms",$B2006=Company_Explorer!$B$6),OR(Company_Explorer!$B$7="All Roles",$D2006=Company_Explorer!$B$7),OR(Company_Explorer!$B$8="All Ghost Labels",$AG2006=Company_Explorer!$B$8)),1,0)</f>
        <v>0</v>
      </c>
    </row>
    <row r="2007" spans="1:35" ht="15" customHeight="1" x14ac:dyDescent="0.3">
      <c r="A2007" s="65" t="s">
        <v>7359</v>
      </c>
      <c r="B2007" s="65" t="s">
        <v>82</v>
      </c>
      <c r="C2007" s="65" t="s">
        <v>7360</v>
      </c>
      <c r="D2007" s="65" t="s">
        <v>126</v>
      </c>
      <c r="E2007" s="65" t="s">
        <v>7361</v>
      </c>
      <c r="F2007" s="65" t="b">
        <f>TRUE()</f>
        <v>1</v>
      </c>
      <c r="G2007" s="65" t="s">
        <v>166</v>
      </c>
      <c r="H2007" s="65" t="s">
        <v>235</v>
      </c>
      <c r="I2007" s="66">
        <v>46191</v>
      </c>
      <c r="J2007" s="66">
        <v>46210.285035324101</v>
      </c>
      <c r="K2007" s="65">
        <v>19</v>
      </c>
      <c r="L2007" s="65" t="s">
        <v>183</v>
      </c>
      <c r="M2007" s="65" t="s">
        <v>183</v>
      </c>
      <c r="N2007" s="65" t="b">
        <f>TRUE()</f>
        <v>1</v>
      </c>
      <c r="O2007" s="71">
        <v>160000</v>
      </c>
      <c r="P2007" s="71">
        <v>440000</v>
      </c>
      <c r="Q2007" s="65" t="s">
        <v>3663</v>
      </c>
      <c r="R2007" s="65" t="s">
        <v>7351</v>
      </c>
      <c r="S2007" s="71">
        <v>300000</v>
      </c>
      <c r="T2007" s="65" t="b">
        <f>TRUE()</f>
        <v>1</v>
      </c>
      <c r="U2007" s="65" t="b">
        <f>FALSE()</f>
        <v>0</v>
      </c>
      <c r="V2007" s="65">
        <v>763</v>
      </c>
      <c r="W2007" s="67" t="s">
        <v>7362</v>
      </c>
      <c r="X2007" s="65">
        <v>5</v>
      </c>
      <c r="Y2007" s="68">
        <v>1.21</v>
      </c>
      <c r="Z2007" s="65" t="b">
        <f>FALSE()</f>
        <v>0</v>
      </c>
      <c r="AA2007" s="65" t="b">
        <f>FALSE()</f>
        <v>0</v>
      </c>
      <c r="AB2007" s="65" t="b">
        <f>FALSE()</f>
        <v>0</v>
      </c>
      <c r="AC2007" s="65" t="b">
        <f>FALSE()</f>
        <v>0</v>
      </c>
      <c r="AD2007" s="65" t="b">
        <f>FALSE()</f>
        <v>0</v>
      </c>
      <c r="AE2007" s="65">
        <v>0</v>
      </c>
      <c r="AF2007" s="69">
        <v>0</v>
      </c>
      <c r="AG2007" s="65" t="s">
        <v>74</v>
      </c>
      <c r="AH2007" s="65" t="s">
        <v>7363</v>
      </c>
      <c r="AI2007">
        <f>IF(AND(OR(Company_Explorer!$B$5="All Companies",$E2007=Company_Explorer!$B$5),OR(Company_Explorer!$B$6="All Platforms",$B2007=Company_Explorer!$B$6),OR(Company_Explorer!$B$7="All Roles",$D2007=Company_Explorer!$B$7),OR(Company_Explorer!$B$8="All Ghost Labels",$AG2007=Company_Explorer!$B$8)),1,0)</f>
        <v>0</v>
      </c>
    </row>
    <row r="2008" spans="1:35" ht="15" customHeight="1" x14ac:dyDescent="0.3">
      <c r="A2008" s="60" t="s">
        <v>7364</v>
      </c>
      <c r="B2008" s="60" t="s">
        <v>82</v>
      </c>
      <c r="C2008" s="60" t="s">
        <v>2096</v>
      </c>
      <c r="D2008" s="60" t="s">
        <v>125</v>
      </c>
      <c r="E2008" s="60" t="s">
        <v>7365</v>
      </c>
      <c r="F2008" s="60" t="b">
        <f>TRUE()</f>
        <v>1</v>
      </c>
      <c r="G2008" s="60" t="s">
        <v>165</v>
      </c>
      <c r="H2008" s="60" t="s">
        <v>165</v>
      </c>
      <c r="I2008" s="61">
        <v>46195</v>
      </c>
      <c r="J2008" s="61">
        <v>46210.285036006899</v>
      </c>
      <c r="K2008" s="60">
        <v>46</v>
      </c>
      <c r="L2008" s="60" t="s">
        <v>183</v>
      </c>
      <c r="M2008" s="60" t="s">
        <v>183</v>
      </c>
      <c r="N2008" s="60" t="b">
        <f>FALSE()</f>
        <v>0</v>
      </c>
      <c r="O2008" s="60"/>
      <c r="P2008" s="60"/>
      <c r="Q2008" s="60" t="s">
        <v>3663</v>
      </c>
      <c r="R2008" s="60" t="s">
        <v>236</v>
      </c>
      <c r="S2008" s="60"/>
      <c r="T2008" s="60" t="b">
        <f>FALSE()</f>
        <v>0</v>
      </c>
      <c r="U2008" s="60" t="b">
        <f>FALSE()</f>
        <v>0</v>
      </c>
      <c r="V2008" s="60">
        <v>651</v>
      </c>
      <c r="W2008" s="60" t="s">
        <v>7366</v>
      </c>
      <c r="X2008" s="60">
        <v>2</v>
      </c>
      <c r="Y2008" s="63">
        <v>0.48</v>
      </c>
      <c r="Z2008" s="60" t="b">
        <f>FALSE()</f>
        <v>0</v>
      </c>
      <c r="AA2008" s="60" t="b">
        <f>TRUE()</f>
        <v>1</v>
      </c>
      <c r="AB2008" s="60" t="b">
        <f>FALSE()</f>
        <v>0</v>
      </c>
      <c r="AC2008" s="60" t="b">
        <f>FALSE()</f>
        <v>0</v>
      </c>
      <c r="AD2008" s="60" t="b">
        <f>FALSE()</f>
        <v>0</v>
      </c>
      <c r="AE2008" s="60">
        <v>1</v>
      </c>
      <c r="AF2008" s="64">
        <v>14.3</v>
      </c>
      <c r="AG2008" s="60" t="s">
        <v>74</v>
      </c>
      <c r="AH2008" s="60" t="s">
        <v>7367</v>
      </c>
      <c r="AI2008">
        <f>IF(AND(OR(Company_Explorer!$B$5="All Companies",$E2008=Company_Explorer!$B$5),OR(Company_Explorer!$B$6="All Platforms",$B2008=Company_Explorer!$B$6),OR(Company_Explorer!$B$7="All Roles",$D2008=Company_Explorer!$B$7),OR(Company_Explorer!$B$8="All Ghost Labels",$AG2008=Company_Explorer!$B$8)),1,0)</f>
        <v>0</v>
      </c>
    </row>
    <row r="2009" spans="1:35" ht="15" customHeight="1" x14ac:dyDescent="0.3">
      <c r="A2009" s="65" t="s">
        <v>7368</v>
      </c>
      <c r="B2009" s="65" t="s">
        <v>82</v>
      </c>
      <c r="C2009" s="65" t="s">
        <v>1811</v>
      </c>
      <c r="D2009" s="65" t="s">
        <v>125</v>
      </c>
      <c r="E2009" s="65" t="s">
        <v>7369</v>
      </c>
      <c r="F2009" s="65" t="b">
        <f>TRUE()</f>
        <v>1</v>
      </c>
      <c r="G2009" s="65" t="s">
        <v>165</v>
      </c>
      <c r="H2009" s="65" t="s">
        <v>165</v>
      </c>
      <c r="I2009" s="66">
        <v>46189</v>
      </c>
      <c r="J2009" s="66">
        <v>46210.285036886598</v>
      </c>
      <c r="K2009" s="65">
        <v>83</v>
      </c>
      <c r="L2009" s="65" t="s">
        <v>192</v>
      </c>
      <c r="M2009" s="65" t="s">
        <v>183</v>
      </c>
      <c r="N2009" s="65" t="b">
        <f>FALSE()</f>
        <v>0</v>
      </c>
      <c r="O2009" s="65"/>
      <c r="P2009" s="65"/>
      <c r="Q2009" s="65" t="s">
        <v>3663</v>
      </c>
      <c r="R2009" s="65" t="s">
        <v>236</v>
      </c>
      <c r="S2009" s="65"/>
      <c r="T2009" s="65" t="b">
        <f>FALSE()</f>
        <v>0</v>
      </c>
      <c r="U2009" s="65" t="b">
        <f>FALSE()</f>
        <v>0</v>
      </c>
      <c r="V2009" s="65">
        <v>631</v>
      </c>
      <c r="W2009" s="67" t="s">
        <v>7370</v>
      </c>
      <c r="X2009" s="65">
        <v>6</v>
      </c>
      <c r="Y2009" s="68">
        <v>1.45</v>
      </c>
      <c r="Z2009" s="65" t="b">
        <f>FALSE()</f>
        <v>0</v>
      </c>
      <c r="AA2009" s="65" t="b">
        <f>TRUE()</f>
        <v>1</v>
      </c>
      <c r="AB2009" s="65" t="b">
        <f>FALSE()</f>
        <v>0</v>
      </c>
      <c r="AC2009" s="65" t="b">
        <f>FALSE()</f>
        <v>0</v>
      </c>
      <c r="AD2009" s="65" t="b">
        <f>FALSE()</f>
        <v>0</v>
      </c>
      <c r="AE2009" s="65">
        <v>1</v>
      </c>
      <c r="AF2009" s="69">
        <v>14.3</v>
      </c>
      <c r="AG2009" s="65" t="s">
        <v>74</v>
      </c>
      <c r="AH2009" s="65" t="s">
        <v>7371</v>
      </c>
      <c r="AI2009">
        <f>IF(AND(OR(Company_Explorer!$B$5="All Companies",$E2009=Company_Explorer!$B$5),OR(Company_Explorer!$B$6="All Platforms",$B2009=Company_Explorer!$B$6),OR(Company_Explorer!$B$7="All Roles",$D2009=Company_Explorer!$B$7),OR(Company_Explorer!$B$8="All Ghost Labels",$AG2009=Company_Explorer!$B$8)),1,0)</f>
        <v>0</v>
      </c>
    </row>
    <row r="2010" spans="1:35" ht="15" customHeight="1" x14ac:dyDescent="0.3">
      <c r="A2010" s="60" t="s">
        <v>7372</v>
      </c>
      <c r="B2010" s="60" t="s">
        <v>82</v>
      </c>
      <c r="C2010" s="60" t="s">
        <v>7373</v>
      </c>
      <c r="D2010" s="60" t="s">
        <v>126</v>
      </c>
      <c r="E2010" s="60" t="s">
        <v>7374</v>
      </c>
      <c r="F2010" s="60" t="b">
        <f>TRUE()</f>
        <v>1</v>
      </c>
      <c r="G2010" s="60" t="s">
        <v>165</v>
      </c>
      <c r="H2010" s="60" t="s">
        <v>165</v>
      </c>
      <c r="I2010" s="61">
        <v>46199</v>
      </c>
      <c r="J2010" s="61">
        <v>46210.2850386227</v>
      </c>
      <c r="K2010" s="60">
        <v>11</v>
      </c>
      <c r="L2010" s="60" t="s">
        <v>192</v>
      </c>
      <c r="M2010" s="60" t="s">
        <v>183</v>
      </c>
      <c r="N2010" s="60" t="b">
        <f>FALSE()</f>
        <v>0</v>
      </c>
      <c r="O2010" s="60"/>
      <c r="P2010" s="60"/>
      <c r="Q2010" s="60" t="s">
        <v>3663</v>
      </c>
      <c r="R2010" s="60" t="s">
        <v>236</v>
      </c>
      <c r="S2010" s="60"/>
      <c r="T2010" s="60" t="b">
        <f>FALSE()</f>
        <v>0</v>
      </c>
      <c r="U2010" s="60" t="b">
        <f>FALSE()</f>
        <v>0</v>
      </c>
      <c r="V2010" s="60">
        <v>398</v>
      </c>
      <c r="W2010" s="62" t="s">
        <v>7375</v>
      </c>
      <c r="X2010" s="60">
        <v>1</v>
      </c>
      <c r="Y2010" s="63">
        <v>0.24</v>
      </c>
      <c r="Z2010" s="60" t="b">
        <f>FALSE()</f>
        <v>0</v>
      </c>
      <c r="AA2010" s="60" t="b">
        <f>TRUE()</f>
        <v>1</v>
      </c>
      <c r="AB2010" s="60" t="b">
        <f>FALSE()</f>
        <v>0</v>
      </c>
      <c r="AC2010" s="60" t="b">
        <f>FALSE()</f>
        <v>0</v>
      </c>
      <c r="AD2010" s="60" t="b">
        <f>FALSE()</f>
        <v>0</v>
      </c>
      <c r="AE2010" s="60">
        <v>1</v>
      </c>
      <c r="AF2010" s="64">
        <v>14.3</v>
      </c>
      <c r="AG2010" s="60" t="s">
        <v>74</v>
      </c>
      <c r="AH2010" s="60" t="s">
        <v>7376</v>
      </c>
      <c r="AI2010">
        <f>IF(AND(OR(Company_Explorer!$B$5="All Companies",$E2010=Company_Explorer!$B$5),OR(Company_Explorer!$B$6="All Platforms",$B2010=Company_Explorer!$B$6),OR(Company_Explorer!$B$7="All Roles",$D2010=Company_Explorer!$B$7),OR(Company_Explorer!$B$8="All Ghost Labels",$AG2010=Company_Explorer!$B$8)),1,0)</f>
        <v>0</v>
      </c>
    </row>
    <row r="2011" spans="1:35" ht="15" customHeight="1" x14ac:dyDescent="0.3">
      <c r="A2011" s="65" t="s">
        <v>7377</v>
      </c>
      <c r="B2011" s="65" t="s">
        <v>82</v>
      </c>
      <c r="C2011" s="65" t="s">
        <v>7378</v>
      </c>
      <c r="D2011" s="65" t="s">
        <v>128</v>
      </c>
      <c r="E2011" s="65" t="s">
        <v>7379</v>
      </c>
      <c r="F2011" s="65" t="b">
        <f>TRUE()</f>
        <v>1</v>
      </c>
      <c r="G2011" s="65" t="s">
        <v>165</v>
      </c>
      <c r="H2011" s="65" t="s">
        <v>165</v>
      </c>
      <c r="I2011" s="66">
        <v>46201</v>
      </c>
      <c r="J2011" s="66">
        <v>46210.285045705998</v>
      </c>
      <c r="K2011" s="65">
        <v>130</v>
      </c>
      <c r="L2011" s="65" t="s">
        <v>192</v>
      </c>
      <c r="M2011" s="65" t="s">
        <v>183</v>
      </c>
      <c r="N2011" s="65" t="b">
        <f>FALSE()</f>
        <v>0</v>
      </c>
      <c r="O2011" s="65"/>
      <c r="P2011" s="65"/>
      <c r="Q2011" s="65" t="s">
        <v>3663</v>
      </c>
      <c r="R2011" s="65" t="s">
        <v>236</v>
      </c>
      <c r="S2011" s="65"/>
      <c r="T2011" s="65" t="b">
        <f>FALSE()</f>
        <v>0</v>
      </c>
      <c r="U2011" s="65" t="b">
        <f>FALSE()</f>
        <v>0</v>
      </c>
      <c r="V2011" s="65">
        <v>254</v>
      </c>
      <c r="W2011" s="67" t="s">
        <v>7380</v>
      </c>
      <c r="X2011" s="65">
        <v>1</v>
      </c>
      <c r="Y2011" s="68">
        <v>0.24</v>
      </c>
      <c r="Z2011" s="65" t="b">
        <f>FALSE()</f>
        <v>0</v>
      </c>
      <c r="AA2011" s="65" t="b">
        <f>TRUE()</f>
        <v>1</v>
      </c>
      <c r="AB2011" s="65" t="b">
        <f>FALSE()</f>
        <v>0</v>
      </c>
      <c r="AC2011" s="65" t="b">
        <f>TRUE()</f>
        <v>1</v>
      </c>
      <c r="AD2011" s="65" t="b">
        <f>FALSE()</f>
        <v>0</v>
      </c>
      <c r="AE2011" s="65">
        <v>2</v>
      </c>
      <c r="AF2011" s="69">
        <v>28.6</v>
      </c>
      <c r="AG2011" s="65" t="s">
        <v>73</v>
      </c>
      <c r="AH2011" s="65" t="s">
        <v>7381</v>
      </c>
      <c r="AI2011">
        <f>IF(AND(OR(Company_Explorer!$B$5="All Companies",$E2011=Company_Explorer!$B$5),OR(Company_Explorer!$B$6="All Platforms",$B2011=Company_Explorer!$B$6),OR(Company_Explorer!$B$7="All Roles",$D2011=Company_Explorer!$B$7),OR(Company_Explorer!$B$8="All Ghost Labels",$AG2011=Company_Explorer!$B$8)),1,0)</f>
        <v>0</v>
      </c>
    </row>
    <row r="2012" spans="1:35" ht="15" customHeight="1" x14ac:dyDescent="0.3">
      <c r="A2012" s="60" t="s">
        <v>7382</v>
      </c>
      <c r="B2012" s="60" t="s">
        <v>82</v>
      </c>
      <c r="C2012" s="60" t="s">
        <v>7383</v>
      </c>
      <c r="D2012" s="60" t="s">
        <v>127</v>
      </c>
      <c r="E2012" s="60" t="s">
        <v>7384</v>
      </c>
      <c r="F2012" s="60" t="b">
        <f>TRUE()</f>
        <v>1</v>
      </c>
      <c r="G2012" s="60" t="s">
        <v>167</v>
      </c>
      <c r="H2012" s="60" t="s">
        <v>276</v>
      </c>
      <c r="I2012" s="61">
        <v>46205</v>
      </c>
      <c r="J2012" s="61">
        <v>46210.285048680598</v>
      </c>
      <c r="K2012" s="60">
        <v>5</v>
      </c>
      <c r="L2012" s="60" t="s">
        <v>192</v>
      </c>
      <c r="M2012" s="60" t="s">
        <v>183</v>
      </c>
      <c r="N2012" s="60" t="b">
        <f>TRUE()</f>
        <v>1</v>
      </c>
      <c r="O2012" s="70">
        <v>432500</v>
      </c>
      <c r="P2012" s="70">
        <v>970000</v>
      </c>
      <c r="Q2012" s="60" t="s">
        <v>3663</v>
      </c>
      <c r="R2012" s="60" t="s">
        <v>7351</v>
      </c>
      <c r="S2012" s="70">
        <v>701250</v>
      </c>
      <c r="T2012" s="60" t="b">
        <f>TRUE()</f>
        <v>1</v>
      </c>
      <c r="U2012" s="60" t="b">
        <f>FALSE()</f>
        <v>0</v>
      </c>
      <c r="V2012" s="60">
        <v>548</v>
      </c>
      <c r="W2012" s="62" t="s">
        <v>7385</v>
      </c>
      <c r="X2012" s="60">
        <v>1</v>
      </c>
      <c r="Y2012" s="63">
        <v>0.24</v>
      </c>
      <c r="Z2012" s="60" t="b">
        <f>FALSE()</f>
        <v>0</v>
      </c>
      <c r="AA2012" s="60" t="b">
        <f>FALSE()</f>
        <v>0</v>
      </c>
      <c r="AB2012" s="60" t="b">
        <f>FALSE()</f>
        <v>0</v>
      </c>
      <c r="AC2012" s="60" t="b">
        <f>FALSE()</f>
        <v>0</v>
      </c>
      <c r="AD2012" s="60" t="b">
        <f>FALSE()</f>
        <v>0</v>
      </c>
      <c r="AE2012" s="60">
        <v>0</v>
      </c>
      <c r="AF2012" s="64">
        <v>0</v>
      </c>
      <c r="AG2012" s="60" t="s">
        <v>74</v>
      </c>
      <c r="AH2012" s="60" t="s">
        <v>7386</v>
      </c>
      <c r="AI2012">
        <f>IF(AND(OR(Company_Explorer!$B$5="All Companies",$E2012=Company_Explorer!$B$5),OR(Company_Explorer!$B$6="All Platforms",$B2012=Company_Explorer!$B$6),OR(Company_Explorer!$B$7="All Roles",$D2012=Company_Explorer!$B$7),OR(Company_Explorer!$B$8="All Ghost Labels",$AG2012=Company_Explorer!$B$8)),1,0)</f>
        <v>0</v>
      </c>
    </row>
    <row r="2013" spans="1:35" ht="15" customHeight="1" x14ac:dyDescent="0.3">
      <c r="A2013" s="65" t="s">
        <v>7387</v>
      </c>
      <c r="B2013" s="65" t="s">
        <v>82</v>
      </c>
      <c r="C2013" s="65" t="s">
        <v>7388</v>
      </c>
      <c r="D2013" s="65" t="s">
        <v>126</v>
      </c>
      <c r="E2013" s="65" t="s">
        <v>7389</v>
      </c>
      <c r="F2013" s="65" t="b">
        <f>TRUE()</f>
        <v>1</v>
      </c>
      <c r="G2013" s="65" t="s">
        <v>165</v>
      </c>
      <c r="H2013" s="65" t="s">
        <v>165</v>
      </c>
      <c r="I2013" s="66">
        <v>46189</v>
      </c>
      <c r="J2013" s="66">
        <v>46210.285052303203</v>
      </c>
      <c r="K2013" s="65">
        <v>21</v>
      </c>
      <c r="L2013" s="65" t="s">
        <v>183</v>
      </c>
      <c r="M2013" s="65" t="s">
        <v>183</v>
      </c>
      <c r="N2013" s="65" t="b">
        <f>FALSE()</f>
        <v>0</v>
      </c>
      <c r="O2013" s="65"/>
      <c r="P2013" s="65"/>
      <c r="Q2013" s="65" t="s">
        <v>3663</v>
      </c>
      <c r="R2013" s="65" t="s">
        <v>236</v>
      </c>
      <c r="S2013" s="65"/>
      <c r="T2013" s="65" t="b">
        <f>FALSE()</f>
        <v>0</v>
      </c>
      <c r="U2013" s="65" t="b">
        <f>FALSE()</f>
        <v>0</v>
      </c>
      <c r="V2013" s="65">
        <v>618</v>
      </c>
      <c r="W2013" s="67" t="s">
        <v>7390</v>
      </c>
      <c r="X2013" s="65">
        <v>1</v>
      </c>
      <c r="Y2013" s="68">
        <v>0.24</v>
      </c>
      <c r="Z2013" s="65" t="b">
        <f>FALSE()</f>
        <v>0</v>
      </c>
      <c r="AA2013" s="65" t="b">
        <f>TRUE()</f>
        <v>1</v>
      </c>
      <c r="AB2013" s="65" t="b">
        <f>FALSE()</f>
        <v>0</v>
      </c>
      <c r="AC2013" s="65" t="b">
        <f>FALSE()</f>
        <v>0</v>
      </c>
      <c r="AD2013" s="65" t="b">
        <f>FALSE()</f>
        <v>0</v>
      </c>
      <c r="AE2013" s="65">
        <v>1</v>
      </c>
      <c r="AF2013" s="69">
        <v>14.3</v>
      </c>
      <c r="AG2013" s="65" t="s">
        <v>74</v>
      </c>
      <c r="AH2013" s="65" t="s">
        <v>7391</v>
      </c>
      <c r="AI2013">
        <f>IF(AND(OR(Company_Explorer!$B$5="All Companies",$E2013=Company_Explorer!$B$5),OR(Company_Explorer!$B$6="All Platforms",$B2013=Company_Explorer!$B$6),OR(Company_Explorer!$B$7="All Roles",$D2013=Company_Explorer!$B$7),OR(Company_Explorer!$B$8="All Ghost Labels",$AG2013=Company_Explorer!$B$8)),1,0)</f>
        <v>0</v>
      </c>
    </row>
    <row r="2014" spans="1:35" ht="15" customHeight="1" x14ac:dyDescent="0.3">
      <c r="A2014" s="60" t="s">
        <v>7392</v>
      </c>
      <c r="B2014" s="60" t="s">
        <v>82</v>
      </c>
      <c r="C2014" s="60" t="s">
        <v>7393</v>
      </c>
      <c r="D2014" s="60" t="s">
        <v>127</v>
      </c>
      <c r="E2014" s="60" t="s">
        <v>7394</v>
      </c>
      <c r="F2014" s="60" t="b">
        <f>TRUE()</f>
        <v>1</v>
      </c>
      <c r="G2014" s="60" t="s">
        <v>165</v>
      </c>
      <c r="H2014" s="60" t="s">
        <v>165</v>
      </c>
      <c r="I2014" s="61">
        <v>46209</v>
      </c>
      <c r="J2014" s="61">
        <v>46210.285052627303</v>
      </c>
      <c r="K2014" s="60">
        <v>31</v>
      </c>
      <c r="L2014" s="60" t="s">
        <v>192</v>
      </c>
      <c r="M2014" s="60" t="s">
        <v>183</v>
      </c>
      <c r="N2014" s="60" t="b">
        <f>FALSE()</f>
        <v>0</v>
      </c>
      <c r="O2014" s="60"/>
      <c r="P2014" s="60"/>
      <c r="Q2014" s="60" t="s">
        <v>3663</v>
      </c>
      <c r="R2014" s="60" t="s">
        <v>236</v>
      </c>
      <c r="S2014" s="60"/>
      <c r="T2014" s="60" t="b">
        <f>FALSE()</f>
        <v>0</v>
      </c>
      <c r="U2014" s="60" t="b">
        <f>FALSE()</f>
        <v>0</v>
      </c>
      <c r="V2014" s="60">
        <v>313</v>
      </c>
      <c r="W2014" s="62" t="s">
        <v>7395</v>
      </c>
      <c r="X2014" s="60">
        <v>1</v>
      </c>
      <c r="Y2014" s="63">
        <v>0.24</v>
      </c>
      <c r="Z2014" s="60" t="b">
        <f>FALSE()</f>
        <v>0</v>
      </c>
      <c r="AA2014" s="60" t="b">
        <f>TRUE()</f>
        <v>1</v>
      </c>
      <c r="AB2014" s="60" t="b">
        <f>FALSE()</f>
        <v>0</v>
      </c>
      <c r="AC2014" s="60" t="b">
        <f>FALSE()</f>
        <v>0</v>
      </c>
      <c r="AD2014" s="60" t="b">
        <f>FALSE()</f>
        <v>0</v>
      </c>
      <c r="AE2014" s="60">
        <v>1</v>
      </c>
      <c r="AF2014" s="64">
        <v>14.3</v>
      </c>
      <c r="AG2014" s="60" t="s">
        <v>74</v>
      </c>
      <c r="AH2014" s="60" t="s">
        <v>7396</v>
      </c>
      <c r="AI2014">
        <f>IF(AND(OR(Company_Explorer!$B$5="All Companies",$E2014=Company_Explorer!$B$5),OR(Company_Explorer!$B$6="All Platforms",$B2014=Company_Explorer!$B$6),OR(Company_Explorer!$B$7="All Roles",$D2014=Company_Explorer!$B$7),OR(Company_Explorer!$B$8="All Ghost Labels",$AG2014=Company_Explorer!$B$8)),1,0)</f>
        <v>0</v>
      </c>
    </row>
    <row r="2015" spans="1:35" ht="15" customHeight="1" x14ac:dyDescent="0.3">
      <c r="A2015" s="65" t="s">
        <v>7397</v>
      </c>
      <c r="B2015" s="65" t="s">
        <v>82</v>
      </c>
      <c r="C2015" s="65" t="s">
        <v>7398</v>
      </c>
      <c r="D2015" s="65" t="s">
        <v>126</v>
      </c>
      <c r="E2015" s="65" t="s">
        <v>7399</v>
      </c>
      <c r="F2015" s="65" t="b">
        <f>TRUE()</f>
        <v>1</v>
      </c>
      <c r="G2015" s="65" t="s">
        <v>165</v>
      </c>
      <c r="H2015" s="65" t="s">
        <v>165</v>
      </c>
      <c r="I2015" s="66">
        <v>46199</v>
      </c>
      <c r="J2015" s="66">
        <v>46210.285053263899</v>
      </c>
      <c r="K2015" s="65">
        <v>42</v>
      </c>
      <c r="L2015" s="65" t="s">
        <v>192</v>
      </c>
      <c r="M2015" s="65" t="s">
        <v>183</v>
      </c>
      <c r="N2015" s="65" t="b">
        <f>FALSE()</f>
        <v>0</v>
      </c>
      <c r="O2015" s="65"/>
      <c r="P2015" s="65"/>
      <c r="Q2015" s="65" t="s">
        <v>3663</v>
      </c>
      <c r="R2015" s="65" t="s">
        <v>236</v>
      </c>
      <c r="S2015" s="65"/>
      <c r="T2015" s="65" t="b">
        <f>FALSE()</f>
        <v>0</v>
      </c>
      <c r="U2015" s="65" t="b">
        <f>FALSE()</f>
        <v>0</v>
      </c>
      <c r="V2015" s="65">
        <v>942</v>
      </c>
      <c r="W2015" s="67" t="s">
        <v>7400</v>
      </c>
      <c r="X2015" s="65">
        <v>1</v>
      </c>
      <c r="Y2015" s="68">
        <v>0.24</v>
      </c>
      <c r="Z2015" s="65" t="b">
        <f>FALSE()</f>
        <v>0</v>
      </c>
      <c r="AA2015" s="65" t="b">
        <f>TRUE()</f>
        <v>1</v>
      </c>
      <c r="AB2015" s="65" t="b">
        <f>FALSE()</f>
        <v>0</v>
      </c>
      <c r="AC2015" s="65" t="b">
        <f>FALSE()</f>
        <v>0</v>
      </c>
      <c r="AD2015" s="65" t="b">
        <f>FALSE()</f>
        <v>0</v>
      </c>
      <c r="AE2015" s="65">
        <v>1</v>
      </c>
      <c r="AF2015" s="69">
        <v>14.3</v>
      </c>
      <c r="AG2015" s="65" t="s">
        <v>74</v>
      </c>
      <c r="AH2015" s="65" t="s">
        <v>7401</v>
      </c>
      <c r="AI2015">
        <f>IF(AND(OR(Company_Explorer!$B$5="All Companies",$E2015=Company_Explorer!$B$5),OR(Company_Explorer!$B$6="All Platforms",$B2015=Company_Explorer!$B$6),OR(Company_Explorer!$B$7="All Roles",$D2015=Company_Explorer!$B$7),OR(Company_Explorer!$B$8="All Ghost Labels",$AG2015=Company_Explorer!$B$8)),1,0)</f>
        <v>0</v>
      </c>
    </row>
    <row r="2016" spans="1:35" ht="15" customHeight="1" x14ac:dyDescent="0.3">
      <c r="A2016" s="60" t="s">
        <v>7402</v>
      </c>
      <c r="B2016" s="60" t="s">
        <v>82</v>
      </c>
      <c r="C2016" s="60" t="s">
        <v>7403</v>
      </c>
      <c r="D2016" s="60" t="s">
        <v>127</v>
      </c>
      <c r="E2016" s="60" t="s">
        <v>151</v>
      </c>
      <c r="F2016" s="60" t="b">
        <f>TRUE()</f>
        <v>1</v>
      </c>
      <c r="G2016" s="60" t="s">
        <v>166</v>
      </c>
      <c r="H2016" s="60" t="s">
        <v>235</v>
      </c>
      <c r="I2016" s="61">
        <v>46182</v>
      </c>
      <c r="J2016" s="61">
        <v>46210.285057916699</v>
      </c>
      <c r="K2016" s="60">
        <v>28</v>
      </c>
      <c r="L2016" s="60" t="s">
        <v>192</v>
      </c>
      <c r="M2016" s="60" t="s">
        <v>183</v>
      </c>
      <c r="N2016" s="60" t="b">
        <f>TRUE()</f>
        <v>1</v>
      </c>
      <c r="O2016" s="70">
        <v>336000</v>
      </c>
      <c r="P2016" s="70">
        <v>931000</v>
      </c>
      <c r="Q2016" s="60" t="s">
        <v>3663</v>
      </c>
      <c r="R2016" s="60" t="s">
        <v>7351</v>
      </c>
      <c r="S2016" s="70">
        <v>633500</v>
      </c>
      <c r="T2016" s="60" t="b">
        <f>TRUE()</f>
        <v>1</v>
      </c>
      <c r="U2016" s="60" t="b">
        <f>FALSE()</f>
        <v>0</v>
      </c>
      <c r="V2016" s="60">
        <v>906</v>
      </c>
      <c r="W2016" s="62" t="s">
        <v>7404</v>
      </c>
      <c r="X2016" s="60">
        <v>17</v>
      </c>
      <c r="Y2016" s="63">
        <v>4.0999999999999996</v>
      </c>
      <c r="Z2016" s="60" t="b">
        <f>FALSE()</f>
        <v>0</v>
      </c>
      <c r="AA2016" s="60" t="b">
        <f>FALSE()</f>
        <v>0</v>
      </c>
      <c r="AB2016" s="60" t="b">
        <f>FALSE()</f>
        <v>0</v>
      </c>
      <c r="AC2016" s="60" t="b">
        <f>FALSE()</f>
        <v>0</v>
      </c>
      <c r="AD2016" s="60" t="b">
        <f>TRUE()</f>
        <v>1</v>
      </c>
      <c r="AE2016" s="60">
        <v>2</v>
      </c>
      <c r="AF2016" s="64">
        <v>28.6</v>
      </c>
      <c r="AG2016" s="60" t="s">
        <v>73</v>
      </c>
      <c r="AH2016" s="60" t="s">
        <v>7405</v>
      </c>
      <c r="AI2016">
        <f>IF(AND(OR(Company_Explorer!$B$5="All Companies",$E2016=Company_Explorer!$B$5),OR(Company_Explorer!$B$6="All Platforms",$B2016=Company_Explorer!$B$6),OR(Company_Explorer!$B$7="All Roles",$D2016=Company_Explorer!$B$7),OR(Company_Explorer!$B$8="All Ghost Labels",$AG2016=Company_Explorer!$B$8)),1,0)</f>
        <v>0</v>
      </c>
    </row>
    <row r="2017" spans="1:35" ht="15" customHeight="1" x14ac:dyDescent="0.3">
      <c r="A2017" s="65" t="s">
        <v>7406</v>
      </c>
      <c r="B2017" s="65" t="s">
        <v>82</v>
      </c>
      <c r="C2017" s="65" t="s">
        <v>7407</v>
      </c>
      <c r="D2017" s="65" t="s">
        <v>127</v>
      </c>
      <c r="E2017" s="65" t="s">
        <v>7408</v>
      </c>
      <c r="F2017" s="65" t="b">
        <f>TRUE()</f>
        <v>1</v>
      </c>
      <c r="G2017" s="65" t="s">
        <v>165</v>
      </c>
      <c r="H2017" s="65" t="s">
        <v>165</v>
      </c>
      <c r="I2017" s="66">
        <v>46211</v>
      </c>
      <c r="J2017" s="66">
        <v>46210.285057569497</v>
      </c>
      <c r="K2017" s="65">
        <v>122</v>
      </c>
      <c r="L2017" s="65" t="s">
        <v>192</v>
      </c>
      <c r="M2017" s="65" t="s">
        <v>183</v>
      </c>
      <c r="N2017" s="65" t="b">
        <f>FALSE()</f>
        <v>0</v>
      </c>
      <c r="O2017" s="65"/>
      <c r="P2017" s="65"/>
      <c r="Q2017" s="65" t="s">
        <v>3663</v>
      </c>
      <c r="R2017" s="65" t="s">
        <v>236</v>
      </c>
      <c r="S2017" s="65"/>
      <c r="T2017" s="65" t="b">
        <f>FALSE()</f>
        <v>0</v>
      </c>
      <c r="U2017" s="65" t="b">
        <f>FALSE()</f>
        <v>0</v>
      </c>
      <c r="V2017" s="65">
        <v>63</v>
      </c>
      <c r="W2017" s="67" t="s">
        <v>7409</v>
      </c>
      <c r="X2017" s="65">
        <v>1</v>
      </c>
      <c r="Y2017" s="68">
        <v>0.24</v>
      </c>
      <c r="Z2017" s="65" t="b">
        <f>FALSE()</f>
        <v>0</v>
      </c>
      <c r="AA2017" s="65" t="b">
        <f>TRUE()</f>
        <v>1</v>
      </c>
      <c r="AB2017" s="65" t="b">
        <f>TRUE()</f>
        <v>1</v>
      </c>
      <c r="AC2017" s="65" t="b">
        <f>TRUE()</f>
        <v>1</v>
      </c>
      <c r="AD2017" s="65" t="b">
        <f>FALSE()</f>
        <v>0</v>
      </c>
      <c r="AE2017" s="65">
        <v>3</v>
      </c>
      <c r="AF2017" s="69">
        <v>42.9</v>
      </c>
      <c r="AG2017" s="65" t="s">
        <v>73</v>
      </c>
      <c r="AH2017" s="65" t="s">
        <v>7410</v>
      </c>
      <c r="AI2017">
        <f>IF(AND(OR(Company_Explorer!$B$5="All Companies",$E2017=Company_Explorer!$B$5),OR(Company_Explorer!$B$6="All Platforms",$B2017=Company_Explorer!$B$6),OR(Company_Explorer!$B$7="All Roles",$D2017=Company_Explorer!$B$7),OR(Company_Explorer!$B$8="All Ghost Labels",$AG2017=Company_Explorer!$B$8)),1,0)</f>
        <v>0</v>
      </c>
    </row>
    <row r="2018" spans="1:35" ht="15" customHeight="1" x14ac:dyDescent="0.3">
      <c r="A2018" s="60" t="s">
        <v>7411</v>
      </c>
      <c r="B2018" s="60" t="s">
        <v>82</v>
      </c>
      <c r="C2018" s="60" t="s">
        <v>7412</v>
      </c>
      <c r="D2018" s="60" t="s">
        <v>126</v>
      </c>
      <c r="E2018" s="60" t="s">
        <v>7413</v>
      </c>
      <c r="F2018" s="60" t="b">
        <f>TRUE()</f>
        <v>1</v>
      </c>
      <c r="G2018" s="60" t="s">
        <v>166</v>
      </c>
      <c r="H2018" s="60" t="s">
        <v>235</v>
      </c>
      <c r="I2018" s="61">
        <v>46196</v>
      </c>
      <c r="J2018" s="61">
        <v>46210.285058379603</v>
      </c>
      <c r="K2018" s="60">
        <v>14</v>
      </c>
      <c r="L2018" s="60" t="s">
        <v>192</v>
      </c>
      <c r="M2018" s="60" t="s">
        <v>183</v>
      </c>
      <c r="N2018" s="60" t="b">
        <f>TRUE()</f>
        <v>1</v>
      </c>
      <c r="O2018" s="70">
        <v>355000</v>
      </c>
      <c r="P2018" s="70">
        <v>700000</v>
      </c>
      <c r="Q2018" s="60" t="s">
        <v>3663</v>
      </c>
      <c r="R2018" s="60" t="s">
        <v>7351</v>
      </c>
      <c r="S2018" s="70">
        <v>527500</v>
      </c>
      <c r="T2018" s="60" t="b">
        <f>TRUE()</f>
        <v>1</v>
      </c>
      <c r="U2018" s="60" t="b">
        <f>FALSE()</f>
        <v>0</v>
      </c>
      <c r="V2018" s="60">
        <v>748</v>
      </c>
      <c r="W2018" s="62" t="s">
        <v>7414</v>
      </c>
      <c r="X2018" s="60">
        <v>7</v>
      </c>
      <c r="Y2018" s="63">
        <v>1.69</v>
      </c>
      <c r="Z2018" s="60" t="b">
        <f>FALSE()</f>
        <v>0</v>
      </c>
      <c r="AA2018" s="60" t="b">
        <f>FALSE()</f>
        <v>0</v>
      </c>
      <c r="AB2018" s="60" t="b">
        <f>FALSE()</f>
        <v>0</v>
      </c>
      <c r="AC2018" s="60" t="b">
        <f>FALSE()</f>
        <v>0</v>
      </c>
      <c r="AD2018" s="60" t="b">
        <f>FALSE()</f>
        <v>0</v>
      </c>
      <c r="AE2018" s="60">
        <v>0</v>
      </c>
      <c r="AF2018" s="64">
        <v>0</v>
      </c>
      <c r="AG2018" s="60" t="s">
        <v>74</v>
      </c>
      <c r="AH2018" s="60" t="s">
        <v>7415</v>
      </c>
      <c r="AI2018">
        <f>IF(AND(OR(Company_Explorer!$B$5="All Companies",$E2018=Company_Explorer!$B$5),OR(Company_Explorer!$B$6="All Platforms",$B2018=Company_Explorer!$B$6),OR(Company_Explorer!$B$7="All Roles",$D2018=Company_Explorer!$B$7),OR(Company_Explorer!$B$8="All Ghost Labels",$AG2018=Company_Explorer!$B$8)),1,0)</f>
        <v>0</v>
      </c>
    </row>
    <row r="2019" spans="1:35" ht="15" customHeight="1" x14ac:dyDescent="0.3">
      <c r="A2019" s="65" t="s">
        <v>7416</v>
      </c>
      <c r="B2019" s="65" t="s">
        <v>82</v>
      </c>
      <c r="C2019" s="65" t="s">
        <v>4021</v>
      </c>
      <c r="D2019" s="65" t="s">
        <v>126</v>
      </c>
      <c r="E2019" s="65" t="s">
        <v>7413</v>
      </c>
      <c r="F2019" s="65" t="b">
        <f>TRUE()</f>
        <v>1</v>
      </c>
      <c r="G2019" s="65" t="s">
        <v>165</v>
      </c>
      <c r="H2019" s="65" t="s">
        <v>165</v>
      </c>
      <c r="I2019" s="66">
        <v>46210</v>
      </c>
      <c r="J2019" s="66">
        <v>46210.285060196802</v>
      </c>
      <c r="K2019" s="65">
        <v>0</v>
      </c>
      <c r="L2019" s="65" t="s">
        <v>192</v>
      </c>
      <c r="M2019" s="65" t="s">
        <v>183</v>
      </c>
      <c r="N2019" s="65" t="b">
        <f>FALSE()</f>
        <v>0</v>
      </c>
      <c r="O2019" s="65"/>
      <c r="P2019" s="65"/>
      <c r="Q2019" s="65" t="s">
        <v>3663</v>
      </c>
      <c r="R2019" s="65" t="s">
        <v>236</v>
      </c>
      <c r="S2019" s="65"/>
      <c r="T2019" s="65" t="b">
        <f>FALSE()</f>
        <v>0</v>
      </c>
      <c r="U2019" s="65" t="b">
        <f>FALSE()</f>
        <v>0</v>
      </c>
      <c r="V2019" s="65">
        <v>662</v>
      </c>
      <c r="W2019" s="67" t="s">
        <v>4022</v>
      </c>
      <c r="X2019" s="65">
        <v>7</v>
      </c>
      <c r="Y2019" s="68">
        <v>1.69</v>
      </c>
      <c r="Z2019" s="65" t="b">
        <f>FALSE()</f>
        <v>0</v>
      </c>
      <c r="AA2019" s="65" t="b">
        <f>TRUE()</f>
        <v>1</v>
      </c>
      <c r="AB2019" s="65" t="b">
        <f>FALSE()</f>
        <v>0</v>
      </c>
      <c r="AC2019" s="65" t="b">
        <f>FALSE()</f>
        <v>0</v>
      </c>
      <c r="AD2019" s="65" t="b">
        <f>FALSE()</f>
        <v>0</v>
      </c>
      <c r="AE2019" s="65">
        <v>1</v>
      </c>
      <c r="AF2019" s="69">
        <v>14.3</v>
      </c>
      <c r="AG2019" s="65" t="s">
        <v>74</v>
      </c>
      <c r="AH2019" s="65" t="s">
        <v>7417</v>
      </c>
      <c r="AI2019">
        <f>IF(AND(OR(Company_Explorer!$B$5="All Companies",$E2019=Company_Explorer!$B$5),OR(Company_Explorer!$B$6="All Platforms",$B2019=Company_Explorer!$B$6),OR(Company_Explorer!$B$7="All Roles",$D2019=Company_Explorer!$B$7),OR(Company_Explorer!$B$8="All Ghost Labels",$AG2019=Company_Explorer!$B$8)),1,0)</f>
        <v>0</v>
      </c>
    </row>
    <row r="2020" spans="1:35" ht="15" customHeight="1" x14ac:dyDescent="0.3">
      <c r="A2020" s="60" t="s">
        <v>7418</v>
      </c>
      <c r="B2020" s="60" t="s">
        <v>82</v>
      </c>
      <c r="C2020" s="60" t="s">
        <v>7020</v>
      </c>
      <c r="D2020" s="60" t="s">
        <v>126</v>
      </c>
      <c r="E2020" s="60" t="s">
        <v>7419</v>
      </c>
      <c r="F2020" s="60" t="b">
        <f>TRUE()</f>
        <v>1</v>
      </c>
      <c r="G2020" s="60" t="s">
        <v>165</v>
      </c>
      <c r="H2020" s="60" t="s">
        <v>165</v>
      </c>
      <c r="I2020" s="61">
        <v>46207</v>
      </c>
      <c r="J2020" s="61">
        <v>46210.285065254597</v>
      </c>
      <c r="K2020" s="60">
        <v>4</v>
      </c>
      <c r="L2020" s="60" t="s">
        <v>192</v>
      </c>
      <c r="M2020" s="60" t="s">
        <v>183</v>
      </c>
      <c r="N2020" s="60" t="b">
        <f>FALSE()</f>
        <v>0</v>
      </c>
      <c r="O2020" s="60"/>
      <c r="P2020" s="60"/>
      <c r="Q2020" s="60" t="s">
        <v>3663</v>
      </c>
      <c r="R2020" s="60" t="s">
        <v>236</v>
      </c>
      <c r="S2020" s="60"/>
      <c r="T2020" s="60" t="b">
        <f>FALSE()</f>
        <v>0</v>
      </c>
      <c r="U2020" s="60" t="b">
        <f>FALSE()</f>
        <v>0</v>
      </c>
      <c r="V2020" s="60">
        <v>1300</v>
      </c>
      <c r="W2020" s="62" t="s">
        <v>7022</v>
      </c>
      <c r="X2020" s="60">
        <v>1</v>
      </c>
      <c r="Y2020" s="63">
        <v>0.24</v>
      </c>
      <c r="Z2020" s="60" t="b">
        <f>FALSE()</f>
        <v>0</v>
      </c>
      <c r="AA2020" s="60" t="b">
        <f>TRUE()</f>
        <v>1</v>
      </c>
      <c r="AB2020" s="60" t="b">
        <f>FALSE()</f>
        <v>0</v>
      </c>
      <c r="AC2020" s="60" t="b">
        <f>FALSE()</f>
        <v>0</v>
      </c>
      <c r="AD2020" s="60" t="b">
        <f>FALSE()</f>
        <v>0</v>
      </c>
      <c r="AE2020" s="60">
        <v>1</v>
      </c>
      <c r="AF2020" s="64">
        <v>14.3</v>
      </c>
      <c r="AG2020" s="60" t="s">
        <v>74</v>
      </c>
      <c r="AH2020" s="60" t="s">
        <v>7420</v>
      </c>
      <c r="AI2020">
        <f>IF(AND(OR(Company_Explorer!$B$5="All Companies",$E2020=Company_Explorer!$B$5),OR(Company_Explorer!$B$6="All Platforms",$B2020=Company_Explorer!$B$6),OR(Company_Explorer!$B$7="All Roles",$D2020=Company_Explorer!$B$7),OR(Company_Explorer!$B$8="All Ghost Labels",$AG2020=Company_Explorer!$B$8)),1,0)</f>
        <v>0</v>
      </c>
    </row>
    <row r="2021" spans="1:35" ht="15" customHeight="1" x14ac:dyDescent="0.3">
      <c r="A2021" s="65" t="s">
        <v>7421</v>
      </c>
      <c r="B2021" s="65" t="s">
        <v>82</v>
      </c>
      <c r="C2021" s="65" t="s">
        <v>127</v>
      </c>
      <c r="D2021" s="65" t="s">
        <v>127</v>
      </c>
      <c r="E2021" s="65" t="s">
        <v>7422</v>
      </c>
      <c r="F2021" s="65" t="b">
        <f>TRUE()</f>
        <v>1</v>
      </c>
      <c r="G2021" s="65" t="s">
        <v>165</v>
      </c>
      <c r="H2021" s="65" t="s">
        <v>165</v>
      </c>
      <c r="I2021" s="66">
        <v>46192</v>
      </c>
      <c r="J2021" s="66">
        <v>46210.2850700579</v>
      </c>
      <c r="K2021" s="65">
        <v>79</v>
      </c>
      <c r="L2021" s="65" t="s">
        <v>192</v>
      </c>
      <c r="M2021" s="65" t="s">
        <v>183</v>
      </c>
      <c r="N2021" s="65" t="b">
        <f>FALSE()</f>
        <v>0</v>
      </c>
      <c r="O2021" s="65"/>
      <c r="P2021" s="65"/>
      <c r="Q2021" s="65" t="s">
        <v>3663</v>
      </c>
      <c r="R2021" s="65" t="s">
        <v>236</v>
      </c>
      <c r="S2021" s="65"/>
      <c r="T2021" s="65" t="b">
        <f>FALSE()</f>
        <v>0</v>
      </c>
      <c r="U2021" s="65" t="b">
        <f>FALSE()</f>
        <v>0</v>
      </c>
      <c r="V2021" s="65">
        <v>314</v>
      </c>
      <c r="W2021" s="67" t="s">
        <v>7423</v>
      </c>
      <c r="X2021" s="65">
        <v>1</v>
      </c>
      <c r="Y2021" s="68">
        <v>0.24</v>
      </c>
      <c r="Z2021" s="65" t="b">
        <f>FALSE()</f>
        <v>0</v>
      </c>
      <c r="AA2021" s="65" t="b">
        <f>TRUE()</f>
        <v>1</v>
      </c>
      <c r="AB2021" s="65" t="b">
        <f>FALSE()</f>
        <v>0</v>
      </c>
      <c r="AC2021" s="65" t="b">
        <f>FALSE()</f>
        <v>0</v>
      </c>
      <c r="AD2021" s="65" t="b">
        <f>FALSE()</f>
        <v>0</v>
      </c>
      <c r="AE2021" s="65">
        <v>1</v>
      </c>
      <c r="AF2021" s="69">
        <v>14.3</v>
      </c>
      <c r="AG2021" s="65" t="s">
        <v>74</v>
      </c>
      <c r="AH2021" s="65" t="s">
        <v>7424</v>
      </c>
      <c r="AI2021">
        <f>IF(AND(OR(Company_Explorer!$B$5="All Companies",$E2021=Company_Explorer!$B$5),OR(Company_Explorer!$B$6="All Platforms",$B2021=Company_Explorer!$B$6),OR(Company_Explorer!$B$7="All Roles",$D2021=Company_Explorer!$B$7),OR(Company_Explorer!$B$8="All Ghost Labels",$AG2021=Company_Explorer!$B$8)),1,0)</f>
        <v>0</v>
      </c>
    </row>
    <row r="2022" spans="1:35" ht="15" customHeight="1" x14ac:dyDescent="0.3">
      <c r="A2022" s="60" t="s">
        <v>7425</v>
      </c>
      <c r="B2022" s="60" t="s">
        <v>82</v>
      </c>
      <c r="C2022" s="60" t="s">
        <v>7426</v>
      </c>
      <c r="D2022" s="60" t="s">
        <v>127</v>
      </c>
      <c r="E2022" s="60" t="s">
        <v>7427</v>
      </c>
      <c r="F2022" s="60" t="b">
        <f>TRUE()</f>
        <v>1</v>
      </c>
      <c r="G2022" s="60" t="s">
        <v>165</v>
      </c>
      <c r="H2022" s="60" t="s">
        <v>165</v>
      </c>
      <c r="I2022" s="61">
        <v>46187</v>
      </c>
      <c r="J2022" s="61">
        <v>46210.285071145801</v>
      </c>
      <c r="K2022" s="60">
        <v>24</v>
      </c>
      <c r="L2022" s="60" t="s">
        <v>192</v>
      </c>
      <c r="M2022" s="60" t="s">
        <v>183</v>
      </c>
      <c r="N2022" s="60" t="b">
        <f>FALSE()</f>
        <v>0</v>
      </c>
      <c r="O2022" s="60"/>
      <c r="P2022" s="60"/>
      <c r="Q2022" s="60" t="s">
        <v>3663</v>
      </c>
      <c r="R2022" s="60" t="s">
        <v>236</v>
      </c>
      <c r="S2022" s="60"/>
      <c r="T2022" s="60" t="b">
        <f>FALSE()</f>
        <v>0</v>
      </c>
      <c r="U2022" s="60" t="b">
        <f>FALSE()</f>
        <v>0</v>
      </c>
      <c r="V2022" s="60">
        <v>458</v>
      </c>
      <c r="W2022" s="62" t="s">
        <v>3869</v>
      </c>
      <c r="X2022" s="60">
        <v>2</v>
      </c>
      <c r="Y2022" s="63">
        <v>0.48</v>
      </c>
      <c r="Z2022" s="60" t="b">
        <f>FALSE()</f>
        <v>0</v>
      </c>
      <c r="AA2022" s="60" t="b">
        <f>TRUE()</f>
        <v>1</v>
      </c>
      <c r="AB2022" s="60" t="b">
        <f>FALSE()</f>
        <v>0</v>
      </c>
      <c r="AC2022" s="60" t="b">
        <f>FALSE()</f>
        <v>0</v>
      </c>
      <c r="AD2022" s="60" t="b">
        <f>FALSE()</f>
        <v>0</v>
      </c>
      <c r="AE2022" s="60">
        <v>1</v>
      </c>
      <c r="AF2022" s="64">
        <v>14.3</v>
      </c>
      <c r="AG2022" s="60" t="s">
        <v>74</v>
      </c>
      <c r="AH2022" s="60" t="s">
        <v>7428</v>
      </c>
      <c r="AI2022">
        <f>IF(AND(OR(Company_Explorer!$B$5="All Companies",$E2022=Company_Explorer!$B$5),OR(Company_Explorer!$B$6="All Platforms",$B2022=Company_Explorer!$B$6),OR(Company_Explorer!$B$7="All Roles",$D2022=Company_Explorer!$B$7),OR(Company_Explorer!$B$8="All Ghost Labels",$AG2022=Company_Explorer!$B$8)),1,0)</f>
        <v>0</v>
      </c>
    </row>
    <row r="2023" spans="1:35" ht="15" customHeight="1" x14ac:dyDescent="0.3">
      <c r="A2023" s="65" t="s">
        <v>7429</v>
      </c>
      <c r="B2023" s="65" t="s">
        <v>82</v>
      </c>
      <c r="C2023" s="65" t="s">
        <v>7430</v>
      </c>
      <c r="D2023" s="65" t="s">
        <v>126</v>
      </c>
      <c r="E2023" s="65" t="s">
        <v>7431</v>
      </c>
      <c r="F2023" s="65" t="b">
        <f>TRUE()</f>
        <v>1</v>
      </c>
      <c r="G2023" s="65" t="s">
        <v>167</v>
      </c>
      <c r="H2023" s="65" t="s">
        <v>276</v>
      </c>
      <c r="I2023" s="66">
        <v>46191</v>
      </c>
      <c r="J2023" s="66">
        <v>46210.285075960703</v>
      </c>
      <c r="K2023" s="65">
        <v>19</v>
      </c>
      <c r="L2023" s="65" t="s">
        <v>183</v>
      </c>
      <c r="M2023" s="65" t="s">
        <v>183</v>
      </c>
      <c r="N2023" s="65" t="b">
        <f>TRUE()</f>
        <v>1</v>
      </c>
      <c r="O2023" s="71">
        <v>655000</v>
      </c>
      <c r="P2023" s="71">
        <v>838250</v>
      </c>
      <c r="Q2023" s="65" t="s">
        <v>3663</v>
      </c>
      <c r="R2023" s="65" t="s">
        <v>7351</v>
      </c>
      <c r="S2023" s="71">
        <v>746625</v>
      </c>
      <c r="T2023" s="65" t="b">
        <f>TRUE()</f>
        <v>1</v>
      </c>
      <c r="U2023" s="65" t="b">
        <f>FALSE()</f>
        <v>0</v>
      </c>
      <c r="V2023" s="65">
        <v>592</v>
      </c>
      <c r="W2023" s="67" t="s">
        <v>7432</v>
      </c>
      <c r="X2023" s="65">
        <v>4</v>
      </c>
      <c r="Y2023" s="68">
        <v>0.97</v>
      </c>
      <c r="Z2023" s="65" t="b">
        <f>FALSE()</f>
        <v>0</v>
      </c>
      <c r="AA2023" s="65" t="b">
        <f>FALSE()</f>
        <v>0</v>
      </c>
      <c r="AB2023" s="65" t="b">
        <f>FALSE()</f>
        <v>0</v>
      </c>
      <c r="AC2023" s="65" t="b">
        <f>FALSE()</f>
        <v>0</v>
      </c>
      <c r="AD2023" s="65" t="b">
        <f>FALSE()</f>
        <v>0</v>
      </c>
      <c r="AE2023" s="65">
        <v>0</v>
      </c>
      <c r="AF2023" s="69">
        <v>0</v>
      </c>
      <c r="AG2023" s="65" t="s">
        <v>74</v>
      </c>
      <c r="AH2023" s="65" t="s">
        <v>7433</v>
      </c>
      <c r="AI2023">
        <f>IF(AND(OR(Company_Explorer!$B$5="All Companies",$E2023=Company_Explorer!$B$5),OR(Company_Explorer!$B$6="All Platforms",$B2023=Company_Explorer!$B$6),OR(Company_Explorer!$B$7="All Roles",$D2023=Company_Explorer!$B$7),OR(Company_Explorer!$B$8="All Ghost Labels",$AG2023=Company_Explorer!$B$8)),1,0)</f>
        <v>0</v>
      </c>
    </row>
    <row r="2024" spans="1:35" ht="15" customHeight="1" x14ac:dyDescent="0.3">
      <c r="A2024" s="60" t="s">
        <v>7434</v>
      </c>
      <c r="B2024" s="60" t="s">
        <v>82</v>
      </c>
      <c r="C2024" s="60" t="s">
        <v>127</v>
      </c>
      <c r="D2024" s="60" t="s">
        <v>127</v>
      </c>
      <c r="E2024" s="60" t="s">
        <v>7435</v>
      </c>
      <c r="F2024" s="60" t="b">
        <f>TRUE()</f>
        <v>1</v>
      </c>
      <c r="G2024" s="60" t="s">
        <v>7436</v>
      </c>
      <c r="H2024" s="60" t="s">
        <v>2066</v>
      </c>
      <c r="I2024" s="61">
        <v>46186</v>
      </c>
      <c r="J2024" s="61">
        <v>46210.285082245398</v>
      </c>
      <c r="K2024" s="60">
        <v>55</v>
      </c>
      <c r="L2024" s="60" t="s">
        <v>183</v>
      </c>
      <c r="M2024" s="60" t="s">
        <v>183</v>
      </c>
      <c r="N2024" s="60" t="b">
        <f>FALSE()</f>
        <v>0</v>
      </c>
      <c r="O2024" s="60"/>
      <c r="P2024" s="60"/>
      <c r="Q2024" s="60" t="s">
        <v>3663</v>
      </c>
      <c r="R2024" s="60" t="s">
        <v>236</v>
      </c>
      <c r="S2024" s="60"/>
      <c r="T2024" s="60" t="b">
        <f>FALSE()</f>
        <v>0</v>
      </c>
      <c r="U2024" s="60" t="b">
        <f>FALSE()</f>
        <v>0</v>
      </c>
      <c r="V2024" s="60">
        <v>245</v>
      </c>
      <c r="W2024" s="62" t="s">
        <v>7437</v>
      </c>
      <c r="X2024" s="60">
        <v>2</v>
      </c>
      <c r="Y2024" s="63">
        <v>0.48</v>
      </c>
      <c r="Z2024" s="60" t="b">
        <f>FALSE()</f>
        <v>0</v>
      </c>
      <c r="AA2024" s="60" t="b">
        <f>TRUE()</f>
        <v>1</v>
      </c>
      <c r="AB2024" s="60" t="b">
        <f>FALSE()</f>
        <v>0</v>
      </c>
      <c r="AC2024" s="60" t="b">
        <f>FALSE()</f>
        <v>0</v>
      </c>
      <c r="AD2024" s="60" t="b">
        <f>FALSE()</f>
        <v>0</v>
      </c>
      <c r="AE2024" s="60">
        <v>1</v>
      </c>
      <c r="AF2024" s="64">
        <v>14.3</v>
      </c>
      <c r="AG2024" s="60" t="s">
        <v>74</v>
      </c>
      <c r="AH2024" s="60" t="s">
        <v>7438</v>
      </c>
      <c r="AI2024">
        <f>IF(AND(OR(Company_Explorer!$B$5="All Companies",$E2024=Company_Explorer!$B$5),OR(Company_Explorer!$B$6="All Platforms",$B2024=Company_Explorer!$B$6),OR(Company_Explorer!$B$7="All Roles",$D2024=Company_Explorer!$B$7),OR(Company_Explorer!$B$8="All Ghost Labels",$AG2024=Company_Explorer!$B$8)),1,0)</f>
        <v>0</v>
      </c>
    </row>
    <row r="2025" spans="1:35" ht="15" customHeight="1" x14ac:dyDescent="0.3">
      <c r="A2025" s="65" t="s">
        <v>7439</v>
      </c>
      <c r="B2025" s="65" t="s">
        <v>82</v>
      </c>
      <c r="C2025" s="65" t="s">
        <v>7440</v>
      </c>
      <c r="D2025" s="65" t="s">
        <v>127</v>
      </c>
      <c r="E2025" s="65" t="s">
        <v>157</v>
      </c>
      <c r="F2025" s="65" t="b">
        <f>TRUE()</f>
        <v>1</v>
      </c>
      <c r="G2025" s="65" t="s">
        <v>176</v>
      </c>
      <c r="H2025" s="65" t="s">
        <v>302</v>
      </c>
      <c r="I2025" s="66">
        <v>46207</v>
      </c>
      <c r="J2025" s="66">
        <v>46210.285082430601</v>
      </c>
      <c r="K2025" s="65">
        <v>3</v>
      </c>
      <c r="L2025" s="65" t="s">
        <v>192</v>
      </c>
      <c r="M2025" s="65" t="s">
        <v>183</v>
      </c>
      <c r="N2025" s="65" t="b">
        <f>TRUE()</f>
        <v>1</v>
      </c>
      <c r="O2025" s="71">
        <v>600000</v>
      </c>
      <c r="P2025" s="71">
        <v>900000</v>
      </c>
      <c r="Q2025" s="65" t="s">
        <v>3663</v>
      </c>
      <c r="R2025" s="65" t="s">
        <v>7351</v>
      </c>
      <c r="S2025" s="71">
        <v>750000</v>
      </c>
      <c r="T2025" s="65" t="b">
        <f>TRUE()</f>
        <v>1</v>
      </c>
      <c r="U2025" s="65" t="b">
        <f>FALSE()</f>
        <v>0</v>
      </c>
      <c r="V2025" s="65">
        <v>366</v>
      </c>
      <c r="W2025" s="65" t="s">
        <v>7441</v>
      </c>
      <c r="X2025" s="65">
        <v>15</v>
      </c>
      <c r="Y2025" s="68">
        <v>3.62</v>
      </c>
      <c r="Z2025" s="65" t="b">
        <f>FALSE()</f>
        <v>0</v>
      </c>
      <c r="AA2025" s="65" t="b">
        <f>FALSE()</f>
        <v>0</v>
      </c>
      <c r="AB2025" s="65" t="b">
        <f>FALSE()</f>
        <v>0</v>
      </c>
      <c r="AC2025" s="65" t="b">
        <f>FALSE()</f>
        <v>0</v>
      </c>
      <c r="AD2025" s="65" t="b">
        <f>TRUE()</f>
        <v>1</v>
      </c>
      <c r="AE2025" s="65">
        <v>2</v>
      </c>
      <c r="AF2025" s="69">
        <v>28.6</v>
      </c>
      <c r="AG2025" s="65" t="s">
        <v>73</v>
      </c>
      <c r="AH2025" s="65" t="s">
        <v>7442</v>
      </c>
      <c r="AI2025">
        <f>IF(AND(OR(Company_Explorer!$B$5="All Companies",$E2025=Company_Explorer!$B$5),OR(Company_Explorer!$B$6="All Platforms",$B2025=Company_Explorer!$B$6),OR(Company_Explorer!$B$7="All Roles",$D2025=Company_Explorer!$B$7),OR(Company_Explorer!$B$8="All Ghost Labels",$AG2025=Company_Explorer!$B$8)),1,0)</f>
        <v>0</v>
      </c>
    </row>
    <row r="2026" spans="1:35" ht="15" customHeight="1" x14ac:dyDescent="0.3">
      <c r="A2026" s="60" t="s">
        <v>7443</v>
      </c>
      <c r="B2026" s="60" t="s">
        <v>82</v>
      </c>
      <c r="C2026" s="60" t="s">
        <v>127</v>
      </c>
      <c r="D2026" s="60" t="s">
        <v>127</v>
      </c>
      <c r="E2026" s="60" t="s">
        <v>3726</v>
      </c>
      <c r="F2026" s="60" t="b">
        <f>FALSE()</f>
        <v>0</v>
      </c>
      <c r="G2026" s="60" t="s">
        <v>7444</v>
      </c>
      <c r="H2026" s="60" t="s">
        <v>235</v>
      </c>
      <c r="I2026" s="61">
        <v>46190</v>
      </c>
      <c r="J2026" s="61">
        <v>46210.285083356503</v>
      </c>
      <c r="K2026" s="60">
        <v>21</v>
      </c>
      <c r="L2026" s="60" t="s">
        <v>192</v>
      </c>
      <c r="M2026" s="60" t="s">
        <v>183</v>
      </c>
      <c r="N2026" s="60" t="b">
        <f>TRUE()</f>
        <v>1</v>
      </c>
      <c r="O2026" s="70">
        <v>30000</v>
      </c>
      <c r="P2026" s="70">
        <v>45000</v>
      </c>
      <c r="Q2026" s="60" t="s">
        <v>3663</v>
      </c>
      <c r="R2026" s="60" t="s">
        <v>7445</v>
      </c>
      <c r="S2026" s="70">
        <v>450000</v>
      </c>
      <c r="T2026" s="60" t="b">
        <f>TRUE()</f>
        <v>1</v>
      </c>
      <c r="U2026" s="60" t="b">
        <f>FALSE()</f>
        <v>0</v>
      </c>
      <c r="V2026" s="60">
        <v>232</v>
      </c>
      <c r="W2026" s="60" t="s">
        <v>7446</v>
      </c>
      <c r="X2026" s="60"/>
      <c r="Y2026" s="63"/>
      <c r="Z2026" s="60" t="b">
        <f>TRUE()</f>
        <v>1</v>
      </c>
      <c r="AA2026" s="60" t="b">
        <f>FALSE()</f>
        <v>0</v>
      </c>
      <c r="AB2026" s="60" t="b">
        <f>FALSE()</f>
        <v>0</v>
      </c>
      <c r="AC2026" s="60" t="b">
        <f>FALSE()</f>
        <v>0</v>
      </c>
      <c r="AD2026" s="60" t="b">
        <f>FALSE()</f>
        <v>0</v>
      </c>
      <c r="AE2026" s="60">
        <v>2</v>
      </c>
      <c r="AF2026" s="64">
        <v>28.6</v>
      </c>
      <c r="AG2026" s="60" t="s">
        <v>73</v>
      </c>
      <c r="AH2026" s="60" t="s">
        <v>7447</v>
      </c>
      <c r="AI2026">
        <f>IF(AND(OR(Company_Explorer!$B$5="All Companies",$E2026=Company_Explorer!$B$5),OR(Company_Explorer!$B$6="All Platforms",$B2026=Company_Explorer!$B$6),OR(Company_Explorer!$B$7="All Roles",$D2026=Company_Explorer!$B$7),OR(Company_Explorer!$B$8="All Ghost Labels",$AG2026=Company_Explorer!$B$8)),1,0)</f>
        <v>0</v>
      </c>
    </row>
    <row r="2027" spans="1:35" ht="15" customHeight="1" x14ac:dyDescent="0.3">
      <c r="A2027" s="65" t="s">
        <v>7448</v>
      </c>
      <c r="B2027" s="65" t="s">
        <v>82</v>
      </c>
      <c r="C2027" s="65" t="s">
        <v>3725</v>
      </c>
      <c r="D2027" s="65" t="s">
        <v>126</v>
      </c>
      <c r="E2027" s="65" t="s">
        <v>3726</v>
      </c>
      <c r="F2027" s="65" t="b">
        <f>FALSE()</f>
        <v>0</v>
      </c>
      <c r="G2027" s="65" t="s">
        <v>7449</v>
      </c>
      <c r="H2027" s="65" t="s">
        <v>7450</v>
      </c>
      <c r="I2027" s="66">
        <v>46211</v>
      </c>
      <c r="J2027" s="66">
        <v>46210.285085590302</v>
      </c>
      <c r="K2027" s="65">
        <v>0</v>
      </c>
      <c r="L2027" s="65" t="s">
        <v>192</v>
      </c>
      <c r="M2027" s="65" t="s">
        <v>183</v>
      </c>
      <c r="N2027" s="65" t="b">
        <f>TRUE()</f>
        <v>1</v>
      </c>
      <c r="O2027" s="71">
        <v>30000</v>
      </c>
      <c r="P2027" s="71">
        <v>40000</v>
      </c>
      <c r="Q2027" s="65" t="s">
        <v>3663</v>
      </c>
      <c r="R2027" s="65" t="s">
        <v>7445</v>
      </c>
      <c r="S2027" s="71">
        <v>420000</v>
      </c>
      <c r="T2027" s="65" t="b">
        <f>TRUE()</f>
        <v>1</v>
      </c>
      <c r="U2027" s="65" t="b">
        <f>FALSE()</f>
        <v>0</v>
      </c>
      <c r="V2027" s="65">
        <v>536</v>
      </c>
      <c r="W2027" s="67" t="s">
        <v>3728</v>
      </c>
      <c r="X2027" s="65"/>
      <c r="Y2027" s="68"/>
      <c r="Z2027" s="65" t="b">
        <f>TRUE()</f>
        <v>1</v>
      </c>
      <c r="AA2027" s="65" t="b">
        <f>FALSE()</f>
        <v>0</v>
      </c>
      <c r="AB2027" s="65" t="b">
        <f>FALSE()</f>
        <v>0</v>
      </c>
      <c r="AC2027" s="65" t="b">
        <f>FALSE()</f>
        <v>0</v>
      </c>
      <c r="AD2027" s="65" t="b">
        <f>FALSE()</f>
        <v>0</v>
      </c>
      <c r="AE2027" s="65">
        <v>2</v>
      </c>
      <c r="AF2027" s="69">
        <v>28.6</v>
      </c>
      <c r="AG2027" s="65" t="s">
        <v>73</v>
      </c>
      <c r="AH2027" s="65" t="s">
        <v>7451</v>
      </c>
      <c r="AI2027">
        <f>IF(AND(OR(Company_Explorer!$B$5="All Companies",$E2027=Company_Explorer!$B$5),OR(Company_Explorer!$B$6="All Platforms",$B2027=Company_Explorer!$B$6),OR(Company_Explorer!$B$7="All Roles",$D2027=Company_Explorer!$B$7),OR(Company_Explorer!$B$8="All Ghost Labels",$AG2027=Company_Explorer!$B$8)),1,0)</f>
        <v>0</v>
      </c>
    </row>
    <row r="2028" spans="1:35" ht="15" customHeight="1" x14ac:dyDescent="0.3">
      <c r="A2028" s="60" t="s">
        <v>7452</v>
      </c>
      <c r="B2028" s="60" t="s">
        <v>82</v>
      </c>
      <c r="C2028" s="60" t="s">
        <v>7453</v>
      </c>
      <c r="D2028" s="60" t="s">
        <v>126</v>
      </c>
      <c r="E2028" s="60" t="s">
        <v>7454</v>
      </c>
      <c r="F2028" s="60" t="b">
        <f>TRUE()</f>
        <v>1</v>
      </c>
      <c r="G2028" s="60" t="s">
        <v>166</v>
      </c>
      <c r="H2028" s="60" t="s">
        <v>235</v>
      </c>
      <c r="I2028" s="61">
        <v>46184</v>
      </c>
      <c r="J2028" s="61">
        <v>46210.285087453703</v>
      </c>
      <c r="K2028" s="60">
        <v>26</v>
      </c>
      <c r="L2028" s="60" t="s">
        <v>192</v>
      </c>
      <c r="M2028" s="60" t="s">
        <v>183</v>
      </c>
      <c r="N2028" s="60" t="b">
        <f>TRUE()</f>
        <v>1</v>
      </c>
      <c r="O2028" s="70">
        <v>1000000</v>
      </c>
      <c r="P2028" s="70">
        <v>1000000</v>
      </c>
      <c r="Q2028" s="60" t="s">
        <v>3663</v>
      </c>
      <c r="R2028" s="60" t="s">
        <v>7351</v>
      </c>
      <c r="S2028" s="70">
        <v>1000000</v>
      </c>
      <c r="T2028" s="60" t="b">
        <f>TRUE()</f>
        <v>1</v>
      </c>
      <c r="U2028" s="60" t="b">
        <f>FALSE()</f>
        <v>0</v>
      </c>
      <c r="V2028" s="60">
        <v>496</v>
      </c>
      <c r="W2028" s="62" t="s">
        <v>7455</v>
      </c>
      <c r="X2028" s="60">
        <v>1</v>
      </c>
      <c r="Y2028" s="63">
        <v>0.24</v>
      </c>
      <c r="Z2028" s="60" t="b">
        <f>FALSE()</f>
        <v>0</v>
      </c>
      <c r="AA2028" s="60" t="b">
        <f>FALSE()</f>
        <v>0</v>
      </c>
      <c r="AB2028" s="60" t="b">
        <f>FALSE()</f>
        <v>0</v>
      </c>
      <c r="AC2028" s="60" t="b">
        <f>FALSE()</f>
        <v>0</v>
      </c>
      <c r="AD2028" s="60" t="b">
        <f>FALSE()</f>
        <v>0</v>
      </c>
      <c r="AE2028" s="60">
        <v>0</v>
      </c>
      <c r="AF2028" s="64">
        <v>0</v>
      </c>
      <c r="AG2028" s="60" t="s">
        <v>74</v>
      </c>
      <c r="AH2028" s="60" t="s">
        <v>7456</v>
      </c>
      <c r="AI2028">
        <f>IF(AND(OR(Company_Explorer!$B$5="All Companies",$E2028=Company_Explorer!$B$5),OR(Company_Explorer!$B$6="All Platforms",$B2028=Company_Explorer!$B$6),OR(Company_Explorer!$B$7="All Roles",$D2028=Company_Explorer!$B$7),OR(Company_Explorer!$B$8="All Ghost Labels",$AG2028=Company_Explorer!$B$8)),1,0)</f>
        <v>0</v>
      </c>
    </row>
    <row r="2029" spans="1:35" ht="15" customHeight="1" x14ac:dyDescent="0.3">
      <c r="A2029" s="65" t="s">
        <v>7457</v>
      </c>
      <c r="B2029" s="65" t="s">
        <v>82</v>
      </c>
      <c r="C2029" s="65" t="s">
        <v>7458</v>
      </c>
      <c r="D2029" s="65" t="s">
        <v>127</v>
      </c>
      <c r="E2029" s="65" t="s">
        <v>7459</v>
      </c>
      <c r="F2029" s="65" t="b">
        <f>TRUE()</f>
        <v>1</v>
      </c>
      <c r="G2029" s="65" t="s">
        <v>167</v>
      </c>
      <c r="H2029" s="65" t="s">
        <v>276</v>
      </c>
      <c r="I2029" s="66">
        <v>46187</v>
      </c>
      <c r="J2029" s="66">
        <v>46210.2850915046</v>
      </c>
      <c r="K2029" s="65">
        <v>84</v>
      </c>
      <c r="L2029" s="65" t="s">
        <v>192</v>
      </c>
      <c r="M2029" s="65" t="s">
        <v>183</v>
      </c>
      <c r="N2029" s="65" t="b">
        <f>TRUE()</f>
        <v>1</v>
      </c>
      <c r="O2029" s="71">
        <v>294000</v>
      </c>
      <c r="P2029" s="71">
        <v>300000</v>
      </c>
      <c r="Q2029" s="65" t="s">
        <v>3663</v>
      </c>
      <c r="R2029" s="65" t="s">
        <v>7351</v>
      </c>
      <c r="S2029" s="71">
        <v>297000</v>
      </c>
      <c r="T2029" s="65" t="b">
        <f>TRUE()</f>
        <v>1</v>
      </c>
      <c r="U2029" s="65" t="b">
        <f>FALSE()</f>
        <v>0</v>
      </c>
      <c r="V2029" s="65">
        <v>267</v>
      </c>
      <c r="W2029" s="67" t="s">
        <v>7460</v>
      </c>
      <c r="X2029" s="65">
        <v>3</v>
      </c>
      <c r="Y2029" s="68">
        <v>0.72</v>
      </c>
      <c r="Z2029" s="65" t="b">
        <f>FALSE()</f>
        <v>0</v>
      </c>
      <c r="AA2029" s="65" t="b">
        <f>FALSE()</f>
        <v>0</v>
      </c>
      <c r="AB2029" s="65" t="b">
        <f>FALSE()</f>
        <v>0</v>
      </c>
      <c r="AC2029" s="65" t="b">
        <f>FALSE()</f>
        <v>0</v>
      </c>
      <c r="AD2029" s="65" t="b">
        <f>FALSE()</f>
        <v>0</v>
      </c>
      <c r="AE2029" s="65">
        <v>0</v>
      </c>
      <c r="AF2029" s="69">
        <v>0</v>
      </c>
      <c r="AG2029" s="65" t="s">
        <v>74</v>
      </c>
      <c r="AH2029" s="65" t="s">
        <v>7461</v>
      </c>
      <c r="AI2029">
        <f>IF(AND(OR(Company_Explorer!$B$5="All Companies",$E2029=Company_Explorer!$B$5),OR(Company_Explorer!$B$6="All Platforms",$B2029=Company_Explorer!$B$6),OR(Company_Explorer!$B$7="All Roles",$D2029=Company_Explorer!$B$7),OR(Company_Explorer!$B$8="All Ghost Labels",$AG2029=Company_Explorer!$B$8)),1,0)</f>
        <v>0</v>
      </c>
    </row>
    <row r="2030" spans="1:35" ht="15" customHeight="1" x14ac:dyDescent="0.3">
      <c r="A2030" s="60" t="s">
        <v>7462</v>
      </c>
      <c r="B2030" s="60" t="s">
        <v>82</v>
      </c>
      <c r="C2030" s="60" t="s">
        <v>6885</v>
      </c>
      <c r="D2030" s="60" t="s">
        <v>127</v>
      </c>
      <c r="E2030" s="60" t="s">
        <v>7463</v>
      </c>
      <c r="F2030" s="60" t="b">
        <f>TRUE()</f>
        <v>1</v>
      </c>
      <c r="G2030" s="60" t="s">
        <v>165</v>
      </c>
      <c r="H2030" s="60" t="s">
        <v>165</v>
      </c>
      <c r="I2030" s="61">
        <v>46203</v>
      </c>
      <c r="J2030" s="61">
        <v>46210.285101284702</v>
      </c>
      <c r="K2030" s="60">
        <v>68</v>
      </c>
      <c r="L2030" s="60" t="s">
        <v>192</v>
      </c>
      <c r="M2030" s="60" t="s">
        <v>183</v>
      </c>
      <c r="N2030" s="60" t="b">
        <f>FALSE()</f>
        <v>0</v>
      </c>
      <c r="O2030" s="60"/>
      <c r="P2030" s="60"/>
      <c r="Q2030" s="60" t="s">
        <v>3663</v>
      </c>
      <c r="R2030" s="60" t="s">
        <v>236</v>
      </c>
      <c r="S2030" s="60"/>
      <c r="T2030" s="60" t="b">
        <f>FALSE()</f>
        <v>0</v>
      </c>
      <c r="U2030" s="60" t="b">
        <f>FALSE()</f>
        <v>0</v>
      </c>
      <c r="V2030" s="60">
        <v>742</v>
      </c>
      <c r="W2030" s="62" t="s">
        <v>7464</v>
      </c>
      <c r="X2030" s="60">
        <v>1</v>
      </c>
      <c r="Y2030" s="63">
        <v>0.24</v>
      </c>
      <c r="Z2030" s="60" t="b">
        <f>FALSE()</f>
        <v>0</v>
      </c>
      <c r="AA2030" s="60" t="b">
        <f>TRUE()</f>
        <v>1</v>
      </c>
      <c r="AB2030" s="60" t="b">
        <f>FALSE()</f>
        <v>0</v>
      </c>
      <c r="AC2030" s="60" t="b">
        <f>FALSE()</f>
        <v>0</v>
      </c>
      <c r="AD2030" s="60" t="b">
        <f>FALSE()</f>
        <v>0</v>
      </c>
      <c r="AE2030" s="60">
        <v>1</v>
      </c>
      <c r="AF2030" s="64">
        <v>14.3</v>
      </c>
      <c r="AG2030" s="60" t="s">
        <v>74</v>
      </c>
      <c r="AH2030" s="60" t="s">
        <v>7465</v>
      </c>
      <c r="AI2030">
        <f>IF(AND(OR(Company_Explorer!$B$5="All Companies",$E2030=Company_Explorer!$B$5),OR(Company_Explorer!$B$6="All Platforms",$B2030=Company_Explorer!$B$6),OR(Company_Explorer!$B$7="All Roles",$D2030=Company_Explorer!$B$7),OR(Company_Explorer!$B$8="All Ghost Labels",$AG2030=Company_Explorer!$B$8)),1,0)</f>
        <v>0</v>
      </c>
    </row>
    <row r="2031" spans="1:35" ht="15" customHeight="1" x14ac:dyDescent="0.3">
      <c r="A2031" s="65" t="s">
        <v>7466</v>
      </c>
      <c r="B2031" s="65" t="s">
        <v>82</v>
      </c>
      <c r="C2031" s="65" t="s">
        <v>4988</v>
      </c>
      <c r="D2031" s="65" t="s">
        <v>127</v>
      </c>
      <c r="E2031" s="65" t="s">
        <v>4989</v>
      </c>
      <c r="F2031" s="65" t="b">
        <f>TRUE()</f>
        <v>1</v>
      </c>
      <c r="G2031" s="65" t="s">
        <v>167</v>
      </c>
      <c r="H2031" s="65" t="s">
        <v>276</v>
      </c>
      <c r="I2031" s="66">
        <v>46210</v>
      </c>
      <c r="J2031" s="66">
        <v>46210.285101261601</v>
      </c>
      <c r="K2031" s="65">
        <v>0</v>
      </c>
      <c r="L2031" s="65" t="s">
        <v>183</v>
      </c>
      <c r="M2031" s="65" t="s">
        <v>183</v>
      </c>
      <c r="N2031" s="65" t="b">
        <f>FALSE()</f>
        <v>0</v>
      </c>
      <c r="O2031" s="65"/>
      <c r="P2031" s="65"/>
      <c r="Q2031" s="65" t="s">
        <v>3663</v>
      </c>
      <c r="R2031" s="65" t="s">
        <v>236</v>
      </c>
      <c r="S2031" s="65"/>
      <c r="T2031" s="65" t="b">
        <f>FALSE()</f>
        <v>0</v>
      </c>
      <c r="U2031" s="65" t="b">
        <f>FALSE()</f>
        <v>0</v>
      </c>
      <c r="V2031" s="65">
        <v>152</v>
      </c>
      <c r="W2031" s="67" t="s">
        <v>4990</v>
      </c>
      <c r="X2031" s="65">
        <v>1</v>
      </c>
      <c r="Y2031" s="68">
        <v>0.24</v>
      </c>
      <c r="Z2031" s="65" t="b">
        <f>FALSE()</f>
        <v>0</v>
      </c>
      <c r="AA2031" s="65" t="b">
        <f>TRUE()</f>
        <v>1</v>
      </c>
      <c r="AB2031" s="65" t="b">
        <f>TRUE()</f>
        <v>1</v>
      </c>
      <c r="AC2031" s="65" t="b">
        <f>FALSE()</f>
        <v>0</v>
      </c>
      <c r="AD2031" s="65" t="b">
        <f>FALSE()</f>
        <v>0</v>
      </c>
      <c r="AE2031" s="65">
        <v>2</v>
      </c>
      <c r="AF2031" s="69">
        <v>28.6</v>
      </c>
      <c r="AG2031" s="65" t="s">
        <v>73</v>
      </c>
      <c r="AH2031" s="65" t="s">
        <v>7467</v>
      </c>
      <c r="AI2031">
        <f>IF(AND(OR(Company_Explorer!$B$5="All Companies",$E2031=Company_Explorer!$B$5),OR(Company_Explorer!$B$6="All Platforms",$B2031=Company_Explorer!$B$6),OR(Company_Explorer!$B$7="All Roles",$D2031=Company_Explorer!$B$7),OR(Company_Explorer!$B$8="All Ghost Labels",$AG2031=Company_Explorer!$B$8)),1,0)</f>
        <v>0</v>
      </c>
    </row>
    <row r="2032" spans="1:35" ht="15" customHeight="1" x14ac:dyDescent="0.3">
      <c r="A2032" s="60" t="s">
        <v>7468</v>
      </c>
      <c r="B2032" s="60" t="s">
        <v>82</v>
      </c>
      <c r="C2032" s="60" t="s">
        <v>127</v>
      </c>
      <c r="D2032" s="60" t="s">
        <v>127</v>
      </c>
      <c r="E2032" s="60" t="s">
        <v>7469</v>
      </c>
      <c r="F2032" s="60" t="b">
        <f>TRUE()</f>
        <v>1</v>
      </c>
      <c r="G2032" s="60" t="s">
        <v>166</v>
      </c>
      <c r="H2032" s="60" t="s">
        <v>235</v>
      </c>
      <c r="I2032" s="61">
        <v>46208</v>
      </c>
      <c r="J2032" s="61">
        <v>46210.285103993097</v>
      </c>
      <c r="K2032" s="60">
        <v>3</v>
      </c>
      <c r="L2032" s="60" t="s">
        <v>192</v>
      </c>
      <c r="M2032" s="60" t="s">
        <v>183</v>
      </c>
      <c r="N2032" s="60" t="b">
        <f>TRUE()</f>
        <v>1</v>
      </c>
      <c r="O2032" s="70">
        <v>360000</v>
      </c>
      <c r="P2032" s="70">
        <v>600000</v>
      </c>
      <c r="Q2032" s="60" t="s">
        <v>3663</v>
      </c>
      <c r="R2032" s="60" t="s">
        <v>7351</v>
      </c>
      <c r="S2032" s="70">
        <v>480000</v>
      </c>
      <c r="T2032" s="60" t="b">
        <f>TRUE()</f>
        <v>1</v>
      </c>
      <c r="U2032" s="60" t="b">
        <f>FALSE()</f>
        <v>0</v>
      </c>
      <c r="V2032" s="60">
        <v>745</v>
      </c>
      <c r="W2032" s="62" t="s">
        <v>6895</v>
      </c>
      <c r="X2032" s="60">
        <v>2</v>
      </c>
      <c r="Y2032" s="63">
        <v>0.48</v>
      </c>
      <c r="Z2032" s="60" t="b">
        <f>FALSE()</f>
        <v>0</v>
      </c>
      <c r="AA2032" s="60" t="b">
        <f>FALSE()</f>
        <v>0</v>
      </c>
      <c r="AB2032" s="60" t="b">
        <f>FALSE()</f>
        <v>0</v>
      </c>
      <c r="AC2032" s="60" t="b">
        <f>FALSE()</f>
        <v>0</v>
      </c>
      <c r="AD2032" s="60" t="b">
        <f>FALSE()</f>
        <v>0</v>
      </c>
      <c r="AE2032" s="60">
        <v>0</v>
      </c>
      <c r="AF2032" s="64">
        <v>0</v>
      </c>
      <c r="AG2032" s="60" t="s">
        <v>74</v>
      </c>
      <c r="AH2032" s="60" t="s">
        <v>7470</v>
      </c>
      <c r="AI2032">
        <f>IF(AND(OR(Company_Explorer!$B$5="All Companies",$E2032=Company_Explorer!$B$5),OR(Company_Explorer!$B$6="All Platforms",$B2032=Company_Explorer!$B$6),OR(Company_Explorer!$B$7="All Roles",$D2032=Company_Explorer!$B$7),OR(Company_Explorer!$B$8="All Ghost Labels",$AG2032=Company_Explorer!$B$8)),1,0)</f>
        <v>0</v>
      </c>
    </row>
    <row r="2033" spans="1:35" ht="15" customHeight="1" x14ac:dyDescent="0.3">
      <c r="A2033" s="65" t="s">
        <v>7471</v>
      </c>
      <c r="B2033" s="65" t="s">
        <v>82</v>
      </c>
      <c r="C2033" s="65" t="s">
        <v>7472</v>
      </c>
      <c r="D2033" s="65" t="s">
        <v>127</v>
      </c>
      <c r="E2033" s="65" t="s">
        <v>7473</v>
      </c>
      <c r="F2033" s="65" t="b">
        <f>TRUE()</f>
        <v>1</v>
      </c>
      <c r="G2033" s="65" t="s">
        <v>165</v>
      </c>
      <c r="H2033" s="65" t="s">
        <v>165</v>
      </c>
      <c r="I2033" s="66">
        <v>46184</v>
      </c>
      <c r="J2033" s="66">
        <v>46210.285107199103</v>
      </c>
      <c r="K2033" s="65">
        <v>26</v>
      </c>
      <c r="L2033" s="65" t="s">
        <v>192</v>
      </c>
      <c r="M2033" s="65" t="s">
        <v>183</v>
      </c>
      <c r="N2033" s="65" t="b">
        <f>FALSE()</f>
        <v>0</v>
      </c>
      <c r="O2033" s="65"/>
      <c r="P2033" s="65"/>
      <c r="Q2033" s="65" t="s">
        <v>3663</v>
      </c>
      <c r="R2033" s="65" t="s">
        <v>236</v>
      </c>
      <c r="S2033" s="65"/>
      <c r="T2033" s="65" t="b">
        <f>FALSE()</f>
        <v>0</v>
      </c>
      <c r="U2033" s="65" t="b">
        <f>FALSE()</f>
        <v>0</v>
      </c>
      <c r="V2033" s="65">
        <v>622</v>
      </c>
      <c r="W2033" s="67" t="s">
        <v>7474</v>
      </c>
      <c r="X2033" s="65">
        <v>4</v>
      </c>
      <c r="Y2033" s="68">
        <v>0.97</v>
      </c>
      <c r="Z2033" s="65" t="b">
        <f>FALSE()</f>
        <v>0</v>
      </c>
      <c r="AA2033" s="65" t="b">
        <f>TRUE()</f>
        <v>1</v>
      </c>
      <c r="AB2033" s="65" t="b">
        <f>FALSE()</f>
        <v>0</v>
      </c>
      <c r="AC2033" s="65" t="b">
        <f>FALSE()</f>
        <v>0</v>
      </c>
      <c r="AD2033" s="65" t="b">
        <f>FALSE()</f>
        <v>0</v>
      </c>
      <c r="AE2033" s="65">
        <v>1</v>
      </c>
      <c r="AF2033" s="69">
        <v>14.3</v>
      </c>
      <c r="AG2033" s="65" t="s">
        <v>74</v>
      </c>
      <c r="AH2033" s="65" t="s">
        <v>7475</v>
      </c>
      <c r="AI2033">
        <f>IF(AND(OR(Company_Explorer!$B$5="All Companies",$E2033=Company_Explorer!$B$5),OR(Company_Explorer!$B$6="All Platforms",$B2033=Company_Explorer!$B$6),OR(Company_Explorer!$B$7="All Roles",$D2033=Company_Explorer!$B$7),OR(Company_Explorer!$B$8="All Ghost Labels",$AG2033=Company_Explorer!$B$8)),1,0)</f>
        <v>0</v>
      </c>
    </row>
    <row r="2034" spans="1:35" ht="15" customHeight="1" x14ac:dyDescent="0.3">
      <c r="A2034" s="60" t="s">
        <v>7476</v>
      </c>
      <c r="B2034" s="60" t="s">
        <v>82</v>
      </c>
      <c r="C2034" s="60" t="s">
        <v>127</v>
      </c>
      <c r="D2034" s="60" t="s">
        <v>127</v>
      </c>
      <c r="E2034" s="60" t="s">
        <v>7477</v>
      </c>
      <c r="F2034" s="60" t="b">
        <f>TRUE()</f>
        <v>1</v>
      </c>
      <c r="G2034" s="60" t="s">
        <v>269</v>
      </c>
      <c r="H2034" s="60" t="s">
        <v>270</v>
      </c>
      <c r="I2034" s="61">
        <v>46193</v>
      </c>
      <c r="J2034" s="61">
        <v>46210.285107083298</v>
      </c>
      <c r="K2034" s="60">
        <v>17</v>
      </c>
      <c r="L2034" s="60" t="s">
        <v>192</v>
      </c>
      <c r="M2034" s="60" t="s">
        <v>183</v>
      </c>
      <c r="N2034" s="60" t="b">
        <f>TRUE()</f>
        <v>1</v>
      </c>
      <c r="O2034" s="70">
        <v>300000</v>
      </c>
      <c r="P2034" s="70">
        <v>560250</v>
      </c>
      <c r="Q2034" s="60" t="s">
        <v>3663</v>
      </c>
      <c r="R2034" s="60" t="s">
        <v>7351</v>
      </c>
      <c r="S2034" s="70">
        <v>430125</v>
      </c>
      <c r="T2034" s="60" t="b">
        <f>TRUE()</f>
        <v>1</v>
      </c>
      <c r="U2034" s="60" t="b">
        <f>FALSE()</f>
        <v>0</v>
      </c>
      <c r="V2034" s="60">
        <v>500</v>
      </c>
      <c r="W2034" s="62" t="s">
        <v>7478</v>
      </c>
      <c r="X2034" s="60">
        <v>1</v>
      </c>
      <c r="Y2034" s="63">
        <v>0.24</v>
      </c>
      <c r="Z2034" s="60" t="b">
        <f>FALSE()</f>
        <v>0</v>
      </c>
      <c r="AA2034" s="60" t="b">
        <f>FALSE()</f>
        <v>0</v>
      </c>
      <c r="AB2034" s="60" t="b">
        <f>FALSE()</f>
        <v>0</v>
      </c>
      <c r="AC2034" s="60" t="b">
        <f>FALSE()</f>
        <v>0</v>
      </c>
      <c r="AD2034" s="60" t="b">
        <f>FALSE()</f>
        <v>0</v>
      </c>
      <c r="AE2034" s="60">
        <v>0</v>
      </c>
      <c r="AF2034" s="64">
        <v>0</v>
      </c>
      <c r="AG2034" s="60" t="s">
        <v>74</v>
      </c>
      <c r="AH2034" s="60" t="s">
        <v>7479</v>
      </c>
      <c r="AI2034">
        <f>IF(AND(OR(Company_Explorer!$B$5="All Companies",$E2034=Company_Explorer!$B$5),OR(Company_Explorer!$B$6="All Platforms",$B2034=Company_Explorer!$B$6),OR(Company_Explorer!$B$7="All Roles",$D2034=Company_Explorer!$B$7),OR(Company_Explorer!$B$8="All Ghost Labels",$AG2034=Company_Explorer!$B$8)),1,0)</f>
        <v>0</v>
      </c>
    </row>
    <row r="2035" spans="1:35" ht="15" customHeight="1" x14ac:dyDescent="0.3">
      <c r="A2035" s="65" t="s">
        <v>7480</v>
      </c>
      <c r="B2035" s="65" t="s">
        <v>82</v>
      </c>
      <c r="C2035" s="65" t="s">
        <v>7481</v>
      </c>
      <c r="D2035" s="65" t="s">
        <v>127</v>
      </c>
      <c r="E2035" s="65" t="s">
        <v>7482</v>
      </c>
      <c r="F2035" s="65" t="b">
        <f>TRUE()</f>
        <v>1</v>
      </c>
      <c r="G2035" s="65" t="s">
        <v>172</v>
      </c>
      <c r="H2035" s="65" t="s">
        <v>276</v>
      </c>
      <c r="I2035" s="66">
        <v>46198</v>
      </c>
      <c r="J2035" s="66">
        <v>46210.285110798599</v>
      </c>
      <c r="K2035" s="65">
        <v>12</v>
      </c>
      <c r="L2035" s="65" t="s">
        <v>183</v>
      </c>
      <c r="M2035" s="65" t="s">
        <v>183</v>
      </c>
      <c r="N2035" s="65" t="b">
        <f>TRUE()</f>
        <v>1</v>
      </c>
      <c r="O2035" s="71">
        <v>540000</v>
      </c>
      <c r="P2035" s="71">
        <v>687500</v>
      </c>
      <c r="Q2035" s="65" t="s">
        <v>3663</v>
      </c>
      <c r="R2035" s="65" t="s">
        <v>7351</v>
      </c>
      <c r="S2035" s="71">
        <v>613750</v>
      </c>
      <c r="T2035" s="65" t="b">
        <f>TRUE()</f>
        <v>1</v>
      </c>
      <c r="U2035" s="65" t="b">
        <f>FALSE()</f>
        <v>0</v>
      </c>
      <c r="V2035" s="65">
        <v>91</v>
      </c>
      <c r="W2035" s="67" t="s">
        <v>7483</v>
      </c>
      <c r="X2035" s="65">
        <v>1</v>
      </c>
      <c r="Y2035" s="68">
        <v>0.24</v>
      </c>
      <c r="Z2035" s="65" t="b">
        <f>FALSE()</f>
        <v>0</v>
      </c>
      <c r="AA2035" s="65" t="b">
        <f>FALSE()</f>
        <v>0</v>
      </c>
      <c r="AB2035" s="65" t="b">
        <f>TRUE()</f>
        <v>1</v>
      </c>
      <c r="AC2035" s="65" t="b">
        <f>FALSE()</f>
        <v>0</v>
      </c>
      <c r="AD2035" s="65" t="b">
        <f>FALSE()</f>
        <v>0</v>
      </c>
      <c r="AE2035" s="65">
        <v>1</v>
      </c>
      <c r="AF2035" s="69">
        <v>14.3</v>
      </c>
      <c r="AG2035" s="65" t="s">
        <v>74</v>
      </c>
      <c r="AH2035" s="65" t="s">
        <v>7484</v>
      </c>
      <c r="AI2035">
        <f>IF(AND(OR(Company_Explorer!$B$5="All Companies",$E2035=Company_Explorer!$B$5),OR(Company_Explorer!$B$6="All Platforms",$B2035=Company_Explorer!$B$6),OR(Company_Explorer!$B$7="All Roles",$D2035=Company_Explorer!$B$7),OR(Company_Explorer!$B$8="All Ghost Labels",$AG2035=Company_Explorer!$B$8)),1,0)</f>
        <v>0</v>
      </c>
    </row>
    <row r="2036" spans="1:35" ht="15" customHeight="1" x14ac:dyDescent="0.3">
      <c r="A2036" s="60" t="s">
        <v>7485</v>
      </c>
      <c r="B2036" s="60" t="s">
        <v>82</v>
      </c>
      <c r="C2036" s="60" t="s">
        <v>7486</v>
      </c>
      <c r="D2036" s="60" t="s">
        <v>126</v>
      </c>
      <c r="E2036" s="60" t="s">
        <v>7487</v>
      </c>
      <c r="F2036" s="60" t="b">
        <f>TRUE()</f>
        <v>1</v>
      </c>
      <c r="G2036" s="60" t="s">
        <v>166</v>
      </c>
      <c r="H2036" s="60" t="s">
        <v>235</v>
      </c>
      <c r="I2036" s="61">
        <v>46200</v>
      </c>
      <c r="J2036" s="61">
        <v>46210.285113321799</v>
      </c>
      <c r="K2036" s="60">
        <v>10</v>
      </c>
      <c r="L2036" s="60" t="s">
        <v>183</v>
      </c>
      <c r="M2036" s="60" t="s">
        <v>183</v>
      </c>
      <c r="N2036" s="60" t="b">
        <f>TRUE()</f>
        <v>1</v>
      </c>
      <c r="O2036" s="70">
        <v>537500</v>
      </c>
      <c r="P2036" s="70">
        <v>1000000</v>
      </c>
      <c r="Q2036" s="60" t="s">
        <v>3663</v>
      </c>
      <c r="R2036" s="60" t="s">
        <v>7351</v>
      </c>
      <c r="S2036" s="70">
        <v>768750</v>
      </c>
      <c r="T2036" s="60" t="b">
        <f>TRUE()</f>
        <v>1</v>
      </c>
      <c r="U2036" s="60" t="b">
        <f>FALSE()</f>
        <v>0</v>
      </c>
      <c r="V2036" s="60">
        <v>419</v>
      </c>
      <c r="W2036" s="62" t="s">
        <v>7488</v>
      </c>
      <c r="X2036" s="60">
        <v>5</v>
      </c>
      <c r="Y2036" s="63">
        <v>1.21</v>
      </c>
      <c r="Z2036" s="60" t="b">
        <f>FALSE()</f>
        <v>0</v>
      </c>
      <c r="AA2036" s="60" t="b">
        <f>FALSE()</f>
        <v>0</v>
      </c>
      <c r="AB2036" s="60" t="b">
        <f>FALSE()</f>
        <v>0</v>
      </c>
      <c r="AC2036" s="60" t="b">
        <f>FALSE()</f>
        <v>0</v>
      </c>
      <c r="AD2036" s="60" t="b">
        <f>FALSE()</f>
        <v>0</v>
      </c>
      <c r="AE2036" s="60">
        <v>0</v>
      </c>
      <c r="AF2036" s="64">
        <v>0</v>
      </c>
      <c r="AG2036" s="60" t="s">
        <v>74</v>
      </c>
      <c r="AH2036" s="60" t="s">
        <v>7489</v>
      </c>
      <c r="AI2036">
        <f>IF(AND(OR(Company_Explorer!$B$5="All Companies",$E2036=Company_Explorer!$B$5),OR(Company_Explorer!$B$6="All Platforms",$B2036=Company_Explorer!$B$6),OR(Company_Explorer!$B$7="All Roles",$D2036=Company_Explorer!$B$7),OR(Company_Explorer!$B$8="All Ghost Labels",$AG2036=Company_Explorer!$B$8)),1,0)</f>
        <v>0</v>
      </c>
    </row>
    <row r="2037" spans="1:35" ht="15" customHeight="1" x14ac:dyDescent="0.3">
      <c r="A2037" s="65" t="s">
        <v>7490</v>
      </c>
      <c r="B2037" s="65" t="s">
        <v>82</v>
      </c>
      <c r="C2037" s="65" t="s">
        <v>5780</v>
      </c>
      <c r="D2037" s="65" t="s">
        <v>127</v>
      </c>
      <c r="E2037" s="65" t="s">
        <v>7491</v>
      </c>
      <c r="F2037" s="65" t="b">
        <f>TRUE()</f>
        <v>1</v>
      </c>
      <c r="G2037" s="65" t="s">
        <v>7492</v>
      </c>
      <c r="H2037" s="65" t="s">
        <v>754</v>
      </c>
      <c r="I2037" s="66">
        <v>46202</v>
      </c>
      <c r="J2037" s="66">
        <v>46210.285113240701</v>
      </c>
      <c r="K2037" s="65">
        <v>39</v>
      </c>
      <c r="L2037" s="65" t="s">
        <v>192</v>
      </c>
      <c r="M2037" s="65" t="s">
        <v>183</v>
      </c>
      <c r="N2037" s="65" t="b">
        <f>TRUE()</f>
        <v>1</v>
      </c>
      <c r="O2037" s="71">
        <v>477881</v>
      </c>
      <c r="P2037" s="71">
        <v>900000</v>
      </c>
      <c r="Q2037" s="65" t="s">
        <v>3663</v>
      </c>
      <c r="R2037" s="65" t="s">
        <v>7351</v>
      </c>
      <c r="S2037" s="71">
        <v>688940</v>
      </c>
      <c r="T2037" s="65" t="b">
        <f>TRUE()</f>
        <v>1</v>
      </c>
      <c r="U2037" s="65" t="b">
        <f>FALSE()</f>
        <v>0</v>
      </c>
      <c r="V2037" s="65">
        <v>426</v>
      </c>
      <c r="W2037" s="67" t="s">
        <v>7493</v>
      </c>
      <c r="X2037" s="65">
        <v>6</v>
      </c>
      <c r="Y2037" s="68">
        <v>1.45</v>
      </c>
      <c r="Z2037" s="65" t="b">
        <f>FALSE()</f>
        <v>0</v>
      </c>
      <c r="AA2037" s="65" t="b">
        <f>FALSE()</f>
        <v>0</v>
      </c>
      <c r="AB2037" s="65" t="b">
        <f>FALSE()</f>
        <v>0</v>
      </c>
      <c r="AC2037" s="65" t="b">
        <f>FALSE()</f>
        <v>0</v>
      </c>
      <c r="AD2037" s="65" t="b">
        <f>FALSE()</f>
        <v>0</v>
      </c>
      <c r="AE2037" s="65">
        <v>0</v>
      </c>
      <c r="AF2037" s="69">
        <v>0</v>
      </c>
      <c r="AG2037" s="65" t="s">
        <v>74</v>
      </c>
      <c r="AH2037" s="65" t="s">
        <v>7494</v>
      </c>
      <c r="AI2037">
        <f>IF(AND(OR(Company_Explorer!$B$5="All Companies",$E2037=Company_Explorer!$B$5),OR(Company_Explorer!$B$6="All Platforms",$B2037=Company_Explorer!$B$6),OR(Company_Explorer!$B$7="All Roles",$D2037=Company_Explorer!$B$7),OR(Company_Explorer!$B$8="All Ghost Labels",$AG2037=Company_Explorer!$B$8)),1,0)</f>
        <v>0</v>
      </c>
    </row>
    <row r="2038" spans="1:35" ht="15" customHeight="1" x14ac:dyDescent="0.3">
      <c r="A2038" s="60" t="s">
        <v>7495</v>
      </c>
      <c r="B2038" s="60" t="s">
        <v>82</v>
      </c>
      <c r="C2038" s="60" t="s">
        <v>7496</v>
      </c>
      <c r="D2038" s="60" t="s">
        <v>127</v>
      </c>
      <c r="E2038" s="60" t="s">
        <v>3726</v>
      </c>
      <c r="F2038" s="60" t="b">
        <f>FALSE()</f>
        <v>0</v>
      </c>
      <c r="G2038" s="60" t="s">
        <v>165</v>
      </c>
      <c r="H2038" s="60" t="s">
        <v>165</v>
      </c>
      <c r="I2038" s="61">
        <v>46189</v>
      </c>
      <c r="J2038" s="61">
        <v>46210.285120104199</v>
      </c>
      <c r="K2038" s="60">
        <v>53</v>
      </c>
      <c r="L2038" s="60" t="s">
        <v>192</v>
      </c>
      <c r="M2038" s="60" t="s">
        <v>183</v>
      </c>
      <c r="N2038" s="60" t="b">
        <f>TRUE()</f>
        <v>1</v>
      </c>
      <c r="O2038" s="70">
        <v>38300</v>
      </c>
      <c r="P2038" s="70">
        <v>86200</v>
      </c>
      <c r="Q2038" s="60" t="s">
        <v>3663</v>
      </c>
      <c r="R2038" s="60" t="s">
        <v>7445</v>
      </c>
      <c r="S2038" s="70">
        <v>747000</v>
      </c>
      <c r="T2038" s="60" t="b">
        <f>TRUE()</f>
        <v>1</v>
      </c>
      <c r="U2038" s="60" t="b">
        <f>FALSE()</f>
        <v>0</v>
      </c>
      <c r="V2038" s="60">
        <v>380</v>
      </c>
      <c r="W2038" s="62" t="s">
        <v>7497</v>
      </c>
      <c r="X2038" s="60"/>
      <c r="Y2038" s="63"/>
      <c r="Z2038" s="60" t="b">
        <f>TRUE()</f>
        <v>1</v>
      </c>
      <c r="AA2038" s="60" t="b">
        <f>FALSE()</f>
        <v>0</v>
      </c>
      <c r="AB2038" s="60" t="b">
        <f>FALSE()</f>
        <v>0</v>
      </c>
      <c r="AC2038" s="60" t="b">
        <f>FALSE()</f>
        <v>0</v>
      </c>
      <c r="AD2038" s="60" t="b">
        <f>FALSE()</f>
        <v>0</v>
      </c>
      <c r="AE2038" s="60">
        <v>2</v>
      </c>
      <c r="AF2038" s="64">
        <v>28.6</v>
      </c>
      <c r="AG2038" s="60" t="s">
        <v>73</v>
      </c>
      <c r="AH2038" s="60" t="s">
        <v>7498</v>
      </c>
      <c r="AI2038">
        <f>IF(AND(OR(Company_Explorer!$B$5="All Companies",$E2038=Company_Explorer!$B$5),OR(Company_Explorer!$B$6="All Platforms",$B2038=Company_Explorer!$B$6),OR(Company_Explorer!$B$7="All Roles",$D2038=Company_Explorer!$B$7),OR(Company_Explorer!$B$8="All Ghost Labels",$AG2038=Company_Explorer!$B$8)),1,0)</f>
        <v>0</v>
      </c>
    </row>
    <row r="2039" spans="1:35" ht="15" customHeight="1" x14ac:dyDescent="0.3">
      <c r="A2039" s="65" t="s">
        <v>7499</v>
      </c>
      <c r="B2039" s="65" t="s">
        <v>82</v>
      </c>
      <c r="C2039" s="65" t="s">
        <v>7500</v>
      </c>
      <c r="D2039" s="65" t="s">
        <v>127</v>
      </c>
      <c r="E2039" s="65" t="s">
        <v>7501</v>
      </c>
      <c r="F2039" s="65" t="b">
        <f>TRUE()</f>
        <v>1</v>
      </c>
      <c r="G2039" s="65" t="s">
        <v>165</v>
      </c>
      <c r="H2039" s="65" t="s">
        <v>165</v>
      </c>
      <c r="I2039" s="66">
        <v>46196</v>
      </c>
      <c r="J2039" s="66">
        <v>46210.285122175897</v>
      </c>
      <c r="K2039" s="65">
        <v>14</v>
      </c>
      <c r="L2039" s="65" t="s">
        <v>192</v>
      </c>
      <c r="M2039" s="65" t="s">
        <v>183</v>
      </c>
      <c r="N2039" s="65" t="b">
        <f>FALSE()</f>
        <v>0</v>
      </c>
      <c r="O2039" s="65"/>
      <c r="P2039" s="65"/>
      <c r="Q2039" s="65" t="s">
        <v>3663</v>
      </c>
      <c r="R2039" s="65" t="s">
        <v>236</v>
      </c>
      <c r="S2039" s="65"/>
      <c r="T2039" s="65" t="b">
        <f>FALSE()</f>
        <v>0</v>
      </c>
      <c r="U2039" s="65" t="b">
        <f>FALSE()</f>
        <v>0</v>
      </c>
      <c r="V2039" s="65">
        <v>1047</v>
      </c>
      <c r="W2039" s="67" t="s">
        <v>7008</v>
      </c>
      <c r="X2039" s="65">
        <v>4</v>
      </c>
      <c r="Y2039" s="68">
        <v>0.97</v>
      </c>
      <c r="Z2039" s="65" t="b">
        <f>FALSE()</f>
        <v>0</v>
      </c>
      <c r="AA2039" s="65" t="b">
        <f>TRUE()</f>
        <v>1</v>
      </c>
      <c r="AB2039" s="65" t="b">
        <f>FALSE()</f>
        <v>0</v>
      </c>
      <c r="AC2039" s="65" t="b">
        <f>FALSE()</f>
        <v>0</v>
      </c>
      <c r="AD2039" s="65" t="b">
        <f>FALSE()</f>
        <v>0</v>
      </c>
      <c r="AE2039" s="65">
        <v>1</v>
      </c>
      <c r="AF2039" s="69">
        <v>14.3</v>
      </c>
      <c r="AG2039" s="65" t="s">
        <v>74</v>
      </c>
      <c r="AH2039" s="65" t="s">
        <v>7502</v>
      </c>
      <c r="AI2039">
        <f>IF(AND(OR(Company_Explorer!$B$5="All Companies",$E2039=Company_Explorer!$B$5),OR(Company_Explorer!$B$6="All Platforms",$B2039=Company_Explorer!$B$6),OR(Company_Explorer!$B$7="All Roles",$D2039=Company_Explorer!$B$7),OR(Company_Explorer!$B$8="All Ghost Labels",$AG2039=Company_Explorer!$B$8)),1,0)</f>
        <v>0</v>
      </c>
    </row>
    <row r="2040" spans="1:35" ht="15" customHeight="1" x14ac:dyDescent="0.3">
      <c r="A2040" s="60" t="s">
        <v>7503</v>
      </c>
      <c r="B2040" s="60" t="s">
        <v>82</v>
      </c>
      <c r="C2040" s="60" t="s">
        <v>127</v>
      </c>
      <c r="D2040" s="60" t="s">
        <v>127</v>
      </c>
      <c r="E2040" s="60" t="s">
        <v>3726</v>
      </c>
      <c r="F2040" s="60" t="b">
        <f>FALSE()</f>
        <v>0</v>
      </c>
      <c r="G2040" s="60" t="s">
        <v>165</v>
      </c>
      <c r="H2040" s="60" t="s">
        <v>165</v>
      </c>
      <c r="I2040" s="61">
        <v>46210</v>
      </c>
      <c r="J2040" s="61">
        <v>46210.2851235532</v>
      </c>
      <c r="K2040" s="60">
        <v>0</v>
      </c>
      <c r="L2040" s="60" t="s">
        <v>192</v>
      </c>
      <c r="M2040" s="60" t="s">
        <v>183</v>
      </c>
      <c r="N2040" s="60" t="b">
        <f>TRUE()</f>
        <v>1</v>
      </c>
      <c r="O2040" s="70">
        <v>18000</v>
      </c>
      <c r="P2040" s="70">
        <v>35000</v>
      </c>
      <c r="Q2040" s="60" t="s">
        <v>3663</v>
      </c>
      <c r="R2040" s="60" t="s">
        <v>7445</v>
      </c>
      <c r="S2040" s="70">
        <v>318000</v>
      </c>
      <c r="T2040" s="60" t="b">
        <f>TRUE()</f>
        <v>1</v>
      </c>
      <c r="U2040" s="60" t="b">
        <f>FALSE()</f>
        <v>0</v>
      </c>
      <c r="V2040" s="60">
        <v>166</v>
      </c>
      <c r="W2040" s="62" t="s">
        <v>5668</v>
      </c>
      <c r="X2040" s="60"/>
      <c r="Y2040" s="63"/>
      <c r="Z2040" s="60" t="b">
        <f>TRUE()</f>
        <v>1</v>
      </c>
      <c r="AA2040" s="60" t="b">
        <f>FALSE()</f>
        <v>0</v>
      </c>
      <c r="AB2040" s="60" t="b">
        <f>TRUE()</f>
        <v>1</v>
      </c>
      <c r="AC2040" s="60" t="b">
        <f>FALSE()</f>
        <v>0</v>
      </c>
      <c r="AD2040" s="60" t="b">
        <f>FALSE()</f>
        <v>0</v>
      </c>
      <c r="AE2040" s="60">
        <v>3</v>
      </c>
      <c r="AF2040" s="64">
        <v>42.9</v>
      </c>
      <c r="AG2040" s="60" t="s">
        <v>73</v>
      </c>
      <c r="AH2040" s="60" t="s">
        <v>7504</v>
      </c>
      <c r="AI2040">
        <f>IF(AND(OR(Company_Explorer!$B$5="All Companies",$E2040=Company_Explorer!$B$5),OR(Company_Explorer!$B$6="All Platforms",$B2040=Company_Explorer!$B$6),OR(Company_Explorer!$B$7="All Roles",$D2040=Company_Explorer!$B$7),OR(Company_Explorer!$B$8="All Ghost Labels",$AG2040=Company_Explorer!$B$8)),1,0)</f>
        <v>0</v>
      </c>
    </row>
    <row r="2041" spans="1:35" ht="15" customHeight="1" x14ac:dyDescent="0.3">
      <c r="A2041" s="65" t="s">
        <v>7505</v>
      </c>
      <c r="B2041" s="65" t="s">
        <v>82</v>
      </c>
      <c r="C2041" s="65" t="s">
        <v>127</v>
      </c>
      <c r="D2041" s="65" t="s">
        <v>127</v>
      </c>
      <c r="E2041" s="65" t="s">
        <v>7506</v>
      </c>
      <c r="F2041" s="65" t="b">
        <f>TRUE()</f>
        <v>1</v>
      </c>
      <c r="G2041" s="65" t="s">
        <v>175</v>
      </c>
      <c r="H2041" s="65" t="s">
        <v>254</v>
      </c>
      <c r="I2041" s="66">
        <v>46210</v>
      </c>
      <c r="J2041" s="66">
        <v>46210.285127245399</v>
      </c>
      <c r="K2041" s="65">
        <v>122</v>
      </c>
      <c r="L2041" s="65" t="s">
        <v>183</v>
      </c>
      <c r="M2041" s="65" t="s">
        <v>183</v>
      </c>
      <c r="N2041" s="65" t="b">
        <f>TRUE()</f>
        <v>1</v>
      </c>
      <c r="O2041" s="71">
        <v>300000</v>
      </c>
      <c r="P2041" s="71">
        <v>800000</v>
      </c>
      <c r="Q2041" s="65" t="s">
        <v>3663</v>
      </c>
      <c r="R2041" s="65" t="s">
        <v>7351</v>
      </c>
      <c r="S2041" s="71">
        <v>550000</v>
      </c>
      <c r="T2041" s="65" t="b">
        <f>TRUE()</f>
        <v>1</v>
      </c>
      <c r="U2041" s="65" t="b">
        <f>FALSE()</f>
        <v>0</v>
      </c>
      <c r="V2041" s="65">
        <v>64</v>
      </c>
      <c r="W2041" s="65" t="s">
        <v>7507</v>
      </c>
      <c r="X2041" s="65">
        <v>1</v>
      </c>
      <c r="Y2041" s="68">
        <v>0.24</v>
      </c>
      <c r="Z2041" s="65" t="b">
        <f>FALSE()</f>
        <v>0</v>
      </c>
      <c r="AA2041" s="65" t="b">
        <f>FALSE()</f>
        <v>0</v>
      </c>
      <c r="AB2041" s="65" t="b">
        <f>TRUE()</f>
        <v>1</v>
      </c>
      <c r="AC2041" s="65" t="b">
        <f>TRUE()</f>
        <v>1</v>
      </c>
      <c r="AD2041" s="65" t="b">
        <f>FALSE()</f>
        <v>0</v>
      </c>
      <c r="AE2041" s="65">
        <v>2</v>
      </c>
      <c r="AF2041" s="69">
        <v>28.6</v>
      </c>
      <c r="AG2041" s="65" t="s">
        <v>73</v>
      </c>
      <c r="AH2041" s="65" t="s">
        <v>7508</v>
      </c>
      <c r="AI2041">
        <f>IF(AND(OR(Company_Explorer!$B$5="All Companies",$E2041=Company_Explorer!$B$5),OR(Company_Explorer!$B$6="All Platforms",$B2041=Company_Explorer!$B$6),OR(Company_Explorer!$B$7="All Roles",$D2041=Company_Explorer!$B$7),OR(Company_Explorer!$B$8="All Ghost Labels",$AG2041=Company_Explorer!$B$8)),1,0)</f>
        <v>0</v>
      </c>
    </row>
    <row r="2042" spans="1:35" ht="15" customHeight="1" x14ac:dyDescent="0.3">
      <c r="A2042" s="60" t="s">
        <v>7509</v>
      </c>
      <c r="B2042" s="60" t="s">
        <v>82</v>
      </c>
      <c r="C2042" s="60" t="s">
        <v>7510</v>
      </c>
      <c r="D2042" s="60" t="s">
        <v>127</v>
      </c>
      <c r="E2042" s="60" t="s">
        <v>7511</v>
      </c>
      <c r="F2042" s="60" t="b">
        <f>TRUE()</f>
        <v>1</v>
      </c>
      <c r="G2042" s="60" t="s">
        <v>165</v>
      </c>
      <c r="H2042" s="60" t="s">
        <v>165</v>
      </c>
      <c r="I2042" s="61">
        <v>46182</v>
      </c>
      <c r="J2042" s="61">
        <v>46210.285139733802</v>
      </c>
      <c r="K2042" s="60">
        <v>59</v>
      </c>
      <c r="L2042" s="60" t="s">
        <v>192</v>
      </c>
      <c r="M2042" s="60" t="s">
        <v>183</v>
      </c>
      <c r="N2042" s="60" t="b">
        <f>FALSE()</f>
        <v>0</v>
      </c>
      <c r="O2042" s="60"/>
      <c r="P2042" s="60"/>
      <c r="Q2042" s="60" t="s">
        <v>3663</v>
      </c>
      <c r="R2042" s="60" t="s">
        <v>236</v>
      </c>
      <c r="S2042" s="60"/>
      <c r="T2042" s="60" t="b">
        <f>FALSE()</f>
        <v>0</v>
      </c>
      <c r="U2042" s="60" t="b">
        <f>FALSE()</f>
        <v>0</v>
      </c>
      <c r="V2042" s="60">
        <v>905</v>
      </c>
      <c r="W2042" s="62" t="s">
        <v>7512</v>
      </c>
      <c r="X2042" s="60">
        <v>9</v>
      </c>
      <c r="Y2042" s="63">
        <v>2.17</v>
      </c>
      <c r="Z2042" s="60" t="b">
        <f>FALSE()</f>
        <v>0</v>
      </c>
      <c r="AA2042" s="60" t="b">
        <f>TRUE()</f>
        <v>1</v>
      </c>
      <c r="AB2042" s="60" t="b">
        <f>FALSE()</f>
        <v>0</v>
      </c>
      <c r="AC2042" s="60" t="b">
        <f>FALSE()</f>
        <v>0</v>
      </c>
      <c r="AD2042" s="60" t="b">
        <f>FALSE()</f>
        <v>0</v>
      </c>
      <c r="AE2042" s="60">
        <v>1</v>
      </c>
      <c r="AF2042" s="64">
        <v>14.3</v>
      </c>
      <c r="AG2042" s="60" t="s">
        <v>74</v>
      </c>
      <c r="AH2042" s="60" t="s">
        <v>7513</v>
      </c>
      <c r="AI2042">
        <f>IF(AND(OR(Company_Explorer!$B$5="All Companies",$E2042=Company_Explorer!$B$5),OR(Company_Explorer!$B$6="All Platforms",$B2042=Company_Explorer!$B$6),OR(Company_Explorer!$B$7="All Roles",$D2042=Company_Explorer!$B$7),OR(Company_Explorer!$B$8="All Ghost Labels",$AG2042=Company_Explorer!$B$8)),1,0)</f>
        <v>0</v>
      </c>
    </row>
    <row r="2043" spans="1:35" ht="15" customHeight="1" x14ac:dyDescent="0.3">
      <c r="A2043" s="65" t="s">
        <v>7514</v>
      </c>
      <c r="B2043" s="65" t="s">
        <v>82</v>
      </c>
      <c r="C2043" s="65" t="s">
        <v>7515</v>
      </c>
      <c r="D2043" s="65" t="s">
        <v>126</v>
      </c>
      <c r="E2043" s="65" t="s">
        <v>150</v>
      </c>
      <c r="F2043" s="65" t="b">
        <f>TRUE()</f>
        <v>1</v>
      </c>
      <c r="G2043" s="65" t="s">
        <v>165</v>
      </c>
      <c r="H2043" s="65" t="s">
        <v>165</v>
      </c>
      <c r="I2043" s="66">
        <v>46205</v>
      </c>
      <c r="J2043" s="66">
        <v>46210.285141886598</v>
      </c>
      <c r="K2043" s="65">
        <v>5</v>
      </c>
      <c r="L2043" s="65" t="s">
        <v>192</v>
      </c>
      <c r="M2043" s="65" t="s">
        <v>183</v>
      </c>
      <c r="N2043" s="65" t="b">
        <f>FALSE()</f>
        <v>0</v>
      </c>
      <c r="O2043" s="65"/>
      <c r="P2043" s="65"/>
      <c r="Q2043" s="65" t="s">
        <v>3663</v>
      </c>
      <c r="R2043" s="65" t="s">
        <v>236</v>
      </c>
      <c r="S2043" s="65"/>
      <c r="T2043" s="65" t="b">
        <f>FALSE()</f>
        <v>0</v>
      </c>
      <c r="U2043" s="65" t="b">
        <f>FALSE()</f>
        <v>0</v>
      </c>
      <c r="V2043" s="65">
        <v>467</v>
      </c>
      <c r="W2043" s="67" t="s">
        <v>3698</v>
      </c>
      <c r="X2043" s="65">
        <v>18</v>
      </c>
      <c r="Y2043" s="68">
        <v>4.34</v>
      </c>
      <c r="Z2043" s="65" t="b">
        <f>FALSE()</f>
        <v>0</v>
      </c>
      <c r="AA2043" s="65" t="b">
        <f>TRUE()</f>
        <v>1</v>
      </c>
      <c r="AB2043" s="65" t="b">
        <f>FALSE()</f>
        <v>0</v>
      </c>
      <c r="AC2043" s="65" t="b">
        <f>FALSE()</f>
        <v>0</v>
      </c>
      <c r="AD2043" s="65" t="b">
        <f>TRUE()</f>
        <v>1</v>
      </c>
      <c r="AE2043" s="65">
        <v>3</v>
      </c>
      <c r="AF2043" s="69">
        <v>42.9</v>
      </c>
      <c r="AG2043" s="65" t="s">
        <v>73</v>
      </c>
      <c r="AH2043" s="65" t="s">
        <v>7516</v>
      </c>
      <c r="AI2043">
        <f>IF(AND(OR(Company_Explorer!$B$5="All Companies",$E2043=Company_Explorer!$B$5),OR(Company_Explorer!$B$6="All Platforms",$B2043=Company_Explorer!$B$6),OR(Company_Explorer!$B$7="All Roles",$D2043=Company_Explorer!$B$7),OR(Company_Explorer!$B$8="All Ghost Labels",$AG2043=Company_Explorer!$B$8)),1,0)</f>
        <v>0</v>
      </c>
    </row>
    <row r="2044" spans="1:35" ht="15" customHeight="1" x14ac:dyDescent="0.3">
      <c r="A2044" s="60" t="s">
        <v>7517</v>
      </c>
      <c r="B2044" s="60" t="s">
        <v>82</v>
      </c>
      <c r="C2044" s="60" t="s">
        <v>7518</v>
      </c>
      <c r="D2044" s="60" t="s">
        <v>127</v>
      </c>
      <c r="E2044" s="60" t="s">
        <v>157</v>
      </c>
      <c r="F2044" s="60" t="b">
        <f>TRUE()</f>
        <v>1</v>
      </c>
      <c r="G2044" s="60" t="s">
        <v>176</v>
      </c>
      <c r="H2044" s="60" t="s">
        <v>302</v>
      </c>
      <c r="I2044" s="61">
        <v>46203</v>
      </c>
      <c r="J2044" s="61">
        <v>46210.285150520802</v>
      </c>
      <c r="K2044" s="60">
        <v>7</v>
      </c>
      <c r="L2044" s="60" t="s">
        <v>192</v>
      </c>
      <c r="M2044" s="60" t="s">
        <v>183</v>
      </c>
      <c r="N2044" s="60" t="b">
        <f>TRUE()</f>
        <v>1</v>
      </c>
      <c r="O2044" s="70">
        <v>600000</v>
      </c>
      <c r="P2044" s="70">
        <v>918750</v>
      </c>
      <c r="Q2044" s="60" t="s">
        <v>3663</v>
      </c>
      <c r="R2044" s="60" t="s">
        <v>7351</v>
      </c>
      <c r="S2044" s="70">
        <v>759375</v>
      </c>
      <c r="T2044" s="60" t="b">
        <f>TRUE()</f>
        <v>1</v>
      </c>
      <c r="U2044" s="60" t="b">
        <f>FALSE()</f>
        <v>0</v>
      </c>
      <c r="V2044" s="60">
        <v>44</v>
      </c>
      <c r="W2044" s="62" t="s">
        <v>7519</v>
      </c>
      <c r="X2044" s="60">
        <v>15</v>
      </c>
      <c r="Y2044" s="63">
        <v>3.62</v>
      </c>
      <c r="Z2044" s="60" t="b">
        <f>FALSE()</f>
        <v>0</v>
      </c>
      <c r="AA2044" s="60" t="b">
        <f>FALSE()</f>
        <v>0</v>
      </c>
      <c r="AB2044" s="60" t="b">
        <f>TRUE()</f>
        <v>1</v>
      </c>
      <c r="AC2044" s="60" t="b">
        <f>FALSE()</f>
        <v>0</v>
      </c>
      <c r="AD2044" s="60" t="b">
        <f>TRUE()</f>
        <v>1</v>
      </c>
      <c r="AE2044" s="60">
        <v>3</v>
      </c>
      <c r="AF2044" s="64">
        <v>42.9</v>
      </c>
      <c r="AG2044" s="60" t="s">
        <v>73</v>
      </c>
      <c r="AH2044" s="60" t="s">
        <v>7520</v>
      </c>
      <c r="AI2044">
        <f>IF(AND(OR(Company_Explorer!$B$5="All Companies",$E2044=Company_Explorer!$B$5),OR(Company_Explorer!$B$6="All Platforms",$B2044=Company_Explorer!$B$6),OR(Company_Explorer!$B$7="All Roles",$D2044=Company_Explorer!$B$7),OR(Company_Explorer!$B$8="All Ghost Labels",$AG2044=Company_Explorer!$B$8)),1,0)</f>
        <v>0</v>
      </c>
    </row>
    <row r="2045" spans="1:35" ht="15" customHeight="1" x14ac:dyDescent="0.3">
      <c r="A2045" s="65" t="s">
        <v>7521</v>
      </c>
      <c r="B2045" s="65" t="s">
        <v>82</v>
      </c>
      <c r="C2045" s="65" t="s">
        <v>127</v>
      </c>
      <c r="D2045" s="65" t="s">
        <v>127</v>
      </c>
      <c r="E2045" s="65" t="s">
        <v>7522</v>
      </c>
      <c r="F2045" s="65" t="b">
        <f>TRUE()</f>
        <v>1</v>
      </c>
      <c r="G2045" s="65" t="s">
        <v>166</v>
      </c>
      <c r="H2045" s="65" t="s">
        <v>235</v>
      </c>
      <c r="I2045" s="66">
        <v>46206</v>
      </c>
      <c r="J2045" s="66">
        <v>46210.285151863398</v>
      </c>
      <c r="K2045" s="65">
        <v>4</v>
      </c>
      <c r="L2045" s="65" t="s">
        <v>192</v>
      </c>
      <c r="M2045" s="65" t="s">
        <v>183</v>
      </c>
      <c r="N2045" s="65" t="b">
        <f>TRUE()</f>
        <v>1</v>
      </c>
      <c r="O2045" s="71">
        <v>232500</v>
      </c>
      <c r="P2045" s="71">
        <v>945000</v>
      </c>
      <c r="Q2045" s="65" t="s">
        <v>3663</v>
      </c>
      <c r="R2045" s="65" t="s">
        <v>7351</v>
      </c>
      <c r="S2045" s="71">
        <v>588750</v>
      </c>
      <c r="T2045" s="65" t="b">
        <f>TRUE()</f>
        <v>1</v>
      </c>
      <c r="U2045" s="65" t="b">
        <f>FALSE()</f>
        <v>0</v>
      </c>
      <c r="V2045" s="65">
        <v>1314</v>
      </c>
      <c r="W2045" s="67" t="s">
        <v>7523</v>
      </c>
      <c r="X2045" s="65">
        <v>2</v>
      </c>
      <c r="Y2045" s="68">
        <v>0.48</v>
      </c>
      <c r="Z2045" s="65" t="b">
        <f>FALSE()</f>
        <v>0</v>
      </c>
      <c r="AA2045" s="65" t="b">
        <f>FALSE()</f>
        <v>0</v>
      </c>
      <c r="AB2045" s="65" t="b">
        <f>FALSE()</f>
        <v>0</v>
      </c>
      <c r="AC2045" s="65" t="b">
        <f>FALSE()</f>
        <v>0</v>
      </c>
      <c r="AD2045" s="65" t="b">
        <f>FALSE()</f>
        <v>0</v>
      </c>
      <c r="AE2045" s="65">
        <v>0</v>
      </c>
      <c r="AF2045" s="69">
        <v>0</v>
      </c>
      <c r="AG2045" s="65" t="s">
        <v>74</v>
      </c>
      <c r="AH2045" s="65" t="s">
        <v>7524</v>
      </c>
      <c r="AI2045">
        <f>IF(AND(OR(Company_Explorer!$B$5="All Companies",$E2045=Company_Explorer!$B$5),OR(Company_Explorer!$B$6="All Platforms",$B2045=Company_Explorer!$B$6),OR(Company_Explorer!$B$7="All Roles",$D2045=Company_Explorer!$B$7),OR(Company_Explorer!$B$8="All Ghost Labels",$AG2045=Company_Explorer!$B$8)),1,0)</f>
        <v>0</v>
      </c>
    </row>
    <row r="2046" spans="1:35" ht="15" customHeight="1" x14ac:dyDescent="0.3">
      <c r="A2046" s="60" t="s">
        <v>7525</v>
      </c>
      <c r="B2046" s="60" t="s">
        <v>82</v>
      </c>
      <c r="C2046" s="60" t="s">
        <v>7526</v>
      </c>
      <c r="D2046" s="60" t="s">
        <v>126</v>
      </c>
      <c r="E2046" s="60" t="s">
        <v>150</v>
      </c>
      <c r="F2046" s="60" t="b">
        <f>TRUE()</f>
        <v>1</v>
      </c>
      <c r="G2046" s="60" t="s">
        <v>165</v>
      </c>
      <c r="H2046" s="60" t="s">
        <v>165</v>
      </c>
      <c r="I2046" s="61">
        <v>46206</v>
      </c>
      <c r="J2046" s="61">
        <v>46210.285153541699</v>
      </c>
      <c r="K2046" s="60">
        <v>4</v>
      </c>
      <c r="L2046" s="60" t="s">
        <v>192</v>
      </c>
      <c r="M2046" s="60" t="s">
        <v>183</v>
      </c>
      <c r="N2046" s="60" t="b">
        <f>FALSE()</f>
        <v>0</v>
      </c>
      <c r="O2046" s="60"/>
      <c r="P2046" s="60"/>
      <c r="Q2046" s="60" t="s">
        <v>3663</v>
      </c>
      <c r="R2046" s="60" t="s">
        <v>236</v>
      </c>
      <c r="S2046" s="60"/>
      <c r="T2046" s="60" t="b">
        <f>FALSE()</f>
        <v>0</v>
      </c>
      <c r="U2046" s="60" t="b">
        <f>FALSE()</f>
        <v>0</v>
      </c>
      <c r="V2046" s="60">
        <v>440</v>
      </c>
      <c r="W2046" s="62" t="s">
        <v>3698</v>
      </c>
      <c r="X2046" s="60">
        <v>18</v>
      </c>
      <c r="Y2046" s="63">
        <v>4.34</v>
      </c>
      <c r="Z2046" s="60" t="b">
        <f>FALSE()</f>
        <v>0</v>
      </c>
      <c r="AA2046" s="60" t="b">
        <f>TRUE()</f>
        <v>1</v>
      </c>
      <c r="AB2046" s="60" t="b">
        <f>FALSE()</f>
        <v>0</v>
      </c>
      <c r="AC2046" s="60" t="b">
        <f>FALSE()</f>
        <v>0</v>
      </c>
      <c r="AD2046" s="60" t="b">
        <f>TRUE()</f>
        <v>1</v>
      </c>
      <c r="AE2046" s="60">
        <v>3</v>
      </c>
      <c r="AF2046" s="64">
        <v>42.9</v>
      </c>
      <c r="AG2046" s="60" t="s">
        <v>73</v>
      </c>
      <c r="AH2046" s="60" t="s">
        <v>7527</v>
      </c>
      <c r="AI2046">
        <f>IF(AND(OR(Company_Explorer!$B$5="All Companies",$E2046=Company_Explorer!$B$5),OR(Company_Explorer!$B$6="All Platforms",$B2046=Company_Explorer!$B$6),OR(Company_Explorer!$B$7="All Roles",$D2046=Company_Explorer!$B$7),OR(Company_Explorer!$B$8="All Ghost Labels",$AG2046=Company_Explorer!$B$8)),1,0)</f>
        <v>0</v>
      </c>
    </row>
    <row r="2047" spans="1:35" ht="15" customHeight="1" x14ac:dyDescent="0.3">
      <c r="A2047" s="65" t="s">
        <v>7528</v>
      </c>
      <c r="B2047" s="65" t="s">
        <v>82</v>
      </c>
      <c r="C2047" s="65" t="s">
        <v>6885</v>
      </c>
      <c r="D2047" s="65" t="s">
        <v>127</v>
      </c>
      <c r="E2047" s="65" t="s">
        <v>7469</v>
      </c>
      <c r="F2047" s="65" t="b">
        <f>TRUE()</f>
        <v>1</v>
      </c>
      <c r="G2047" s="65" t="s">
        <v>166</v>
      </c>
      <c r="H2047" s="65" t="s">
        <v>235</v>
      </c>
      <c r="I2047" s="66">
        <v>46208</v>
      </c>
      <c r="J2047" s="66">
        <v>46210.285154675898</v>
      </c>
      <c r="K2047" s="65">
        <v>3</v>
      </c>
      <c r="L2047" s="65" t="s">
        <v>192</v>
      </c>
      <c r="M2047" s="65" t="s">
        <v>183</v>
      </c>
      <c r="N2047" s="65" t="b">
        <f>TRUE()</f>
        <v>1</v>
      </c>
      <c r="O2047" s="71">
        <v>360000</v>
      </c>
      <c r="P2047" s="71">
        <v>600000</v>
      </c>
      <c r="Q2047" s="65" t="s">
        <v>3663</v>
      </c>
      <c r="R2047" s="65" t="s">
        <v>7351</v>
      </c>
      <c r="S2047" s="71">
        <v>480000</v>
      </c>
      <c r="T2047" s="65" t="b">
        <f>TRUE()</f>
        <v>1</v>
      </c>
      <c r="U2047" s="65" t="b">
        <f>FALSE()</f>
        <v>0</v>
      </c>
      <c r="V2047" s="65">
        <v>746</v>
      </c>
      <c r="W2047" s="67" t="s">
        <v>6887</v>
      </c>
      <c r="X2047" s="65">
        <v>2</v>
      </c>
      <c r="Y2047" s="68">
        <v>0.48</v>
      </c>
      <c r="Z2047" s="65" t="b">
        <f>FALSE()</f>
        <v>0</v>
      </c>
      <c r="AA2047" s="65" t="b">
        <f>FALSE()</f>
        <v>0</v>
      </c>
      <c r="AB2047" s="65" t="b">
        <f>FALSE()</f>
        <v>0</v>
      </c>
      <c r="AC2047" s="65" t="b">
        <f>FALSE()</f>
        <v>0</v>
      </c>
      <c r="AD2047" s="65" t="b">
        <f>FALSE()</f>
        <v>0</v>
      </c>
      <c r="AE2047" s="65">
        <v>0</v>
      </c>
      <c r="AF2047" s="69">
        <v>0</v>
      </c>
      <c r="AG2047" s="65" t="s">
        <v>74</v>
      </c>
      <c r="AH2047" s="65" t="s">
        <v>7529</v>
      </c>
      <c r="AI2047">
        <f>IF(AND(OR(Company_Explorer!$B$5="All Companies",$E2047=Company_Explorer!$B$5),OR(Company_Explorer!$B$6="All Platforms",$B2047=Company_Explorer!$B$6),OR(Company_Explorer!$B$7="All Roles",$D2047=Company_Explorer!$B$7),OR(Company_Explorer!$B$8="All Ghost Labels",$AG2047=Company_Explorer!$B$8)),1,0)</f>
        <v>0</v>
      </c>
    </row>
    <row r="2048" spans="1:35" ht="15" customHeight="1" x14ac:dyDescent="0.3">
      <c r="A2048" s="60" t="s">
        <v>7530</v>
      </c>
      <c r="B2048" s="60" t="s">
        <v>82</v>
      </c>
      <c r="C2048" s="60" t="s">
        <v>5482</v>
      </c>
      <c r="D2048" s="60" t="s">
        <v>133</v>
      </c>
      <c r="E2048" s="60" t="s">
        <v>7531</v>
      </c>
      <c r="F2048" s="60" t="b">
        <f>TRUE()</f>
        <v>1</v>
      </c>
      <c r="G2048" s="60" t="s">
        <v>165</v>
      </c>
      <c r="H2048" s="60" t="s">
        <v>165</v>
      </c>
      <c r="I2048" s="61">
        <v>46210</v>
      </c>
      <c r="J2048" s="61">
        <v>46210.285156365702</v>
      </c>
      <c r="K2048" s="60">
        <v>0</v>
      </c>
      <c r="L2048" s="60" t="s">
        <v>192</v>
      </c>
      <c r="M2048" s="60" t="s">
        <v>183</v>
      </c>
      <c r="N2048" s="60" t="b">
        <f>FALSE()</f>
        <v>0</v>
      </c>
      <c r="O2048" s="60"/>
      <c r="P2048" s="60"/>
      <c r="Q2048" s="60" t="s">
        <v>3663</v>
      </c>
      <c r="R2048" s="60" t="s">
        <v>236</v>
      </c>
      <c r="S2048" s="60"/>
      <c r="T2048" s="60" t="b">
        <f>FALSE()</f>
        <v>0</v>
      </c>
      <c r="U2048" s="60" t="b">
        <f>FALSE()</f>
        <v>0</v>
      </c>
      <c r="V2048" s="60">
        <v>174</v>
      </c>
      <c r="W2048" s="62" t="s">
        <v>5484</v>
      </c>
      <c r="X2048" s="60">
        <v>1</v>
      </c>
      <c r="Y2048" s="63">
        <v>0.24</v>
      </c>
      <c r="Z2048" s="60" t="b">
        <f>FALSE()</f>
        <v>0</v>
      </c>
      <c r="AA2048" s="60" t="b">
        <f>TRUE()</f>
        <v>1</v>
      </c>
      <c r="AB2048" s="60" t="b">
        <f>TRUE()</f>
        <v>1</v>
      </c>
      <c r="AC2048" s="60" t="b">
        <f>FALSE()</f>
        <v>0</v>
      </c>
      <c r="AD2048" s="60" t="b">
        <f>FALSE()</f>
        <v>0</v>
      </c>
      <c r="AE2048" s="60">
        <v>2</v>
      </c>
      <c r="AF2048" s="64">
        <v>28.6</v>
      </c>
      <c r="AG2048" s="60" t="s">
        <v>73</v>
      </c>
      <c r="AH2048" s="60" t="s">
        <v>7532</v>
      </c>
      <c r="AI2048">
        <f>IF(AND(OR(Company_Explorer!$B$5="All Companies",$E2048=Company_Explorer!$B$5),OR(Company_Explorer!$B$6="All Platforms",$B2048=Company_Explorer!$B$6),OR(Company_Explorer!$B$7="All Roles",$D2048=Company_Explorer!$B$7),OR(Company_Explorer!$B$8="All Ghost Labels",$AG2048=Company_Explorer!$B$8)),1,0)</f>
        <v>0</v>
      </c>
    </row>
    <row r="2049" spans="1:35" ht="15" customHeight="1" x14ac:dyDescent="0.3">
      <c r="A2049" s="65" t="s">
        <v>7533</v>
      </c>
      <c r="B2049" s="65" t="s">
        <v>82</v>
      </c>
      <c r="C2049" s="65" t="s">
        <v>7534</v>
      </c>
      <c r="D2049" s="65" t="s">
        <v>126</v>
      </c>
      <c r="E2049" s="65" t="s">
        <v>7535</v>
      </c>
      <c r="F2049" s="65" t="b">
        <f>TRUE()</f>
        <v>1</v>
      </c>
      <c r="G2049" s="65" t="s">
        <v>165</v>
      </c>
      <c r="H2049" s="65" t="s">
        <v>165</v>
      </c>
      <c r="I2049" s="66">
        <v>46198</v>
      </c>
      <c r="J2049" s="66">
        <v>46210.285161701402</v>
      </c>
      <c r="K2049" s="65">
        <v>105</v>
      </c>
      <c r="L2049" s="65" t="s">
        <v>192</v>
      </c>
      <c r="M2049" s="65" t="s">
        <v>183</v>
      </c>
      <c r="N2049" s="65" t="b">
        <f>TRUE()</f>
        <v>1</v>
      </c>
      <c r="O2049" s="71">
        <v>400000</v>
      </c>
      <c r="P2049" s="71">
        <v>800000</v>
      </c>
      <c r="Q2049" s="65" t="s">
        <v>3663</v>
      </c>
      <c r="R2049" s="65" t="s">
        <v>7351</v>
      </c>
      <c r="S2049" s="71">
        <v>600000</v>
      </c>
      <c r="T2049" s="65" t="b">
        <f>TRUE()</f>
        <v>1</v>
      </c>
      <c r="U2049" s="65" t="b">
        <f>FALSE()</f>
        <v>0</v>
      </c>
      <c r="V2049" s="65">
        <v>138</v>
      </c>
      <c r="W2049" s="67" t="s">
        <v>7536</v>
      </c>
      <c r="X2049" s="65">
        <v>1</v>
      </c>
      <c r="Y2049" s="68">
        <v>0.24</v>
      </c>
      <c r="Z2049" s="65" t="b">
        <f>FALSE()</f>
        <v>0</v>
      </c>
      <c r="AA2049" s="65" t="b">
        <f>FALSE()</f>
        <v>0</v>
      </c>
      <c r="AB2049" s="65" t="b">
        <f>TRUE()</f>
        <v>1</v>
      </c>
      <c r="AC2049" s="65" t="b">
        <f>FALSE()</f>
        <v>0</v>
      </c>
      <c r="AD2049" s="65" t="b">
        <f>FALSE()</f>
        <v>0</v>
      </c>
      <c r="AE2049" s="65">
        <v>1</v>
      </c>
      <c r="AF2049" s="69">
        <v>14.3</v>
      </c>
      <c r="AG2049" s="65" t="s">
        <v>74</v>
      </c>
      <c r="AH2049" s="65" t="s">
        <v>7537</v>
      </c>
      <c r="AI2049">
        <f>IF(AND(OR(Company_Explorer!$B$5="All Companies",$E2049=Company_Explorer!$B$5),OR(Company_Explorer!$B$6="All Platforms",$B2049=Company_Explorer!$B$6),OR(Company_Explorer!$B$7="All Roles",$D2049=Company_Explorer!$B$7),OR(Company_Explorer!$B$8="All Ghost Labels",$AG2049=Company_Explorer!$B$8)),1,0)</f>
        <v>0</v>
      </c>
    </row>
    <row r="2050" spans="1:35" ht="15" customHeight="1" x14ac:dyDescent="0.3">
      <c r="A2050" s="60" t="s">
        <v>7538</v>
      </c>
      <c r="B2050" s="60" t="s">
        <v>82</v>
      </c>
      <c r="C2050" s="60" t="s">
        <v>5487</v>
      </c>
      <c r="D2050" s="60" t="s">
        <v>127</v>
      </c>
      <c r="E2050" s="60" t="s">
        <v>3726</v>
      </c>
      <c r="F2050" s="60" t="b">
        <f>FALSE()</f>
        <v>0</v>
      </c>
      <c r="G2050" s="60" t="s">
        <v>7539</v>
      </c>
      <c r="H2050" s="60" t="s">
        <v>254</v>
      </c>
      <c r="I2050" s="61">
        <v>46210</v>
      </c>
      <c r="J2050" s="61">
        <v>46210.285165763897</v>
      </c>
      <c r="K2050" s="60">
        <v>0</v>
      </c>
      <c r="L2050" s="60" t="s">
        <v>192</v>
      </c>
      <c r="M2050" s="60" t="s">
        <v>183</v>
      </c>
      <c r="N2050" s="60" t="b">
        <f>TRUE()</f>
        <v>1</v>
      </c>
      <c r="O2050" s="70">
        <v>300000</v>
      </c>
      <c r="P2050" s="70">
        <v>700000</v>
      </c>
      <c r="Q2050" s="60" t="s">
        <v>3663</v>
      </c>
      <c r="R2050" s="60" t="s">
        <v>7351</v>
      </c>
      <c r="S2050" s="70">
        <v>500000</v>
      </c>
      <c r="T2050" s="60" t="b">
        <f>TRUE()</f>
        <v>1</v>
      </c>
      <c r="U2050" s="60" t="b">
        <f>FALSE()</f>
        <v>0</v>
      </c>
      <c r="V2050" s="60">
        <v>459</v>
      </c>
      <c r="W2050" s="62" t="s">
        <v>5489</v>
      </c>
      <c r="X2050" s="60"/>
      <c r="Y2050" s="63"/>
      <c r="Z2050" s="60" t="b">
        <f>TRUE()</f>
        <v>1</v>
      </c>
      <c r="AA2050" s="60" t="b">
        <f>FALSE()</f>
        <v>0</v>
      </c>
      <c r="AB2050" s="60" t="b">
        <f>FALSE()</f>
        <v>0</v>
      </c>
      <c r="AC2050" s="60" t="b">
        <f>FALSE()</f>
        <v>0</v>
      </c>
      <c r="AD2050" s="60" t="b">
        <f>FALSE()</f>
        <v>0</v>
      </c>
      <c r="AE2050" s="60">
        <v>2</v>
      </c>
      <c r="AF2050" s="64">
        <v>28.6</v>
      </c>
      <c r="AG2050" s="60" t="s">
        <v>73</v>
      </c>
      <c r="AH2050" s="60" t="s">
        <v>7540</v>
      </c>
      <c r="AI2050">
        <f>IF(AND(OR(Company_Explorer!$B$5="All Companies",$E2050=Company_Explorer!$B$5),OR(Company_Explorer!$B$6="All Platforms",$B2050=Company_Explorer!$B$6),OR(Company_Explorer!$B$7="All Roles",$D2050=Company_Explorer!$B$7),OR(Company_Explorer!$B$8="All Ghost Labels",$AG2050=Company_Explorer!$B$8)),1,0)</f>
        <v>0</v>
      </c>
    </row>
    <row r="2051" spans="1:35" ht="15" customHeight="1" x14ac:dyDescent="0.3">
      <c r="A2051" s="65" t="s">
        <v>7541</v>
      </c>
      <c r="B2051" s="65" t="s">
        <v>82</v>
      </c>
      <c r="C2051" s="65" t="s">
        <v>5582</v>
      </c>
      <c r="D2051" s="65" t="s">
        <v>127</v>
      </c>
      <c r="E2051" s="65" t="s">
        <v>3726</v>
      </c>
      <c r="F2051" s="65" t="b">
        <f>FALSE()</f>
        <v>0</v>
      </c>
      <c r="G2051" s="65" t="s">
        <v>165</v>
      </c>
      <c r="H2051" s="65" t="s">
        <v>165</v>
      </c>
      <c r="I2051" s="66">
        <v>46209</v>
      </c>
      <c r="J2051" s="66">
        <v>46210.285167673603</v>
      </c>
      <c r="K2051" s="65">
        <v>1</v>
      </c>
      <c r="L2051" s="65" t="s">
        <v>192</v>
      </c>
      <c r="M2051" s="65" t="s">
        <v>183</v>
      </c>
      <c r="N2051" s="65" t="b">
        <f>TRUE()</f>
        <v>1</v>
      </c>
      <c r="O2051" s="71">
        <v>414958</v>
      </c>
      <c r="P2051" s="71">
        <v>1524294</v>
      </c>
      <c r="Q2051" s="65" t="s">
        <v>3663</v>
      </c>
      <c r="R2051" s="65" t="s">
        <v>7351</v>
      </c>
      <c r="S2051" s="71">
        <v>969626</v>
      </c>
      <c r="T2051" s="65" t="b">
        <f>TRUE()</f>
        <v>1</v>
      </c>
      <c r="U2051" s="65" t="b">
        <f>FALSE()</f>
        <v>0</v>
      </c>
      <c r="V2051" s="65">
        <v>133</v>
      </c>
      <c r="W2051" s="65" t="s">
        <v>5584</v>
      </c>
      <c r="X2051" s="65"/>
      <c r="Y2051" s="68"/>
      <c r="Z2051" s="65" t="b">
        <f>TRUE()</f>
        <v>1</v>
      </c>
      <c r="AA2051" s="65" t="b">
        <f>FALSE()</f>
        <v>0</v>
      </c>
      <c r="AB2051" s="65" t="b">
        <f>TRUE()</f>
        <v>1</v>
      </c>
      <c r="AC2051" s="65" t="b">
        <f>FALSE()</f>
        <v>0</v>
      </c>
      <c r="AD2051" s="65" t="b">
        <f>FALSE()</f>
        <v>0</v>
      </c>
      <c r="AE2051" s="65">
        <v>3</v>
      </c>
      <c r="AF2051" s="69">
        <v>42.9</v>
      </c>
      <c r="AG2051" s="65" t="s">
        <v>73</v>
      </c>
      <c r="AH2051" s="65" t="s">
        <v>7542</v>
      </c>
      <c r="AI2051">
        <f>IF(AND(OR(Company_Explorer!$B$5="All Companies",$E2051=Company_Explorer!$B$5),OR(Company_Explorer!$B$6="All Platforms",$B2051=Company_Explorer!$B$6),OR(Company_Explorer!$B$7="All Roles",$D2051=Company_Explorer!$B$7),OR(Company_Explorer!$B$8="All Ghost Labels",$AG2051=Company_Explorer!$B$8)),1,0)</f>
        <v>0</v>
      </c>
    </row>
    <row r="2052" spans="1:35" ht="15" customHeight="1" x14ac:dyDescent="0.3">
      <c r="A2052" s="60" t="s">
        <v>7543</v>
      </c>
      <c r="B2052" s="60" t="s">
        <v>82</v>
      </c>
      <c r="C2052" s="60" t="s">
        <v>127</v>
      </c>
      <c r="D2052" s="60" t="s">
        <v>127</v>
      </c>
      <c r="E2052" s="60" t="s">
        <v>7544</v>
      </c>
      <c r="F2052" s="60" t="b">
        <f>TRUE()</f>
        <v>1</v>
      </c>
      <c r="G2052" s="60" t="s">
        <v>175</v>
      </c>
      <c r="H2052" s="60" t="s">
        <v>254</v>
      </c>
      <c r="I2052" s="61">
        <v>46193</v>
      </c>
      <c r="J2052" s="61">
        <v>46210.285172187498</v>
      </c>
      <c r="K2052" s="60">
        <v>17</v>
      </c>
      <c r="L2052" s="60" t="s">
        <v>192</v>
      </c>
      <c r="M2052" s="60" t="s">
        <v>183</v>
      </c>
      <c r="N2052" s="60" t="b">
        <f>TRUE()</f>
        <v>1</v>
      </c>
      <c r="O2052" s="70">
        <v>645000</v>
      </c>
      <c r="P2052" s="70">
        <v>1000000</v>
      </c>
      <c r="Q2052" s="60" t="s">
        <v>3663</v>
      </c>
      <c r="R2052" s="60" t="s">
        <v>7351</v>
      </c>
      <c r="S2052" s="70">
        <v>822500</v>
      </c>
      <c r="T2052" s="60" t="b">
        <f>TRUE()</f>
        <v>1</v>
      </c>
      <c r="U2052" s="60" t="b">
        <f>FALSE()</f>
        <v>0</v>
      </c>
      <c r="V2052" s="60">
        <v>572</v>
      </c>
      <c r="W2052" s="62" t="s">
        <v>7545</v>
      </c>
      <c r="X2052" s="60">
        <v>1</v>
      </c>
      <c r="Y2052" s="63">
        <v>0.24</v>
      </c>
      <c r="Z2052" s="60" t="b">
        <f>FALSE()</f>
        <v>0</v>
      </c>
      <c r="AA2052" s="60" t="b">
        <f>FALSE()</f>
        <v>0</v>
      </c>
      <c r="AB2052" s="60" t="b">
        <f>FALSE()</f>
        <v>0</v>
      </c>
      <c r="AC2052" s="60" t="b">
        <f>FALSE()</f>
        <v>0</v>
      </c>
      <c r="AD2052" s="60" t="b">
        <f>FALSE()</f>
        <v>0</v>
      </c>
      <c r="AE2052" s="60">
        <v>0</v>
      </c>
      <c r="AF2052" s="64">
        <v>0</v>
      </c>
      <c r="AG2052" s="60" t="s">
        <v>74</v>
      </c>
      <c r="AH2052" s="60" t="s">
        <v>7546</v>
      </c>
      <c r="AI2052">
        <f>IF(AND(OR(Company_Explorer!$B$5="All Companies",$E2052=Company_Explorer!$B$5),OR(Company_Explorer!$B$6="All Platforms",$B2052=Company_Explorer!$B$6),OR(Company_Explorer!$B$7="All Roles",$D2052=Company_Explorer!$B$7),OR(Company_Explorer!$B$8="All Ghost Labels",$AG2052=Company_Explorer!$B$8)),1,0)</f>
        <v>0</v>
      </c>
    </row>
    <row r="2053" spans="1:35" ht="15" customHeight="1" x14ac:dyDescent="0.3">
      <c r="A2053" s="65" t="s">
        <v>7547</v>
      </c>
      <c r="B2053" s="65" t="s">
        <v>82</v>
      </c>
      <c r="C2053" s="65" t="s">
        <v>5780</v>
      </c>
      <c r="D2053" s="65" t="s">
        <v>127</v>
      </c>
      <c r="E2053" s="65" t="s">
        <v>154</v>
      </c>
      <c r="F2053" s="65" t="b">
        <f>TRUE()</f>
        <v>1</v>
      </c>
      <c r="G2053" s="65" t="s">
        <v>165</v>
      </c>
      <c r="H2053" s="65" t="s">
        <v>165</v>
      </c>
      <c r="I2053" s="66">
        <v>46185</v>
      </c>
      <c r="J2053" s="66">
        <v>46210.285173391203</v>
      </c>
      <c r="K2053" s="65">
        <v>25</v>
      </c>
      <c r="L2053" s="65" t="s">
        <v>192</v>
      </c>
      <c r="M2053" s="65" t="s">
        <v>183</v>
      </c>
      <c r="N2053" s="65" t="b">
        <f>FALSE()</f>
        <v>0</v>
      </c>
      <c r="O2053" s="65"/>
      <c r="P2053" s="65"/>
      <c r="Q2053" s="65" t="s">
        <v>3663</v>
      </c>
      <c r="R2053" s="65" t="s">
        <v>236</v>
      </c>
      <c r="S2053" s="65"/>
      <c r="T2053" s="65" t="b">
        <f>FALSE()</f>
        <v>0</v>
      </c>
      <c r="U2053" s="65" t="b">
        <f>FALSE()</f>
        <v>0</v>
      </c>
      <c r="V2053" s="65">
        <v>552</v>
      </c>
      <c r="W2053" s="65" t="s">
        <v>3893</v>
      </c>
      <c r="X2053" s="65">
        <v>16</v>
      </c>
      <c r="Y2053" s="68">
        <v>3.86</v>
      </c>
      <c r="Z2053" s="65" t="b">
        <f>FALSE()</f>
        <v>0</v>
      </c>
      <c r="AA2053" s="65" t="b">
        <f>TRUE()</f>
        <v>1</v>
      </c>
      <c r="AB2053" s="65" t="b">
        <f>FALSE()</f>
        <v>0</v>
      </c>
      <c r="AC2053" s="65" t="b">
        <f>FALSE()</f>
        <v>0</v>
      </c>
      <c r="AD2053" s="65" t="b">
        <f>TRUE()</f>
        <v>1</v>
      </c>
      <c r="AE2053" s="65">
        <v>3</v>
      </c>
      <c r="AF2053" s="69">
        <v>42.9</v>
      </c>
      <c r="AG2053" s="65" t="s">
        <v>73</v>
      </c>
      <c r="AH2053" s="65" t="s">
        <v>7548</v>
      </c>
      <c r="AI2053">
        <f>IF(AND(OR(Company_Explorer!$B$5="All Companies",$E2053=Company_Explorer!$B$5),OR(Company_Explorer!$B$6="All Platforms",$B2053=Company_Explorer!$B$6),OR(Company_Explorer!$B$7="All Roles",$D2053=Company_Explorer!$B$7),OR(Company_Explorer!$B$8="All Ghost Labels",$AG2053=Company_Explorer!$B$8)),1,0)</f>
        <v>0</v>
      </c>
    </row>
    <row r="2054" spans="1:35" ht="15" customHeight="1" x14ac:dyDescent="0.3">
      <c r="A2054" s="60" t="s">
        <v>7549</v>
      </c>
      <c r="B2054" s="60" t="s">
        <v>82</v>
      </c>
      <c r="C2054" s="60" t="s">
        <v>5780</v>
      </c>
      <c r="D2054" s="60" t="s">
        <v>127</v>
      </c>
      <c r="E2054" s="60" t="s">
        <v>7473</v>
      </c>
      <c r="F2054" s="60" t="b">
        <f>TRUE()</f>
        <v>1</v>
      </c>
      <c r="G2054" s="60" t="s">
        <v>167</v>
      </c>
      <c r="H2054" s="60" t="s">
        <v>276</v>
      </c>
      <c r="I2054" s="61">
        <v>46206</v>
      </c>
      <c r="J2054" s="61">
        <v>46210.285174398101</v>
      </c>
      <c r="K2054" s="60">
        <v>4</v>
      </c>
      <c r="L2054" s="60" t="s">
        <v>192</v>
      </c>
      <c r="M2054" s="60" t="s">
        <v>183</v>
      </c>
      <c r="N2054" s="60" t="b">
        <f>TRUE()</f>
        <v>1</v>
      </c>
      <c r="O2054" s="70">
        <v>525000</v>
      </c>
      <c r="P2054" s="70">
        <v>750000</v>
      </c>
      <c r="Q2054" s="60" t="s">
        <v>3663</v>
      </c>
      <c r="R2054" s="60" t="s">
        <v>7351</v>
      </c>
      <c r="S2054" s="70">
        <v>637500</v>
      </c>
      <c r="T2054" s="60" t="b">
        <f>TRUE()</f>
        <v>1</v>
      </c>
      <c r="U2054" s="60" t="b">
        <f>FALSE()</f>
        <v>0</v>
      </c>
      <c r="V2054" s="60">
        <v>573</v>
      </c>
      <c r="W2054" s="62" t="s">
        <v>7550</v>
      </c>
      <c r="X2054" s="60">
        <v>4</v>
      </c>
      <c r="Y2054" s="63">
        <v>0.97</v>
      </c>
      <c r="Z2054" s="60" t="b">
        <f>FALSE()</f>
        <v>0</v>
      </c>
      <c r="AA2054" s="60" t="b">
        <f>FALSE()</f>
        <v>0</v>
      </c>
      <c r="AB2054" s="60" t="b">
        <f>FALSE()</f>
        <v>0</v>
      </c>
      <c r="AC2054" s="60" t="b">
        <f>FALSE()</f>
        <v>0</v>
      </c>
      <c r="AD2054" s="60" t="b">
        <f>FALSE()</f>
        <v>0</v>
      </c>
      <c r="AE2054" s="60">
        <v>0</v>
      </c>
      <c r="AF2054" s="64">
        <v>0</v>
      </c>
      <c r="AG2054" s="60" t="s">
        <v>74</v>
      </c>
      <c r="AH2054" s="60" t="s">
        <v>7551</v>
      </c>
      <c r="AI2054">
        <f>IF(AND(OR(Company_Explorer!$B$5="All Companies",$E2054=Company_Explorer!$B$5),OR(Company_Explorer!$B$6="All Platforms",$B2054=Company_Explorer!$B$6),OR(Company_Explorer!$B$7="All Roles",$D2054=Company_Explorer!$B$7),OR(Company_Explorer!$B$8="All Ghost Labels",$AG2054=Company_Explorer!$B$8)),1,0)</f>
        <v>0</v>
      </c>
    </row>
    <row r="2055" spans="1:35" ht="15" customHeight="1" x14ac:dyDescent="0.3">
      <c r="A2055" s="65" t="s">
        <v>7552</v>
      </c>
      <c r="B2055" s="65" t="s">
        <v>82</v>
      </c>
      <c r="C2055" s="65" t="s">
        <v>5653</v>
      </c>
      <c r="D2055" s="65" t="s">
        <v>126</v>
      </c>
      <c r="E2055" s="65" t="s">
        <v>7553</v>
      </c>
      <c r="F2055" s="65" t="b">
        <f>TRUE()</f>
        <v>1</v>
      </c>
      <c r="G2055" s="65" t="s">
        <v>179</v>
      </c>
      <c r="H2055" s="65" t="s">
        <v>254</v>
      </c>
      <c r="I2055" s="66">
        <v>46210</v>
      </c>
      <c r="J2055" s="66">
        <v>46210.285176261597</v>
      </c>
      <c r="K2055" s="65">
        <v>0</v>
      </c>
      <c r="L2055" s="65" t="s">
        <v>192</v>
      </c>
      <c r="M2055" s="65" t="s">
        <v>183</v>
      </c>
      <c r="N2055" s="65" t="b">
        <f>TRUE()</f>
        <v>1</v>
      </c>
      <c r="O2055" s="71">
        <v>16000</v>
      </c>
      <c r="P2055" s="71">
        <v>18000</v>
      </c>
      <c r="Q2055" s="65" t="s">
        <v>3663</v>
      </c>
      <c r="R2055" s="65" t="s">
        <v>7445</v>
      </c>
      <c r="S2055" s="71">
        <v>204000</v>
      </c>
      <c r="T2055" s="65" t="b">
        <f>TRUE()</f>
        <v>1</v>
      </c>
      <c r="U2055" s="65" t="b">
        <f>FALSE()</f>
        <v>0</v>
      </c>
      <c r="V2055" s="65">
        <v>189</v>
      </c>
      <c r="W2055" s="67" t="s">
        <v>5654</v>
      </c>
      <c r="X2055" s="65">
        <v>1</v>
      </c>
      <c r="Y2055" s="68">
        <v>0.24</v>
      </c>
      <c r="Z2055" s="65" t="b">
        <f>FALSE()</f>
        <v>0</v>
      </c>
      <c r="AA2055" s="65" t="b">
        <f>FALSE()</f>
        <v>0</v>
      </c>
      <c r="AB2055" s="65" t="b">
        <f>TRUE()</f>
        <v>1</v>
      </c>
      <c r="AC2055" s="65" t="b">
        <f>FALSE()</f>
        <v>0</v>
      </c>
      <c r="AD2055" s="65" t="b">
        <f>FALSE()</f>
        <v>0</v>
      </c>
      <c r="AE2055" s="65">
        <v>1</v>
      </c>
      <c r="AF2055" s="69">
        <v>14.3</v>
      </c>
      <c r="AG2055" s="65" t="s">
        <v>74</v>
      </c>
      <c r="AH2055" s="65" t="s">
        <v>7554</v>
      </c>
      <c r="AI2055">
        <f>IF(AND(OR(Company_Explorer!$B$5="All Companies",$E2055=Company_Explorer!$B$5),OR(Company_Explorer!$B$6="All Platforms",$B2055=Company_Explorer!$B$6),OR(Company_Explorer!$B$7="All Roles",$D2055=Company_Explorer!$B$7),OR(Company_Explorer!$B$8="All Ghost Labels",$AG2055=Company_Explorer!$B$8)),1,0)</f>
        <v>0</v>
      </c>
    </row>
    <row r="2056" spans="1:35" ht="15" customHeight="1" x14ac:dyDescent="0.3">
      <c r="A2056" s="60" t="s">
        <v>7555</v>
      </c>
      <c r="B2056" s="60" t="s">
        <v>82</v>
      </c>
      <c r="C2056" s="60" t="s">
        <v>3913</v>
      </c>
      <c r="D2056" s="60" t="s">
        <v>127</v>
      </c>
      <c r="E2056" s="60" t="s">
        <v>7556</v>
      </c>
      <c r="F2056" s="60" t="b">
        <f>TRUE()</f>
        <v>1</v>
      </c>
      <c r="G2056" s="60" t="s">
        <v>167</v>
      </c>
      <c r="H2056" s="60" t="s">
        <v>276</v>
      </c>
      <c r="I2056" s="61">
        <v>46211</v>
      </c>
      <c r="J2056" s="61">
        <v>46210.285178298604</v>
      </c>
      <c r="K2056" s="60">
        <v>0</v>
      </c>
      <c r="L2056" s="60" t="s">
        <v>192</v>
      </c>
      <c r="M2056" s="60" t="s">
        <v>183</v>
      </c>
      <c r="N2056" s="60" t="b">
        <f>TRUE()</f>
        <v>1</v>
      </c>
      <c r="O2056" s="70">
        <v>315000</v>
      </c>
      <c r="P2056" s="70">
        <v>670000</v>
      </c>
      <c r="Q2056" s="60" t="s">
        <v>3663</v>
      </c>
      <c r="R2056" s="60" t="s">
        <v>7351</v>
      </c>
      <c r="S2056" s="70">
        <v>492500</v>
      </c>
      <c r="T2056" s="60" t="b">
        <f>TRUE()</f>
        <v>1</v>
      </c>
      <c r="U2056" s="60" t="b">
        <f>FALSE()</f>
        <v>0</v>
      </c>
      <c r="V2056" s="60">
        <v>401</v>
      </c>
      <c r="W2056" s="62" t="s">
        <v>3915</v>
      </c>
      <c r="X2056" s="60">
        <v>1</v>
      </c>
      <c r="Y2056" s="63">
        <v>0.24</v>
      </c>
      <c r="Z2056" s="60" t="b">
        <f>FALSE()</f>
        <v>0</v>
      </c>
      <c r="AA2056" s="60" t="b">
        <f>FALSE()</f>
        <v>0</v>
      </c>
      <c r="AB2056" s="60" t="b">
        <f>FALSE()</f>
        <v>0</v>
      </c>
      <c r="AC2056" s="60" t="b">
        <f>FALSE()</f>
        <v>0</v>
      </c>
      <c r="AD2056" s="60" t="b">
        <f>FALSE()</f>
        <v>0</v>
      </c>
      <c r="AE2056" s="60">
        <v>0</v>
      </c>
      <c r="AF2056" s="64">
        <v>0</v>
      </c>
      <c r="AG2056" s="60" t="s">
        <v>74</v>
      </c>
      <c r="AH2056" s="60" t="s">
        <v>7557</v>
      </c>
      <c r="AI2056">
        <f>IF(AND(OR(Company_Explorer!$B$5="All Companies",$E2056=Company_Explorer!$B$5),OR(Company_Explorer!$B$6="All Platforms",$B2056=Company_Explorer!$B$6),OR(Company_Explorer!$B$7="All Roles",$D2056=Company_Explorer!$B$7),OR(Company_Explorer!$B$8="All Ghost Labels",$AG2056=Company_Explorer!$B$8)),1,0)</f>
        <v>0</v>
      </c>
    </row>
    <row r="2057" spans="1:35" ht="15" customHeight="1" x14ac:dyDescent="0.3">
      <c r="A2057" s="65" t="s">
        <v>7558</v>
      </c>
      <c r="B2057" s="65" t="s">
        <v>82</v>
      </c>
      <c r="C2057" s="65" t="s">
        <v>5606</v>
      </c>
      <c r="D2057" s="65" t="s">
        <v>126</v>
      </c>
      <c r="E2057" s="65" t="s">
        <v>7559</v>
      </c>
      <c r="F2057" s="65" t="b">
        <f>TRUE()</f>
        <v>1</v>
      </c>
      <c r="G2057" s="65" t="s">
        <v>7560</v>
      </c>
      <c r="H2057" s="65" t="s">
        <v>2385</v>
      </c>
      <c r="I2057" s="66">
        <v>46209</v>
      </c>
      <c r="J2057" s="66">
        <v>46210.285179074097</v>
      </c>
      <c r="K2057" s="65">
        <v>1</v>
      </c>
      <c r="L2057" s="65" t="s">
        <v>183</v>
      </c>
      <c r="M2057" s="65" t="s">
        <v>183</v>
      </c>
      <c r="N2057" s="65" t="b">
        <f>TRUE()</f>
        <v>1</v>
      </c>
      <c r="O2057" s="71">
        <v>500000</v>
      </c>
      <c r="P2057" s="71">
        <v>500000</v>
      </c>
      <c r="Q2057" s="65" t="s">
        <v>3663</v>
      </c>
      <c r="R2057" s="65" t="s">
        <v>7351</v>
      </c>
      <c r="S2057" s="71">
        <v>500000</v>
      </c>
      <c r="T2057" s="65" t="b">
        <f>TRUE()</f>
        <v>1</v>
      </c>
      <c r="U2057" s="65" t="b">
        <f>FALSE()</f>
        <v>0</v>
      </c>
      <c r="V2057" s="65">
        <v>86</v>
      </c>
      <c r="W2057" s="67" t="s">
        <v>5607</v>
      </c>
      <c r="X2057" s="65">
        <v>10</v>
      </c>
      <c r="Y2057" s="68">
        <v>2.41</v>
      </c>
      <c r="Z2057" s="65" t="b">
        <f>FALSE()</f>
        <v>0</v>
      </c>
      <c r="AA2057" s="65" t="b">
        <f>FALSE()</f>
        <v>0</v>
      </c>
      <c r="AB2057" s="65" t="b">
        <f>TRUE()</f>
        <v>1</v>
      </c>
      <c r="AC2057" s="65" t="b">
        <f>FALSE()</f>
        <v>0</v>
      </c>
      <c r="AD2057" s="65" t="b">
        <f>TRUE()</f>
        <v>1</v>
      </c>
      <c r="AE2057" s="65">
        <v>3</v>
      </c>
      <c r="AF2057" s="69">
        <v>42.9</v>
      </c>
      <c r="AG2057" s="65" t="s">
        <v>73</v>
      </c>
      <c r="AH2057" s="65" t="s">
        <v>7561</v>
      </c>
      <c r="AI2057">
        <f>IF(AND(OR(Company_Explorer!$B$5="All Companies",$E2057=Company_Explorer!$B$5),OR(Company_Explorer!$B$6="All Platforms",$B2057=Company_Explorer!$B$6),OR(Company_Explorer!$B$7="All Roles",$D2057=Company_Explorer!$B$7),OR(Company_Explorer!$B$8="All Ghost Labels",$AG2057=Company_Explorer!$B$8)),1,0)</f>
        <v>0</v>
      </c>
    </row>
    <row r="2058" spans="1:35" ht="15" customHeight="1" x14ac:dyDescent="0.3">
      <c r="A2058" s="60" t="s">
        <v>7562</v>
      </c>
      <c r="B2058" s="60" t="s">
        <v>82</v>
      </c>
      <c r="C2058" s="60" t="s">
        <v>127</v>
      </c>
      <c r="D2058" s="60" t="s">
        <v>127</v>
      </c>
      <c r="E2058" s="60" t="s">
        <v>7563</v>
      </c>
      <c r="F2058" s="60" t="b">
        <f>TRUE()</f>
        <v>1</v>
      </c>
      <c r="G2058" s="60" t="s">
        <v>7444</v>
      </c>
      <c r="H2058" s="60" t="s">
        <v>235</v>
      </c>
      <c r="I2058" s="61">
        <v>46185</v>
      </c>
      <c r="J2058" s="61">
        <v>46210.285179467603</v>
      </c>
      <c r="K2058" s="60">
        <v>26</v>
      </c>
      <c r="L2058" s="60" t="s">
        <v>192</v>
      </c>
      <c r="M2058" s="60" t="s">
        <v>183</v>
      </c>
      <c r="N2058" s="60" t="b">
        <f>TRUE()</f>
        <v>1</v>
      </c>
      <c r="O2058" s="70">
        <v>20000</v>
      </c>
      <c r="P2058" s="70">
        <v>250000</v>
      </c>
      <c r="Q2058" s="60" t="s">
        <v>3663</v>
      </c>
      <c r="R2058" s="60" t="s">
        <v>7445</v>
      </c>
      <c r="S2058" s="70">
        <v>1620000</v>
      </c>
      <c r="T2058" s="60" t="b">
        <f>TRUE()</f>
        <v>1</v>
      </c>
      <c r="U2058" s="60" t="b">
        <f>FALSE()</f>
        <v>0</v>
      </c>
      <c r="V2058" s="60">
        <v>27</v>
      </c>
      <c r="W2058" s="62" t="s">
        <v>7564</v>
      </c>
      <c r="X2058" s="60">
        <v>1</v>
      </c>
      <c r="Y2058" s="63">
        <v>0.24</v>
      </c>
      <c r="Z2058" s="60" t="b">
        <f>FALSE()</f>
        <v>0</v>
      </c>
      <c r="AA2058" s="60" t="b">
        <f>FALSE()</f>
        <v>0</v>
      </c>
      <c r="AB2058" s="60" t="b">
        <f>TRUE()</f>
        <v>1</v>
      </c>
      <c r="AC2058" s="60" t="b">
        <f>FALSE()</f>
        <v>0</v>
      </c>
      <c r="AD2058" s="60" t="b">
        <f>FALSE()</f>
        <v>0</v>
      </c>
      <c r="AE2058" s="60">
        <v>1</v>
      </c>
      <c r="AF2058" s="64">
        <v>14.3</v>
      </c>
      <c r="AG2058" s="60" t="s">
        <v>74</v>
      </c>
      <c r="AH2058" s="60" t="s">
        <v>7565</v>
      </c>
      <c r="AI2058">
        <f>IF(AND(OR(Company_Explorer!$B$5="All Companies",$E2058=Company_Explorer!$B$5),OR(Company_Explorer!$B$6="All Platforms",$B2058=Company_Explorer!$B$6),OR(Company_Explorer!$B$7="All Roles",$D2058=Company_Explorer!$B$7),OR(Company_Explorer!$B$8="All Ghost Labels",$AG2058=Company_Explorer!$B$8)),1,0)</f>
        <v>0</v>
      </c>
    </row>
    <row r="2059" spans="1:35" ht="15" customHeight="1" x14ac:dyDescent="0.3">
      <c r="A2059" s="65" t="s">
        <v>7566</v>
      </c>
      <c r="B2059" s="65" t="s">
        <v>82</v>
      </c>
      <c r="C2059" s="65" t="s">
        <v>5582</v>
      </c>
      <c r="D2059" s="65" t="s">
        <v>127</v>
      </c>
      <c r="E2059" s="65" t="s">
        <v>7435</v>
      </c>
      <c r="F2059" s="65" t="b">
        <f>TRUE()</f>
        <v>1</v>
      </c>
      <c r="G2059" s="65" t="s">
        <v>172</v>
      </c>
      <c r="H2059" s="65" t="s">
        <v>276</v>
      </c>
      <c r="I2059" s="66">
        <v>46208</v>
      </c>
      <c r="J2059" s="66">
        <v>46210.2851831597</v>
      </c>
      <c r="K2059" s="65">
        <v>2</v>
      </c>
      <c r="L2059" s="65" t="s">
        <v>183</v>
      </c>
      <c r="M2059" s="65" t="s">
        <v>183</v>
      </c>
      <c r="N2059" s="65" t="b">
        <f>TRUE()</f>
        <v>1</v>
      </c>
      <c r="O2059" s="71">
        <v>400000</v>
      </c>
      <c r="P2059" s="71">
        <v>700000</v>
      </c>
      <c r="Q2059" s="65" t="s">
        <v>3663</v>
      </c>
      <c r="R2059" s="65" t="s">
        <v>7351</v>
      </c>
      <c r="S2059" s="71">
        <v>550000</v>
      </c>
      <c r="T2059" s="65" t="b">
        <f>TRUE()</f>
        <v>1</v>
      </c>
      <c r="U2059" s="65" t="b">
        <f>FALSE()</f>
        <v>0</v>
      </c>
      <c r="V2059" s="65">
        <v>183</v>
      </c>
      <c r="W2059" s="67" t="s">
        <v>6699</v>
      </c>
      <c r="X2059" s="65">
        <v>2</v>
      </c>
      <c r="Y2059" s="68">
        <v>0.48</v>
      </c>
      <c r="Z2059" s="65" t="b">
        <f>FALSE()</f>
        <v>0</v>
      </c>
      <c r="AA2059" s="65" t="b">
        <f>FALSE()</f>
        <v>0</v>
      </c>
      <c r="AB2059" s="65" t="b">
        <f>TRUE()</f>
        <v>1</v>
      </c>
      <c r="AC2059" s="65" t="b">
        <f>FALSE()</f>
        <v>0</v>
      </c>
      <c r="AD2059" s="65" t="b">
        <f>FALSE()</f>
        <v>0</v>
      </c>
      <c r="AE2059" s="65">
        <v>1</v>
      </c>
      <c r="AF2059" s="69">
        <v>14.3</v>
      </c>
      <c r="AG2059" s="65" t="s">
        <v>74</v>
      </c>
      <c r="AH2059" s="65" t="s">
        <v>7567</v>
      </c>
      <c r="AI2059">
        <f>IF(AND(OR(Company_Explorer!$B$5="All Companies",$E2059=Company_Explorer!$B$5),OR(Company_Explorer!$B$6="All Platforms",$B2059=Company_Explorer!$B$6),OR(Company_Explorer!$B$7="All Roles",$D2059=Company_Explorer!$B$7),OR(Company_Explorer!$B$8="All Ghost Labels",$AG2059=Company_Explorer!$B$8)),1,0)</f>
        <v>0</v>
      </c>
    </row>
    <row r="2060" spans="1:35" ht="15" customHeight="1" x14ac:dyDescent="0.3">
      <c r="A2060" s="60" t="s">
        <v>7568</v>
      </c>
      <c r="B2060" s="60" t="s">
        <v>82</v>
      </c>
      <c r="C2060" s="60" t="s">
        <v>7569</v>
      </c>
      <c r="D2060" s="60" t="s">
        <v>126</v>
      </c>
      <c r="E2060" s="60" t="s">
        <v>150</v>
      </c>
      <c r="F2060" s="60" t="b">
        <f>TRUE()</f>
        <v>1</v>
      </c>
      <c r="G2060" s="60" t="s">
        <v>165</v>
      </c>
      <c r="H2060" s="60" t="s">
        <v>165</v>
      </c>
      <c r="I2060" s="61">
        <v>46196</v>
      </c>
      <c r="J2060" s="61">
        <v>46210.285185347202</v>
      </c>
      <c r="K2060" s="60">
        <v>75</v>
      </c>
      <c r="L2060" s="60" t="s">
        <v>192</v>
      </c>
      <c r="M2060" s="60" t="s">
        <v>183</v>
      </c>
      <c r="N2060" s="60" t="b">
        <f>FALSE()</f>
        <v>0</v>
      </c>
      <c r="O2060" s="60"/>
      <c r="P2060" s="60"/>
      <c r="Q2060" s="60" t="s">
        <v>3663</v>
      </c>
      <c r="R2060" s="60" t="s">
        <v>236</v>
      </c>
      <c r="S2060" s="60"/>
      <c r="T2060" s="60" t="b">
        <f>FALSE()</f>
        <v>0</v>
      </c>
      <c r="U2060" s="60" t="b">
        <f>FALSE()</f>
        <v>0</v>
      </c>
      <c r="V2060" s="60">
        <v>771</v>
      </c>
      <c r="W2060" s="62" t="s">
        <v>3698</v>
      </c>
      <c r="X2060" s="60">
        <v>18</v>
      </c>
      <c r="Y2060" s="63">
        <v>4.34</v>
      </c>
      <c r="Z2060" s="60" t="b">
        <f>FALSE()</f>
        <v>0</v>
      </c>
      <c r="AA2060" s="60" t="b">
        <f>TRUE()</f>
        <v>1</v>
      </c>
      <c r="AB2060" s="60" t="b">
        <f>FALSE()</f>
        <v>0</v>
      </c>
      <c r="AC2060" s="60" t="b">
        <f>FALSE()</f>
        <v>0</v>
      </c>
      <c r="AD2060" s="60" t="b">
        <f>TRUE()</f>
        <v>1</v>
      </c>
      <c r="AE2060" s="60">
        <v>3</v>
      </c>
      <c r="AF2060" s="64">
        <v>42.9</v>
      </c>
      <c r="AG2060" s="60" t="s">
        <v>73</v>
      </c>
      <c r="AH2060" s="60" t="s">
        <v>7570</v>
      </c>
      <c r="AI2060">
        <f>IF(AND(OR(Company_Explorer!$B$5="All Companies",$E2060=Company_Explorer!$B$5),OR(Company_Explorer!$B$6="All Platforms",$B2060=Company_Explorer!$B$6),OR(Company_Explorer!$B$7="All Roles",$D2060=Company_Explorer!$B$7),OR(Company_Explorer!$B$8="All Ghost Labels",$AG2060=Company_Explorer!$B$8)),1,0)</f>
        <v>0</v>
      </c>
    </row>
    <row r="2061" spans="1:35" ht="15" customHeight="1" x14ac:dyDescent="0.3">
      <c r="A2061" s="65" t="s">
        <v>7571</v>
      </c>
      <c r="B2061" s="65" t="s">
        <v>82</v>
      </c>
      <c r="C2061" s="65" t="s">
        <v>127</v>
      </c>
      <c r="D2061" s="65" t="s">
        <v>127</v>
      </c>
      <c r="E2061" s="65" t="s">
        <v>7572</v>
      </c>
      <c r="F2061" s="65" t="b">
        <f>TRUE()</f>
        <v>1</v>
      </c>
      <c r="G2061" s="65" t="s">
        <v>165</v>
      </c>
      <c r="H2061" s="65" t="s">
        <v>165</v>
      </c>
      <c r="I2061" s="66">
        <v>46200</v>
      </c>
      <c r="J2061" s="66">
        <v>46210.2851881366</v>
      </c>
      <c r="K2061" s="65">
        <v>10</v>
      </c>
      <c r="L2061" s="65" t="s">
        <v>192</v>
      </c>
      <c r="M2061" s="65" t="s">
        <v>183</v>
      </c>
      <c r="N2061" s="65" t="b">
        <f>FALSE()</f>
        <v>0</v>
      </c>
      <c r="O2061" s="65"/>
      <c r="P2061" s="65"/>
      <c r="Q2061" s="65" t="s">
        <v>3663</v>
      </c>
      <c r="R2061" s="65" t="s">
        <v>236</v>
      </c>
      <c r="S2061" s="65"/>
      <c r="T2061" s="65" t="b">
        <f>FALSE()</f>
        <v>0</v>
      </c>
      <c r="U2061" s="65" t="b">
        <f>FALSE()</f>
        <v>0</v>
      </c>
      <c r="V2061" s="65">
        <v>358</v>
      </c>
      <c r="W2061" s="67" t="s">
        <v>7573</v>
      </c>
      <c r="X2061" s="65">
        <v>1</v>
      </c>
      <c r="Y2061" s="68">
        <v>0.24</v>
      </c>
      <c r="Z2061" s="65" t="b">
        <f>FALSE()</f>
        <v>0</v>
      </c>
      <c r="AA2061" s="65" t="b">
        <f>TRUE()</f>
        <v>1</v>
      </c>
      <c r="AB2061" s="65" t="b">
        <f>FALSE()</f>
        <v>0</v>
      </c>
      <c r="AC2061" s="65" t="b">
        <f>FALSE()</f>
        <v>0</v>
      </c>
      <c r="AD2061" s="65" t="b">
        <f>FALSE()</f>
        <v>0</v>
      </c>
      <c r="AE2061" s="65">
        <v>1</v>
      </c>
      <c r="AF2061" s="69">
        <v>14.3</v>
      </c>
      <c r="AG2061" s="65" t="s">
        <v>74</v>
      </c>
      <c r="AH2061" s="65" t="s">
        <v>7574</v>
      </c>
      <c r="AI2061">
        <f>IF(AND(OR(Company_Explorer!$B$5="All Companies",$E2061=Company_Explorer!$B$5),OR(Company_Explorer!$B$6="All Platforms",$B2061=Company_Explorer!$B$6),OR(Company_Explorer!$B$7="All Roles",$D2061=Company_Explorer!$B$7),OR(Company_Explorer!$B$8="All Ghost Labels",$AG2061=Company_Explorer!$B$8)),1,0)</f>
        <v>0</v>
      </c>
    </row>
    <row r="2062" spans="1:35" ht="15" customHeight="1" x14ac:dyDescent="0.3">
      <c r="A2062" s="60" t="s">
        <v>7575</v>
      </c>
      <c r="B2062" s="60" t="s">
        <v>82</v>
      </c>
      <c r="C2062" s="60" t="s">
        <v>127</v>
      </c>
      <c r="D2062" s="60" t="s">
        <v>127</v>
      </c>
      <c r="E2062" s="60" t="s">
        <v>3726</v>
      </c>
      <c r="F2062" s="60" t="b">
        <f>FALSE()</f>
        <v>0</v>
      </c>
      <c r="G2062" s="60" t="s">
        <v>165</v>
      </c>
      <c r="H2062" s="60" t="s">
        <v>165</v>
      </c>
      <c r="I2062" s="61">
        <v>46207</v>
      </c>
      <c r="J2062" s="61">
        <v>46210.285191898198</v>
      </c>
      <c r="K2062" s="60">
        <v>3</v>
      </c>
      <c r="L2062" s="60" t="s">
        <v>192</v>
      </c>
      <c r="M2062" s="60" t="s">
        <v>183</v>
      </c>
      <c r="N2062" s="60" t="b">
        <f>TRUE()</f>
        <v>1</v>
      </c>
      <c r="O2062" s="70">
        <v>300000</v>
      </c>
      <c r="P2062" s="70">
        <v>480000</v>
      </c>
      <c r="Q2062" s="60" t="s">
        <v>3663</v>
      </c>
      <c r="R2062" s="60" t="s">
        <v>7351</v>
      </c>
      <c r="S2062" s="70">
        <v>390000</v>
      </c>
      <c r="T2062" s="60" t="b">
        <f>TRUE()</f>
        <v>1</v>
      </c>
      <c r="U2062" s="60" t="b">
        <f>FALSE()</f>
        <v>0</v>
      </c>
      <c r="V2062" s="60">
        <v>391</v>
      </c>
      <c r="W2062" s="62" t="s">
        <v>7576</v>
      </c>
      <c r="X2062" s="60"/>
      <c r="Y2062" s="63"/>
      <c r="Z2062" s="60" t="b">
        <f>TRUE()</f>
        <v>1</v>
      </c>
      <c r="AA2062" s="60" t="b">
        <f>FALSE()</f>
        <v>0</v>
      </c>
      <c r="AB2062" s="60" t="b">
        <f>FALSE()</f>
        <v>0</v>
      </c>
      <c r="AC2062" s="60" t="b">
        <f>FALSE()</f>
        <v>0</v>
      </c>
      <c r="AD2062" s="60" t="b">
        <f>FALSE()</f>
        <v>0</v>
      </c>
      <c r="AE2062" s="60">
        <v>2</v>
      </c>
      <c r="AF2062" s="64">
        <v>28.6</v>
      </c>
      <c r="AG2062" s="60" t="s">
        <v>73</v>
      </c>
      <c r="AH2062" s="60" t="s">
        <v>7577</v>
      </c>
      <c r="AI2062">
        <f>IF(AND(OR(Company_Explorer!$B$5="All Companies",$E2062=Company_Explorer!$B$5),OR(Company_Explorer!$B$6="All Platforms",$B2062=Company_Explorer!$B$6),OR(Company_Explorer!$B$7="All Roles",$D2062=Company_Explorer!$B$7),OR(Company_Explorer!$B$8="All Ghost Labels",$AG2062=Company_Explorer!$B$8)),1,0)</f>
        <v>0</v>
      </c>
    </row>
    <row r="2063" spans="1:35" ht="15" customHeight="1" x14ac:dyDescent="0.3">
      <c r="A2063" s="65" t="s">
        <v>7578</v>
      </c>
      <c r="B2063" s="65" t="s">
        <v>82</v>
      </c>
      <c r="C2063" s="65" t="s">
        <v>7579</v>
      </c>
      <c r="D2063" s="65" t="s">
        <v>127</v>
      </c>
      <c r="E2063" s="65" t="s">
        <v>150</v>
      </c>
      <c r="F2063" s="65" t="b">
        <f>TRUE()</f>
        <v>1</v>
      </c>
      <c r="G2063" s="65" t="s">
        <v>167</v>
      </c>
      <c r="H2063" s="65" t="s">
        <v>276</v>
      </c>
      <c r="I2063" s="66">
        <v>46182</v>
      </c>
      <c r="J2063" s="66">
        <v>46210.285193645803</v>
      </c>
      <c r="K2063" s="65">
        <v>29</v>
      </c>
      <c r="L2063" s="65" t="s">
        <v>192</v>
      </c>
      <c r="M2063" s="65" t="s">
        <v>183</v>
      </c>
      <c r="N2063" s="65" t="b">
        <f>TRUE()</f>
        <v>1</v>
      </c>
      <c r="O2063" s="71">
        <v>412900</v>
      </c>
      <c r="P2063" s="71">
        <v>800000</v>
      </c>
      <c r="Q2063" s="65" t="s">
        <v>3663</v>
      </c>
      <c r="R2063" s="65" t="s">
        <v>7351</v>
      </c>
      <c r="S2063" s="71">
        <v>606450</v>
      </c>
      <c r="T2063" s="65" t="b">
        <f>TRUE()</f>
        <v>1</v>
      </c>
      <c r="U2063" s="65" t="b">
        <f>FALSE()</f>
        <v>0</v>
      </c>
      <c r="V2063" s="65">
        <v>507</v>
      </c>
      <c r="W2063" s="67" t="s">
        <v>3698</v>
      </c>
      <c r="X2063" s="65">
        <v>18</v>
      </c>
      <c r="Y2063" s="68">
        <v>4.34</v>
      </c>
      <c r="Z2063" s="65" t="b">
        <f>FALSE()</f>
        <v>0</v>
      </c>
      <c r="AA2063" s="65" t="b">
        <f>FALSE()</f>
        <v>0</v>
      </c>
      <c r="AB2063" s="65" t="b">
        <f>FALSE()</f>
        <v>0</v>
      </c>
      <c r="AC2063" s="65" t="b">
        <f>FALSE()</f>
        <v>0</v>
      </c>
      <c r="AD2063" s="65" t="b">
        <f>TRUE()</f>
        <v>1</v>
      </c>
      <c r="AE2063" s="65">
        <v>2</v>
      </c>
      <c r="AF2063" s="69">
        <v>28.6</v>
      </c>
      <c r="AG2063" s="65" t="s">
        <v>73</v>
      </c>
      <c r="AH2063" s="65" t="s">
        <v>7580</v>
      </c>
      <c r="AI2063">
        <f>IF(AND(OR(Company_Explorer!$B$5="All Companies",$E2063=Company_Explorer!$B$5),OR(Company_Explorer!$B$6="All Platforms",$B2063=Company_Explorer!$B$6),OR(Company_Explorer!$B$7="All Roles",$D2063=Company_Explorer!$B$7),OR(Company_Explorer!$B$8="All Ghost Labels",$AG2063=Company_Explorer!$B$8)),1,0)</f>
        <v>0</v>
      </c>
    </row>
    <row r="2064" spans="1:35" ht="15" customHeight="1" x14ac:dyDescent="0.3">
      <c r="A2064" s="60" t="s">
        <v>7581</v>
      </c>
      <c r="B2064" s="60" t="s">
        <v>82</v>
      </c>
      <c r="C2064" s="60" t="s">
        <v>127</v>
      </c>
      <c r="D2064" s="60" t="s">
        <v>127</v>
      </c>
      <c r="E2064" s="60" t="s">
        <v>7582</v>
      </c>
      <c r="F2064" s="60" t="b">
        <f>TRUE()</f>
        <v>1</v>
      </c>
      <c r="G2064" s="60" t="s">
        <v>7583</v>
      </c>
      <c r="H2064" s="60" t="s">
        <v>294</v>
      </c>
      <c r="I2064" s="61">
        <v>46208</v>
      </c>
      <c r="J2064" s="61">
        <v>46210.285195138902</v>
      </c>
      <c r="K2064" s="60">
        <v>124</v>
      </c>
      <c r="L2064" s="60" t="s">
        <v>192</v>
      </c>
      <c r="M2064" s="60" t="s">
        <v>183</v>
      </c>
      <c r="N2064" s="60" t="b">
        <f>TRUE()</f>
        <v>1</v>
      </c>
      <c r="O2064" s="70">
        <v>535000</v>
      </c>
      <c r="P2064" s="70">
        <v>800000</v>
      </c>
      <c r="Q2064" s="60" t="s">
        <v>3663</v>
      </c>
      <c r="R2064" s="60" t="s">
        <v>7351</v>
      </c>
      <c r="S2064" s="70">
        <v>667500</v>
      </c>
      <c r="T2064" s="60" t="b">
        <f>TRUE()</f>
        <v>1</v>
      </c>
      <c r="U2064" s="60" t="b">
        <f>FALSE()</f>
        <v>0</v>
      </c>
      <c r="V2064" s="60">
        <v>184</v>
      </c>
      <c r="W2064" s="62" t="s">
        <v>7584</v>
      </c>
      <c r="X2064" s="60">
        <v>2</v>
      </c>
      <c r="Y2064" s="63">
        <v>0.48</v>
      </c>
      <c r="Z2064" s="60" t="b">
        <f>FALSE()</f>
        <v>0</v>
      </c>
      <c r="AA2064" s="60" t="b">
        <f>FALSE()</f>
        <v>0</v>
      </c>
      <c r="AB2064" s="60" t="b">
        <f>TRUE()</f>
        <v>1</v>
      </c>
      <c r="AC2064" s="60" t="b">
        <f>TRUE()</f>
        <v>1</v>
      </c>
      <c r="AD2064" s="60" t="b">
        <f>FALSE()</f>
        <v>0</v>
      </c>
      <c r="AE2064" s="60">
        <v>2</v>
      </c>
      <c r="AF2064" s="64">
        <v>28.6</v>
      </c>
      <c r="AG2064" s="60" t="s">
        <v>73</v>
      </c>
      <c r="AH2064" s="60" t="s">
        <v>7585</v>
      </c>
      <c r="AI2064">
        <f>IF(AND(OR(Company_Explorer!$B$5="All Companies",$E2064=Company_Explorer!$B$5),OR(Company_Explorer!$B$6="All Platforms",$B2064=Company_Explorer!$B$6),OR(Company_Explorer!$B$7="All Roles",$D2064=Company_Explorer!$B$7),OR(Company_Explorer!$B$8="All Ghost Labels",$AG2064=Company_Explorer!$B$8)),1,0)</f>
        <v>0</v>
      </c>
    </row>
    <row r="2065" spans="1:35" ht="15" customHeight="1" x14ac:dyDescent="0.3">
      <c r="A2065" s="65" t="s">
        <v>7586</v>
      </c>
      <c r="B2065" s="65" t="s">
        <v>82</v>
      </c>
      <c r="C2065" s="65" t="s">
        <v>7587</v>
      </c>
      <c r="D2065" s="65" t="s">
        <v>127</v>
      </c>
      <c r="E2065" s="65" t="s">
        <v>3726</v>
      </c>
      <c r="F2065" s="65" t="b">
        <f>FALSE()</f>
        <v>0</v>
      </c>
      <c r="G2065" s="65" t="s">
        <v>165</v>
      </c>
      <c r="H2065" s="65" t="s">
        <v>165</v>
      </c>
      <c r="I2065" s="66">
        <v>46197</v>
      </c>
      <c r="J2065" s="66">
        <v>46210.285197835699</v>
      </c>
      <c r="K2065" s="65">
        <v>13</v>
      </c>
      <c r="L2065" s="65" t="s">
        <v>192</v>
      </c>
      <c r="M2065" s="65" t="s">
        <v>183</v>
      </c>
      <c r="N2065" s="65" t="b">
        <f>TRUE()</f>
        <v>1</v>
      </c>
      <c r="O2065" s="71">
        <v>600000</v>
      </c>
      <c r="P2065" s="71">
        <v>1000000</v>
      </c>
      <c r="Q2065" s="65" t="s">
        <v>3663</v>
      </c>
      <c r="R2065" s="65" t="s">
        <v>7351</v>
      </c>
      <c r="S2065" s="71">
        <v>800000</v>
      </c>
      <c r="T2065" s="65" t="b">
        <f>TRUE()</f>
        <v>1</v>
      </c>
      <c r="U2065" s="65" t="b">
        <f>FALSE()</f>
        <v>0</v>
      </c>
      <c r="V2065" s="65">
        <v>193</v>
      </c>
      <c r="W2065" s="67" t="s">
        <v>7588</v>
      </c>
      <c r="X2065" s="65"/>
      <c r="Y2065" s="68"/>
      <c r="Z2065" s="65" t="b">
        <f>TRUE()</f>
        <v>1</v>
      </c>
      <c r="AA2065" s="65" t="b">
        <f>FALSE()</f>
        <v>0</v>
      </c>
      <c r="AB2065" s="65" t="b">
        <f>TRUE()</f>
        <v>1</v>
      </c>
      <c r="AC2065" s="65" t="b">
        <f>FALSE()</f>
        <v>0</v>
      </c>
      <c r="AD2065" s="65" t="b">
        <f>FALSE()</f>
        <v>0</v>
      </c>
      <c r="AE2065" s="65">
        <v>3</v>
      </c>
      <c r="AF2065" s="69">
        <v>42.9</v>
      </c>
      <c r="AG2065" s="65" t="s">
        <v>73</v>
      </c>
      <c r="AH2065" s="65" t="s">
        <v>7589</v>
      </c>
      <c r="AI2065">
        <f>IF(AND(OR(Company_Explorer!$B$5="All Companies",$E2065=Company_Explorer!$B$5),OR(Company_Explorer!$B$6="All Platforms",$B2065=Company_Explorer!$B$6),OR(Company_Explorer!$B$7="All Roles",$D2065=Company_Explorer!$B$7),OR(Company_Explorer!$B$8="All Ghost Labels",$AG2065=Company_Explorer!$B$8)),1,0)</f>
        <v>0</v>
      </c>
    </row>
    <row r="2066" spans="1:35" ht="15" customHeight="1" x14ac:dyDescent="0.3">
      <c r="A2066" s="60" t="s">
        <v>7590</v>
      </c>
      <c r="B2066" s="60" t="s">
        <v>82</v>
      </c>
      <c r="C2066" s="60" t="s">
        <v>5780</v>
      </c>
      <c r="D2066" s="60" t="s">
        <v>127</v>
      </c>
      <c r="E2066" s="60" t="s">
        <v>3726</v>
      </c>
      <c r="F2066" s="60" t="b">
        <f>FALSE()</f>
        <v>0</v>
      </c>
      <c r="G2066" s="60" t="s">
        <v>167</v>
      </c>
      <c r="H2066" s="60" t="s">
        <v>276</v>
      </c>
      <c r="I2066" s="61">
        <v>46190</v>
      </c>
      <c r="J2066" s="61">
        <v>46210.285201238403</v>
      </c>
      <c r="K2066" s="60">
        <v>20</v>
      </c>
      <c r="L2066" s="60" t="s">
        <v>192</v>
      </c>
      <c r="M2066" s="60" t="s">
        <v>183</v>
      </c>
      <c r="N2066" s="60" t="b">
        <f>TRUE()</f>
        <v>1</v>
      </c>
      <c r="O2066" s="70">
        <v>800000</v>
      </c>
      <c r="P2066" s="70">
        <v>1000000</v>
      </c>
      <c r="Q2066" s="60" t="s">
        <v>3663</v>
      </c>
      <c r="R2066" s="60" t="s">
        <v>7351</v>
      </c>
      <c r="S2066" s="70">
        <v>900000</v>
      </c>
      <c r="T2066" s="60" t="b">
        <f>TRUE()</f>
        <v>1</v>
      </c>
      <c r="U2066" s="60" t="b">
        <f>FALSE()</f>
        <v>0</v>
      </c>
      <c r="V2066" s="60">
        <v>742</v>
      </c>
      <c r="W2066" s="62" t="s">
        <v>7591</v>
      </c>
      <c r="X2066" s="60"/>
      <c r="Y2066" s="63"/>
      <c r="Z2066" s="60" t="b">
        <f>TRUE()</f>
        <v>1</v>
      </c>
      <c r="AA2066" s="60" t="b">
        <f>FALSE()</f>
        <v>0</v>
      </c>
      <c r="AB2066" s="60" t="b">
        <f>FALSE()</f>
        <v>0</v>
      </c>
      <c r="AC2066" s="60" t="b">
        <f>FALSE()</f>
        <v>0</v>
      </c>
      <c r="AD2066" s="60" t="b">
        <f>FALSE()</f>
        <v>0</v>
      </c>
      <c r="AE2066" s="60">
        <v>2</v>
      </c>
      <c r="AF2066" s="64">
        <v>28.6</v>
      </c>
      <c r="AG2066" s="60" t="s">
        <v>73</v>
      </c>
      <c r="AH2066" s="60" t="s">
        <v>7592</v>
      </c>
      <c r="AI2066">
        <f>IF(AND(OR(Company_Explorer!$B$5="All Companies",$E2066=Company_Explorer!$B$5),OR(Company_Explorer!$B$6="All Platforms",$B2066=Company_Explorer!$B$6),OR(Company_Explorer!$B$7="All Roles",$D2066=Company_Explorer!$B$7),OR(Company_Explorer!$B$8="All Ghost Labels",$AG2066=Company_Explorer!$B$8)),1,0)</f>
        <v>0</v>
      </c>
    </row>
    <row r="2067" spans="1:35" ht="15" customHeight="1" x14ac:dyDescent="0.3">
      <c r="A2067" s="65" t="s">
        <v>7593</v>
      </c>
      <c r="B2067" s="65" t="s">
        <v>82</v>
      </c>
      <c r="C2067" s="65" t="s">
        <v>7594</v>
      </c>
      <c r="D2067" s="65" t="s">
        <v>127</v>
      </c>
      <c r="E2067" s="65" t="s">
        <v>7595</v>
      </c>
      <c r="F2067" s="65" t="b">
        <f>TRUE()</f>
        <v>1</v>
      </c>
      <c r="G2067" s="65" t="s">
        <v>165</v>
      </c>
      <c r="H2067" s="65" t="s">
        <v>165</v>
      </c>
      <c r="I2067" s="66">
        <v>46192</v>
      </c>
      <c r="J2067" s="66">
        <v>46210.285203009298</v>
      </c>
      <c r="K2067" s="65">
        <v>19</v>
      </c>
      <c r="L2067" s="65" t="s">
        <v>192</v>
      </c>
      <c r="M2067" s="65" t="s">
        <v>183</v>
      </c>
      <c r="N2067" s="65" t="b">
        <f>FALSE()</f>
        <v>0</v>
      </c>
      <c r="O2067" s="65"/>
      <c r="P2067" s="65"/>
      <c r="Q2067" s="65" t="s">
        <v>3663</v>
      </c>
      <c r="R2067" s="65" t="s">
        <v>236</v>
      </c>
      <c r="S2067" s="65"/>
      <c r="T2067" s="65" t="b">
        <f>FALSE()</f>
        <v>0</v>
      </c>
      <c r="U2067" s="65" t="b">
        <f>FALSE()</f>
        <v>0</v>
      </c>
      <c r="V2067" s="65">
        <v>576</v>
      </c>
      <c r="W2067" s="67" t="s">
        <v>7596</v>
      </c>
      <c r="X2067" s="65">
        <v>3</v>
      </c>
      <c r="Y2067" s="68">
        <v>0.72</v>
      </c>
      <c r="Z2067" s="65" t="b">
        <f>FALSE()</f>
        <v>0</v>
      </c>
      <c r="AA2067" s="65" t="b">
        <f>TRUE()</f>
        <v>1</v>
      </c>
      <c r="AB2067" s="65" t="b">
        <f>FALSE()</f>
        <v>0</v>
      </c>
      <c r="AC2067" s="65" t="b">
        <f>FALSE()</f>
        <v>0</v>
      </c>
      <c r="AD2067" s="65" t="b">
        <f>FALSE()</f>
        <v>0</v>
      </c>
      <c r="AE2067" s="65">
        <v>1</v>
      </c>
      <c r="AF2067" s="69">
        <v>14.3</v>
      </c>
      <c r="AG2067" s="65" t="s">
        <v>74</v>
      </c>
      <c r="AH2067" s="65" t="s">
        <v>7597</v>
      </c>
      <c r="AI2067">
        <f>IF(AND(OR(Company_Explorer!$B$5="All Companies",$E2067=Company_Explorer!$B$5),OR(Company_Explorer!$B$6="All Platforms",$B2067=Company_Explorer!$B$6),OR(Company_Explorer!$B$7="All Roles",$D2067=Company_Explorer!$B$7),OR(Company_Explorer!$B$8="All Ghost Labels",$AG2067=Company_Explorer!$B$8)),1,0)</f>
        <v>0</v>
      </c>
    </row>
    <row r="2068" spans="1:35" ht="15" customHeight="1" x14ac:dyDescent="0.3">
      <c r="A2068" s="60" t="s">
        <v>7598</v>
      </c>
      <c r="B2068" s="60" t="s">
        <v>82</v>
      </c>
      <c r="C2068" s="60" t="s">
        <v>7599</v>
      </c>
      <c r="D2068" s="60" t="s">
        <v>127</v>
      </c>
      <c r="E2068" s="60" t="s">
        <v>151</v>
      </c>
      <c r="F2068" s="60" t="b">
        <f>TRUE()</f>
        <v>1</v>
      </c>
      <c r="G2068" s="60" t="s">
        <v>166</v>
      </c>
      <c r="H2068" s="60" t="s">
        <v>235</v>
      </c>
      <c r="I2068" s="61">
        <v>46204</v>
      </c>
      <c r="J2068" s="61">
        <v>46210.285205011598</v>
      </c>
      <c r="K2068" s="60">
        <v>6</v>
      </c>
      <c r="L2068" s="60" t="s">
        <v>192</v>
      </c>
      <c r="M2068" s="60" t="s">
        <v>183</v>
      </c>
      <c r="N2068" s="60" t="b">
        <f>TRUE()</f>
        <v>1</v>
      </c>
      <c r="O2068" s="70">
        <v>336000</v>
      </c>
      <c r="P2068" s="70">
        <v>931000</v>
      </c>
      <c r="Q2068" s="60" t="s">
        <v>3663</v>
      </c>
      <c r="R2068" s="60" t="s">
        <v>7351</v>
      </c>
      <c r="S2068" s="70">
        <v>633500</v>
      </c>
      <c r="T2068" s="60" t="b">
        <f>TRUE()</f>
        <v>1</v>
      </c>
      <c r="U2068" s="60" t="b">
        <f>FALSE()</f>
        <v>0</v>
      </c>
      <c r="V2068" s="60">
        <v>363</v>
      </c>
      <c r="W2068" s="62" t="s">
        <v>7600</v>
      </c>
      <c r="X2068" s="60">
        <v>17</v>
      </c>
      <c r="Y2068" s="63">
        <v>4.0999999999999996</v>
      </c>
      <c r="Z2068" s="60" t="b">
        <f>FALSE()</f>
        <v>0</v>
      </c>
      <c r="AA2068" s="60" t="b">
        <f>FALSE()</f>
        <v>0</v>
      </c>
      <c r="AB2068" s="60" t="b">
        <f>FALSE()</f>
        <v>0</v>
      </c>
      <c r="AC2068" s="60" t="b">
        <f>FALSE()</f>
        <v>0</v>
      </c>
      <c r="AD2068" s="60" t="b">
        <f>TRUE()</f>
        <v>1</v>
      </c>
      <c r="AE2068" s="60">
        <v>2</v>
      </c>
      <c r="AF2068" s="64">
        <v>28.6</v>
      </c>
      <c r="AG2068" s="60" t="s">
        <v>73</v>
      </c>
      <c r="AH2068" s="60" t="s">
        <v>7601</v>
      </c>
      <c r="AI2068">
        <f>IF(AND(OR(Company_Explorer!$B$5="All Companies",$E2068=Company_Explorer!$B$5),OR(Company_Explorer!$B$6="All Platforms",$B2068=Company_Explorer!$B$6),OR(Company_Explorer!$B$7="All Roles",$D2068=Company_Explorer!$B$7),OR(Company_Explorer!$B$8="All Ghost Labels",$AG2068=Company_Explorer!$B$8)),1,0)</f>
        <v>0</v>
      </c>
    </row>
    <row r="2069" spans="1:35" ht="15" customHeight="1" x14ac:dyDescent="0.3">
      <c r="A2069" s="65" t="s">
        <v>7602</v>
      </c>
      <c r="B2069" s="65" t="s">
        <v>82</v>
      </c>
      <c r="C2069" s="65" t="s">
        <v>7603</v>
      </c>
      <c r="D2069" s="65" t="s">
        <v>126</v>
      </c>
      <c r="E2069" s="65" t="s">
        <v>7501</v>
      </c>
      <c r="F2069" s="65" t="b">
        <f>TRUE()</f>
        <v>1</v>
      </c>
      <c r="G2069" s="65" t="s">
        <v>165</v>
      </c>
      <c r="H2069" s="65" t="s">
        <v>165</v>
      </c>
      <c r="I2069" s="66">
        <v>46207</v>
      </c>
      <c r="J2069" s="66">
        <v>46210.285207419001</v>
      </c>
      <c r="K2069" s="65">
        <v>3</v>
      </c>
      <c r="L2069" s="65" t="s">
        <v>192</v>
      </c>
      <c r="M2069" s="65" t="s">
        <v>183</v>
      </c>
      <c r="N2069" s="65" t="b">
        <f>FALSE()</f>
        <v>0</v>
      </c>
      <c r="O2069" s="65"/>
      <c r="P2069" s="65"/>
      <c r="Q2069" s="65" t="s">
        <v>3663</v>
      </c>
      <c r="R2069" s="65" t="s">
        <v>236</v>
      </c>
      <c r="S2069" s="65"/>
      <c r="T2069" s="65" t="b">
        <f>FALSE()</f>
        <v>0</v>
      </c>
      <c r="U2069" s="65" t="b">
        <f>FALSE()</f>
        <v>0</v>
      </c>
      <c r="V2069" s="65">
        <v>957</v>
      </c>
      <c r="W2069" s="67" t="s">
        <v>7008</v>
      </c>
      <c r="X2069" s="65">
        <v>4</v>
      </c>
      <c r="Y2069" s="68">
        <v>0.97</v>
      </c>
      <c r="Z2069" s="65" t="b">
        <f>FALSE()</f>
        <v>0</v>
      </c>
      <c r="AA2069" s="65" t="b">
        <f>TRUE()</f>
        <v>1</v>
      </c>
      <c r="AB2069" s="65" t="b">
        <f>FALSE()</f>
        <v>0</v>
      </c>
      <c r="AC2069" s="65" t="b">
        <f>FALSE()</f>
        <v>0</v>
      </c>
      <c r="AD2069" s="65" t="b">
        <f>FALSE()</f>
        <v>0</v>
      </c>
      <c r="AE2069" s="65">
        <v>1</v>
      </c>
      <c r="AF2069" s="69">
        <v>14.3</v>
      </c>
      <c r="AG2069" s="65" t="s">
        <v>74</v>
      </c>
      <c r="AH2069" s="65" t="s">
        <v>7604</v>
      </c>
      <c r="AI2069">
        <f>IF(AND(OR(Company_Explorer!$B$5="All Companies",$E2069=Company_Explorer!$B$5),OR(Company_Explorer!$B$6="All Platforms",$B2069=Company_Explorer!$B$6),OR(Company_Explorer!$B$7="All Roles",$D2069=Company_Explorer!$B$7),OR(Company_Explorer!$B$8="All Ghost Labels",$AG2069=Company_Explorer!$B$8)),1,0)</f>
        <v>0</v>
      </c>
    </row>
    <row r="2070" spans="1:35" ht="15" customHeight="1" x14ac:dyDescent="0.3">
      <c r="A2070" s="60" t="s">
        <v>7605</v>
      </c>
      <c r="B2070" s="60" t="s">
        <v>82</v>
      </c>
      <c r="C2070" s="60" t="s">
        <v>7606</v>
      </c>
      <c r="D2070" s="60" t="s">
        <v>127</v>
      </c>
      <c r="E2070" s="60" t="s">
        <v>7607</v>
      </c>
      <c r="F2070" s="60" t="b">
        <f>TRUE()</f>
        <v>1</v>
      </c>
      <c r="G2070" s="60" t="s">
        <v>165</v>
      </c>
      <c r="H2070" s="60" t="s">
        <v>165</v>
      </c>
      <c r="I2070" s="61">
        <v>46206</v>
      </c>
      <c r="J2070" s="61">
        <v>46210.285209560199</v>
      </c>
      <c r="K2070" s="60">
        <v>4</v>
      </c>
      <c r="L2070" s="60" t="s">
        <v>192</v>
      </c>
      <c r="M2070" s="60" t="s">
        <v>183</v>
      </c>
      <c r="N2070" s="60" t="b">
        <f>FALSE()</f>
        <v>0</v>
      </c>
      <c r="O2070" s="60"/>
      <c r="P2070" s="60"/>
      <c r="Q2070" s="60" t="s">
        <v>3663</v>
      </c>
      <c r="R2070" s="60" t="s">
        <v>236</v>
      </c>
      <c r="S2070" s="60"/>
      <c r="T2070" s="60" t="b">
        <f>FALSE()</f>
        <v>0</v>
      </c>
      <c r="U2070" s="60" t="b">
        <f>FALSE()</f>
        <v>0</v>
      </c>
      <c r="V2070" s="60">
        <v>1057</v>
      </c>
      <c r="W2070" s="62" t="s">
        <v>7608</v>
      </c>
      <c r="X2070" s="60">
        <v>4</v>
      </c>
      <c r="Y2070" s="63">
        <v>0.97</v>
      </c>
      <c r="Z2070" s="60" t="b">
        <f>FALSE()</f>
        <v>0</v>
      </c>
      <c r="AA2070" s="60" t="b">
        <f>TRUE()</f>
        <v>1</v>
      </c>
      <c r="AB2070" s="60" t="b">
        <f>FALSE()</f>
        <v>0</v>
      </c>
      <c r="AC2070" s="60" t="b">
        <f>FALSE()</f>
        <v>0</v>
      </c>
      <c r="AD2070" s="60" t="b">
        <f>FALSE()</f>
        <v>0</v>
      </c>
      <c r="AE2070" s="60">
        <v>1</v>
      </c>
      <c r="AF2070" s="64">
        <v>14.3</v>
      </c>
      <c r="AG2070" s="60" t="s">
        <v>74</v>
      </c>
      <c r="AH2070" s="60" t="s">
        <v>7609</v>
      </c>
      <c r="AI2070">
        <f>IF(AND(OR(Company_Explorer!$B$5="All Companies",$E2070=Company_Explorer!$B$5),OR(Company_Explorer!$B$6="All Platforms",$B2070=Company_Explorer!$B$6),OR(Company_Explorer!$B$7="All Roles",$D2070=Company_Explorer!$B$7),OR(Company_Explorer!$B$8="All Ghost Labels",$AG2070=Company_Explorer!$B$8)),1,0)</f>
        <v>0</v>
      </c>
    </row>
    <row r="2071" spans="1:35" ht="15" customHeight="1" x14ac:dyDescent="0.3">
      <c r="A2071" s="65" t="s">
        <v>7610</v>
      </c>
      <c r="B2071" s="65" t="s">
        <v>82</v>
      </c>
      <c r="C2071" s="65" t="s">
        <v>7611</v>
      </c>
      <c r="D2071" s="65" t="s">
        <v>126</v>
      </c>
      <c r="E2071" s="65" t="s">
        <v>7612</v>
      </c>
      <c r="F2071" s="65" t="b">
        <f>TRUE()</f>
        <v>1</v>
      </c>
      <c r="G2071" s="65" t="s">
        <v>165</v>
      </c>
      <c r="H2071" s="65" t="s">
        <v>165</v>
      </c>
      <c r="I2071" s="66">
        <v>46210</v>
      </c>
      <c r="J2071" s="66">
        <v>46210.285209733796</v>
      </c>
      <c r="K2071" s="65">
        <v>122</v>
      </c>
      <c r="L2071" s="65" t="s">
        <v>183</v>
      </c>
      <c r="M2071" s="65" t="s">
        <v>183</v>
      </c>
      <c r="N2071" s="65" t="b">
        <f>FALSE()</f>
        <v>0</v>
      </c>
      <c r="O2071" s="65"/>
      <c r="P2071" s="65"/>
      <c r="Q2071" s="65" t="s">
        <v>3663</v>
      </c>
      <c r="R2071" s="65" t="s">
        <v>236</v>
      </c>
      <c r="S2071" s="65"/>
      <c r="T2071" s="65" t="b">
        <f>FALSE()</f>
        <v>0</v>
      </c>
      <c r="U2071" s="65" t="b">
        <f>FALSE()</f>
        <v>0</v>
      </c>
      <c r="V2071" s="65">
        <v>408</v>
      </c>
      <c r="W2071" s="67" t="s">
        <v>7613</v>
      </c>
      <c r="X2071" s="65">
        <v>1</v>
      </c>
      <c r="Y2071" s="68">
        <v>0.24</v>
      </c>
      <c r="Z2071" s="65" t="b">
        <f>FALSE()</f>
        <v>0</v>
      </c>
      <c r="AA2071" s="65" t="b">
        <f>TRUE()</f>
        <v>1</v>
      </c>
      <c r="AB2071" s="65" t="b">
        <f>FALSE()</f>
        <v>0</v>
      </c>
      <c r="AC2071" s="65" t="b">
        <f>TRUE()</f>
        <v>1</v>
      </c>
      <c r="AD2071" s="65" t="b">
        <f>FALSE()</f>
        <v>0</v>
      </c>
      <c r="AE2071" s="65">
        <v>2</v>
      </c>
      <c r="AF2071" s="69">
        <v>28.6</v>
      </c>
      <c r="AG2071" s="65" t="s">
        <v>73</v>
      </c>
      <c r="AH2071" s="65" t="s">
        <v>7614</v>
      </c>
      <c r="AI2071">
        <f>IF(AND(OR(Company_Explorer!$B$5="All Companies",$E2071=Company_Explorer!$B$5),OR(Company_Explorer!$B$6="All Platforms",$B2071=Company_Explorer!$B$6),OR(Company_Explorer!$B$7="All Roles",$D2071=Company_Explorer!$B$7),OR(Company_Explorer!$B$8="All Ghost Labels",$AG2071=Company_Explorer!$B$8)),1,0)</f>
        <v>0</v>
      </c>
    </row>
    <row r="2072" spans="1:35" ht="15" customHeight="1" x14ac:dyDescent="0.3">
      <c r="A2072" s="60" t="s">
        <v>7615</v>
      </c>
      <c r="B2072" s="60" t="s">
        <v>82</v>
      </c>
      <c r="C2072" s="60" t="s">
        <v>7616</v>
      </c>
      <c r="D2072" s="60" t="s">
        <v>127</v>
      </c>
      <c r="E2072" s="60" t="s">
        <v>7617</v>
      </c>
      <c r="F2072" s="60" t="b">
        <f>TRUE()</f>
        <v>1</v>
      </c>
      <c r="G2072" s="60" t="s">
        <v>165</v>
      </c>
      <c r="H2072" s="60" t="s">
        <v>165</v>
      </c>
      <c r="I2072" s="61">
        <v>46202</v>
      </c>
      <c r="J2072" s="61">
        <v>46210.285210219903</v>
      </c>
      <c r="K2072" s="60">
        <v>39</v>
      </c>
      <c r="L2072" s="60" t="s">
        <v>196</v>
      </c>
      <c r="M2072" s="60" t="s">
        <v>183</v>
      </c>
      <c r="N2072" s="60" t="b">
        <f>FALSE()</f>
        <v>0</v>
      </c>
      <c r="O2072" s="60"/>
      <c r="P2072" s="60"/>
      <c r="Q2072" s="60" t="s">
        <v>3663</v>
      </c>
      <c r="R2072" s="60" t="s">
        <v>236</v>
      </c>
      <c r="S2072" s="60"/>
      <c r="T2072" s="60" t="b">
        <f>FALSE()</f>
        <v>0</v>
      </c>
      <c r="U2072" s="60" t="b">
        <f>FALSE()</f>
        <v>0</v>
      </c>
      <c r="V2072" s="60">
        <v>651</v>
      </c>
      <c r="W2072" s="62" t="s">
        <v>7618</v>
      </c>
      <c r="X2072" s="60">
        <v>1</v>
      </c>
      <c r="Y2072" s="63">
        <v>0.24</v>
      </c>
      <c r="Z2072" s="60" t="b">
        <f>FALSE()</f>
        <v>0</v>
      </c>
      <c r="AA2072" s="60" t="b">
        <f>TRUE()</f>
        <v>1</v>
      </c>
      <c r="AB2072" s="60" t="b">
        <f>FALSE()</f>
        <v>0</v>
      </c>
      <c r="AC2072" s="60" t="b">
        <f>FALSE()</f>
        <v>0</v>
      </c>
      <c r="AD2072" s="60" t="b">
        <f>FALSE()</f>
        <v>0</v>
      </c>
      <c r="AE2072" s="60">
        <v>1</v>
      </c>
      <c r="AF2072" s="64">
        <v>14.3</v>
      </c>
      <c r="AG2072" s="60" t="s">
        <v>74</v>
      </c>
      <c r="AH2072" s="60" t="s">
        <v>7619</v>
      </c>
      <c r="AI2072">
        <f>IF(AND(OR(Company_Explorer!$B$5="All Companies",$E2072=Company_Explorer!$B$5),OR(Company_Explorer!$B$6="All Platforms",$B2072=Company_Explorer!$B$6),OR(Company_Explorer!$B$7="All Roles",$D2072=Company_Explorer!$B$7),OR(Company_Explorer!$B$8="All Ghost Labels",$AG2072=Company_Explorer!$B$8)),1,0)</f>
        <v>0</v>
      </c>
    </row>
    <row r="2073" spans="1:35" ht="15" customHeight="1" x14ac:dyDescent="0.3">
      <c r="A2073" s="65" t="s">
        <v>7620</v>
      </c>
      <c r="B2073" s="65" t="s">
        <v>82</v>
      </c>
      <c r="C2073" s="65" t="s">
        <v>7621</v>
      </c>
      <c r="D2073" s="65" t="s">
        <v>126</v>
      </c>
      <c r="E2073" s="65" t="s">
        <v>3726</v>
      </c>
      <c r="F2073" s="65" t="b">
        <f>FALSE()</f>
        <v>0</v>
      </c>
      <c r="G2073" s="65" t="s">
        <v>165</v>
      </c>
      <c r="H2073" s="65" t="s">
        <v>165</v>
      </c>
      <c r="I2073" s="66">
        <v>46196</v>
      </c>
      <c r="J2073" s="66">
        <v>46210.285214398202</v>
      </c>
      <c r="K2073" s="65">
        <v>14</v>
      </c>
      <c r="L2073" s="65" t="s">
        <v>192</v>
      </c>
      <c r="M2073" s="65" t="s">
        <v>183</v>
      </c>
      <c r="N2073" s="65" t="b">
        <f>FALSE()</f>
        <v>0</v>
      </c>
      <c r="O2073" s="65"/>
      <c r="P2073" s="65"/>
      <c r="Q2073" s="65" t="s">
        <v>3663</v>
      </c>
      <c r="R2073" s="65" t="s">
        <v>236</v>
      </c>
      <c r="S2073" s="65"/>
      <c r="T2073" s="65" t="b">
        <f>FALSE()</f>
        <v>0</v>
      </c>
      <c r="U2073" s="65" t="b">
        <f>FALSE()</f>
        <v>0</v>
      </c>
      <c r="V2073" s="65">
        <v>295</v>
      </c>
      <c r="W2073" s="67" t="s">
        <v>7622</v>
      </c>
      <c r="X2073" s="65"/>
      <c r="Y2073" s="68"/>
      <c r="Z2073" s="65" t="b">
        <f>TRUE()</f>
        <v>1</v>
      </c>
      <c r="AA2073" s="65" t="b">
        <f>TRUE()</f>
        <v>1</v>
      </c>
      <c r="AB2073" s="65" t="b">
        <f>FALSE()</f>
        <v>0</v>
      </c>
      <c r="AC2073" s="65" t="b">
        <f>FALSE()</f>
        <v>0</v>
      </c>
      <c r="AD2073" s="65" t="b">
        <f>FALSE()</f>
        <v>0</v>
      </c>
      <c r="AE2073" s="65">
        <v>3</v>
      </c>
      <c r="AF2073" s="69">
        <v>42.9</v>
      </c>
      <c r="AG2073" s="65" t="s">
        <v>73</v>
      </c>
      <c r="AH2073" s="65" t="s">
        <v>7623</v>
      </c>
      <c r="AI2073">
        <f>IF(AND(OR(Company_Explorer!$B$5="All Companies",$E2073=Company_Explorer!$B$5),OR(Company_Explorer!$B$6="All Platforms",$B2073=Company_Explorer!$B$6),OR(Company_Explorer!$B$7="All Roles",$D2073=Company_Explorer!$B$7),OR(Company_Explorer!$B$8="All Ghost Labels",$AG2073=Company_Explorer!$B$8)),1,0)</f>
        <v>0</v>
      </c>
    </row>
    <row r="2074" spans="1:35" ht="15" customHeight="1" x14ac:dyDescent="0.3">
      <c r="A2074" s="60" t="s">
        <v>7624</v>
      </c>
      <c r="B2074" s="60" t="s">
        <v>82</v>
      </c>
      <c r="C2074" s="60" t="s">
        <v>7625</v>
      </c>
      <c r="D2074" s="60" t="s">
        <v>133</v>
      </c>
      <c r="E2074" s="60" t="s">
        <v>154</v>
      </c>
      <c r="F2074" s="60" t="b">
        <f>TRUE()</f>
        <v>1</v>
      </c>
      <c r="G2074" s="60" t="s">
        <v>167</v>
      </c>
      <c r="H2074" s="60" t="s">
        <v>276</v>
      </c>
      <c r="I2074" s="61">
        <v>46191</v>
      </c>
      <c r="J2074" s="61">
        <v>46210.285214942101</v>
      </c>
      <c r="K2074" s="60">
        <v>19</v>
      </c>
      <c r="L2074" s="60" t="s">
        <v>192</v>
      </c>
      <c r="M2074" s="60" t="s">
        <v>183</v>
      </c>
      <c r="N2074" s="60" t="b">
        <f>TRUE()</f>
        <v>1</v>
      </c>
      <c r="O2074" s="70">
        <v>475000</v>
      </c>
      <c r="P2074" s="70">
        <v>945500</v>
      </c>
      <c r="Q2074" s="60" t="s">
        <v>3663</v>
      </c>
      <c r="R2074" s="60" t="s">
        <v>7351</v>
      </c>
      <c r="S2074" s="70">
        <v>710250</v>
      </c>
      <c r="T2074" s="60" t="b">
        <f>TRUE()</f>
        <v>1</v>
      </c>
      <c r="U2074" s="60" t="b">
        <f>FALSE()</f>
        <v>0</v>
      </c>
      <c r="V2074" s="60">
        <v>736</v>
      </c>
      <c r="W2074" s="60" t="s">
        <v>3893</v>
      </c>
      <c r="X2074" s="60">
        <v>16</v>
      </c>
      <c r="Y2074" s="63">
        <v>3.86</v>
      </c>
      <c r="Z2074" s="60" t="b">
        <f>FALSE()</f>
        <v>0</v>
      </c>
      <c r="AA2074" s="60" t="b">
        <f>FALSE()</f>
        <v>0</v>
      </c>
      <c r="AB2074" s="60" t="b">
        <f>FALSE()</f>
        <v>0</v>
      </c>
      <c r="AC2074" s="60" t="b">
        <f>FALSE()</f>
        <v>0</v>
      </c>
      <c r="AD2074" s="60" t="b">
        <f>TRUE()</f>
        <v>1</v>
      </c>
      <c r="AE2074" s="60">
        <v>2</v>
      </c>
      <c r="AF2074" s="64">
        <v>28.6</v>
      </c>
      <c r="AG2074" s="60" t="s">
        <v>73</v>
      </c>
      <c r="AH2074" s="60" t="s">
        <v>7626</v>
      </c>
      <c r="AI2074">
        <f>IF(AND(OR(Company_Explorer!$B$5="All Companies",$E2074=Company_Explorer!$B$5),OR(Company_Explorer!$B$6="All Platforms",$B2074=Company_Explorer!$B$6),OR(Company_Explorer!$B$7="All Roles",$D2074=Company_Explorer!$B$7),OR(Company_Explorer!$B$8="All Ghost Labels",$AG2074=Company_Explorer!$B$8)),1,0)</f>
        <v>0</v>
      </c>
    </row>
    <row r="2075" spans="1:35" ht="15" customHeight="1" x14ac:dyDescent="0.3">
      <c r="A2075" s="65" t="s">
        <v>7627</v>
      </c>
      <c r="B2075" s="65" t="s">
        <v>82</v>
      </c>
      <c r="C2075" s="65" t="s">
        <v>7628</v>
      </c>
      <c r="D2075" s="65" t="s">
        <v>127</v>
      </c>
      <c r="E2075" s="65" t="s">
        <v>7582</v>
      </c>
      <c r="F2075" s="65" t="b">
        <f>TRUE()</f>
        <v>1</v>
      </c>
      <c r="G2075" s="65" t="s">
        <v>165</v>
      </c>
      <c r="H2075" s="65" t="s">
        <v>165</v>
      </c>
      <c r="I2075" s="66">
        <v>46205</v>
      </c>
      <c r="J2075" s="66">
        <v>46210.285219340301</v>
      </c>
      <c r="K2075" s="65">
        <v>5</v>
      </c>
      <c r="L2075" s="65" t="s">
        <v>192</v>
      </c>
      <c r="M2075" s="65" t="s">
        <v>183</v>
      </c>
      <c r="N2075" s="65" t="b">
        <f>FALSE()</f>
        <v>0</v>
      </c>
      <c r="O2075" s="65"/>
      <c r="P2075" s="65"/>
      <c r="Q2075" s="65" t="s">
        <v>3663</v>
      </c>
      <c r="R2075" s="65" t="s">
        <v>236</v>
      </c>
      <c r="S2075" s="65"/>
      <c r="T2075" s="65" t="b">
        <f>FALSE()</f>
        <v>0</v>
      </c>
      <c r="U2075" s="65" t="b">
        <f>FALSE()</f>
        <v>0</v>
      </c>
      <c r="V2075" s="65">
        <v>249</v>
      </c>
      <c r="W2075" s="67" t="s">
        <v>7629</v>
      </c>
      <c r="X2075" s="65">
        <v>2</v>
      </c>
      <c r="Y2075" s="68">
        <v>0.48</v>
      </c>
      <c r="Z2075" s="65" t="b">
        <f>FALSE()</f>
        <v>0</v>
      </c>
      <c r="AA2075" s="65" t="b">
        <f>TRUE()</f>
        <v>1</v>
      </c>
      <c r="AB2075" s="65" t="b">
        <f>FALSE()</f>
        <v>0</v>
      </c>
      <c r="AC2075" s="65" t="b">
        <f>FALSE()</f>
        <v>0</v>
      </c>
      <c r="AD2075" s="65" t="b">
        <f>FALSE()</f>
        <v>0</v>
      </c>
      <c r="AE2075" s="65">
        <v>1</v>
      </c>
      <c r="AF2075" s="69">
        <v>14.3</v>
      </c>
      <c r="AG2075" s="65" t="s">
        <v>74</v>
      </c>
      <c r="AH2075" s="65" t="s">
        <v>7630</v>
      </c>
      <c r="AI2075">
        <f>IF(AND(OR(Company_Explorer!$B$5="All Companies",$E2075=Company_Explorer!$B$5),OR(Company_Explorer!$B$6="All Platforms",$B2075=Company_Explorer!$B$6),OR(Company_Explorer!$B$7="All Roles",$D2075=Company_Explorer!$B$7),OR(Company_Explorer!$B$8="All Ghost Labels",$AG2075=Company_Explorer!$B$8)),1,0)</f>
        <v>0</v>
      </c>
    </row>
    <row r="2076" spans="1:35" ht="15" customHeight="1" x14ac:dyDescent="0.3">
      <c r="A2076" s="60" t="s">
        <v>7631</v>
      </c>
      <c r="B2076" s="60" t="s">
        <v>82</v>
      </c>
      <c r="C2076" s="60" t="s">
        <v>127</v>
      </c>
      <c r="D2076" s="60" t="s">
        <v>127</v>
      </c>
      <c r="E2076" s="60" t="s">
        <v>7632</v>
      </c>
      <c r="F2076" s="60" t="b">
        <f>TRUE()</f>
        <v>1</v>
      </c>
      <c r="G2076" s="60" t="s">
        <v>167</v>
      </c>
      <c r="H2076" s="60" t="s">
        <v>276</v>
      </c>
      <c r="I2076" s="61">
        <v>46199</v>
      </c>
      <c r="J2076" s="61">
        <v>46210.285225335698</v>
      </c>
      <c r="K2076" s="60">
        <v>11</v>
      </c>
      <c r="L2076" s="60" t="s">
        <v>192</v>
      </c>
      <c r="M2076" s="60" t="s">
        <v>183</v>
      </c>
      <c r="N2076" s="60" t="b">
        <f>TRUE()</f>
        <v>1</v>
      </c>
      <c r="O2076" s="70">
        <v>350000</v>
      </c>
      <c r="P2076" s="70">
        <v>422000</v>
      </c>
      <c r="Q2076" s="60" t="s">
        <v>3663</v>
      </c>
      <c r="R2076" s="60" t="s">
        <v>7351</v>
      </c>
      <c r="S2076" s="70">
        <v>386000</v>
      </c>
      <c r="T2076" s="60" t="b">
        <f>TRUE()</f>
        <v>1</v>
      </c>
      <c r="U2076" s="60" t="b">
        <f>FALSE()</f>
        <v>0</v>
      </c>
      <c r="V2076" s="60">
        <v>689</v>
      </c>
      <c r="W2076" s="62" t="s">
        <v>7633</v>
      </c>
      <c r="X2076" s="60">
        <v>1</v>
      </c>
      <c r="Y2076" s="63">
        <v>0.24</v>
      </c>
      <c r="Z2076" s="60" t="b">
        <f>FALSE()</f>
        <v>0</v>
      </c>
      <c r="AA2076" s="60" t="b">
        <f>FALSE()</f>
        <v>0</v>
      </c>
      <c r="AB2076" s="60" t="b">
        <f>FALSE()</f>
        <v>0</v>
      </c>
      <c r="AC2076" s="60" t="b">
        <f>FALSE()</f>
        <v>0</v>
      </c>
      <c r="AD2076" s="60" t="b">
        <f>FALSE()</f>
        <v>0</v>
      </c>
      <c r="AE2076" s="60">
        <v>0</v>
      </c>
      <c r="AF2076" s="64">
        <v>0</v>
      </c>
      <c r="AG2076" s="60" t="s">
        <v>74</v>
      </c>
      <c r="AH2076" s="60" t="s">
        <v>7634</v>
      </c>
      <c r="AI2076">
        <f>IF(AND(OR(Company_Explorer!$B$5="All Companies",$E2076=Company_Explorer!$B$5),OR(Company_Explorer!$B$6="All Platforms",$B2076=Company_Explorer!$B$6),OR(Company_Explorer!$B$7="All Roles",$D2076=Company_Explorer!$B$7),OR(Company_Explorer!$B$8="All Ghost Labels",$AG2076=Company_Explorer!$B$8)),1,0)</f>
        <v>0</v>
      </c>
    </row>
    <row r="2077" spans="1:35" ht="15" customHeight="1" x14ac:dyDescent="0.3">
      <c r="A2077" s="65" t="s">
        <v>7635</v>
      </c>
      <c r="B2077" s="65" t="s">
        <v>82</v>
      </c>
      <c r="C2077" s="65" t="s">
        <v>7636</v>
      </c>
      <c r="D2077" s="65" t="s">
        <v>126</v>
      </c>
      <c r="E2077" s="65" t="s">
        <v>7637</v>
      </c>
      <c r="F2077" s="65" t="b">
        <f>TRUE()</f>
        <v>1</v>
      </c>
      <c r="G2077" s="65" t="s">
        <v>166</v>
      </c>
      <c r="H2077" s="65" t="s">
        <v>235</v>
      </c>
      <c r="I2077" s="66">
        <v>46198</v>
      </c>
      <c r="J2077" s="66">
        <v>46210.285230069399</v>
      </c>
      <c r="K2077" s="65">
        <v>13</v>
      </c>
      <c r="L2077" s="65" t="s">
        <v>192</v>
      </c>
      <c r="M2077" s="65" t="s">
        <v>183</v>
      </c>
      <c r="N2077" s="65" t="b">
        <f>FALSE()</f>
        <v>0</v>
      </c>
      <c r="O2077" s="65"/>
      <c r="P2077" s="65"/>
      <c r="Q2077" s="65" t="s">
        <v>3663</v>
      </c>
      <c r="R2077" s="65" t="s">
        <v>236</v>
      </c>
      <c r="S2077" s="65"/>
      <c r="T2077" s="65" t="b">
        <f>FALSE()</f>
        <v>0</v>
      </c>
      <c r="U2077" s="65" t="b">
        <f>FALSE()</f>
        <v>0</v>
      </c>
      <c r="V2077" s="65">
        <v>817</v>
      </c>
      <c r="W2077" s="67" t="s">
        <v>7638</v>
      </c>
      <c r="X2077" s="65">
        <v>2</v>
      </c>
      <c r="Y2077" s="68">
        <v>0.48</v>
      </c>
      <c r="Z2077" s="65" t="b">
        <f>FALSE()</f>
        <v>0</v>
      </c>
      <c r="AA2077" s="65" t="b">
        <f>TRUE()</f>
        <v>1</v>
      </c>
      <c r="AB2077" s="65" t="b">
        <f>FALSE()</f>
        <v>0</v>
      </c>
      <c r="AC2077" s="65" t="b">
        <f>FALSE()</f>
        <v>0</v>
      </c>
      <c r="AD2077" s="65" t="b">
        <f>FALSE()</f>
        <v>0</v>
      </c>
      <c r="AE2077" s="65">
        <v>1</v>
      </c>
      <c r="AF2077" s="69">
        <v>14.3</v>
      </c>
      <c r="AG2077" s="65" t="s">
        <v>74</v>
      </c>
      <c r="AH2077" s="65" t="s">
        <v>7639</v>
      </c>
      <c r="AI2077">
        <f>IF(AND(OR(Company_Explorer!$B$5="All Companies",$E2077=Company_Explorer!$B$5),OR(Company_Explorer!$B$6="All Platforms",$B2077=Company_Explorer!$B$6),OR(Company_Explorer!$B$7="All Roles",$D2077=Company_Explorer!$B$7),OR(Company_Explorer!$B$8="All Ghost Labels",$AG2077=Company_Explorer!$B$8)),1,0)</f>
        <v>0</v>
      </c>
    </row>
    <row r="2078" spans="1:35" ht="15" customHeight="1" x14ac:dyDescent="0.3">
      <c r="A2078" s="60" t="s">
        <v>7640</v>
      </c>
      <c r="B2078" s="60" t="s">
        <v>82</v>
      </c>
      <c r="C2078" s="60" t="s">
        <v>5765</v>
      </c>
      <c r="D2078" s="60" t="s">
        <v>125</v>
      </c>
      <c r="E2078" s="60" t="s">
        <v>7641</v>
      </c>
      <c r="F2078" s="60" t="b">
        <f>TRUE()</f>
        <v>1</v>
      </c>
      <c r="G2078" s="60" t="s">
        <v>172</v>
      </c>
      <c r="H2078" s="60" t="s">
        <v>276</v>
      </c>
      <c r="I2078" s="61">
        <v>46201</v>
      </c>
      <c r="J2078" s="61">
        <v>46210.285231365699</v>
      </c>
      <c r="K2078" s="60">
        <v>130</v>
      </c>
      <c r="L2078" s="60" t="s">
        <v>183</v>
      </c>
      <c r="M2078" s="60" t="s">
        <v>183</v>
      </c>
      <c r="N2078" s="60" t="b">
        <f>FALSE()</f>
        <v>0</v>
      </c>
      <c r="O2078" s="60"/>
      <c r="P2078" s="60"/>
      <c r="Q2078" s="60" t="s">
        <v>3663</v>
      </c>
      <c r="R2078" s="60" t="s">
        <v>236</v>
      </c>
      <c r="S2078" s="60"/>
      <c r="T2078" s="60" t="b">
        <f>FALSE()</f>
        <v>0</v>
      </c>
      <c r="U2078" s="60" t="b">
        <f>FALSE()</f>
        <v>0</v>
      </c>
      <c r="V2078" s="60">
        <v>269</v>
      </c>
      <c r="W2078" s="62" t="s">
        <v>7642</v>
      </c>
      <c r="X2078" s="60">
        <v>2</v>
      </c>
      <c r="Y2078" s="63">
        <v>0.48</v>
      </c>
      <c r="Z2078" s="60" t="b">
        <f>FALSE()</f>
        <v>0</v>
      </c>
      <c r="AA2078" s="60" t="b">
        <f>TRUE()</f>
        <v>1</v>
      </c>
      <c r="AB2078" s="60" t="b">
        <f>FALSE()</f>
        <v>0</v>
      </c>
      <c r="AC2078" s="60" t="b">
        <f>TRUE()</f>
        <v>1</v>
      </c>
      <c r="AD2078" s="60" t="b">
        <f>FALSE()</f>
        <v>0</v>
      </c>
      <c r="AE2078" s="60">
        <v>2</v>
      </c>
      <c r="AF2078" s="64">
        <v>28.6</v>
      </c>
      <c r="AG2078" s="60" t="s">
        <v>73</v>
      </c>
      <c r="AH2078" s="60" t="s">
        <v>7643</v>
      </c>
      <c r="AI2078">
        <f>IF(AND(OR(Company_Explorer!$B$5="All Companies",$E2078=Company_Explorer!$B$5),OR(Company_Explorer!$B$6="All Platforms",$B2078=Company_Explorer!$B$6),OR(Company_Explorer!$B$7="All Roles",$D2078=Company_Explorer!$B$7),OR(Company_Explorer!$B$8="All Ghost Labels",$AG2078=Company_Explorer!$B$8)),1,0)</f>
        <v>0</v>
      </c>
    </row>
    <row r="2079" spans="1:35" ht="15" customHeight="1" x14ac:dyDescent="0.3">
      <c r="A2079" s="65" t="s">
        <v>7644</v>
      </c>
      <c r="B2079" s="65" t="s">
        <v>82</v>
      </c>
      <c r="C2079" s="65" t="s">
        <v>7645</v>
      </c>
      <c r="D2079" s="65" t="s">
        <v>126</v>
      </c>
      <c r="E2079" s="65" t="s">
        <v>7646</v>
      </c>
      <c r="F2079" s="65" t="b">
        <f>TRUE()</f>
        <v>1</v>
      </c>
      <c r="G2079" s="65" t="s">
        <v>165</v>
      </c>
      <c r="H2079" s="65" t="s">
        <v>165</v>
      </c>
      <c r="I2079" s="66">
        <v>46201</v>
      </c>
      <c r="J2079" s="66">
        <v>46210.285233402799</v>
      </c>
      <c r="K2079" s="65">
        <v>130</v>
      </c>
      <c r="L2079" s="65" t="s">
        <v>183</v>
      </c>
      <c r="M2079" s="65" t="s">
        <v>183</v>
      </c>
      <c r="N2079" s="65" t="b">
        <f>FALSE()</f>
        <v>0</v>
      </c>
      <c r="O2079" s="65"/>
      <c r="P2079" s="65"/>
      <c r="Q2079" s="65" t="s">
        <v>3663</v>
      </c>
      <c r="R2079" s="65" t="s">
        <v>236</v>
      </c>
      <c r="S2079" s="65"/>
      <c r="T2079" s="65" t="b">
        <f>FALSE()</f>
        <v>0</v>
      </c>
      <c r="U2079" s="65" t="b">
        <f>FALSE()</f>
        <v>0</v>
      </c>
      <c r="V2079" s="65">
        <v>183</v>
      </c>
      <c r="W2079" s="65" t="s">
        <v>7647</v>
      </c>
      <c r="X2079" s="65">
        <v>1</v>
      </c>
      <c r="Y2079" s="68">
        <v>0.24</v>
      </c>
      <c r="Z2079" s="65" t="b">
        <f>FALSE()</f>
        <v>0</v>
      </c>
      <c r="AA2079" s="65" t="b">
        <f>TRUE()</f>
        <v>1</v>
      </c>
      <c r="AB2079" s="65" t="b">
        <f>TRUE()</f>
        <v>1</v>
      </c>
      <c r="AC2079" s="65" t="b">
        <f>TRUE()</f>
        <v>1</v>
      </c>
      <c r="AD2079" s="65" t="b">
        <f>FALSE()</f>
        <v>0</v>
      </c>
      <c r="AE2079" s="65">
        <v>3</v>
      </c>
      <c r="AF2079" s="69">
        <v>42.9</v>
      </c>
      <c r="AG2079" s="65" t="s">
        <v>73</v>
      </c>
      <c r="AH2079" s="65" t="s">
        <v>7648</v>
      </c>
      <c r="AI2079">
        <f>IF(AND(OR(Company_Explorer!$B$5="All Companies",$E2079=Company_Explorer!$B$5),OR(Company_Explorer!$B$6="All Platforms",$B2079=Company_Explorer!$B$6),OR(Company_Explorer!$B$7="All Roles",$D2079=Company_Explorer!$B$7),OR(Company_Explorer!$B$8="All Ghost Labels",$AG2079=Company_Explorer!$B$8)),1,0)</f>
        <v>0</v>
      </c>
    </row>
    <row r="2080" spans="1:35" ht="15" customHeight="1" x14ac:dyDescent="0.3">
      <c r="A2080" s="60" t="s">
        <v>7649</v>
      </c>
      <c r="B2080" s="60" t="s">
        <v>82</v>
      </c>
      <c r="C2080" s="60" t="s">
        <v>6694</v>
      </c>
      <c r="D2080" s="60" t="s">
        <v>127</v>
      </c>
      <c r="E2080" s="60" t="s">
        <v>7650</v>
      </c>
      <c r="F2080" s="60" t="b">
        <f>TRUE()</f>
        <v>1</v>
      </c>
      <c r="G2080" s="60" t="s">
        <v>165</v>
      </c>
      <c r="H2080" s="60" t="s">
        <v>165</v>
      </c>
      <c r="I2080" s="61">
        <v>46197</v>
      </c>
      <c r="J2080" s="61">
        <v>46210.2852361111</v>
      </c>
      <c r="K2080" s="60">
        <v>105</v>
      </c>
      <c r="L2080" s="60" t="s">
        <v>192</v>
      </c>
      <c r="M2080" s="60" t="s">
        <v>183</v>
      </c>
      <c r="N2080" s="60" t="b">
        <f>FALSE()</f>
        <v>0</v>
      </c>
      <c r="O2080" s="60"/>
      <c r="P2080" s="60"/>
      <c r="Q2080" s="60" t="s">
        <v>3663</v>
      </c>
      <c r="R2080" s="60" t="s">
        <v>236</v>
      </c>
      <c r="S2080" s="60"/>
      <c r="T2080" s="60" t="b">
        <f>FALSE()</f>
        <v>0</v>
      </c>
      <c r="U2080" s="60" t="b">
        <f>FALSE()</f>
        <v>0</v>
      </c>
      <c r="V2080" s="60">
        <v>471</v>
      </c>
      <c r="W2080" s="62" t="s">
        <v>7651</v>
      </c>
      <c r="X2080" s="60">
        <v>1</v>
      </c>
      <c r="Y2080" s="63">
        <v>0.24</v>
      </c>
      <c r="Z2080" s="60" t="b">
        <f>FALSE()</f>
        <v>0</v>
      </c>
      <c r="AA2080" s="60" t="b">
        <f>TRUE()</f>
        <v>1</v>
      </c>
      <c r="AB2080" s="60" t="b">
        <f>FALSE()</f>
        <v>0</v>
      </c>
      <c r="AC2080" s="60" t="b">
        <f>FALSE()</f>
        <v>0</v>
      </c>
      <c r="AD2080" s="60" t="b">
        <f>FALSE()</f>
        <v>0</v>
      </c>
      <c r="AE2080" s="60">
        <v>1</v>
      </c>
      <c r="AF2080" s="64">
        <v>14.3</v>
      </c>
      <c r="AG2080" s="60" t="s">
        <v>74</v>
      </c>
      <c r="AH2080" s="60" t="s">
        <v>7652</v>
      </c>
      <c r="AI2080">
        <f>IF(AND(OR(Company_Explorer!$B$5="All Companies",$E2080=Company_Explorer!$B$5),OR(Company_Explorer!$B$6="All Platforms",$B2080=Company_Explorer!$B$6),OR(Company_Explorer!$B$7="All Roles",$D2080=Company_Explorer!$B$7),OR(Company_Explorer!$B$8="All Ghost Labels",$AG2080=Company_Explorer!$B$8)),1,0)</f>
        <v>0</v>
      </c>
    </row>
    <row r="2081" spans="1:35" ht="15" customHeight="1" x14ac:dyDescent="0.3">
      <c r="A2081" s="65" t="s">
        <v>7653</v>
      </c>
      <c r="B2081" s="65" t="s">
        <v>82</v>
      </c>
      <c r="C2081" s="65" t="s">
        <v>7654</v>
      </c>
      <c r="D2081" s="65" t="s">
        <v>127</v>
      </c>
      <c r="E2081" s="65" t="s">
        <v>151</v>
      </c>
      <c r="F2081" s="65" t="b">
        <f>TRUE()</f>
        <v>1</v>
      </c>
      <c r="G2081" s="65" t="s">
        <v>165</v>
      </c>
      <c r="H2081" s="65" t="s">
        <v>165</v>
      </c>
      <c r="I2081" s="66">
        <v>46182</v>
      </c>
      <c r="J2081" s="66">
        <v>46210.285239467601</v>
      </c>
      <c r="K2081" s="65">
        <v>28</v>
      </c>
      <c r="L2081" s="65" t="s">
        <v>192</v>
      </c>
      <c r="M2081" s="65" t="s">
        <v>183</v>
      </c>
      <c r="N2081" s="65" t="b">
        <f>FALSE()</f>
        <v>0</v>
      </c>
      <c r="O2081" s="65"/>
      <c r="P2081" s="65"/>
      <c r="Q2081" s="65" t="s">
        <v>3663</v>
      </c>
      <c r="R2081" s="65" t="s">
        <v>236</v>
      </c>
      <c r="S2081" s="65"/>
      <c r="T2081" s="65" t="b">
        <f>FALSE()</f>
        <v>0</v>
      </c>
      <c r="U2081" s="65" t="b">
        <f>FALSE()</f>
        <v>0</v>
      </c>
      <c r="V2081" s="65">
        <v>907</v>
      </c>
      <c r="W2081" s="67" t="s">
        <v>7655</v>
      </c>
      <c r="X2081" s="65">
        <v>17</v>
      </c>
      <c r="Y2081" s="68">
        <v>4.0999999999999996</v>
      </c>
      <c r="Z2081" s="65" t="b">
        <f>FALSE()</f>
        <v>0</v>
      </c>
      <c r="AA2081" s="65" t="b">
        <f>TRUE()</f>
        <v>1</v>
      </c>
      <c r="AB2081" s="65" t="b">
        <f>FALSE()</f>
        <v>0</v>
      </c>
      <c r="AC2081" s="65" t="b">
        <f>FALSE()</f>
        <v>0</v>
      </c>
      <c r="AD2081" s="65" t="b">
        <f>TRUE()</f>
        <v>1</v>
      </c>
      <c r="AE2081" s="65">
        <v>3</v>
      </c>
      <c r="AF2081" s="69">
        <v>42.9</v>
      </c>
      <c r="AG2081" s="65" t="s">
        <v>73</v>
      </c>
      <c r="AH2081" s="65" t="s">
        <v>7656</v>
      </c>
      <c r="AI2081">
        <f>IF(AND(OR(Company_Explorer!$B$5="All Companies",$E2081=Company_Explorer!$B$5),OR(Company_Explorer!$B$6="All Platforms",$B2081=Company_Explorer!$B$6),OR(Company_Explorer!$B$7="All Roles",$D2081=Company_Explorer!$B$7),OR(Company_Explorer!$B$8="All Ghost Labels",$AG2081=Company_Explorer!$B$8)),1,0)</f>
        <v>0</v>
      </c>
    </row>
    <row r="2082" spans="1:35" ht="15" customHeight="1" x14ac:dyDescent="0.3">
      <c r="A2082" s="60" t="s">
        <v>7657</v>
      </c>
      <c r="B2082" s="60" t="s">
        <v>82</v>
      </c>
      <c r="C2082" s="60" t="s">
        <v>5780</v>
      </c>
      <c r="D2082" s="60" t="s">
        <v>127</v>
      </c>
      <c r="E2082" s="60" t="s">
        <v>157</v>
      </c>
      <c r="F2082" s="60" t="b">
        <f>TRUE()</f>
        <v>1</v>
      </c>
      <c r="G2082" s="60" t="s">
        <v>166</v>
      </c>
      <c r="H2082" s="60" t="s">
        <v>235</v>
      </c>
      <c r="I2082" s="61">
        <v>46197</v>
      </c>
      <c r="J2082" s="61">
        <v>46210.285239652803</v>
      </c>
      <c r="K2082" s="60">
        <v>13</v>
      </c>
      <c r="L2082" s="60" t="s">
        <v>192</v>
      </c>
      <c r="M2082" s="60" t="s">
        <v>183</v>
      </c>
      <c r="N2082" s="60" t="b">
        <f>TRUE()</f>
        <v>1</v>
      </c>
      <c r="O2082" s="70">
        <v>600000</v>
      </c>
      <c r="P2082" s="70">
        <v>900000</v>
      </c>
      <c r="Q2082" s="60" t="s">
        <v>3663</v>
      </c>
      <c r="R2082" s="60" t="s">
        <v>7351</v>
      </c>
      <c r="S2082" s="70">
        <v>750000</v>
      </c>
      <c r="T2082" s="60" t="b">
        <f>TRUE()</f>
        <v>1</v>
      </c>
      <c r="U2082" s="60" t="b">
        <f>FALSE()</f>
        <v>0</v>
      </c>
      <c r="V2082" s="60">
        <v>155</v>
      </c>
      <c r="W2082" s="62" t="s">
        <v>7658</v>
      </c>
      <c r="X2082" s="60">
        <v>15</v>
      </c>
      <c r="Y2082" s="63">
        <v>3.62</v>
      </c>
      <c r="Z2082" s="60" t="b">
        <f>FALSE()</f>
        <v>0</v>
      </c>
      <c r="AA2082" s="60" t="b">
        <f>FALSE()</f>
        <v>0</v>
      </c>
      <c r="AB2082" s="60" t="b">
        <f>TRUE()</f>
        <v>1</v>
      </c>
      <c r="AC2082" s="60" t="b">
        <f>FALSE()</f>
        <v>0</v>
      </c>
      <c r="AD2082" s="60" t="b">
        <f>TRUE()</f>
        <v>1</v>
      </c>
      <c r="AE2082" s="60">
        <v>3</v>
      </c>
      <c r="AF2082" s="64">
        <v>42.9</v>
      </c>
      <c r="AG2082" s="60" t="s">
        <v>73</v>
      </c>
      <c r="AH2082" s="60" t="s">
        <v>7659</v>
      </c>
      <c r="AI2082">
        <f>IF(AND(OR(Company_Explorer!$B$5="All Companies",$E2082=Company_Explorer!$B$5),OR(Company_Explorer!$B$6="All Platforms",$B2082=Company_Explorer!$B$6),OR(Company_Explorer!$B$7="All Roles",$D2082=Company_Explorer!$B$7),OR(Company_Explorer!$B$8="All Ghost Labels",$AG2082=Company_Explorer!$B$8)),1,0)</f>
        <v>0</v>
      </c>
    </row>
    <row r="2083" spans="1:35" ht="15" customHeight="1" x14ac:dyDescent="0.3">
      <c r="A2083" s="65" t="s">
        <v>7660</v>
      </c>
      <c r="B2083" s="65" t="s">
        <v>82</v>
      </c>
      <c r="C2083" s="65" t="s">
        <v>127</v>
      </c>
      <c r="D2083" s="65" t="s">
        <v>127</v>
      </c>
      <c r="E2083" s="65" t="s">
        <v>7661</v>
      </c>
      <c r="F2083" s="65" t="b">
        <f>TRUE()</f>
        <v>1</v>
      </c>
      <c r="G2083" s="65" t="s">
        <v>165</v>
      </c>
      <c r="H2083" s="65" t="s">
        <v>165</v>
      </c>
      <c r="I2083" s="66">
        <v>46211</v>
      </c>
      <c r="J2083" s="66">
        <v>46210.285241145801</v>
      </c>
      <c r="K2083" s="65">
        <v>60</v>
      </c>
      <c r="L2083" s="65" t="s">
        <v>192</v>
      </c>
      <c r="M2083" s="65" t="s">
        <v>183</v>
      </c>
      <c r="N2083" s="65" t="b">
        <f>FALSE()</f>
        <v>0</v>
      </c>
      <c r="O2083" s="65"/>
      <c r="P2083" s="65"/>
      <c r="Q2083" s="65" t="s">
        <v>3663</v>
      </c>
      <c r="R2083" s="65" t="s">
        <v>236</v>
      </c>
      <c r="S2083" s="65"/>
      <c r="T2083" s="65" t="b">
        <f>FALSE()</f>
        <v>0</v>
      </c>
      <c r="U2083" s="65" t="b">
        <f>FALSE()</f>
        <v>0</v>
      </c>
      <c r="V2083" s="65">
        <v>795</v>
      </c>
      <c r="W2083" s="65" t="s">
        <v>7662</v>
      </c>
      <c r="X2083" s="65">
        <v>2</v>
      </c>
      <c r="Y2083" s="68">
        <v>0.48</v>
      </c>
      <c r="Z2083" s="65" t="b">
        <f>FALSE()</f>
        <v>0</v>
      </c>
      <c r="AA2083" s="65" t="b">
        <f>TRUE()</f>
        <v>1</v>
      </c>
      <c r="AB2083" s="65" t="b">
        <f>FALSE()</f>
        <v>0</v>
      </c>
      <c r="AC2083" s="65" t="b">
        <f>FALSE()</f>
        <v>0</v>
      </c>
      <c r="AD2083" s="65" t="b">
        <f>FALSE()</f>
        <v>0</v>
      </c>
      <c r="AE2083" s="65">
        <v>1</v>
      </c>
      <c r="AF2083" s="69">
        <v>14.3</v>
      </c>
      <c r="AG2083" s="65" t="s">
        <v>74</v>
      </c>
      <c r="AH2083" s="65" t="s">
        <v>7663</v>
      </c>
      <c r="AI2083">
        <f>IF(AND(OR(Company_Explorer!$B$5="All Companies",$E2083=Company_Explorer!$B$5),OR(Company_Explorer!$B$6="All Platforms",$B2083=Company_Explorer!$B$6),OR(Company_Explorer!$B$7="All Roles",$D2083=Company_Explorer!$B$7),OR(Company_Explorer!$B$8="All Ghost Labels",$AG2083=Company_Explorer!$B$8)),1,0)</f>
        <v>0</v>
      </c>
    </row>
    <row r="2084" spans="1:35" ht="15" customHeight="1" x14ac:dyDescent="0.3">
      <c r="A2084" s="60" t="s">
        <v>7664</v>
      </c>
      <c r="B2084" s="60" t="s">
        <v>82</v>
      </c>
      <c r="C2084" s="60" t="s">
        <v>127</v>
      </c>
      <c r="D2084" s="60" t="s">
        <v>127</v>
      </c>
      <c r="E2084" s="60" t="s">
        <v>7665</v>
      </c>
      <c r="F2084" s="60" t="b">
        <f>TRUE()</f>
        <v>1</v>
      </c>
      <c r="G2084" s="60" t="s">
        <v>165</v>
      </c>
      <c r="H2084" s="60" t="s">
        <v>165</v>
      </c>
      <c r="I2084" s="61">
        <v>46188</v>
      </c>
      <c r="J2084" s="61">
        <v>46210.285251701403</v>
      </c>
      <c r="K2084" s="60">
        <v>22</v>
      </c>
      <c r="L2084" s="60" t="s">
        <v>192</v>
      </c>
      <c r="M2084" s="60" t="s">
        <v>183</v>
      </c>
      <c r="N2084" s="60" t="b">
        <f>FALSE()</f>
        <v>0</v>
      </c>
      <c r="O2084" s="60"/>
      <c r="P2084" s="60"/>
      <c r="Q2084" s="60" t="s">
        <v>3663</v>
      </c>
      <c r="R2084" s="60" t="s">
        <v>236</v>
      </c>
      <c r="S2084" s="60"/>
      <c r="T2084" s="60" t="b">
        <f>FALSE()</f>
        <v>0</v>
      </c>
      <c r="U2084" s="60" t="b">
        <f>FALSE()</f>
        <v>0</v>
      </c>
      <c r="V2084" s="60">
        <v>561</v>
      </c>
      <c r="W2084" s="62" t="s">
        <v>7266</v>
      </c>
      <c r="X2084" s="60">
        <v>1</v>
      </c>
      <c r="Y2084" s="63">
        <v>0.24</v>
      </c>
      <c r="Z2084" s="60" t="b">
        <f>FALSE()</f>
        <v>0</v>
      </c>
      <c r="AA2084" s="60" t="b">
        <f>TRUE()</f>
        <v>1</v>
      </c>
      <c r="AB2084" s="60" t="b">
        <f>FALSE()</f>
        <v>0</v>
      </c>
      <c r="AC2084" s="60" t="b">
        <f>FALSE()</f>
        <v>0</v>
      </c>
      <c r="AD2084" s="60" t="b">
        <f>FALSE()</f>
        <v>0</v>
      </c>
      <c r="AE2084" s="60">
        <v>1</v>
      </c>
      <c r="AF2084" s="64">
        <v>14.3</v>
      </c>
      <c r="AG2084" s="60" t="s">
        <v>74</v>
      </c>
      <c r="AH2084" s="60" t="s">
        <v>7666</v>
      </c>
      <c r="AI2084">
        <f>IF(AND(OR(Company_Explorer!$B$5="All Companies",$E2084=Company_Explorer!$B$5),OR(Company_Explorer!$B$6="All Platforms",$B2084=Company_Explorer!$B$6),OR(Company_Explorer!$B$7="All Roles",$D2084=Company_Explorer!$B$7),OR(Company_Explorer!$B$8="All Ghost Labels",$AG2084=Company_Explorer!$B$8)),1,0)</f>
        <v>0</v>
      </c>
    </row>
    <row r="2085" spans="1:35" ht="15" customHeight="1" x14ac:dyDescent="0.3">
      <c r="A2085" s="65" t="s">
        <v>7667</v>
      </c>
      <c r="B2085" s="65" t="s">
        <v>82</v>
      </c>
      <c r="C2085" s="65" t="s">
        <v>7668</v>
      </c>
      <c r="D2085" s="65" t="s">
        <v>126</v>
      </c>
      <c r="E2085" s="65" t="s">
        <v>7501</v>
      </c>
      <c r="F2085" s="65" t="b">
        <f>TRUE()</f>
        <v>1</v>
      </c>
      <c r="G2085" s="65" t="s">
        <v>165</v>
      </c>
      <c r="H2085" s="65" t="s">
        <v>165</v>
      </c>
      <c r="I2085" s="66">
        <v>46189</v>
      </c>
      <c r="J2085" s="66">
        <v>46210.285254768503</v>
      </c>
      <c r="K2085" s="65">
        <v>21</v>
      </c>
      <c r="L2085" s="65" t="s">
        <v>192</v>
      </c>
      <c r="M2085" s="65" t="s">
        <v>183</v>
      </c>
      <c r="N2085" s="65" t="b">
        <f>FALSE()</f>
        <v>0</v>
      </c>
      <c r="O2085" s="65"/>
      <c r="P2085" s="65"/>
      <c r="Q2085" s="65" t="s">
        <v>3663</v>
      </c>
      <c r="R2085" s="65" t="s">
        <v>236</v>
      </c>
      <c r="S2085" s="65"/>
      <c r="T2085" s="65" t="b">
        <f>FALSE()</f>
        <v>0</v>
      </c>
      <c r="U2085" s="65" t="b">
        <f>FALSE()</f>
        <v>0</v>
      </c>
      <c r="V2085" s="65">
        <v>1015</v>
      </c>
      <c r="W2085" s="67" t="s">
        <v>7008</v>
      </c>
      <c r="X2085" s="65">
        <v>4</v>
      </c>
      <c r="Y2085" s="68">
        <v>0.97</v>
      </c>
      <c r="Z2085" s="65" t="b">
        <f>FALSE()</f>
        <v>0</v>
      </c>
      <c r="AA2085" s="65" t="b">
        <f>TRUE()</f>
        <v>1</v>
      </c>
      <c r="AB2085" s="65" t="b">
        <f>FALSE()</f>
        <v>0</v>
      </c>
      <c r="AC2085" s="65" t="b">
        <f>FALSE()</f>
        <v>0</v>
      </c>
      <c r="AD2085" s="65" t="b">
        <f>FALSE()</f>
        <v>0</v>
      </c>
      <c r="AE2085" s="65">
        <v>1</v>
      </c>
      <c r="AF2085" s="69">
        <v>14.3</v>
      </c>
      <c r="AG2085" s="65" t="s">
        <v>74</v>
      </c>
      <c r="AH2085" s="65" t="s">
        <v>7669</v>
      </c>
      <c r="AI2085">
        <f>IF(AND(OR(Company_Explorer!$B$5="All Companies",$E2085=Company_Explorer!$B$5),OR(Company_Explorer!$B$6="All Platforms",$B2085=Company_Explorer!$B$6),OR(Company_Explorer!$B$7="All Roles",$D2085=Company_Explorer!$B$7),OR(Company_Explorer!$B$8="All Ghost Labels",$AG2085=Company_Explorer!$B$8)),1,0)</f>
        <v>0</v>
      </c>
    </row>
    <row r="2086" spans="1:35" ht="15" customHeight="1" x14ac:dyDescent="0.3">
      <c r="A2086" s="60" t="s">
        <v>7670</v>
      </c>
      <c r="B2086" s="60" t="s">
        <v>82</v>
      </c>
      <c r="C2086" s="60" t="s">
        <v>7671</v>
      </c>
      <c r="D2086" s="60" t="s">
        <v>127</v>
      </c>
      <c r="E2086" s="60" t="s">
        <v>7672</v>
      </c>
      <c r="F2086" s="60" t="b">
        <f>TRUE()</f>
        <v>1</v>
      </c>
      <c r="G2086" s="60" t="s">
        <v>165</v>
      </c>
      <c r="H2086" s="60" t="s">
        <v>165</v>
      </c>
      <c r="I2086" s="61">
        <v>46201</v>
      </c>
      <c r="J2086" s="61">
        <v>46210.285255798597</v>
      </c>
      <c r="K2086" s="60">
        <v>129</v>
      </c>
      <c r="L2086" s="60" t="s">
        <v>183</v>
      </c>
      <c r="M2086" s="60" t="s">
        <v>183</v>
      </c>
      <c r="N2086" s="60" t="b">
        <f>FALSE()</f>
        <v>0</v>
      </c>
      <c r="O2086" s="60"/>
      <c r="P2086" s="60"/>
      <c r="Q2086" s="60" t="s">
        <v>3663</v>
      </c>
      <c r="R2086" s="60" t="s">
        <v>236</v>
      </c>
      <c r="S2086" s="60"/>
      <c r="T2086" s="60" t="b">
        <f>FALSE()</f>
        <v>0</v>
      </c>
      <c r="U2086" s="60" t="b">
        <f>FALSE()</f>
        <v>0</v>
      </c>
      <c r="V2086" s="60">
        <v>795</v>
      </c>
      <c r="W2086" s="62" t="s">
        <v>7673</v>
      </c>
      <c r="X2086" s="60">
        <v>1</v>
      </c>
      <c r="Y2086" s="63">
        <v>0.24</v>
      </c>
      <c r="Z2086" s="60" t="b">
        <f>FALSE()</f>
        <v>0</v>
      </c>
      <c r="AA2086" s="60" t="b">
        <f>TRUE()</f>
        <v>1</v>
      </c>
      <c r="AB2086" s="60" t="b">
        <f>FALSE()</f>
        <v>0</v>
      </c>
      <c r="AC2086" s="60" t="b">
        <f>TRUE()</f>
        <v>1</v>
      </c>
      <c r="AD2086" s="60" t="b">
        <f>FALSE()</f>
        <v>0</v>
      </c>
      <c r="AE2086" s="60">
        <v>2</v>
      </c>
      <c r="AF2086" s="64">
        <v>28.6</v>
      </c>
      <c r="AG2086" s="60" t="s">
        <v>73</v>
      </c>
      <c r="AH2086" s="60" t="s">
        <v>7674</v>
      </c>
      <c r="AI2086">
        <f>IF(AND(OR(Company_Explorer!$B$5="All Companies",$E2086=Company_Explorer!$B$5),OR(Company_Explorer!$B$6="All Platforms",$B2086=Company_Explorer!$B$6),OR(Company_Explorer!$B$7="All Roles",$D2086=Company_Explorer!$B$7),OR(Company_Explorer!$B$8="All Ghost Labels",$AG2086=Company_Explorer!$B$8)),1,0)</f>
        <v>0</v>
      </c>
    </row>
    <row r="2087" spans="1:35" ht="15" customHeight="1" x14ac:dyDescent="0.3">
      <c r="A2087" s="65" t="s">
        <v>7675</v>
      </c>
      <c r="B2087" s="65" t="s">
        <v>82</v>
      </c>
      <c r="C2087" s="65" t="s">
        <v>127</v>
      </c>
      <c r="D2087" s="65" t="s">
        <v>127</v>
      </c>
      <c r="E2087" s="65" t="s">
        <v>157</v>
      </c>
      <c r="F2087" s="65" t="b">
        <f>TRUE()</f>
        <v>1</v>
      </c>
      <c r="G2087" s="65" t="s">
        <v>166</v>
      </c>
      <c r="H2087" s="65" t="s">
        <v>235</v>
      </c>
      <c r="I2087" s="66">
        <v>46197</v>
      </c>
      <c r="J2087" s="66">
        <v>46210.2852578819</v>
      </c>
      <c r="K2087" s="65">
        <v>13</v>
      </c>
      <c r="L2087" s="65" t="s">
        <v>192</v>
      </c>
      <c r="M2087" s="65" t="s">
        <v>183</v>
      </c>
      <c r="N2087" s="65" t="b">
        <f>TRUE()</f>
        <v>1</v>
      </c>
      <c r="O2087" s="71">
        <v>600000</v>
      </c>
      <c r="P2087" s="71">
        <v>900000</v>
      </c>
      <c r="Q2087" s="65" t="s">
        <v>3663</v>
      </c>
      <c r="R2087" s="65" t="s">
        <v>7351</v>
      </c>
      <c r="S2087" s="71">
        <v>750000</v>
      </c>
      <c r="T2087" s="65" t="b">
        <f>TRUE()</f>
        <v>1</v>
      </c>
      <c r="U2087" s="65" t="b">
        <f>FALSE()</f>
        <v>0</v>
      </c>
      <c r="V2087" s="65">
        <v>154</v>
      </c>
      <c r="W2087" s="67" t="s">
        <v>7676</v>
      </c>
      <c r="X2087" s="65">
        <v>15</v>
      </c>
      <c r="Y2087" s="68">
        <v>3.62</v>
      </c>
      <c r="Z2087" s="65" t="b">
        <f>FALSE()</f>
        <v>0</v>
      </c>
      <c r="AA2087" s="65" t="b">
        <f>FALSE()</f>
        <v>0</v>
      </c>
      <c r="AB2087" s="65" t="b">
        <f>TRUE()</f>
        <v>1</v>
      </c>
      <c r="AC2087" s="65" t="b">
        <f>FALSE()</f>
        <v>0</v>
      </c>
      <c r="AD2087" s="65" t="b">
        <f>TRUE()</f>
        <v>1</v>
      </c>
      <c r="AE2087" s="65">
        <v>3</v>
      </c>
      <c r="AF2087" s="69">
        <v>42.9</v>
      </c>
      <c r="AG2087" s="65" t="s">
        <v>73</v>
      </c>
      <c r="AH2087" s="65" t="s">
        <v>7677</v>
      </c>
      <c r="AI2087">
        <f>IF(AND(OR(Company_Explorer!$B$5="All Companies",$E2087=Company_Explorer!$B$5),OR(Company_Explorer!$B$6="All Platforms",$B2087=Company_Explorer!$B$6),OR(Company_Explorer!$B$7="All Roles",$D2087=Company_Explorer!$B$7),OR(Company_Explorer!$B$8="All Ghost Labels",$AG2087=Company_Explorer!$B$8)),1,0)</f>
        <v>0</v>
      </c>
    </row>
    <row r="2088" spans="1:35" ht="15" customHeight="1" x14ac:dyDescent="0.3">
      <c r="A2088" s="60" t="s">
        <v>7678</v>
      </c>
      <c r="B2088" s="60" t="s">
        <v>82</v>
      </c>
      <c r="C2088" s="60" t="s">
        <v>127</v>
      </c>
      <c r="D2088" s="60" t="s">
        <v>127</v>
      </c>
      <c r="E2088" s="60" t="s">
        <v>3726</v>
      </c>
      <c r="F2088" s="60" t="b">
        <f>FALSE()</f>
        <v>0</v>
      </c>
      <c r="G2088" s="60" t="s">
        <v>165</v>
      </c>
      <c r="H2088" s="60" t="s">
        <v>165</v>
      </c>
      <c r="I2088" s="61">
        <v>46210</v>
      </c>
      <c r="J2088" s="61">
        <v>46210.285259317097</v>
      </c>
      <c r="K2088" s="60">
        <v>30</v>
      </c>
      <c r="L2088" s="60" t="s">
        <v>192</v>
      </c>
      <c r="M2088" s="60" t="s">
        <v>183</v>
      </c>
      <c r="N2088" s="60" t="b">
        <f>TRUE()</f>
        <v>1</v>
      </c>
      <c r="O2088" s="70">
        <v>25000</v>
      </c>
      <c r="P2088" s="70">
        <v>30000</v>
      </c>
      <c r="Q2088" s="60" t="s">
        <v>3663</v>
      </c>
      <c r="R2088" s="60" t="s">
        <v>7445</v>
      </c>
      <c r="S2088" s="70">
        <v>330000</v>
      </c>
      <c r="T2088" s="60" t="b">
        <f>TRUE()</f>
        <v>1</v>
      </c>
      <c r="U2088" s="60" t="b">
        <f>FALSE()</f>
        <v>0</v>
      </c>
      <c r="V2088" s="60">
        <v>596</v>
      </c>
      <c r="W2088" s="62" t="s">
        <v>7679</v>
      </c>
      <c r="X2088" s="60"/>
      <c r="Y2088" s="63"/>
      <c r="Z2088" s="60" t="b">
        <f>TRUE()</f>
        <v>1</v>
      </c>
      <c r="AA2088" s="60" t="b">
        <f>FALSE()</f>
        <v>0</v>
      </c>
      <c r="AB2088" s="60" t="b">
        <f>FALSE()</f>
        <v>0</v>
      </c>
      <c r="AC2088" s="60" t="b">
        <f>FALSE()</f>
        <v>0</v>
      </c>
      <c r="AD2088" s="60" t="b">
        <f>FALSE()</f>
        <v>0</v>
      </c>
      <c r="AE2088" s="60">
        <v>2</v>
      </c>
      <c r="AF2088" s="64">
        <v>28.6</v>
      </c>
      <c r="AG2088" s="60" t="s">
        <v>73</v>
      </c>
      <c r="AH2088" s="60" t="s">
        <v>7680</v>
      </c>
      <c r="AI2088">
        <f>IF(AND(OR(Company_Explorer!$B$5="All Companies",$E2088=Company_Explorer!$B$5),OR(Company_Explorer!$B$6="All Platforms",$B2088=Company_Explorer!$B$6),OR(Company_Explorer!$B$7="All Roles",$D2088=Company_Explorer!$B$7),OR(Company_Explorer!$B$8="All Ghost Labels",$AG2088=Company_Explorer!$B$8)),1,0)</f>
        <v>0</v>
      </c>
    </row>
    <row r="2089" spans="1:35" ht="15" customHeight="1" x14ac:dyDescent="0.3">
      <c r="A2089" s="65" t="s">
        <v>7681</v>
      </c>
      <c r="B2089" s="65" t="s">
        <v>82</v>
      </c>
      <c r="C2089" s="65" t="s">
        <v>127</v>
      </c>
      <c r="D2089" s="65" t="s">
        <v>127</v>
      </c>
      <c r="E2089" s="65" t="s">
        <v>3726</v>
      </c>
      <c r="F2089" s="65" t="b">
        <f>FALSE()</f>
        <v>0</v>
      </c>
      <c r="G2089" s="65" t="s">
        <v>165</v>
      </c>
      <c r="H2089" s="65" t="s">
        <v>165</v>
      </c>
      <c r="I2089" s="66">
        <v>46210</v>
      </c>
      <c r="J2089" s="66">
        <v>46210.285259351898</v>
      </c>
      <c r="K2089" s="65">
        <v>0</v>
      </c>
      <c r="L2089" s="65" t="s">
        <v>192</v>
      </c>
      <c r="M2089" s="65" t="s">
        <v>183</v>
      </c>
      <c r="N2089" s="65" t="b">
        <f>TRUE()</f>
        <v>1</v>
      </c>
      <c r="O2089" s="71">
        <v>600000</v>
      </c>
      <c r="P2089" s="71">
        <v>1000000</v>
      </c>
      <c r="Q2089" s="65" t="s">
        <v>3663</v>
      </c>
      <c r="R2089" s="65" t="s">
        <v>7351</v>
      </c>
      <c r="S2089" s="71">
        <v>800000</v>
      </c>
      <c r="T2089" s="65" t="b">
        <f>TRUE()</f>
        <v>1</v>
      </c>
      <c r="U2089" s="65" t="b">
        <f>FALSE()</f>
        <v>0</v>
      </c>
      <c r="V2089" s="65">
        <v>502</v>
      </c>
      <c r="W2089" s="67" t="s">
        <v>4996</v>
      </c>
      <c r="X2089" s="65"/>
      <c r="Y2089" s="68"/>
      <c r="Z2089" s="65" t="b">
        <f>TRUE()</f>
        <v>1</v>
      </c>
      <c r="AA2089" s="65" t="b">
        <f>FALSE()</f>
        <v>0</v>
      </c>
      <c r="AB2089" s="65" t="b">
        <f>FALSE()</f>
        <v>0</v>
      </c>
      <c r="AC2089" s="65" t="b">
        <f>FALSE()</f>
        <v>0</v>
      </c>
      <c r="AD2089" s="65" t="b">
        <f>FALSE()</f>
        <v>0</v>
      </c>
      <c r="AE2089" s="65">
        <v>2</v>
      </c>
      <c r="AF2089" s="69">
        <v>28.6</v>
      </c>
      <c r="AG2089" s="65" t="s">
        <v>73</v>
      </c>
      <c r="AH2089" s="65" t="s">
        <v>7682</v>
      </c>
      <c r="AI2089">
        <f>IF(AND(OR(Company_Explorer!$B$5="All Companies",$E2089=Company_Explorer!$B$5),OR(Company_Explorer!$B$6="All Platforms",$B2089=Company_Explorer!$B$6),OR(Company_Explorer!$B$7="All Roles",$D2089=Company_Explorer!$B$7),OR(Company_Explorer!$B$8="All Ghost Labels",$AG2089=Company_Explorer!$B$8)),1,0)</f>
        <v>0</v>
      </c>
    </row>
    <row r="2090" spans="1:35" ht="15" customHeight="1" x14ac:dyDescent="0.3">
      <c r="A2090" s="60" t="s">
        <v>7683</v>
      </c>
      <c r="B2090" s="60" t="s">
        <v>82</v>
      </c>
      <c r="C2090" s="60" t="s">
        <v>7684</v>
      </c>
      <c r="D2090" s="60" t="s">
        <v>127</v>
      </c>
      <c r="E2090" s="60" t="s">
        <v>7685</v>
      </c>
      <c r="F2090" s="60" t="b">
        <f>TRUE()</f>
        <v>1</v>
      </c>
      <c r="G2090" s="60" t="s">
        <v>171</v>
      </c>
      <c r="H2090" s="60" t="s">
        <v>254</v>
      </c>
      <c r="I2090" s="61">
        <v>46199</v>
      </c>
      <c r="J2090" s="61">
        <v>46210.285263946796</v>
      </c>
      <c r="K2090" s="60">
        <v>11</v>
      </c>
      <c r="L2090" s="60" t="s">
        <v>192</v>
      </c>
      <c r="M2090" s="60" t="s">
        <v>183</v>
      </c>
      <c r="N2090" s="60" t="b">
        <f>TRUE()</f>
        <v>1</v>
      </c>
      <c r="O2090" s="70">
        <v>60000</v>
      </c>
      <c r="P2090" s="70">
        <v>70000</v>
      </c>
      <c r="Q2090" s="60" t="s">
        <v>3663</v>
      </c>
      <c r="R2090" s="60" t="s">
        <v>7445</v>
      </c>
      <c r="S2090" s="70">
        <v>780000</v>
      </c>
      <c r="T2090" s="60" t="b">
        <f>TRUE()</f>
        <v>1</v>
      </c>
      <c r="U2090" s="60" t="b">
        <f>FALSE()</f>
        <v>0</v>
      </c>
      <c r="V2090" s="60">
        <v>356</v>
      </c>
      <c r="W2090" s="60" t="s">
        <v>7686</v>
      </c>
      <c r="X2090" s="60">
        <v>1</v>
      </c>
      <c r="Y2090" s="63">
        <v>0.24</v>
      </c>
      <c r="Z2090" s="60" t="b">
        <f>FALSE()</f>
        <v>0</v>
      </c>
      <c r="AA2090" s="60" t="b">
        <f>FALSE()</f>
        <v>0</v>
      </c>
      <c r="AB2090" s="60" t="b">
        <f>FALSE()</f>
        <v>0</v>
      </c>
      <c r="AC2090" s="60" t="b">
        <f>FALSE()</f>
        <v>0</v>
      </c>
      <c r="AD2090" s="60" t="b">
        <f>FALSE()</f>
        <v>0</v>
      </c>
      <c r="AE2090" s="60">
        <v>0</v>
      </c>
      <c r="AF2090" s="64">
        <v>0</v>
      </c>
      <c r="AG2090" s="60" t="s">
        <v>74</v>
      </c>
      <c r="AH2090" s="60" t="s">
        <v>7687</v>
      </c>
      <c r="AI2090">
        <f>IF(AND(OR(Company_Explorer!$B$5="All Companies",$E2090=Company_Explorer!$B$5),OR(Company_Explorer!$B$6="All Platforms",$B2090=Company_Explorer!$B$6),OR(Company_Explorer!$B$7="All Roles",$D2090=Company_Explorer!$B$7),OR(Company_Explorer!$B$8="All Ghost Labels",$AG2090=Company_Explorer!$B$8)),1,0)</f>
        <v>0</v>
      </c>
    </row>
    <row r="2091" spans="1:35" ht="15" customHeight="1" x14ac:dyDescent="0.3">
      <c r="A2091" s="65" t="s">
        <v>7688</v>
      </c>
      <c r="B2091" s="65" t="s">
        <v>82</v>
      </c>
      <c r="C2091" s="65" t="s">
        <v>127</v>
      </c>
      <c r="D2091" s="65" t="s">
        <v>127</v>
      </c>
      <c r="E2091" s="65" t="s">
        <v>3726</v>
      </c>
      <c r="F2091" s="65" t="b">
        <f>FALSE()</f>
        <v>0</v>
      </c>
      <c r="G2091" s="65" t="s">
        <v>165</v>
      </c>
      <c r="H2091" s="65" t="s">
        <v>165</v>
      </c>
      <c r="I2091" s="66">
        <v>46182</v>
      </c>
      <c r="J2091" s="66">
        <v>46210.285268669002</v>
      </c>
      <c r="K2091" s="65">
        <v>28</v>
      </c>
      <c r="L2091" s="65" t="s">
        <v>192</v>
      </c>
      <c r="M2091" s="65" t="s">
        <v>183</v>
      </c>
      <c r="N2091" s="65" t="b">
        <f>TRUE()</f>
        <v>1</v>
      </c>
      <c r="O2091" s="71">
        <v>20000</v>
      </c>
      <c r="P2091" s="71">
        <v>50000</v>
      </c>
      <c r="Q2091" s="65" t="s">
        <v>3663</v>
      </c>
      <c r="R2091" s="65" t="s">
        <v>7445</v>
      </c>
      <c r="S2091" s="71">
        <v>420000</v>
      </c>
      <c r="T2091" s="65" t="b">
        <f>TRUE()</f>
        <v>1</v>
      </c>
      <c r="U2091" s="65" t="b">
        <f>FALSE()</f>
        <v>0</v>
      </c>
      <c r="V2091" s="65">
        <v>397</v>
      </c>
      <c r="W2091" s="67" t="s">
        <v>7689</v>
      </c>
      <c r="X2091" s="65"/>
      <c r="Y2091" s="68"/>
      <c r="Z2091" s="65" t="b">
        <f>TRUE()</f>
        <v>1</v>
      </c>
      <c r="AA2091" s="65" t="b">
        <f>FALSE()</f>
        <v>0</v>
      </c>
      <c r="AB2091" s="65" t="b">
        <f>FALSE()</f>
        <v>0</v>
      </c>
      <c r="AC2091" s="65" t="b">
        <f>FALSE()</f>
        <v>0</v>
      </c>
      <c r="AD2091" s="65" t="b">
        <f>FALSE()</f>
        <v>0</v>
      </c>
      <c r="AE2091" s="65">
        <v>2</v>
      </c>
      <c r="AF2091" s="69">
        <v>28.6</v>
      </c>
      <c r="AG2091" s="65" t="s">
        <v>73</v>
      </c>
      <c r="AH2091" s="65" t="s">
        <v>7690</v>
      </c>
      <c r="AI2091">
        <f>IF(AND(OR(Company_Explorer!$B$5="All Companies",$E2091=Company_Explorer!$B$5),OR(Company_Explorer!$B$6="All Platforms",$B2091=Company_Explorer!$B$6),OR(Company_Explorer!$B$7="All Roles",$D2091=Company_Explorer!$B$7),OR(Company_Explorer!$B$8="All Ghost Labels",$AG2091=Company_Explorer!$B$8)),1,0)</f>
        <v>0</v>
      </c>
    </row>
    <row r="2092" spans="1:35" ht="15" customHeight="1" x14ac:dyDescent="0.3">
      <c r="A2092" s="60" t="s">
        <v>7691</v>
      </c>
      <c r="B2092" s="60" t="s">
        <v>82</v>
      </c>
      <c r="C2092" s="60" t="s">
        <v>5729</v>
      </c>
      <c r="D2092" s="60" t="s">
        <v>127</v>
      </c>
      <c r="E2092" s="60" t="s">
        <v>7692</v>
      </c>
      <c r="F2092" s="60" t="b">
        <f>TRUE()</f>
        <v>1</v>
      </c>
      <c r="G2092" s="60" t="s">
        <v>165</v>
      </c>
      <c r="H2092" s="60" t="s">
        <v>165</v>
      </c>
      <c r="I2092" s="61">
        <v>46210</v>
      </c>
      <c r="J2092" s="61">
        <v>46210.285271793997</v>
      </c>
      <c r="K2092" s="60">
        <v>0</v>
      </c>
      <c r="L2092" s="60" t="s">
        <v>192</v>
      </c>
      <c r="M2092" s="60" t="s">
        <v>183</v>
      </c>
      <c r="N2092" s="60" t="b">
        <f>FALSE()</f>
        <v>0</v>
      </c>
      <c r="O2092" s="60"/>
      <c r="P2092" s="60"/>
      <c r="Q2092" s="60" t="s">
        <v>3663</v>
      </c>
      <c r="R2092" s="60" t="s">
        <v>236</v>
      </c>
      <c r="S2092" s="60"/>
      <c r="T2092" s="60" t="b">
        <f>FALSE()</f>
        <v>0</v>
      </c>
      <c r="U2092" s="60" t="b">
        <f>FALSE()</f>
        <v>0</v>
      </c>
      <c r="V2092" s="60">
        <v>204</v>
      </c>
      <c r="W2092" s="62" t="s">
        <v>5731</v>
      </c>
      <c r="X2092" s="60">
        <v>1</v>
      </c>
      <c r="Y2092" s="63">
        <v>0.24</v>
      </c>
      <c r="Z2092" s="60" t="b">
        <f>FALSE()</f>
        <v>0</v>
      </c>
      <c r="AA2092" s="60" t="b">
        <f>TRUE()</f>
        <v>1</v>
      </c>
      <c r="AB2092" s="60" t="b">
        <f>TRUE()</f>
        <v>1</v>
      </c>
      <c r="AC2092" s="60" t="b">
        <f>FALSE()</f>
        <v>0</v>
      </c>
      <c r="AD2092" s="60" t="b">
        <f>FALSE()</f>
        <v>0</v>
      </c>
      <c r="AE2092" s="60">
        <v>2</v>
      </c>
      <c r="AF2092" s="64">
        <v>28.6</v>
      </c>
      <c r="AG2092" s="60" t="s">
        <v>73</v>
      </c>
      <c r="AH2092" s="60" t="s">
        <v>7693</v>
      </c>
      <c r="AI2092">
        <f>IF(AND(OR(Company_Explorer!$B$5="All Companies",$E2092=Company_Explorer!$B$5),OR(Company_Explorer!$B$6="All Platforms",$B2092=Company_Explorer!$B$6),OR(Company_Explorer!$B$7="All Roles",$D2092=Company_Explorer!$B$7),OR(Company_Explorer!$B$8="All Ghost Labels",$AG2092=Company_Explorer!$B$8)),1,0)</f>
        <v>0</v>
      </c>
    </row>
    <row r="2093" spans="1:35" ht="15" customHeight="1" x14ac:dyDescent="0.3">
      <c r="A2093" s="65" t="s">
        <v>7694</v>
      </c>
      <c r="B2093" s="65" t="s">
        <v>82</v>
      </c>
      <c r="C2093" s="65" t="s">
        <v>7695</v>
      </c>
      <c r="D2093" s="65" t="s">
        <v>126</v>
      </c>
      <c r="E2093" s="65" t="s">
        <v>7696</v>
      </c>
      <c r="F2093" s="65" t="b">
        <f>TRUE()</f>
        <v>1</v>
      </c>
      <c r="G2093" s="65" t="s">
        <v>7697</v>
      </c>
      <c r="H2093" s="65" t="s">
        <v>254</v>
      </c>
      <c r="I2093" s="66">
        <v>46197</v>
      </c>
      <c r="J2093" s="66">
        <v>46210.285276539398</v>
      </c>
      <c r="K2093" s="65">
        <v>133</v>
      </c>
      <c r="L2093" s="65" t="s">
        <v>192</v>
      </c>
      <c r="M2093" s="65" t="s">
        <v>183</v>
      </c>
      <c r="N2093" s="65" t="b">
        <f>TRUE()</f>
        <v>1</v>
      </c>
      <c r="O2093" s="71">
        <v>210000</v>
      </c>
      <c r="P2093" s="71">
        <v>588750</v>
      </c>
      <c r="Q2093" s="65" t="s">
        <v>3663</v>
      </c>
      <c r="R2093" s="65" t="s">
        <v>7351</v>
      </c>
      <c r="S2093" s="71">
        <v>399375</v>
      </c>
      <c r="T2093" s="65" t="b">
        <f>TRUE()</f>
        <v>1</v>
      </c>
      <c r="U2093" s="65" t="b">
        <f>FALSE()</f>
        <v>0</v>
      </c>
      <c r="V2093" s="65">
        <v>661</v>
      </c>
      <c r="W2093" s="65" t="s">
        <v>7698</v>
      </c>
      <c r="X2093" s="65">
        <v>2</v>
      </c>
      <c r="Y2093" s="68">
        <v>0.48</v>
      </c>
      <c r="Z2093" s="65" t="b">
        <f>FALSE()</f>
        <v>0</v>
      </c>
      <c r="AA2093" s="65" t="b">
        <f>FALSE()</f>
        <v>0</v>
      </c>
      <c r="AB2093" s="65" t="b">
        <f>FALSE()</f>
        <v>0</v>
      </c>
      <c r="AC2093" s="65" t="b">
        <f>TRUE()</f>
        <v>1</v>
      </c>
      <c r="AD2093" s="65" t="b">
        <f>FALSE()</f>
        <v>0</v>
      </c>
      <c r="AE2093" s="65">
        <v>1</v>
      </c>
      <c r="AF2093" s="69">
        <v>14.3</v>
      </c>
      <c r="AG2093" s="65" t="s">
        <v>74</v>
      </c>
      <c r="AH2093" s="65" t="s">
        <v>7699</v>
      </c>
      <c r="AI2093">
        <f>IF(AND(OR(Company_Explorer!$B$5="All Companies",$E2093=Company_Explorer!$B$5),OR(Company_Explorer!$B$6="All Platforms",$B2093=Company_Explorer!$B$6),OR(Company_Explorer!$B$7="All Roles",$D2093=Company_Explorer!$B$7),OR(Company_Explorer!$B$8="All Ghost Labels",$AG2093=Company_Explorer!$B$8)),1,0)</f>
        <v>0</v>
      </c>
    </row>
    <row r="2094" spans="1:35" ht="15" customHeight="1" x14ac:dyDescent="0.3">
      <c r="A2094" s="60" t="s">
        <v>7700</v>
      </c>
      <c r="B2094" s="60" t="s">
        <v>82</v>
      </c>
      <c r="C2094" s="60" t="s">
        <v>127</v>
      </c>
      <c r="D2094" s="60" t="s">
        <v>127</v>
      </c>
      <c r="E2094" s="60" t="s">
        <v>4040</v>
      </c>
      <c r="F2094" s="60" t="b">
        <f>TRUE()</f>
        <v>1</v>
      </c>
      <c r="G2094" s="60" t="s">
        <v>165</v>
      </c>
      <c r="H2094" s="60" t="s">
        <v>165</v>
      </c>
      <c r="I2094" s="61">
        <v>46211</v>
      </c>
      <c r="J2094" s="61">
        <v>46210.285280092598</v>
      </c>
      <c r="K2094" s="60">
        <v>0</v>
      </c>
      <c r="L2094" s="60" t="s">
        <v>183</v>
      </c>
      <c r="M2094" s="60" t="s">
        <v>183</v>
      </c>
      <c r="N2094" s="60" t="b">
        <f>FALSE()</f>
        <v>0</v>
      </c>
      <c r="O2094" s="60"/>
      <c r="P2094" s="60"/>
      <c r="Q2094" s="60" t="s">
        <v>3663</v>
      </c>
      <c r="R2094" s="60" t="s">
        <v>236</v>
      </c>
      <c r="S2094" s="60"/>
      <c r="T2094" s="60" t="b">
        <f>FALSE()</f>
        <v>0</v>
      </c>
      <c r="U2094" s="60" t="b">
        <f>FALSE()</f>
        <v>0</v>
      </c>
      <c r="V2094" s="60">
        <v>292</v>
      </c>
      <c r="W2094" s="62" t="s">
        <v>4041</v>
      </c>
      <c r="X2094" s="60">
        <v>2</v>
      </c>
      <c r="Y2094" s="63">
        <v>0.48</v>
      </c>
      <c r="Z2094" s="60" t="b">
        <f>FALSE()</f>
        <v>0</v>
      </c>
      <c r="AA2094" s="60" t="b">
        <f>TRUE()</f>
        <v>1</v>
      </c>
      <c r="AB2094" s="60" t="b">
        <f>FALSE()</f>
        <v>0</v>
      </c>
      <c r="AC2094" s="60" t="b">
        <f>FALSE()</f>
        <v>0</v>
      </c>
      <c r="AD2094" s="60" t="b">
        <f>FALSE()</f>
        <v>0</v>
      </c>
      <c r="AE2094" s="60">
        <v>1</v>
      </c>
      <c r="AF2094" s="64">
        <v>14.3</v>
      </c>
      <c r="AG2094" s="60" t="s">
        <v>74</v>
      </c>
      <c r="AH2094" s="60" t="s">
        <v>7701</v>
      </c>
      <c r="AI2094">
        <f>IF(AND(OR(Company_Explorer!$B$5="All Companies",$E2094=Company_Explorer!$B$5),OR(Company_Explorer!$B$6="All Platforms",$B2094=Company_Explorer!$B$6),OR(Company_Explorer!$B$7="All Roles",$D2094=Company_Explorer!$B$7),OR(Company_Explorer!$B$8="All Ghost Labels",$AG2094=Company_Explorer!$B$8)),1,0)</f>
        <v>0</v>
      </c>
    </row>
    <row r="2095" spans="1:35" ht="15" customHeight="1" x14ac:dyDescent="0.3">
      <c r="A2095" s="65" t="s">
        <v>7702</v>
      </c>
      <c r="B2095" s="65" t="s">
        <v>82</v>
      </c>
      <c r="C2095" s="65" t="s">
        <v>7703</v>
      </c>
      <c r="D2095" s="65" t="s">
        <v>126</v>
      </c>
      <c r="E2095" s="65" t="s">
        <v>7704</v>
      </c>
      <c r="F2095" s="65" t="b">
        <f>TRUE()</f>
        <v>1</v>
      </c>
      <c r="G2095" s="65" t="s">
        <v>167</v>
      </c>
      <c r="H2095" s="65" t="s">
        <v>276</v>
      </c>
      <c r="I2095" s="66">
        <v>46200</v>
      </c>
      <c r="J2095" s="66">
        <v>46210.285281481498</v>
      </c>
      <c r="K2095" s="65">
        <v>10</v>
      </c>
      <c r="L2095" s="65" t="s">
        <v>192</v>
      </c>
      <c r="M2095" s="65" t="s">
        <v>183</v>
      </c>
      <c r="N2095" s="65" t="b">
        <f>TRUE()</f>
        <v>1</v>
      </c>
      <c r="O2095" s="71">
        <v>61000</v>
      </c>
      <c r="P2095" s="71">
        <v>91500</v>
      </c>
      <c r="Q2095" s="65" t="s">
        <v>3663</v>
      </c>
      <c r="R2095" s="65" t="s">
        <v>7351</v>
      </c>
      <c r="S2095" s="71">
        <v>76250</v>
      </c>
      <c r="T2095" s="65" t="b">
        <f>TRUE()</f>
        <v>1</v>
      </c>
      <c r="U2095" s="65" t="b">
        <f>TRUE()</f>
        <v>1</v>
      </c>
      <c r="V2095" s="65">
        <v>447</v>
      </c>
      <c r="W2095" s="67" t="s">
        <v>7705</v>
      </c>
      <c r="X2095" s="65">
        <v>1</v>
      </c>
      <c r="Y2095" s="68">
        <v>0.24</v>
      </c>
      <c r="Z2095" s="65" t="b">
        <f>FALSE()</f>
        <v>0</v>
      </c>
      <c r="AA2095" s="65" t="b">
        <f>FALSE()</f>
        <v>0</v>
      </c>
      <c r="AB2095" s="65" t="b">
        <f>FALSE()</f>
        <v>0</v>
      </c>
      <c r="AC2095" s="65" t="b">
        <f>FALSE()</f>
        <v>0</v>
      </c>
      <c r="AD2095" s="65" t="b">
        <f>FALSE()</f>
        <v>0</v>
      </c>
      <c r="AE2095" s="65">
        <v>0</v>
      </c>
      <c r="AF2095" s="69">
        <v>0</v>
      </c>
      <c r="AG2095" s="65" t="s">
        <v>74</v>
      </c>
      <c r="AH2095" s="65" t="s">
        <v>7706</v>
      </c>
      <c r="AI2095">
        <f>IF(AND(OR(Company_Explorer!$B$5="All Companies",$E2095=Company_Explorer!$B$5),OR(Company_Explorer!$B$6="All Platforms",$B2095=Company_Explorer!$B$6),OR(Company_Explorer!$B$7="All Roles",$D2095=Company_Explorer!$B$7),OR(Company_Explorer!$B$8="All Ghost Labels",$AG2095=Company_Explorer!$B$8)),1,0)</f>
        <v>0</v>
      </c>
    </row>
    <row r="2096" spans="1:35" ht="15" customHeight="1" x14ac:dyDescent="0.3">
      <c r="A2096" s="60" t="s">
        <v>7707</v>
      </c>
      <c r="B2096" s="60" t="s">
        <v>82</v>
      </c>
      <c r="C2096" s="60" t="s">
        <v>125</v>
      </c>
      <c r="D2096" s="60" t="s">
        <v>125</v>
      </c>
      <c r="E2096" s="60" t="s">
        <v>7708</v>
      </c>
      <c r="F2096" s="60" t="b">
        <f>TRUE()</f>
        <v>1</v>
      </c>
      <c r="G2096" s="60" t="s">
        <v>165</v>
      </c>
      <c r="H2096" s="60" t="s">
        <v>165</v>
      </c>
      <c r="I2096" s="61">
        <v>46182</v>
      </c>
      <c r="J2096" s="61">
        <v>46210.285283495403</v>
      </c>
      <c r="K2096" s="60">
        <v>59</v>
      </c>
      <c r="L2096" s="60" t="s">
        <v>192</v>
      </c>
      <c r="M2096" s="60" t="s">
        <v>183</v>
      </c>
      <c r="N2096" s="60" t="b">
        <f>FALSE()</f>
        <v>0</v>
      </c>
      <c r="O2096" s="60"/>
      <c r="P2096" s="60"/>
      <c r="Q2096" s="60" t="s">
        <v>3663</v>
      </c>
      <c r="R2096" s="60" t="s">
        <v>236</v>
      </c>
      <c r="S2096" s="60"/>
      <c r="T2096" s="60" t="b">
        <f>FALSE()</f>
        <v>0</v>
      </c>
      <c r="U2096" s="60" t="b">
        <f>FALSE()</f>
        <v>0</v>
      </c>
      <c r="V2096" s="60">
        <v>229</v>
      </c>
      <c r="W2096" s="62" t="s">
        <v>5848</v>
      </c>
      <c r="X2096" s="60">
        <v>3</v>
      </c>
      <c r="Y2096" s="63">
        <v>0.72</v>
      </c>
      <c r="Z2096" s="60" t="b">
        <f>FALSE()</f>
        <v>0</v>
      </c>
      <c r="AA2096" s="60" t="b">
        <f>TRUE()</f>
        <v>1</v>
      </c>
      <c r="AB2096" s="60" t="b">
        <f>FALSE()</f>
        <v>0</v>
      </c>
      <c r="AC2096" s="60" t="b">
        <f>FALSE()</f>
        <v>0</v>
      </c>
      <c r="AD2096" s="60" t="b">
        <f>FALSE()</f>
        <v>0</v>
      </c>
      <c r="AE2096" s="60">
        <v>1</v>
      </c>
      <c r="AF2096" s="64">
        <v>14.3</v>
      </c>
      <c r="AG2096" s="60" t="s">
        <v>74</v>
      </c>
      <c r="AH2096" s="60" t="s">
        <v>7709</v>
      </c>
      <c r="AI2096">
        <f>IF(AND(OR(Company_Explorer!$B$5="All Companies",$E2096=Company_Explorer!$B$5),OR(Company_Explorer!$B$6="All Platforms",$B2096=Company_Explorer!$B$6),OR(Company_Explorer!$B$7="All Roles",$D2096=Company_Explorer!$B$7),OR(Company_Explorer!$B$8="All Ghost Labels",$AG2096=Company_Explorer!$B$8)),1,0)</f>
        <v>0</v>
      </c>
    </row>
    <row r="2097" spans="1:35" ht="15" customHeight="1" x14ac:dyDescent="0.3">
      <c r="A2097" s="65" t="s">
        <v>7710</v>
      </c>
      <c r="B2097" s="65" t="s">
        <v>82</v>
      </c>
      <c r="C2097" s="65" t="s">
        <v>7711</v>
      </c>
      <c r="D2097" s="65" t="s">
        <v>126</v>
      </c>
      <c r="E2097" s="65" t="s">
        <v>151</v>
      </c>
      <c r="F2097" s="65" t="b">
        <f>TRUE()</f>
        <v>1</v>
      </c>
      <c r="G2097" s="65" t="s">
        <v>165</v>
      </c>
      <c r="H2097" s="65" t="s">
        <v>165</v>
      </c>
      <c r="I2097" s="66">
        <v>46210</v>
      </c>
      <c r="J2097" s="66">
        <v>46210.285284884303</v>
      </c>
      <c r="K2097" s="65">
        <v>0</v>
      </c>
      <c r="L2097" s="65" t="s">
        <v>192</v>
      </c>
      <c r="M2097" s="65" t="s">
        <v>183</v>
      </c>
      <c r="N2097" s="65" t="b">
        <f>FALSE()</f>
        <v>0</v>
      </c>
      <c r="O2097" s="65"/>
      <c r="P2097" s="65"/>
      <c r="Q2097" s="65" t="s">
        <v>3663</v>
      </c>
      <c r="R2097" s="65" t="s">
        <v>236</v>
      </c>
      <c r="S2097" s="65"/>
      <c r="T2097" s="65" t="b">
        <f>FALSE()</f>
        <v>0</v>
      </c>
      <c r="U2097" s="65" t="b">
        <f>FALSE()</f>
        <v>0</v>
      </c>
      <c r="V2097" s="65">
        <v>542</v>
      </c>
      <c r="W2097" s="67" t="s">
        <v>7712</v>
      </c>
      <c r="X2097" s="65">
        <v>17</v>
      </c>
      <c r="Y2097" s="68">
        <v>4.0999999999999996</v>
      </c>
      <c r="Z2097" s="65" t="b">
        <f>FALSE()</f>
        <v>0</v>
      </c>
      <c r="AA2097" s="65" t="b">
        <f>TRUE()</f>
        <v>1</v>
      </c>
      <c r="AB2097" s="65" t="b">
        <f>FALSE()</f>
        <v>0</v>
      </c>
      <c r="AC2097" s="65" t="b">
        <f>FALSE()</f>
        <v>0</v>
      </c>
      <c r="AD2097" s="65" t="b">
        <f>TRUE()</f>
        <v>1</v>
      </c>
      <c r="AE2097" s="65">
        <v>3</v>
      </c>
      <c r="AF2097" s="69">
        <v>42.9</v>
      </c>
      <c r="AG2097" s="65" t="s">
        <v>73</v>
      </c>
      <c r="AH2097" s="65" t="s">
        <v>7713</v>
      </c>
      <c r="AI2097">
        <f>IF(AND(OR(Company_Explorer!$B$5="All Companies",$E2097=Company_Explorer!$B$5),OR(Company_Explorer!$B$6="All Platforms",$B2097=Company_Explorer!$B$6),OR(Company_Explorer!$B$7="All Roles",$D2097=Company_Explorer!$B$7),OR(Company_Explorer!$B$8="All Ghost Labels",$AG2097=Company_Explorer!$B$8)),1,0)</f>
        <v>0</v>
      </c>
    </row>
    <row r="2098" spans="1:35" ht="15" customHeight="1" x14ac:dyDescent="0.3">
      <c r="A2098" s="60" t="s">
        <v>7714</v>
      </c>
      <c r="B2098" s="60" t="s">
        <v>82</v>
      </c>
      <c r="C2098" s="60" t="s">
        <v>7715</v>
      </c>
      <c r="D2098" s="60" t="s">
        <v>130</v>
      </c>
      <c r="E2098" s="60" t="s">
        <v>7413</v>
      </c>
      <c r="F2098" s="60" t="b">
        <f>TRUE()</f>
        <v>1</v>
      </c>
      <c r="G2098" s="60" t="s">
        <v>175</v>
      </c>
      <c r="H2098" s="60" t="s">
        <v>254</v>
      </c>
      <c r="I2098" s="61">
        <v>46198</v>
      </c>
      <c r="J2098" s="61">
        <v>46210.2852868634</v>
      </c>
      <c r="K2098" s="60">
        <v>132</v>
      </c>
      <c r="L2098" s="60" t="s">
        <v>192</v>
      </c>
      <c r="M2098" s="60" t="s">
        <v>183</v>
      </c>
      <c r="N2098" s="60" t="b">
        <f>TRUE()</f>
        <v>1</v>
      </c>
      <c r="O2098" s="70">
        <v>687500</v>
      </c>
      <c r="P2098" s="70">
        <v>1000000</v>
      </c>
      <c r="Q2098" s="60" t="s">
        <v>3663</v>
      </c>
      <c r="R2098" s="60" t="s">
        <v>7351</v>
      </c>
      <c r="S2098" s="70">
        <v>843750</v>
      </c>
      <c r="T2098" s="60" t="b">
        <f>TRUE()</f>
        <v>1</v>
      </c>
      <c r="U2098" s="60" t="b">
        <f>FALSE()</f>
        <v>0</v>
      </c>
      <c r="V2098" s="60">
        <v>872</v>
      </c>
      <c r="W2098" s="62" t="s">
        <v>7716</v>
      </c>
      <c r="X2098" s="60">
        <v>7</v>
      </c>
      <c r="Y2098" s="63">
        <v>1.69</v>
      </c>
      <c r="Z2098" s="60" t="b">
        <f>FALSE()</f>
        <v>0</v>
      </c>
      <c r="AA2098" s="60" t="b">
        <f>FALSE()</f>
        <v>0</v>
      </c>
      <c r="AB2098" s="60" t="b">
        <f>FALSE()</f>
        <v>0</v>
      </c>
      <c r="AC2098" s="60" t="b">
        <f>TRUE()</f>
        <v>1</v>
      </c>
      <c r="AD2098" s="60" t="b">
        <f>FALSE()</f>
        <v>0</v>
      </c>
      <c r="AE2098" s="60">
        <v>1</v>
      </c>
      <c r="AF2098" s="64">
        <v>14.3</v>
      </c>
      <c r="AG2098" s="60" t="s">
        <v>74</v>
      </c>
      <c r="AH2098" s="60" t="s">
        <v>7717</v>
      </c>
      <c r="AI2098">
        <f>IF(AND(OR(Company_Explorer!$B$5="All Companies",$E2098=Company_Explorer!$B$5),OR(Company_Explorer!$B$6="All Platforms",$B2098=Company_Explorer!$B$6),OR(Company_Explorer!$B$7="All Roles",$D2098=Company_Explorer!$B$7),OR(Company_Explorer!$B$8="All Ghost Labels",$AG2098=Company_Explorer!$B$8)),1,0)</f>
        <v>0</v>
      </c>
    </row>
    <row r="2099" spans="1:35" ht="15" customHeight="1" x14ac:dyDescent="0.3">
      <c r="A2099" s="65" t="s">
        <v>7718</v>
      </c>
      <c r="B2099" s="65" t="s">
        <v>82</v>
      </c>
      <c r="C2099" s="65" t="s">
        <v>7719</v>
      </c>
      <c r="D2099" s="65" t="s">
        <v>125</v>
      </c>
      <c r="E2099" s="65" t="s">
        <v>3726</v>
      </c>
      <c r="F2099" s="65" t="b">
        <f>FALSE()</f>
        <v>0</v>
      </c>
      <c r="G2099" s="65" t="s">
        <v>165</v>
      </c>
      <c r="H2099" s="65" t="s">
        <v>165</v>
      </c>
      <c r="I2099" s="66">
        <v>46196</v>
      </c>
      <c r="J2099" s="66">
        <v>46210.285288958301</v>
      </c>
      <c r="K2099" s="65">
        <v>45</v>
      </c>
      <c r="L2099" s="65" t="s">
        <v>192</v>
      </c>
      <c r="M2099" s="65" t="s">
        <v>183</v>
      </c>
      <c r="N2099" s="65" t="b">
        <f>TRUE()</f>
        <v>1</v>
      </c>
      <c r="O2099" s="71">
        <v>1500000</v>
      </c>
      <c r="P2099" s="71">
        <v>1500000</v>
      </c>
      <c r="Q2099" s="65" t="s">
        <v>3663</v>
      </c>
      <c r="R2099" s="65" t="s">
        <v>7351</v>
      </c>
      <c r="S2099" s="71">
        <v>1500000</v>
      </c>
      <c r="T2099" s="65" t="b">
        <f>TRUE()</f>
        <v>1</v>
      </c>
      <c r="U2099" s="65" t="b">
        <f>FALSE()</f>
        <v>0</v>
      </c>
      <c r="V2099" s="65">
        <v>356</v>
      </c>
      <c r="W2099" s="67" t="s">
        <v>7720</v>
      </c>
      <c r="X2099" s="65"/>
      <c r="Y2099" s="68"/>
      <c r="Z2099" s="65" t="b">
        <f>TRUE()</f>
        <v>1</v>
      </c>
      <c r="AA2099" s="65" t="b">
        <f>FALSE()</f>
        <v>0</v>
      </c>
      <c r="AB2099" s="65" t="b">
        <f>FALSE()</f>
        <v>0</v>
      </c>
      <c r="AC2099" s="65" t="b">
        <f>FALSE()</f>
        <v>0</v>
      </c>
      <c r="AD2099" s="65" t="b">
        <f>FALSE()</f>
        <v>0</v>
      </c>
      <c r="AE2099" s="65">
        <v>2</v>
      </c>
      <c r="AF2099" s="69">
        <v>28.6</v>
      </c>
      <c r="AG2099" s="65" t="s">
        <v>73</v>
      </c>
      <c r="AH2099" s="65" t="s">
        <v>7721</v>
      </c>
      <c r="AI2099">
        <f>IF(AND(OR(Company_Explorer!$B$5="All Companies",$E2099=Company_Explorer!$B$5),OR(Company_Explorer!$B$6="All Platforms",$B2099=Company_Explorer!$B$6),OR(Company_Explorer!$B$7="All Roles",$D2099=Company_Explorer!$B$7),OR(Company_Explorer!$B$8="All Ghost Labels",$AG2099=Company_Explorer!$B$8)),1,0)</f>
        <v>0</v>
      </c>
    </row>
    <row r="2100" spans="1:35" ht="15" customHeight="1" x14ac:dyDescent="0.3">
      <c r="A2100" s="60" t="s">
        <v>7722</v>
      </c>
      <c r="B2100" s="60" t="s">
        <v>82</v>
      </c>
      <c r="C2100" s="60" t="s">
        <v>125</v>
      </c>
      <c r="D2100" s="60" t="s">
        <v>125</v>
      </c>
      <c r="E2100" s="60" t="s">
        <v>7723</v>
      </c>
      <c r="F2100" s="60" t="b">
        <f>TRUE()</f>
        <v>1</v>
      </c>
      <c r="G2100" s="60" t="s">
        <v>167</v>
      </c>
      <c r="H2100" s="60" t="s">
        <v>276</v>
      </c>
      <c r="I2100" s="61">
        <v>46211</v>
      </c>
      <c r="J2100" s="61">
        <v>46210.285290949098</v>
      </c>
      <c r="K2100" s="60">
        <v>0</v>
      </c>
      <c r="L2100" s="60" t="s">
        <v>192</v>
      </c>
      <c r="M2100" s="60" t="s">
        <v>183</v>
      </c>
      <c r="N2100" s="60" t="b">
        <f>TRUE()</f>
        <v>1</v>
      </c>
      <c r="O2100" s="70">
        <v>312507</v>
      </c>
      <c r="P2100" s="70">
        <v>500000</v>
      </c>
      <c r="Q2100" s="60" t="s">
        <v>3663</v>
      </c>
      <c r="R2100" s="60" t="s">
        <v>7351</v>
      </c>
      <c r="S2100" s="70">
        <v>406254</v>
      </c>
      <c r="T2100" s="60" t="b">
        <f>TRUE()</f>
        <v>1</v>
      </c>
      <c r="U2100" s="60" t="b">
        <f>FALSE()</f>
        <v>0</v>
      </c>
      <c r="V2100" s="60">
        <v>523</v>
      </c>
      <c r="W2100" s="60" t="s">
        <v>733</v>
      </c>
      <c r="X2100" s="60">
        <v>4</v>
      </c>
      <c r="Y2100" s="63">
        <v>0.97</v>
      </c>
      <c r="Z2100" s="60" t="b">
        <f>FALSE()</f>
        <v>0</v>
      </c>
      <c r="AA2100" s="60" t="b">
        <f>FALSE()</f>
        <v>0</v>
      </c>
      <c r="AB2100" s="60" t="b">
        <f>FALSE()</f>
        <v>0</v>
      </c>
      <c r="AC2100" s="60" t="b">
        <f>FALSE()</f>
        <v>0</v>
      </c>
      <c r="AD2100" s="60" t="b">
        <f>FALSE()</f>
        <v>0</v>
      </c>
      <c r="AE2100" s="60">
        <v>0</v>
      </c>
      <c r="AF2100" s="64">
        <v>0</v>
      </c>
      <c r="AG2100" s="60" t="s">
        <v>74</v>
      </c>
      <c r="AH2100" s="60" t="s">
        <v>7724</v>
      </c>
      <c r="AI2100">
        <f>IF(AND(OR(Company_Explorer!$B$5="All Companies",$E2100=Company_Explorer!$B$5),OR(Company_Explorer!$B$6="All Platforms",$B2100=Company_Explorer!$B$6),OR(Company_Explorer!$B$7="All Roles",$D2100=Company_Explorer!$B$7),OR(Company_Explorer!$B$8="All Ghost Labels",$AG2100=Company_Explorer!$B$8)),1,0)</f>
        <v>0</v>
      </c>
    </row>
    <row r="2101" spans="1:35" ht="15" customHeight="1" x14ac:dyDescent="0.3">
      <c r="A2101" s="65" t="s">
        <v>7725</v>
      </c>
      <c r="B2101" s="65" t="s">
        <v>82</v>
      </c>
      <c r="C2101" s="65" t="s">
        <v>7726</v>
      </c>
      <c r="D2101" s="65" t="s">
        <v>130</v>
      </c>
      <c r="E2101" s="65" t="s">
        <v>154</v>
      </c>
      <c r="F2101" s="65" t="b">
        <f>TRUE()</f>
        <v>1</v>
      </c>
      <c r="G2101" s="65" t="s">
        <v>165</v>
      </c>
      <c r="H2101" s="65" t="s">
        <v>165</v>
      </c>
      <c r="I2101" s="66">
        <v>46184</v>
      </c>
      <c r="J2101" s="66">
        <v>46210.285293634297</v>
      </c>
      <c r="K2101" s="65">
        <v>26</v>
      </c>
      <c r="L2101" s="65" t="s">
        <v>192</v>
      </c>
      <c r="M2101" s="65" t="s">
        <v>183</v>
      </c>
      <c r="N2101" s="65" t="b">
        <f>FALSE()</f>
        <v>0</v>
      </c>
      <c r="O2101" s="65"/>
      <c r="P2101" s="65"/>
      <c r="Q2101" s="65" t="s">
        <v>3663</v>
      </c>
      <c r="R2101" s="65" t="s">
        <v>236</v>
      </c>
      <c r="S2101" s="65"/>
      <c r="T2101" s="65" t="b">
        <f>FALSE()</f>
        <v>0</v>
      </c>
      <c r="U2101" s="65" t="b">
        <f>FALSE()</f>
        <v>0</v>
      </c>
      <c r="V2101" s="65">
        <v>381</v>
      </c>
      <c r="W2101" s="65" t="s">
        <v>3893</v>
      </c>
      <c r="X2101" s="65">
        <v>16</v>
      </c>
      <c r="Y2101" s="68">
        <v>3.86</v>
      </c>
      <c r="Z2101" s="65" t="b">
        <f>FALSE()</f>
        <v>0</v>
      </c>
      <c r="AA2101" s="65" t="b">
        <f>TRUE()</f>
        <v>1</v>
      </c>
      <c r="AB2101" s="65" t="b">
        <f>FALSE()</f>
        <v>0</v>
      </c>
      <c r="AC2101" s="65" t="b">
        <f>FALSE()</f>
        <v>0</v>
      </c>
      <c r="AD2101" s="65" t="b">
        <f>TRUE()</f>
        <v>1</v>
      </c>
      <c r="AE2101" s="65">
        <v>3</v>
      </c>
      <c r="AF2101" s="69">
        <v>42.9</v>
      </c>
      <c r="AG2101" s="65" t="s">
        <v>73</v>
      </c>
      <c r="AH2101" s="65" t="s">
        <v>7727</v>
      </c>
      <c r="AI2101">
        <f>IF(AND(OR(Company_Explorer!$B$5="All Companies",$E2101=Company_Explorer!$B$5),OR(Company_Explorer!$B$6="All Platforms",$B2101=Company_Explorer!$B$6),OR(Company_Explorer!$B$7="All Roles",$D2101=Company_Explorer!$B$7),OR(Company_Explorer!$B$8="All Ghost Labels",$AG2101=Company_Explorer!$B$8)),1,0)</f>
        <v>0</v>
      </c>
    </row>
    <row r="2102" spans="1:35" ht="15" customHeight="1" x14ac:dyDescent="0.3">
      <c r="A2102" s="60" t="s">
        <v>7728</v>
      </c>
      <c r="B2102" s="60" t="s">
        <v>82</v>
      </c>
      <c r="C2102" s="60" t="s">
        <v>7729</v>
      </c>
      <c r="D2102" s="60" t="s">
        <v>125</v>
      </c>
      <c r="E2102" s="60" t="s">
        <v>7730</v>
      </c>
      <c r="F2102" s="60" t="b">
        <f>TRUE()</f>
        <v>1</v>
      </c>
      <c r="G2102" s="60" t="s">
        <v>165</v>
      </c>
      <c r="H2102" s="60" t="s">
        <v>165</v>
      </c>
      <c r="I2102" s="61">
        <v>46197</v>
      </c>
      <c r="J2102" s="61">
        <v>46210.285294456</v>
      </c>
      <c r="K2102" s="60">
        <v>133</v>
      </c>
      <c r="L2102" s="60" t="s">
        <v>183</v>
      </c>
      <c r="M2102" s="60" t="s">
        <v>183</v>
      </c>
      <c r="N2102" s="60" t="b">
        <f>FALSE()</f>
        <v>0</v>
      </c>
      <c r="O2102" s="60"/>
      <c r="P2102" s="60"/>
      <c r="Q2102" s="60" t="s">
        <v>3663</v>
      </c>
      <c r="R2102" s="60" t="s">
        <v>236</v>
      </c>
      <c r="S2102" s="60"/>
      <c r="T2102" s="60" t="b">
        <f>FALSE()</f>
        <v>0</v>
      </c>
      <c r="U2102" s="60" t="b">
        <f>FALSE()</f>
        <v>0</v>
      </c>
      <c r="V2102" s="60">
        <v>31</v>
      </c>
      <c r="W2102" s="62" t="s">
        <v>7731</v>
      </c>
      <c r="X2102" s="60">
        <v>7</v>
      </c>
      <c r="Y2102" s="63">
        <v>1.69</v>
      </c>
      <c r="Z2102" s="60" t="b">
        <f>FALSE()</f>
        <v>0</v>
      </c>
      <c r="AA2102" s="60" t="b">
        <f>TRUE()</f>
        <v>1</v>
      </c>
      <c r="AB2102" s="60" t="b">
        <f>TRUE()</f>
        <v>1</v>
      </c>
      <c r="AC2102" s="60" t="b">
        <f>TRUE()</f>
        <v>1</v>
      </c>
      <c r="AD2102" s="60" t="b">
        <f>FALSE()</f>
        <v>0</v>
      </c>
      <c r="AE2102" s="60">
        <v>3</v>
      </c>
      <c r="AF2102" s="64">
        <v>42.9</v>
      </c>
      <c r="AG2102" s="60" t="s">
        <v>73</v>
      </c>
      <c r="AH2102" s="60" t="s">
        <v>7732</v>
      </c>
      <c r="AI2102">
        <f>IF(AND(OR(Company_Explorer!$B$5="All Companies",$E2102=Company_Explorer!$B$5),OR(Company_Explorer!$B$6="All Platforms",$B2102=Company_Explorer!$B$6),OR(Company_Explorer!$B$7="All Roles",$D2102=Company_Explorer!$B$7),OR(Company_Explorer!$B$8="All Ghost Labels",$AG2102=Company_Explorer!$B$8)),1,0)</f>
        <v>0</v>
      </c>
    </row>
    <row r="2103" spans="1:35" ht="15" customHeight="1" x14ac:dyDescent="0.3">
      <c r="A2103" s="65" t="s">
        <v>7733</v>
      </c>
      <c r="B2103" s="65" t="s">
        <v>82</v>
      </c>
      <c r="C2103" s="65" t="s">
        <v>390</v>
      </c>
      <c r="D2103" s="65" t="s">
        <v>125</v>
      </c>
      <c r="E2103" s="65" t="s">
        <v>7708</v>
      </c>
      <c r="F2103" s="65" t="b">
        <f>TRUE()</f>
        <v>1</v>
      </c>
      <c r="G2103" s="65" t="s">
        <v>165</v>
      </c>
      <c r="H2103" s="65" t="s">
        <v>165</v>
      </c>
      <c r="I2103" s="66">
        <v>46210</v>
      </c>
      <c r="J2103" s="66">
        <v>46210.285297997703</v>
      </c>
      <c r="K2103" s="65">
        <v>0</v>
      </c>
      <c r="L2103" s="65" t="s">
        <v>192</v>
      </c>
      <c r="M2103" s="65" t="s">
        <v>183</v>
      </c>
      <c r="N2103" s="65" t="b">
        <f>FALSE()</f>
        <v>0</v>
      </c>
      <c r="O2103" s="65"/>
      <c r="P2103" s="65"/>
      <c r="Q2103" s="65" t="s">
        <v>3663</v>
      </c>
      <c r="R2103" s="65" t="s">
        <v>236</v>
      </c>
      <c r="S2103" s="65"/>
      <c r="T2103" s="65" t="b">
        <f>FALSE()</f>
        <v>0</v>
      </c>
      <c r="U2103" s="65" t="b">
        <f>FALSE()</f>
        <v>0</v>
      </c>
      <c r="V2103" s="65">
        <v>239</v>
      </c>
      <c r="W2103" s="67" t="s">
        <v>5905</v>
      </c>
      <c r="X2103" s="65">
        <v>3</v>
      </c>
      <c r="Y2103" s="68">
        <v>0.72</v>
      </c>
      <c r="Z2103" s="65" t="b">
        <f>FALSE()</f>
        <v>0</v>
      </c>
      <c r="AA2103" s="65" t="b">
        <f>TRUE()</f>
        <v>1</v>
      </c>
      <c r="AB2103" s="65" t="b">
        <f>FALSE()</f>
        <v>0</v>
      </c>
      <c r="AC2103" s="65" t="b">
        <f>FALSE()</f>
        <v>0</v>
      </c>
      <c r="AD2103" s="65" t="b">
        <f>FALSE()</f>
        <v>0</v>
      </c>
      <c r="AE2103" s="65">
        <v>1</v>
      </c>
      <c r="AF2103" s="69">
        <v>14.3</v>
      </c>
      <c r="AG2103" s="65" t="s">
        <v>74</v>
      </c>
      <c r="AH2103" s="65" t="s">
        <v>7734</v>
      </c>
      <c r="AI2103">
        <f>IF(AND(OR(Company_Explorer!$B$5="All Companies",$E2103=Company_Explorer!$B$5),OR(Company_Explorer!$B$6="All Platforms",$B2103=Company_Explorer!$B$6),OR(Company_Explorer!$B$7="All Roles",$D2103=Company_Explorer!$B$7),OR(Company_Explorer!$B$8="All Ghost Labels",$AG2103=Company_Explorer!$B$8)),1,0)</f>
        <v>0</v>
      </c>
    </row>
    <row r="2104" spans="1:35" ht="15" customHeight="1" x14ac:dyDescent="0.3">
      <c r="A2104" s="60" t="s">
        <v>7735</v>
      </c>
      <c r="B2104" s="60" t="s">
        <v>82</v>
      </c>
      <c r="C2104" s="60" t="s">
        <v>1599</v>
      </c>
      <c r="D2104" s="60" t="s">
        <v>125</v>
      </c>
      <c r="E2104" s="60" t="s">
        <v>7736</v>
      </c>
      <c r="F2104" s="60" t="b">
        <f>TRUE()</f>
        <v>1</v>
      </c>
      <c r="G2104" s="60" t="s">
        <v>166</v>
      </c>
      <c r="H2104" s="60" t="s">
        <v>235</v>
      </c>
      <c r="I2104" s="61">
        <v>46202</v>
      </c>
      <c r="J2104" s="61">
        <v>46210.285300428201</v>
      </c>
      <c r="K2104" s="60">
        <v>8</v>
      </c>
      <c r="L2104" s="60" t="s">
        <v>192</v>
      </c>
      <c r="M2104" s="60" t="s">
        <v>183</v>
      </c>
      <c r="N2104" s="60" t="b">
        <f>TRUE()</f>
        <v>1</v>
      </c>
      <c r="O2104" s="70">
        <v>650000</v>
      </c>
      <c r="P2104" s="70">
        <v>1000000</v>
      </c>
      <c r="Q2104" s="60" t="s">
        <v>3663</v>
      </c>
      <c r="R2104" s="60" t="s">
        <v>7351</v>
      </c>
      <c r="S2104" s="70">
        <v>825000</v>
      </c>
      <c r="T2104" s="60" t="b">
        <f>TRUE()</f>
        <v>1</v>
      </c>
      <c r="U2104" s="60" t="b">
        <f>FALSE()</f>
        <v>0</v>
      </c>
      <c r="V2104" s="60">
        <v>476</v>
      </c>
      <c r="W2104" s="62" t="s">
        <v>7737</v>
      </c>
      <c r="X2104" s="60">
        <v>1</v>
      </c>
      <c r="Y2104" s="63">
        <v>0.24</v>
      </c>
      <c r="Z2104" s="60" t="b">
        <f>FALSE()</f>
        <v>0</v>
      </c>
      <c r="AA2104" s="60" t="b">
        <f>FALSE()</f>
        <v>0</v>
      </c>
      <c r="AB2104" s="60" t="b">
        <f>FALSE()</f>
        <v>0</v>
      </c>
      <c r="AC2104" s="60" t="b">
        <f>FALSE()</f>
        <v>0</v>
      </c>
      <c r="AD2104" s="60" t="b">
        <f>FALSE()</f>
        <v>0</v>
      </c>
      <c r="AE2104" s="60">
        <v>0</v>
      </c>
      <c r="AF2104" s="64">
        <v>0</v>
      </c>
      <c r="AG2104" s="60" t="s">
        <v>74</v>
      </c>
      <c r="AH2104" s="60" t="s">
        <v>7738</v>
      </c>
      <c r="AI2104">
        <f>IF(AND(OR(Company_Explorer!$B$5="All Companies",$E2104=Company_Explorer!$B$5),OR(Company_Explorer!$B$6="All Platforms",$B2104=Company_Explorer!$B$6),OR(Company_Explorer!$B$7="All Roles",$D2104=Company_Explorer!$B$7),OR(Company_Explorer!$B$8="All Ghost Labels",$AG2104=Company_Explorer!$B$8)),1,0)</f>
        <v>0</v>
      </c>
    </row>
    <row r="2105" spans="1:35" ht="15" customHeight="1" x14ac:dyDescent="0.3">
      <c r="A2105" s="65" t="s">
        <v>7739</v>
      </c>
      <c r="B2105" s="65" t="s">
        <v>82</v>
      </c>
      <c r="C2105" s="65" t="s">
        <v>340</v>
      </c>
      <c r="D2105" s="65" t="s">
        <v>126</v>
      </c>
      <c r="E2105" s="65" t="s">
        <v>7740</v>
      </c>
      <c r="F2105" s="65" t="b">
        <f>TRUE()</f>
        <v>1</v>
      </c>
      <c r="G2105" s="65" t="s">
        <v>175</v>
      </c>
      <c r="H2105" s="65" t="s">
        <v>254</v>
      </c>
      <c r="I2105" s="66">
        <v>46206</v>
      </c>
      <c r="J2105" s="66">
        <v>46210.285305752303</v>
      </c>
      <c r="K2105" s="65">
        <v>4</v>
      </c>
      <c r="L2105" s="65" t="s">
        <v>192</v>
      </c>
      <c r="M2105" s="65" t="s">
        <v>183</v>
      </c>
      <c r="N2105" s="65" t="b">
        <f>TRUE()</f>
        <v>1</v>
      </c>
      <c r="O2105" s="71">
        <v>282000</v>
      </c>
      <c r="P2105" s="71">
        <v>470000</v>
      </c>
      <c r="Q2105" s="65" t="s">
        <v>3663</v>
      </c>
      <c r="R2105" s="65" t="s">
        <v>7351</v>
      </c>
      <c r="S2105" s="71">
        <v>376000</v>
      </c>
      <c r="T2105" s="65" t="b">
        <f>TRUE()</f>
        <v>1</v>
      </c>
      <c r="U2105" s="65" t="b">
        <f>FALSE()</f>
        <v>0</v>
      </c>
      <c r="V2105" s="65">
        <v>117</v>
      </c>
      <c r="W2105" s="67" t="s">
        <v>7741</v>
      </c>
      <c r="X2105" s="65">
        <v>2</v>
      </c>
      <c r="Y2105" s="68">
        <v>0.48</v>
      </c>
      <c r="Z2105" s="65" t="b">
        <f>FALSE()</f>
        <v>0</v>
      </c>
      <c r="AA2105" s="65" t="b">
        <f>FALSE()</f>
        <v>0</v>
      </c>
      <c r="AB2105" s="65" t="b">
        <f>TRUE()</f>
        <v>1</v>
      </c>
      <c r="AC2105" s="65" t="b">
        <f>FALSE()</f>
        <v>0</v>
      </c>
      <c r="AD2105" s="65" t="b">
        <f>FALSE()</f>
        <v>0</v>
      </c>
      <c r="AE2105" s="65">
        <v>1</v>
      </c>
      <c r="AF2105" s="69">
        <v>14.3</v>
      </c>
      <c r="AG2105" s="65" t="s">
        <v>74</v>
      </c>
      <c r="AH2105" s="65" t="s">
        <v>7742</v>
      </c>
      <c r="AI2105">
        <f>IF(AND(OR(Company_Explorer!$B$5="All Companies",$E2105=Company_Explorer!$B$5),OR(Company_Explorer!$B$6="All Platforms",$B2105=Company_Explorer!$B$6),OR(Company_Explorer!$B$7="All Roles",$D2105=Company_Explorer!$B$7),OR(Company_Explorer!$B$8="All Ghost Labels",$AG2105=Company_Explorer!$B$8)),1,0)</f>
        <v>0</v>
      </c>
    </row>
    <row r="2106" spans="1:35" ht="15" customHeight="1" x14ac:dyDescent="0.3">
      <c r="A2106" s="60" t="s">
        <v>7743</v>
      </c>
      <c r="B2106" s="60" t="s">
        <v>82</v>
      </c>
      <c r="C2106" s="60" t="s">
        <v>125</v>
      </c>
      <c r="D2106" s="60" t="s">
        <v>125</v>
      </c>
      <c r="E2106" s="60" t="s">
        <v>7607</v>
      </c>
      <c r="F2106" s="60" t="b">
        <f>TRUE()</f>
        <v>1</v>
      </c>
      <c r="G2106" s="60" t="s">
        <v>165</v>
      </c>
      <c r="H2106" s="60" t="s">
        <v>165</v>
      </c>
      <c r="I2106" s="61">
        <v>46188</v>
      </c>
      <c r="J2106" s="61">
        <v>46210.285309421299</v>
      </c>
      <c r="K2106" s="60">
        <v>53</v>
      </c>
      <c r="L2106" s="60" t="s">
        <v>192</v>
      </c>
      <c r="M2106" s="60" t="s">
        <v>183</v>
      </c>
      <c r="N2106" s="60" t="b">
        <f>FALSE()</f>
        <v>0</v>
      </c>
      <c r="O2106" s="60"/>
      <c r="P2106" s="60"/>
      <c r="Q2106" s="60" t="s">
        <v>3663</v>
      </c>
      <c r="R2106" s="60" t="s">
        <v>236</v>
      </c>
      <c r="S2106" s="60"/>
      <c r="T2106" s="60" t="b">
        <f>FALSE()</f>
        <v>0</v>
      </c>
      <c r="U2106" s="60" t="b">
        <f>FALSE()</f>
        <v>0</v>
      </c>
      <c r="V2106" s="60">
        <v>1171</v>
      </c>
      <c r="W2106" s="62" t="s">
        <v>7744</v>
      </c>
      <c r="X2106" s="60">
        <v>4</v>
      </c>
      <c r="Y2106" s="63">
        <v>0.97</v>
      </c>
      <c r="Z2106" s="60" t="b">
        <f>FALSE()</f>
        <v>0</v>
      </c>
      <c r="AA2106" s="60" t="b">
        <f>TRUE()</f>
        <v>1</v>
      </c>
      <c r="AB2106" s="60" t="b">
        <f>FALSE()</f>
        <v>0</v>
      </c>
      <c r="AC2106" s="60" t="b">
        <f>FALSE()</f>
        <v>0</v>
      </c>
      <c r="AD2106" s="60" t="b">
        <f>FALSE()</f>
        <v>0</v>
      </c>
      <c r="AE2106" s="60">
        <v>1</v>
      </c>
      <c r="AF2106" s="64">
        <v>14.3</v>
      </c>
      <c r="AG2106" s="60" t="s">
        <v>74</v>
      </c>
      <c r="AH2106" s="60" t="s">
        <v>7745</v>
      </c>
      <c r="AI2106">
        <f>IF(AND(OR(Company_Explorer!$B$5="All Companies",$E2106=Company_Explorer!$B$5),OR(Company_Explorer!$B$6="All Platforms",$B2106=Company_Explorer!$B$6),OR(Company_Explorer!$B$7="All Roles",$D2106=Company_Explorer!$B$7),OR(Company_Explorer!$B$8="All Ghost Labels",$AG2106=Company_Explorer!$B$8)),1,0)</f>
        <v>0</v>
      </c>
    </row>
    <row r="2107" spans="1:35" ht="15" customHeight="1" x14ac:dyDescent="0.3">
      <c r="A2107" s="65" t="s">
        <v>7746</v>
      </c>
      <c r="B2107" s="65" t="s">
        <v>82</v>
      </c>
      <c r="C2107" s="65" t="s">
        <v>1811</v>
      </c>
      <c r="D2107" s="65" t="s">
        <v>125</v>
      </c>
      <c r="E2107" s="65" t="s">
        <v>7747</v>
      </c>
      <c r="F2107" s="65" t="b">
        <f>TRUE()</f>
        <v>1</v>
      </c>
      <c r="G2107" s="65" t="s">
        <v>166</v>
      </c>
      <c r="H2107" s="65" t="s">
        <v>235</v>
      </c>
      <c r="I2107" s="66">
        <v>46199</v>
      </c>
      <c r="J2107" s="66">
        <v>46210.285311377302</v>
      </c>
      <c r="K2107" s="65">
        <v>11</v>
      </c>
      <c r="L2107" s="65" t="s">
        <v>183</v>
      </c>
      <c r="M2107" s="65" t="s">
        <v>183</v>
      </c>
      <c r="N2107" s="65" t="b">
        <f>TRUE()</f>
        <v>1</v>
      </c>
      <c r="O2107" s="71">
        <v>425000</v>
      </c>
      <c r="P2107" s="71">
        <v>800000</v>
      </c>
      <c r="Q2107" s="65" t="s">
        <v>3663</v>
      </c>
      <c r="R2107" s="65" t="s">
        <v>7351</v>
      </c>
      <c r="S2107" s="71">
        <v>612500</v>
      </c>
      <c r="T2107" s="65" t="b">
        <f>TRUE()</f>
        <v>1</v>
      </c>
      <c r="U2107" s="65" t="b">
        <f>FALSE()</f>
        <v>0</v>
      </c>
      <c r="V2107" s="65">
        <v>39</v>
      </c>
      <c r="W2107" s="67" t="s">
        <v>7748</v>
      </c>
      <c r="X2107" s="65">
        <v>1</v>
      </c>
      <c r="Y2107" s="68">
        <v>0.24</v>
      </c>
      <c r="Z2107" s="65" t="b">
        <f>FALSE()</f>
        <v>0</v>
      </c>
      <c r="AA2107" s="65" t="b">
        <f>FALSE()</f>
        <v>0</v>
      </c>
      <c r="AB2107" s="65" t="b">
        <f>TRUE()</f>
        <v>1</v>
      </c>
      <c r="AC2107" s="65" t="b">
        <f>FALSE()</f>
        <v>0</v>
      </c>
      <c r="AD2107" s="65" t="b">
        <f>FALSE()</f>
        <v>0</v>
      </c>
      <c r="AE2107" s="65">
        <v>1</v>
      </c>
      <c r="AF2107" s="69">
        <v>14.3</v>
      </c>
      <c r="AG2107" s="65" t="s">
        <v>74</v>
      </c>
      <c r="AH2107" s="65" t="s">
        <v>7749</v>
      </c>
      <c r="AI2107">
        <f>IF(AND(OR(Company_Explorer!$B$5="All Companies",$E2107=Company_Explorer!$B$5),OR(Company_Explorer!$B$6="All Platforms",$B2107=Company_Explorer!$B$6),OR(Company_Explorer!$B$7="All Roles",$D2107=Company_Explorer!$B$7),OR(Company_Explorer!$B$8="All Ghost Labels",$AG2107=Company_Explorer!$B$8)),1,0)</f>
        <v>0</v>
      </c>
    </row>
    <row r="2108" spans="1:35" ht="15" customHeight="1" x14ac:dyDescent="0.3">
      <c r="A2108" s="60" t="s">
        <v>7750</v>
      </c>
      <c r="B2108" s="60" t="s">
        <v>82</v>
      </c>
      <c r="C2108" s="60" t="s">
        <v>1811</v>
      </c>
      <c r="D2108" s="60" t="s">
        <v>125</v>
      </c>
      <c r="E2108" s="60" t="s">
        <v>7723</v>
      </c>
      <c r="F2108" s="60" t="b">
        <f>TRUE()</f>
        <v>1</v>
      </c>
      <c r="G2108" s="60" t="s">
        <v>167</v>
      </c>
      <c r="H2108" s="60" t="s">
        <v>276</v>
      </c>
      <c r="I2108" s="61">
        <v>46211</v>
      </c>
      <c r="J2108" s="61">
        <v>46210.285311932901</v>
      </c>
      <c r="K2108" s="60">
        <v>0</v>
      </c>
      <c r="L2108" s="60" t="s">
        <v>192</v>
      </c>
      <c r="M2108" s="60" t="s">
        <v>183</v>
      </c>
      <c r="N2108" s="60" t="b">
        <f>TRUE()</f>
        <v>1</v>
      </c>
      <c r="O2108" s="70">
        <v>312507</v>
      </c>
      <c r="P2108" s="70">
        <v>500000</v>
      </c>
      <c r="Q2108" s="60" t="s">
        <v>3663</v>
      </c>
      <c r="R2108" s="60" t="s">
        <v>7351</v>
      </c>
      <c r="S2108" s="70">
        <v>406254</v>
      </c>
      <c r="T2108" s="60" t="b">
        <f>TRUE()</f>
        <v>1</v>
      </c>
      <c r="U2108" s="60" t="b">
        <f>FALSE()</f>
        <v>0</v>
      </c>
      <c r="V2108" s="60">
        <v>530</v>
      </c>
      <c r="W2108" s="60" t="s">
        <v>733</v>
      </c>
      <c r="X2108" s="60">
        <v>4</v>
      </c>
      <c r="Y2108" s="63">
        <v>0.97</v>
      </c>
      <c r="Z2108" s="60" t="b">
        <f>FALSE()</f>
        <v>0</v>
      </c>
      <c r="AA2108" s="60" t="b">
        <f>FALSE()</f>
        <v>0</v>
      </c>
      <c r="AB2108" s="60" t="b">
        <f>FALSE()</f>
        <v>0</v>
      </c>
      <c r="AC2108" s="60" t="b">
        <f>FALSE()</f>
        <v>0</v>
      </c>
      <c r="AD2108" s="60" t="b">
        <f>FALSE()</f>
        <v>0</v>
      </c>
      <c r="AE2108" s="60">
        <v>0</v>
      </c>
      <c r="AF2108" s="64">
        <v>0</v>
      </c>
      <c r="AG2108" s="60" t="s">
        <v>74</v>
      </c>
      <c r="AH2108" s="60" t="s">
        <v>7751</v>
      </c>
      <c r="AI2108">
        <f>IF(AND(OR(Company_Explorer!$B$5="All Companies",$E2108=Company_Explorer!$B$5),OR(Company_Explorer!$B$6="All Platforms",$B2108=Company_Explorer!$B$6),OR(Company_Explorer!$B$7="All Roles",$D2108=Company_Explorer!$B$7),OR(Company_Explorer!$B$8="All Ghost Labels",$AG2108=Company_Explorer!$B$8)),1,0)</f>
        <v>0</v>
      </c>
    </row>
    <row r="2109" spans="1:35" ht="15" customHeight="1" x14ac:dyDescent="0.3">
      <c r="A2109" s="65" t="s">
        <v>7752</v>
      </c>
      <c r="B2109" s="65" t="s">
        <v>82</v>
      </c>
      <c r="C2109" s="65" t="s">
        <v>7753</v>
      </c>
      <c r="D2109" s="65" t="s">
        <v>126</v>
      </c>
      <c r="E2109" s="65" t="s">
        <v>7754</v>
      </c>
      <c r="F2109" s="65" t="b">
        <f>TRUE()</f>
        <v>1</v>
      </c>
      <c r="G2109" s="65" t="s">
        <v>167</v>
      </c>
      <c r="H2109" s="65" t="s">
        <v>276</v>
      </c>
      <c r="I2109" s="66">
        <v>46190</v>
      </c>
      <c r="J2109" s="66">
        <v>46210.285316030102</v>
      </c>
      <c r="K2109" s="65">
        <v>20</v>
      </c>
      <c r="L2109" s="65" t="s">
        <v>192</v>
      </c>
      <c r="M2109" s="65" t="s">
        <v>183</v>
      </c>
      <c r="N2109" s="65" t="b">
        <f>TRUE()</f>
        <v>1</v>
      </c>
      <c r="O2109" s="71">
        <v>712500</v>
      </c>
      <c r="P2109" s="71">
        <v>1000000</v>
      </c>
      <c r="Q2109" s="65" t="s">
        <v>3663</v>
      </c>
      <c r="R2109" s="65" t="s">
        <v>7351</v>
      </c>
      <c r="S2109" s="71">
        <v>856250</v>
      </c>
      <c r="T2109" s="65" t="b">
        <f>TRUE()</f>
        <v>1</v>
      </c>
      <c r="U2109" s="65" t="b">
        <f>FALSE()</f>
        <v>0</v>
      </c>
      <c r="V2109" s="65">
        <v>627</v>
      </c>
      <c r="W2109" s="65" t="s">
        <v>7755</v>
      </c>
      <c r="X2109" s="65">
        <v>1</v>
      </c>
      <c r="Y2109" s="68">
        <v>0.24</v>
      </c>
      <c r="Z2109" s="65" t="b">
        <f>FALSE()</f>
        <v>0</v>
      </c>
      <c r="AA2109" s="65" t="b">
        <f>FALSE()</f>
        <v>0</v>
      </c>
      <c r="AB2109" s="65" t="b">
        <f>FALSE()</f>
        <v>0</v>
      </c>
      <c r="AC2109" s="65" t="b">
        <f>FALSE()</f>
        <v>0</v>
      </c>
      <c r="AD2109" s="65" t="b">
        <f>FALSE()</f>
        <v>0</v>
      </c>
      <c r="AE2109" s="65">
        <v>0</v>
      </c>
      <c r="AF2109" s="69">
        <v>0</v>
      </c>
      <c r="AG2109" s="65" t="s">
        <v>74</v>
      </c>
      <c r="AH2109" s="65" t="s">
        <v>7756</v>
      </c>
      <c r="AI2109">
        <f>IF(AND(OR(Company_Explorer!$B$5="All Companies",$E2109=Company_Explorer!$B$5),OR(Company_Explorer!$B$6="All Platforms",$B2109=Company_Explorer!$B$6),OR(Company_Explorer!$B$7="All Roles",$D2109=Company_Explorer!$B$7),OR(Company_Explorer!$B$8="All Ghost Labels",$AG2109=Company_Explorer!$B$8)),1,0)</f>
        <v>0</v>
      </c>
    </row>
    <row r="2110" spans="1:35" ht="15" customHeight="1" x14ac:dyDescent="0.3">
      <c r="A2110" s="60" t="s">
        <v>7757</v>
      </c>
      <c r="B2110" s="60" t="s">
        <v>82</v>
      </c>
      <c r="C2110" s="60" t="s">
        <v>4436</v>
      </c>
      <c r="D2110" s="60" t="s">
        <v>125</v>
      </c>
      <c r="E2110" s="60" t="s">
        <v>7758</v>
      </c>
      <c r="F2110" s="60" t="b">
        <f>TRUE()</f>
        <v>1</v>
      </c>
      <c r="G2110" s="60" t="s">
        <v>165</v>
      </c>
      <c r="H2110" s="60" t="s">
        <v>165</v>
      </c>
      <c r="I2110" s="61">
        <v>46211</v>
      </c>
      <c r="J2110" s="61">
        <v>46210.285316886599</v>
      </c>
      <c r="K2110" s="60">
        <v>0</v>
      </c>
      <c r="L2110" s="60" t="s">
        <v>192</v>
      </c>
      <c r="M2110" s="60" t="s">
        <v>183</v>
      </c>
      <c r="N2110" s="60" t="b">
        <f>FALSE()</f>
        <v>0</v>
      </c>
      <c r="O2110" s="60"/>
      <c r="P2110" s="60"/>
      <c r="Q2110" s="60" t="s">
        <v>3663</v>
      </c>
      <c r="R2110" s="60" t="s">
        <v>236</v>
      </c>
      <c r="S2110" s="60"/>
      <c r="T2110" s="60" t="b">
        <f>FALSE()</f>
        <v>0</v>
      </c>
      <c r="U2110" s="60" t="b">
        <f>FALSE()</f>
        <v>0</v>
      </c>
      <c r="V2110" s="60">
        <v>759</v>
      </c>
      <c r="W2110" s="60" t="s">
        <v>4437</v>
      </c>
      <c r="X2110" s="60">
        <v>3</v>
      </c>
      <c r="Y2110" s="63">
        <v>0.72</v>
      </c>
      <c r="Z2110" s="60" t="b">
        <f>FALSE()</f>
        <v>0</v>
      </c>
      <c r="AA2110" s="60" t="b">
        <f>TRUE()</f>
        <v>1</v>
      </c>
      <c r="AB2110" s="60" t="b">
        <f>FALSE()</f>
        <v>0</v>
      </c>
      <c r="AC2110" s="60" t="b">
        <f>FALSE()</f>
        <v>0</v>
      </c>
      <c r="AD2110" s="60" t="b">
        <f>FALSE()</f>
        <v>0</v>
      </c>
      <c r="AE2110" s="60">
        <v>1</v>
      </c>
      <c r="AF2110" s="64">
        <v>14.3</v>
      </c>
      <c r="AG2110" s="60" t="s">
        <v>74</v>
      </c>
      <c r="AH2110" s="60" t="s">
        <v>7759</v>
      </c>
      <c r="AI2110">
        <f>IF(AND(OR(Company_Explorer!$B$5="All Companies",$E2110=Company_Explorer!$B$5),OR(Company_Explorer!$B$6="All Platforms",$B2110=Company_Explorer!$B$6),OR(Company_Explorer!$B$7="All Roles",$D2110=Company_Explorer!$B$7),OR(Company_Explorer!$B$8="All Ghost Labels",$AG2110=Company_Explorer!$B$8)),1,0)</f>
        <v>0</v>
      </c>
    </row>
    <row r="2111" spans="1:35" ht="15" customHeight="1" x14ac:dyDescent="0.3">
      <c r="A2111" s="65" t="s">
        <v>7760</v>
      </c>
      <c r="B2111" s="65" t="s">
        <v>82</v>
      </c>
      <c r="C2111" s="65" t="s">
        <v>125</v>
      </c>
      <c r="D2111" s="65" t="s">
        <v>125</v>
      </c>
      <c r="E2111" s="65" t="s">
        <v>3726</v>
      </c>
      <c r="F2111" s="65" t="b">
        <f>FALSE()</f>
        <v>0</v>
      </c>
      <c r="G2111" s="65" t="s">
        <v>165</v>
      </c>
      <c r="H2111" s="65" t="s">
        <v>165</v>
      </c>
      <c r="I2111" s="66">
        <v>46207</v>
      </c>
      <c r="J2111" s="66">
        <v>46210.285319872703</v>
      </c>
      <c r="K2111" s="65">
        <v>3</v>
      </c>
      <c r="L2111" s="65" t="s">
        <v>192</v>
      </c>
      <c r="M2111" s="65" t="s">
        <v>183</v>
      </c>
      <c r="N2111" s="65" t="b">
        <f>TRUE()</f>
        <v>1</v>
      </c>
      <c r="O2111" s="71">
        <v>600000</v>
      </c>
      <c r="P2111" s="71">
        <v>800000</v>
      </c>
      <c r="Q2111" s="65" t="s">
        <v>3663</v>
      </c>
      <c r="R2111" s="65" t="s">
        <v>7351</v>
      </c>
      <c r="S2111" s="71">
        <v>700000</v>
      </c>
      <c r="T2111" s="65" t="b">
        <f>TRUE()</f>
        <v>1</v>
      </c>
      <c r="U2111" s="65" t="b">
        <f>FALSE()</f>
        <v>0</v>
      </c>
      <c r="V2111" s="65">
        <v>409</v>
      </c>
      <c r="W2111" s="67" t="s">
        <v>7761</v>
      </c>
      <c r="X2111" s="65"/>
      <c r="Y2111" s="68"/>
      <c r="Z2111" s="65" t="b">
        <f>TRUE()</f>
        <v>1</v>
      </c>
      <c r="AA2111" s="65" t="b">
        <f>FALSE()</f>
        <v>0</v>
      </c>
      <c r="AB2111" s="65" t="b">
        <f>FALSE()</f>
        <v>0</v>
      </c>
      <c r="AC2111" s="65" t="b">
        <f>FALSE()</f>
        <v>0</v>
      </c>
      <c r="AD2111" s="65" t="b">
        <f>FALSE()</f>
        <v>0</v>
      </c>
      <c r="AE2111" s="65">
        <v>2</v>
      </c>
      <c r="AF2111" s="69">
        <v>28.6</v>
      </c>
      <c r="AG2111" s="65" t="s">
        <v>73</v>
      </c>
      <c r="AH2111" s="65" t="s">
        <v>7762</v>
      </c>
      <c r="AI2111">
        <f>IF(AND(OR(Company_Explorer!$B$5="All Companies",$E2111=Company_Explorer!$B$5),OR(Company_Explorer!$B$6="All Platforms",$B2111=Company_Explorer!$B$6),OR(Company_Explorer!$B$7="All Roles",$D2111=Company_Explorer!$B$7),OR(Company_Explorer!$B$8="All Ghost Labels",$AG2111=Company_Explorer!$B$8)),1,0)</f>
        <v>0</v>
      </c>
    </row>
    <row r="2112" spans="1:35" ht="15" customHeight="1" x14ac:dyDescent="0.3">
      <c r="A2112" s="60" t="s">
        <v>7763</v>
      </c>
      <c r="B2112" s="60" t="s">
        <v>82</v>
      </c>
      <c r="C2112" s="60" t="s">
        <v>7764</v>
      </c>
      <c r="D2112" s="60" t="s">
        <v>125</v>
      </c>
      <c r="E2112" s="60" t="s">
        <v>7765</v>
      </c>
      <c r="F2112" s="60" t="b">
        <f>TRUE()</f>
        <v>1</v>
      </c>
      <c r="G2112" s="60" t="s">
        <v>166</v>
      </c>
      <c r="H2112" s="60" t="s">
        <v>235</v>
      </c>
      <c r="I2112" s="61">
        <v>46203</v>
      </c>
      <c r="J2112" s="61">
        <v>46210.285323750002</v>
      </c>
      <c r="K2112" s="60">
        <v>7</v>
      </c>
      <c r="L2112" s="60" t="s">
        <v>192</v>
      </c>
      <c r="M2112" s="60" t="s">
        <v>183</v>
      </c>
      <c r="N2112" s="60" t="b">
        <f>TRUE()</f>
        <v>1</v>
      </c>
      <c r="O2112" s="70">
        <v>664008</v>
      </c>
      <c r="P2112" s="70">
        <v>1000000</v>
      </c>
      <c r="Q2112" s="60" t="s">
        <v>3663</v>
      </c>
      <c r="R2112" s="60" t="s">
        <v>7351</v>
      </c>
      <c r="S2112" s="70">
        <v>832004</v>
      </c>
      <c r="T2112" s="60" t="b">
        <f>TRUE()</f>
        <v>1</v>
      </c>
      <c r="U2112" s="60" t="b">
        <f>FALSE()</f>
        <v>0</v>
      </c>
      <c r="V2112" s="60">
        <v>1705</v>
      </c>
      <c r="W2112" s="62" t="s">
        <v>7766</v>
      </c>
      <c r="X2112" s="60">
        <v>1</v>
      </c>
      <c r="Y2112" s="63">
        <v>0.24</v>
      </c>
      <c r="Z2112" s="60" t="b">
        <f>FALSE()</f>
        <v>0</v>
      </c>
      <c r="AA2112" s="60" t="b">
        <f>FALSE()</f>
        <v>0</v>
      </c>
      <c r="AB2112" s="60" t="b">
        <f>FALSE()</f>
        <v>0</v>
      </c>
      <c r="AC2112" s="60" t="b">
        <f>FALSE()</f>
        <v>0</v>
      </c>
      <c r="AD2112" s="60" t="b">
        <f>FALSE()</f>
        <v>0</v>
      </c>
      <c r="AE2112" s="60">
        <v>0</v>
      </c>
      <c r="AF2112" s="64">
        <v>0</v>
      </c>
      <c r="AG2112" s="60" t="s">
        <v>74</v>
      </c>
      <c r="AH2112" s="60" t="s">
        <v>7767</v>
      </c>
      <c r="AI2112">
        <f>IF(AND(OR(Company_Explorer!$B$5="All Companies",$E2112=Company_Explorer!$B$5),OR(Company_Explorer!$B$6="All Platforms",$B2112=Company_Explorer!$B$6),OR(Company_Explorer!$B$7="All Roles",$D2112=Company_Explorer!$B$7),OR(Company_Explorer!$B$8="All Ghost Labels",$AG2112=Company_Explorer!$B$8)),1,0)</f>
        <v>0</v>
      </c>
    </row>
    <row r="2113" spans="1:35" ht="15" customHeight="1" x14ac:dyDescent="0.3">
      <c r="A2113" s="65" t="s">
        <v>7768</v>
      </c>
      <c r="B2113" s="65" t="s">
        <v>82</v>
      </c>
      <c r="C2113" s="65" t="s">
        <v>7769</v>
      </c>
      <c r="D2113" s="65" t="s">
        <v>125</v>
      </c>
      <c r="E2113" s="65" t="s">
        <v>7770</v>
      </c>
      <c r="F2113" s="65" t="b">
        <f>TRUE()</f>
        <v>1</v>
      </c>
      <c r="G2113" s="65" t="s">
        <v>7539</v>
      </c>
      <c r="H2113" s="65" t="s">
        <v>254</v>
      </c>
      <c r="I2113" s="66">
        <v>46201</v>
      </c>
      <c r="J2113" s="66">
        <v>46210.285324351898</v>
      </c>
      <c r="K2113" s="65">
        <v>129</v>
      </c>
      <c r="L2113" s="65" t="s">
        <v>183</v>
      </c>
      <c r="M2113" s="65" t="s">
        <v>183</v>
      </c>
      <c r="N2113" s="65" t="b">
        <f>TRUE()</f>
        <v>1</v>
      </c>
      <c r="O2113" s="71">
        <v>255000</v>
      </c>
      <c r="P2113" s="71">
        <v>600000</v>
      </c>
      <c r="Q2113" s="65" t="s">
        <v>3663</v>
      </c>
      <c r="R2113" s="65" t="s">
        <v>7351</v>
      </c>
      <c r="S2113" s="71">
        <v>427500</v>
      </c>
      <c r="T2113" s="65" t="b">
        <f>TRUE()</f>
        <v>1</v>
      </c>
      <c r="U2113" s="65" t="b">
        <f>FALSE()</f>
        <v>0</v>
      </c>
      <c r="V2113" s="65">
        <v>163</v>
      </c>
      <c r="W2113" s="67" t="s">
        <v>7771</v>
      </c>
      <c r="X2113" s="65">
        <v>1</v>
      </c>
      <c r="Y2113" s="68">
        <v>0.24</v>
      </c>
      <c r="Z2113" s="65" t="b">
        <f>FALSE()</f>
        <v>0</v>
      </c>
      <c r="AA2113" s="65" t="b">
        <f>FALSE()</f>
        <v>0</v>
      </c>
      <c r="AB2113" s="65" t="b">
        <f>TRUE()</f>
        <v>1</v>
      </c>
      <c r="AC2113" s="65" t="b">
        <f>TRUE()</f>
        <v>1</v>
      </c>
      <c r="AD2113" s="65" t="b">
        <f>FALSE()</f>
        <v>0</v>
      </c>
      <c r="AE2113" s="65">
        <v>2</v>
      </c>
      <c r="AF2113" s="69">
        <v>28.6</v>
      </c>
      <c r="AG2113" s="65" t="s">
        <v>73</v>
      </c>
      <c r="AH2113" s="65" t="s">
        <v>7772</v>
      </c>
      <c r="AI2113">
        <f>IF(AND(OR(Company_Explorer!$B$5="All Companies",$E2113=Company_Explorer!$B$5),OR(Company_Explorer!$B$6="All Platforms",$B2113=Company_Explorer!$B$6),OR(Company_Explorer!$B$7="All Roles",$D2113=Company_Explorer!$B$7),OR(Company_Explorer!$B$8="All Ghost Labels",$AG2113=Company_Explorer!$B$8)),1,0)</f>
        <v>0</v>
      </c>
    </row>
    <row r="2114" spans="1:35" ht="15" customHeight="1" x14ac:dyDescent="0.3">
      <c r="A2114" s="60" t="s">
        <v>7773</v>
      </c>
      <c r="B2114" s="60" t="s">
        <v>82</v>
      </c>
      <c r="C2114" s="60" t="s">
        <v>125</v>
      </c>
      <c r="D2114" s="60" t="s">
        <v>125</v>
      </c>
      <c r="E2114" s="60" t="s">
        <v>5859</v>
      </c>
      <c r="F2114" s="60" t="b">
        <f>TRUE()</f>
        <v>1</v>
      </c>
      <c r="G2114" s="60" t="s">
        <v>165</v>
      </c>
      <c r="H2114" s="60" t="s">
        <v>165</v>
      </c>
      <c r="I2114" s="61">
        <v>46210</v>
      </c>
      <c r="J2114" s="61">
        <v>46210.285325740697</v>
      </c>
      <c r="K2114" s="60">
        <v>0</v>
      </c>
      <c r="L2114" s="60" t="s">
        <v>192</v>
      </c>
      <c r="M2114" s="60" t="s">
        <v>183</v>
      </c>
      <c r="N2114" s="60" t="b">
        <f>FALSE()</f>
        <v>0</v>
      </c>
      <c r="O2114" s="60"/>
      <c r="P2114" s="60"/>
      <c r="Q2114" s="60" t="s">
        <v>3663</v>
      </c>
      <c r="R2114" s="60" t="s">
        <v>236</v>
      </c>
      <c r="S2114" s="60"/>
      <c r="T2114" s="60" t="b">
        <f>FALSE()</f>
        <v>0</v>
      </c>
      <c r="U2114" s="60" t="b">
        <f>FALSE()</f>
        <v>0</v>
      </c>
      <c r="V2114" s="60">
        <v>601</v>
      </c>
      <c r="W2114" s="62" t="s">
        <v>7774</v>
      </c>
      <c r="X2114" s="60">
        <v>2</v>
      </c>
      <c r="Y2114" s="63">
        <v>0.48</v>
      </c>
      <c r="Z2114" s="60" t="b">
        <f>FALSE()</f>
        <v>0</v>
      </c>
      <c r="AA2114" s="60" t="b">
        <f>TRUE()</f>
        <v>1</v>
      </c>
      <c r="AB2114" s="60" t="b">
        <f>FALSE()</f>
        <v>0</v>
      </c>
      <c r="AC2114" s="60" t="b">
        <f>FALSE()</f>
        <v>0</v>
      </c>
      <c r="AD2114" s="60" t="b">
        <f>FALSE()</f>
        <v>0</v>
      </c>
      <c r="AE2114" s="60">
        <v>1</v>
      </c>
      <c r="AF2114" s="64">
        <v>14.3</v>
      </c>
      <c r="AG2114" s="60" t="s">
        <v>74</v>
      </c>
      <c r="AH2114" s="60" t="s">
        <v>7775</v>
      </c>
      <c r="AI2114">
        <f>IF(AND(OR(Company_Explorer!$B$5="All Companies",$E2114=Company_Explorer!$B$5),OR(Company_Explorer!$B$6="All Platforms",$B2114=Company_Explorer!$B$6),OR(Company_Explorer!$B$7="All Roles",$D2114=Company_Explorer!$B$7),OR(Company_Explorer!$B$8="All Ghost Labels",$AG2114=Company_Explorer!$B$8)),1,0)</f>
        <v>0</v>
      </c>
    </row>
    <row r="2115" spans="1:35" ht="15" customHeight="1" x14ac:dyDescent="0.3">
      <c r="A2115" s="65" t="s">
        <v>7776</v>
      </c>
      <c r="B2115" s="65" t="s">
        <v>82</v>
      </c>
      <c r="C2115" s="65" t="s">
        <v>1811</v>
      </c>
      <c r="D2115" s="65" t="s">
        <v>125</v>
      </c>
      <c r="E2115" s="65" t="s">
        <v>7777</v>
      </c>
      <c r="F2115" s="65" t="b">
        <f>TRUE()</f>
        <v>1</v>
      </c>
      <c r="G2115" s="65" t="s">
        <v>175</v>
      </c>
      <c r="H2115" s="65" t="s">
        <v>254</v>
      </c>
      <c r="I2115" s="66">
        <v>46189</v>
      </c>
      <c r="J2115" s="66">
        <v>46210.285326724501</v>
      </c>
      <c r="K2115" s="65">
        <v>82</v>
      </c>
      <c r="L2115" s="65" t="s">
        <v>183</v>
      </c>
      <c r="M2115" s="65" t="s">
        <v>183</v>
      </c>
      <c r="N2115" s="65" t="b">
        <f>TRUE()</f>
        <v>1</v>
      </c>
      <c r="O2115" s="71">
        <v>300000</v>
      </c>
      <c r="P2115" s="71">
        <v>500000</v>
      </c>
      <c r="Q2115" s="65" t="s">
        <v>3663</v>
      </c>
      <c r="R2115" s="65" t="s">
        <v>7351</v>
      </c>
      <c r="S2115" s="71">
        <v>400000</v>
      </c>
      <c r="T2115" s="65" t="b">
        <f>TRUE()</f>
        <v>1</v>
      </c>
      <c r="U2115" s="65" t="b">
        <f>FALSE()</f>
        <v>0</v>
      </c>
      <c r="V2115" s="65">
        <v>40</v>
      </c>
      <c r="W2115" s="67" t="s">
        <v>7778</v>
      </c>
      <c r="X2115" s="65">
        <v>1</v>
      </c>
      <c r="Y2115" s="68">
        <v>0.24</v>
      </c>
      <c r="Z2115" s="65" t="b">
        <f>FALSE()</f>
        <v>0</v>
      </c>
      <c r="AA2115" s="65" t="b">
        <f>FALSE()</f>
        <v>0</v>
      </c>
      <c r="AB2115" s="65" t="b">
        <f>TRUE()</f>
        <v>1</v>
      </c>
      <c r="AC2115" s="65" t="b">
        <f>FALSE()</f>
        <v>0</v>
      </c>
      <c r="AD2115" s="65" t="b">
        <f>FALSE()</f>
        <v>0</v>
      </c>
      <c r="AE2115" s="65">
        <v>1</v>
      </c>
      <c r="AF2115" s="69">
        <v>14.3</v>
      </c>
      <c r="AG2115" s="65" t="s">
        <v>74</v>
      </c>
      <c r="AH2115" s="65" t="s">
        <v>7779</v>
      </c>
      <c r="AI2115">
        <f>IF(AND(OR(Company_Explorer!$B$5="All Companies",$E2115=Company_Explorer!$B$5),OR(Company_Explorer!$B$6="All Platforms",$B2115=Company_Explorer!$B$6),OR(Company_Explorer!$B$7="All Roles",$D2115=Company_Explorer!$B$7),OR(Company_Explorer!$B$8="All Ghost Labels",$AG2115=Company_Explorer!$B$8)),1,0)</f>
        <v>0</v>
      </c>
    </row>
    <row r="2116" spans="1:35" ht="15" customHeight="1" x14ac:dyDescent="0.3">
      <c r="A2116" s="60" t="s">
        <v>7780</v>
      </c>
      <c r="B2116" s="60" t="s">
        <v>82</v>
      </c>
      <c r="C2116" s="60" t="s">
        <v>7781</v>
      </c>
      <c r="D2116" s="60" t="s">
        <v>125</v>
      </c>
      <c r="E2116" s="60" t="s">
        <v>7782</v>
      </c>
      <c r="F2116" s="60" t="b">
        <f>TRUE()</f>
        <v>1</v>
      </c>
      <c r="G2116" s="60" t="s">
        <v>165</v>
      </c>
      <c r="H2116" s="60" t="s">
        <v>165</v>
      </c>
      <c r="I2116" s="61">
        <v>46193</v>
      </c>
      <c r="J2116" s="61">
        <v>46210.285330844898</v>
      </c>
      <c r="K2116" s="60">
        <v>48</v>
      </c>
      <c r="L2116" s="60" t="s">
        <v>192</v>
      </c>
      <c r="M2116" s="60" t="s">
        <v>183</v>
      </c>
      <c r="N2116" s="60" t="b">
        <f>TRUE()</f>
        <v>1</v>
      </c>
      <c r="O2116" s="70">
        <v>189592</v>
      </c>
      <c r="P2116" s="70">
        <v>189592</v>
      </c>
      <c r="Q2116" s="60" t="s">
        <v>3663</v>
      </c>
      <c r="R2116" s="60" t="s">
        <v>7351</v>
      </c>
      <c r="S2116" s="70">
        <v>189592</v>
      </c>
      <c r="T2116" s="60" t="b">
        <f>TRUE()</f>
        <v>1</v>
      </c>
      <c r="U2116" s="60" t="b">
        <f>FALSE()</f>
        <v>0</v>
      </c>
      <c r="V2116" s="60">
        <v>140</v>
      </c>
      <c r="W2116" s="62" t="s">
        <v>7783</v>
      </c>
      <c r="X2116" s="60">
        <v>1</v>
      </c>
      <c r="Y2116" s="63">
        <v>0.24</v>
      </c>
      <c r="Z2116" s="60" t="b">
        <f>FALSE()</f>
        <v>0</v>
      </c>
      <c r="AA2116" s="60" t="b">
        <f>FALSE()</f>
        <v>0</v>
      </c>
      <c r="AB2116" s="60" t="b">
        <f>TRUE()</f>
        <v>1</v>
      </c>
      <c r="AC2116" s="60" t="b">
        <f>FALSE()</f>
        <v>0</v>
      </c>
      <c r="AD2116" s="60" t="b">
        <f>FALSE()</f>
        <v>0</v>
      </c>
      <c r="AE2116" s="60">
        <v>1</v>
      </c>
      <c r="AF2116" s="64">
        <v>14.3</v>
      </c>
      <c r="AG2116" s="60" t="s">
        <v>74</v>
      </c>
      <c r="AH2116" s="60" t="s">
        <v>7784</v>
      </c>
      <c r="AI2116">
        <f>IF(AND(OR(Company_Explorer!$B$5="All Companies",$E2116=Company_Explorer!$B$5),OR(Company_Explorer!$B$6="All Platforms",$B2116=Company_Explorer!$B$6),OR(Company_Explorer!$B$7="All Roles",$D2116=Company_Explorer!$B$7),OR(Company_Explorer!$B$8="All Ghost Labels",$AG2116=Company_Explorer!$B$8)),1,0)</f>
        <v>0</v>
      </c>
    </row>
    <row r="2117" spans="1:35" ht="15" customHeight="1" x14ac:dyDescent="0.3">
      <c r="A2117" s="65" t="s">
        <v>7785</v>
      </c>
      <c r="B2117" s="65" t="s">
        <v>82</v>
      </c>
      <c r="C2117" s="65" t="s">
        <v>7786</v>
      </c>
      <c r="D2117" s="65" t="s">
        <v>125</v>
      </c>
      <c r="E2117" s="65" t="s">
        <v>3726</v>
      </c>
      <c r="F2117" s="65" t="b">
        <f>FALSE()</f>
        <v>0</v>
      </c>
      <c r="G2117" s="65" t="s">
        <v>165</v>
      </c>
      <c r="H2117" s="65" t="s">
        <v>165</v>
      </c>
      <c r="I2117" s="66">
        <v>46202</v>
      </c>
      <c r="J2117" s="66">
        <v>46210.285332326399</v>
      </c>
      <c r="K2117" s="65">
        <v>128</v>
      </c>
      <c r="L2117" s="65" t="s">
        <v>183</v>
      </c>
      <c r="M2117" s="65" t="s">
        <v>183</v>
      </c>
      <c r="N2117" s="65" t="b">
        <f>FALSE()</f>
        <v>0</v>
      </c>
      <c r="O2117" s="65"/>
      <c r="P2117" s="65"/>
      <c r="Q2117" s="65" t="s">
        <v>3663</v>
      </c>
      <c r="R2117" s="65" t="s">
        <v>236</v>
      </c>
      <c r="S2117" s="65"/>
      <c r="T2117" s="65" t="b">
        <f>FALSE()</f>
        <v>0</v>
      </c>
      <c r="U2117" s="65" t="b">
        <f>FALSE()</f>
        <v>0</v>
      </c>
      <c r="V2117" s="65">
        <v>339</v>
      </c>
      <c r="W2117" s="67" t="s">
        <v>7787</v>
      </c>
      <c r="X2117" s="65"/>
      <c r="Y2117" s="68"/>
      <c r="Z2117" s="65" t="b">
        <f>TRUE()</f>
        <v>1</v>
      </c>
      <c r="AA2117" s="65" t="b">
        <f>TRUE()</f>
        <v>1</v>
      </c>
      <c r="AB2117" s="65" t="b">
        <f>FALSE()</f>
        <v>0</v>
      </c>
      <c r="AC2117" s="65" t="b">
        <f>TRUE()</f>
        <v>1</v>
      </c>
      <c r="AD2117" s="65" t="b">
        <f>FALSE()</f>
        <v>0</v>
      </c>
      <c r="AE2117" s="65">
        <v>4</v>
      </c>
      <c r="AF2117" s="69">
        <v>57.1</v>
      </c>
      <c r="AG2117" s="65" t="s">
        <v>72</v>
      </c>
      <c r="AH2117" s="65" t="s">
        <v>7788</v>
      </c>
      <c r="AI2117">
        <f>IF(AND(OR(Company_Explorer!$B$5="All Companies",$E2117=Company_Explorer!$B$5),OR(Company_Explorer!$B$6="All Platforms",$B2117=Company_Explorer!$B$6),OR(Company_Explorer!$B$7="All Roles",$D2117=Company_Explorer!$B$7),OR(Company_Explorer!$B$8="All Ghost Labels",$AG2117=Company_Explorer!$B$8)),1,0)</f>
        <v>0</v>
      </c>
    </row>
    <row r="2118" spans="1:35" ht="15" customHeight="1" x14ac:dyDescent="0.3">
      <c r="A2118" s="60" t="s">
        <v>7789</v>
      </c>
      <c r="B2118" s="60" t="s">
        <v>82</v>
      </c>
      <c r="C2118" s="60" t="s">
        <v>125</v>
      </c>
      <c r="D2118" s="60" t="s">
        <v>125</v>
      </c>
      <c r="E2118" s="60" t="s">
        <v>7790</v>
      </c>
      <c r="F2118" s="60" t="b">
        <f>TRUE()</f>
        <v>1</v>
      </c>
      <c r="G2118" s="60" t="s">
        <v>165</v>
      </c>
      <c r="H2118" s="60" t="s">
        <v>165</v>
      </c>
      <c r="I2118" s="61">
        <v>46202</v>
      </c>
      <c r="J2118" s="61">
        <v>46210.285334699103</v>
      </c>
      <c r="K2118" s="60">
        <v>129</v>
      </c>
      <c r="L2118" s="60" t="s">
        <v>183</v>
      </c>
      <c r="M2118" s="60" t="s">
        <v>183</v>
      </c>
      <c r="N2118" s="60" t="b">
        <f>FALSE()</f>
        <v>0</v>
      </c>
      <c r="O2118" s="60"/>
      <c r="P2118" s="60"/>
      <c r="Q2118" s="60" t="s">
        <v>3663</v>
      </c>
      <c r="R2118" s="60" t="s">
        <v>236</v>
      </c>
      <c r="S2118" s="60"/>
      <c r="T2118" s="60" t="b">
        <f>FALSE()</f>
        <v>0</v>
      </c>
      <c r="U2118" s="60" t="b">
        <f>FALSE()</f>
        <v>0</v>
      </c>
      <c r="V2118" s="60">
        <v>372</v>
      </c>
      <c r="W2118" s="62" t="s">
        <v>7791</v>
      </c>
      <c r="X2118" s="60">
        <v>1</v>
      </c>
      <c r="Y2118" s="63">
        <v>0.24</v>
      </c>
      <c r="Z2118" s="60" t="b">
        <f>FALSE()</f>
        <v>0</v>
      </c>
      <c r="AA2118" s="60" t="b">
        <f>TRUE()</f>
        <v>1</v>
      </c>
      <c r="AB2118" s="60" t="b">
        <f>FALSE()</f>
        <v>0</v>
      </c>
      <c r="AC2118" s="60" t="b">
        <f>TRUE()</f>
        <v>1</v>
      </c>
      <c r="AD2118" s="60" t="b">
        <f>FALSE()</f>
        <v>0</v>
      </c>
      <c r="AE2118" s="60">
        <v>2</v>
      </c>
      <c r="AF2118" s="64">
        <v>28.6</v>
      </c>
      <c r="AG2118" s="60" t="s">
        <v>73</v>
      </c>
      <c r="AH2118" s="60" t="s">
        <v>7792</v>
      </c>
      <c r="AI2118">
        <f>IF(AND(OR(Company_Explorer!$B$5="All Companies",$E2118=Company_Explorer!$B$5),OR(Company_Explorer!$B$6="All Platforms",$B2118=Company_Explorer!$B$6),OR(Company_Explorer!$B$7="All Roles",$D2118=Company_Explorer!$B$7),OR(Company_Explorer!$B$8="All Ghost Labels",$AG2118=Company_Explorer!$B$8)),1,0)</f>
        <v>0</v>
      </c>
    </row>
    <row r="2119" spans="1:35" ht="15" customHeight="1" x14ac:dyDescent="0.3">
      <c r="A2119" s="65" t="s">
        <v>7793</v>
      </c>
      <c r="B2119" s="65" t="s">
        <v>82</v>
      </c>
      <c r="C2119" s="65" t="s">
        <v>315</v>
      </c>
      <c r="D2119" s="65" t="s">
        <v>126</v>
      </c>
      <c r="E2119" s="65" t="s">
        <v>7661</v>
      </c>
      <c r="F2119" s="65" t="b">
        <f>TRUE()</f>
        <v>1</v>
      </c>
      <c r="G2119" s="65" t="s">
        <v>165</v>
      </c>
      <c r="H2119" s="65" t="s">
        <v>165</v>
      </c>
      <c r="I2119" s="66">
        <v>46186</v>
      </c>
      <c r="J2119" s="66">
        <v>46210.285336875</v>
      </c>
      <c r="K2119" s="65">
        <v>24</v>
      </c>
      <c r="L2119" s="65" t="s">
        <v>192</v>
      </c>
      <c r="M2119" s="65" t="s">
        <v>183</v>
      </c>
      <c r="N2119" s="65" t="b">
        <f>FALSE()</f>
        <v>0</v>
      </c>
      <c r="O2119" s="65"/>
      <c r="P2119" s="65"/>
      <c r="Q2119" s="65" t="s">
        <v>3663</v>
      </c>
      <c r="R2119" s="65" t="s">
        <v>236</v>
      </c>
      <c r="S2119" s="65"/>
      <c r="T2119" s="65" t="b">
        <f>FALSE()</f>
        <v>0</v>
      </c>
      <c r="U2119" s="65" t="b">
        <f>FALSE()</f>
        <v>0</v>
      </c>
      <c r="V2119" s="65">
        <v>736</v>
      </c>
      <c r="W2119" s="65" t="s">
        <v>7662</v>
      </c>
      <c r="X2119" s="65">
        <v>2</v>
      </c>
      <c r="Y2119" s="68">
        <v>0.48</v>
      </c>
      <c r="Z2119" s="65" t="b">
        <f>FALSE()</f>
        <v>0</v>
      </c>
      <c r="AA2119" s="65" t="b">
        <f>TRUE()</f>
        <v>1</v>
      </c>
      <c r="AB2119" s="65" t="b">
        <f>FALSE()</f>
        <v>0</v>
      </c>
      <c r="AC2119" s="65" t="b">
        <f>FALSE()</f>
        <v>0</v>
      </c>
      <c r="AD2119" s="65" t="b">
        <f>FALSE()</f>
        <v>0</v>
      </c>
      <c r="AE2119" s="65">
        <v>1</v>
      </c>
      <c r="AF2119" s="69">
        <v>14.3</v>
      </c>
      <c r="AG2119" s="65" t="s">
        <v>74</v>
      </c>
      <c r="AH2119" s="65" t="s">
        <v>7794</v>
      </c>
      <c r="AI2119">
        <f>IF(AND(OR(Company_Explorer!$B$5="All Companies",$E2119=Company_Explorer!$B$5),OR(Company_Explorer!$B$6="All Platforms",$B2119=Company_Explorer!$B$6),OR(Company_Explorer!$B$7="All Roles",$D2119=Company_Explorer!$B$7),OR(Company_Explorer!$B$8="All Ghost Labels",$AG2119=Company_Explorer!$B$8)),1,0)</f>
        <v>0</v>
      </c>
    </row>
    <row r="2120" spans="1:35" ht="15" customHeight="1" x14ac:dyDescent="0.3">
      <c r="A2120" s="60" t="s">
        <v>7795</v>
      </c>
      <c r="B2120" s="60" t="s">
        <v>82</v>
      </c>
      <c r="C2120" s="60" t="s">
        <v>125</v>
      </c>
      <c r="D2120" s="60" t="s">
        <v>125</v>
      </c>
      <c r="E2120" s="60" t="s">
        <v>7796</v>
      </c>
      <c r="F2120" s="60" t="b">
        <f>TRUE()</f>
        <v>1</v>
      </c>
      <c r="G2120" s="60" t="s">
        <v>166</v>
      </c>
      <c r="H2120" s="60" t="s">
        <v>235</v>
      </c>
      <c r="I2120" s="61">
        <v>46207</v>
      </c>
      <c r="J2120" s="61">
        <v>46210.285338634298</v>
      </c>
      <c r="K2120" s="60">
        <v>3</v>
      </c>
      <c r="L2120" s="60" t="s">
        <v>192</v>
      </c>
      <c r="M2120" s="60" t="s">
        <v>183</v>
      </c>
      <c r="N2120" s="60" t="b">
        <f>TRUE()</f>
        <v>1</v>
      </c>
      <c r="O2120" s="70">
        <v>300000</v>
      </c>
      <c r="P2120" s="70">
        <v>900000</v>
      </c>
      <c r="Q2120" s="60" t="s">
        <v>3663</v>
      </c>
      <c r="R2120" s="60" t="s">
        <v>7351</v>
      </c>
      <c r="S2120" s="70">
        <v>600000</v>
      </c>
      <c r="T2120" s="60" t="b">
        <f>TRUE()</f>
        <v>1</v>
      </c>
      <c r="U2120" s="60" t="b">
        <f>FALSE()</f>
        <v>0</v>
      </c>
      <c r="V2120" s="60">
        <v>480</v>
      </c>
      <c r="W2120" s="62" t="s">
        <v>7797</v>
      </c>
      <c r="X2120" s="60">
        <v>4</v>
      </c>
      <c r="Y2120" s="63">
        <v>0.97</v>
      </c>
      <c r="Z2120" s="60" t="b">
        <f>FALSE()</f>
        <v>0</v>
      </c>
      <c r="AA2120" s="60" t="b">
        <f>FALSE()</f>
        <v>0</v>
      </c>
      <c r="AB2120" s="60" t="b">
        <f>FALSE()</f>
        <v>0</v>
      </c>
      <c r="AC2120" s="60" t="b">
        <f>FALSE()</f>
        <v>0</v>
      </c>
      <c r="AD2120" s="60" t="b">
        <f>FALSE()</f>
        <v>0</v>
      </c>
      <c r="AE2120" s="60">
        <v>0</v>
      </c>
      <c r="AF2120" s="64">
        <v>0</v>
      </c>
      <c r="AG2120" s="60" t="s">
        <v>74</v>
      </c>
      <c r="AH2120" s="60" t="s">
        <v>7798</v>
      </c>
      <c r="AI2120">
        <f>IF(AND(OR(Company_Explorer!$B$5="All Companies",$E2120=Company_Explorer!$B$5),OR(Company_Explorer!$B$6="All Platforms",$B2120=Company_Explorer!$B$6),OR(Company_Explorer!$B$7="All Roles",$D2120=Company_Explorer!$B$7),OR(Company_Explorer!$B$8="All Ghost Labels",$AG2120=Company_Explorer!$B$8)),1,0)</f>
        <v>0</v>
      </c>
    </row>
    <row r="2121" spans="1:35" ht="15" customHeight="1" x14ac:dyDescent="0.3">
      <c r="A2121" s="65" t="s">
        <v>7799</v>
      </c>
      <c r="B2121" s="65" t="s">
        <v>82</v>
      </c>
      <c r="C2121" s="65" t="s">
        <v>125</v>
      </c>
      <c r="D2121" s="65" t="s">
        <v>125</v>
      </c>
      <c r="E2121" s="65" t="s">
        <v>7413</v>
      </c>
      <c r="F2121" s="65" t="b">
        <f>TRUE()</f>
        <v>1</v>
      </c>
      <c r="G2121" s="65" t="s">
        <v>175</v>
      </c>
      <c r="H2121" s="65" t="s">
        <v>254</v>
      </c>
      <c r="I2121" s="66">
        <v>46208</v>
      </c>
      <c r="J2121" s="66">
        <v>46210.285338564798</v>
      </c>
      <c r="K2121" s="65">
        <v>32</v>
      </c>
      <c r="L2121" s="65" t="s">
        <v>192</v>
      </c>
      <c r="M2121" s="65" t="s">
        <v>183</v>
      </c>
      <c r="N2121" s="65" t="b">
        <f>TRUE()</f>
        <v>1</v>
      </c>
      <c r="O2121" s="71">
        <v>320000</v>
      </c>
      <c r="P2121" s="71">
        <v>1000000</v>
      </c>
      <c r="Q2121" s="65" t="s">
        <v>3663</v>
      </c>
      <c r="R2121" s="65" t="s">
        <v>7351</v>
      </c>
      <c r="S2121" s="71">
        <v>660000</v>
      </c>
      <c r="T2121" s="65" t="b">
        <f>TRUE()</f>
        <v>1</v>
      </c>
      <c r="U2121" s="65" t="b">
        <f>FALSE()</f>
        <v>0</v>
      </c>
      <c r="V2121" s="65">
        <v>877</v>
      </c>
      <c r="W2121" s="67" t="s">
        <v>7800</v>
      </c>
      <c r="X2121" s="65">
        <v>7</v>
      </c>
      <c r="Y2121" s="68">
        <v>1.69</v>
      </c>
      <c r="Z2121" s="65" t="b">
        <f>FALSE()</f>
        <v>0</v>
      </c>
      <c r="AA2121" s="65" t="b">
        <f>FALSE()</f>
        <v>0</v>
      </c>
      <c r="AB2121" s="65" t="b">
        <f>FALSE()</f>
        <v>0</v>
      </c>
      <c r="AC2121" s="65" t="b">
        <f>FALSE()</f>
        <v>0</v>
      </c>
      <c r="AD2121" s="65" t="b">
        <f>FALSE()</f>
        <v>0</v>
      </c>
      <c r="AE2121" s="65">
        <v>0</v>
      </c>
      <c r="AF2121" s="69">
        <v>0</v>
      </c>
      <c r="AG2121" s="65" t="s">
        <v>74</v>
      </c>
      <c r="AH2121" s="65" t="s">
        <v>7801</v>
      </c>
      <c r="AI2121">
        <f>IF(AND(OR(Company_Explorer!$B$5="All Companies",$E2121=Company_Explorer!$B$5),OR(Company_Explorer!$B$6="All Platforms",$B2121=Company_Explorer!$B$6),OR(Company_Explorer!$B$7="All Roles",$D2121=Company_Explorer!$B$7),OR(Company_Explorer!$B$8="All Ghost Labels",$AG2121=Company_Explorer!$B$8)),1,0)</f>
        <v>0</v>
      </c>
    </row>
    <row r="2122" spans="1:35" ht="15" customHeight="1" x14ac:dyDescent="0.3">
      <c r="A2122" s="60" t="s">
        <v>7802</v>
      </c>
      <c r="B2122" s="60" t="s">
        <v>82</v>
      </c>
      <c r="C2122" s="60" t="s">
        <v>7803</v>
      </c>
      <c r="D2122" s="60" t="s">
        <v>126</v>
      </c>
      <c r="E2122" s="60" t="s">
        <v>151</v>
      </c>
      <c r="F2122" s="60" t="b">
        <f>TRUE()</f>
        <v>1</v>
      </c>
      <c r="G2122" s="60" t="s">
        <v>166</v>
      </c>
      <c r="H2122" s="60" t="s">
        <v>235</v>
      </c>
      <c r="I2122" s="61">
        <v>46206</v>
      </c>
      <c r="J2122" s="61">
        <v>46210.285348263897</v>
      </c>
      <c r="K2122" s="60">
        <v>4</v>
      </c>
      <c r="L2122" s="60" t="s">
        <v>192</v>
      </c>
      <c r="M2122" s="60" t="s">
        <v>183</v>
      </c>
      <c r="N2122" s="60" t="b">
        <f>TRUE()</f>
        <v>1</v>
      </c>
      <c r="O2122" s="70">
        <v>120000</v>
      </c>
      <c r="P2122" s="70">
        <v>800000</v>
      </c>
      <c r="Q2122" s="60" t="s">
        <v>3663</v>
      </c>
      <c r="R2122" s="60" t="s">
        <v>7351</v>
      </c>
      <c r="S2122" s="70">
        <v>460000</v>
      </c>
      <c r="T2122" s="60" t="b">
        <f>TRUE()</f>
        <v>1</v>
      </c>
      <c r="U2122" s="60" t="b">
        <f>FALSE()</f>
        <v>0</v>
      </c>
      <c r="V2122" s="60">
        <v>321</v>
      </c>
      <c r="W2122" s="62" t="s">
        <v>7804</v>
      </c>
      <c r="X2122" s="60">
        <v>17</v>
      </c>
      <c r="Y2122" s="63">
        <v>4.0999999999999996</v>
      </c>
      <c r="Z2122" s="60" t="b">
        <f>FALSE()</f>
        <v>0</v>
      </c>
      <c r="AA2122" s="60" t="b">
        <f>FALSE()</f>
        <v>0</v>
      </c>
      <c r="AB2122" s="60" t="b">
        <f>FALSE()</f>
        <v>0</v>
      </c>
      <c r="AC2122" s="60" t="b">
        <f>FALSE()</f>
        <v>0</v>
      </c>
      <c r="AD2122" s="60" t="b">
        <f>TRUE()</f>
        <v>1</v>
      </c>
      <c r="AE2122" s="60">
        <v>2</v>
      </c>
      <c r="AF2122" s="64">
        <v>28.6</v>
      </c>
      <c r="AG2122" s="60" t="s">
        <v>73</v>
      </c>
      <c r="AH2122" s="60" t="s">
        <v>7805</v>
      </c>
      <c r="AI2122">
        <f>IF(AND(OR(Company_Explorer!$B$5="All Companies",$E2122=Company_Explorer!$B$5),OR(Company_Explorer!$B$6="All Platforms",$B2122=Company_Explorer!$B$6),OR(Company_Explorer!$B$7="All Roles",$D2122=Company_Explorer!$B$7),OR(Company_Explorer!$B$8="All Ghost Labels",$AG2122=Company_Explorer!$B$8)),1,0)</f>
        <v>0</v>
      </c>
    </row>
    <row r="2123" spans="1:35" ht="15" customHeight="1" x14ac:dyDescent="0.3">
      <c r="A2123" s="65" t="s">
        <v>7806</v>
      </c>
      <c r="B2123" s="65" t="s">
        <v>82</v>
      </c>
      <c r="C2123" s="65" t="s">
        <v>125</v>
      </c>
      <c r="D2123" s="65" t="s">
        <v>125</v>
      </c>
      <c r="E2123" s="65" t="s">
        <v>7807</v>
      </c>
      <c r="F2123" s="65" t="b">
        <f>TRUE()</f>
        <v>1</v>
      </c>
      <c r="G2123" s="65" t="s">
        <v>165</v>
      </c>
      <c r="H2123" s="65" t="s">
        <v>165</v>
      </c>
      <c r="I2123" s="66">
        <v>46204</v>
      </c>
      <c r="J2123" s="66">
        <v>46210.2853502199</v>
      </c>
      <c r="K2123" s="65">
        <v>6</v>
      </c>
      <c r="L2123" s="65" t="s">
        <v>183</v>
      </c>
      <c r="M2123" s="65" t="s">
        <v>183</v>
      </c>
      <c r="N2123" s="65" t="b">
        <f>FALSE()</f>
        <v>0</v>
      </c>
      <c r="O2123" s="65"/>
      <c r="P2123" s="65"/>
      <c r="Q2123" s="65" t="s">
        <v>3663</v>
      </c>
      <c r="R2123" s="65" t="s">
        <v>236</v>
      </c>
      <c r="S2123" s="65"/>
      <c r="T2123" s="65" t="b">
        <f>FALSE()</f>
        <v>0</v>
      </c>
      <c r="U2123" s="65" t="b">
        <f>FALSE()</f>
        <v>0</v>
      </c>
      <c r="V2123" s="65">
        <v>249</v>
      </c>
      <c r="W2123" s="67" t="s">
        <v>7808</v>
      </c>
      <c r="X2123" s="65">
        <v>1</v>
      </c>
      <c r="Y2123" s="68">
        <v>0.24</v>
      </c>
      <c r="Z2123" s="65" t="b">
        <f>FALSE()</f>
        <v>0</v>
      </c>
      <c r="AA2123" s="65" t="b">
        <f>TRUE()</f>
        <v>1</v>
      </c>
      <c r="AB2123" s="65" t="b">
        <f>FALSE()</f>
        <v>0</v>
      </c>
      <c r="AC2123" s="65" t="b">
        <f>FALSE()</f>
        <v>0</v>
      </c>
      <c r="AD2123" s="65" t="b">
        <f>FALSE()</f>
        <v>0</v>
      </c>
      <c r="AE2123" s="65">
        <v>1</v>
      </c>
      <c r="AF2123" s="69">
        <v>14.3</v>
      </c>
      <c r="AG2123" s="65" t="s">
        <v>74</v>
      </c>
      <c r="AH2123" s="65" t="s">
        <v>7809</v>
      </c>
      <c r="AI2123">
        <f>IF(AND(OR(Company_Explorer!$B$5="All Companies",$E2123=Company_Explorer!$B$5),OR(Company_Explorer!$B$6="All Platforms",$B2123=Company_Explorer!$B$6),OR(Company_Explorer!$B$7="All Roles",$D2123=Company_Explorer!$B$7),OR(Company_Explorer!$B$8="All Ghost Labels",$AG2123=Company_Explorer!$B$8)),1,0)</f>
        <v>0</v>
      </c>
    </row>
    <row r="2124" spans="1:35" ht="15" customHeight="1" x14ac:dyDescent="0.3">
      <c r="A2124" s="60" t="s">
        <v>7810</v>
      </c>
      <c r="B2124" s="60" t="s">
        <v>82</v>
      </c>
      <c r="C2124" s="60" t="s">
        <v>7811</v>
      </c>
      <c r="D2124" s="60" t="s">
        <v>125</v>
      </c>
      <c r="E2124" s="60" t="s">
        <v>7812</v>
      </c>
      <c r="F2124" s="60" t="b">
        <f>TRUE()</f>
        <v>1</v>
      </c>
      <c r="G2124" s="60" t="s">
        <v>175</v>
      </c>
      <c r="H2124" s="60" t="s">
        <v>254</v>
      </c>
      <c r="I2124" s="61">
        <v>46204</v>
      </c>
      <c r="J2124" s="61">
        <v>46210.285350486098</v>
      </c>
      <c r="K2124" s="60">
        <v>6</v>
      </c>
      <c r="L2124" s="60" t="s">
        <v>192</v>
      </c>
      <c r="M2124" s="60" t="s">
        <v>183</v>
      </c>
      <c r="N2124" s="60" t="b">
        <f>TRUE()</f>
        <v>1</v>
      </c>
      <c r="O2124" s="70">
        <v>800000</v>
      </c>
      <c r="P2124" s="70">
        <v>1000000</v>
      </c>
      <c r="Q2124" s="60" t="s">
        <v>3663</v>
      </c>
      <c r="R2124" s="60" t="s">
        <v>7351</v>
      </c>
      <c r="S2124" s="70">
        <v>900000</v>
      </c>
      <c r="T2124" s="60" t="b">
        <f>TRUE()</f>
        <v>1</v>
      </c>
      <c r="U2124" s="60" t="b">
        <f>FALSE()</f>
        <v>0</v>
      </c>
      <c r="V2124" s="60">
        <v>247</v>
      </c>
      <c r="W2124" s="62" t="s">
        <v>7813</v>
      </c>
      <c r="X2124" s="60">
        <v>1</v>
      </c>
      <c r="Y2124" s="63">
        <v>0.24</v>
      </c>
      <c r="Z2124" s="60" t="b">
        <f>FALSE()</f>
        <v>0</v>
      </c>
      <c r="AA2124" s="60" t="b">
        <f>FALSE()</f>
        <v>0</v>
      </c>
      <c r="AB2124" s="60" t="b">
        <f>FALSE()</f>
        <v>0</v>
      </c>
      <c r="AC2124" s="60" t="b">
        <f>FALSE()</f>
        <v>0</v>
      </c>
      <c r="AD2124" s="60" t="b">
        <f>FALSE()</f>
        <v>0</v>
      </c>
      <c r="AE2124" s="60">
        <v>0</v>
      </c>
      <c r="AF2124" s="64">
        <v>0</v>
      </c>
      <c r="AG2124" s="60" t="s">
        <v>74</v>
      </c>
      <c r="AH2124" s="60" t="s">
        <v>7814</v>
      </c>
      <c r="AI2124">
        <f>IF(AND(OR(Company_Explorer!$B$5="All Companies",$E2124=Company_Explorer!$B$5),OR(Company_Explorer!$B$6="All Platforms",$B2124=Company_Explorer!$B$6),OR(Company_Explorer!$B$7="All Roles",$D2124=Company_Explorer!$B$7),OR(Company_Explorer!$B$8="All Ghost Labels",$AG2124=Company_Explorer!$B$8)),1,0)</f>
        <v>0</v>
      </c>
    </row>
    <row r="2125" spans="1:35" ht="15" customHeight="1" x14ac:dyDescent="0.3">
      <c r="A2125" s="65" t="s">
        <v>7815</v>
      </c>
      <c r="B2125" s="65" t="s">
        <v>82</v>
      </c>
      <c r="C2125" s="65" t="s">
        <v>7816</v>
      </c>
      <c r="D2125" s="65" t="s">
        <v>126</v>
      </c>
      <c r="E2125" s="65" t="s">
        <v>7817</v>
      </c>
      <c r="F2125" s="65" t="b">
        <f>TRUE()</f>
        <v>1</v>
      </c>
      <c r="G2125" s="65" t="s">
        <v>165</v>
      </c>
      <c r="H2125" s="65" t="s">
        <v>165</v>
      </c>
      <c r="I2125" s="66">
        <v>46202</v>
      </c>
      <c r="J2125" s="66">
        <v>46210.285356215303</v>
      </c>
      <c r="K2125" s="65">
        <v>39</v>
      </c>
      <c r="L2125" s="65" t="s">
        <v>183</v>
      </c>
      <c r="M2125" s="65" t="s">
        <v>183</v>
      </c>
      <c r="N2125" s="65" t="b">
        <f>FALSE()</f>
        <v>0</v>
      </c>
      <c r="O2125" s="65"/>
      <c r="P2125" s="65"/>
      <c r="Q2125" s="65" t="s">
        <v>3663</v>
      </c>
      <c r="R2125" s="65" t="s">
        <v>236</v>
      </c>
      <c r="S2125" s="65"/>
      <c r="T2125" s="65" t="b">
        <f>FALSE()</f>
        <v>0</v>
      </c>
      <c r="U2125" s="65" t="b">
        <f>FALSE()</f>
        <v>0</v>
      </c>
      <c r="V2125" s="65">
        <v>716</v>
      </c>
      <c r="W2125" s="67" t="s">
        <v>7818</v>
      </c>
      <c r="X2125" s="65">
        <v>1</v>
      </c>
      <c r="Y2125" s="68">
        <v>0.24</v>
      </c>
      <c r="Z2125" s="65" t="b">
        <f>FALSE()</f>
        <v>0</v>
      </c>
      <c r="AA2125" s="65" t="b">
        <f>TRUE()</f>
        <v>1</v>
      </c>
      <c r="AB2125" s="65" t="b">
        <f>FALSE()</f>
        <v>0</v>
      </c>
      <c r="AC2125" s="65" t="b">
        <f>FALSE()</f>
        <v>0</v>
      </c>
      <c r="AD2125" s="65" t="b">
        <f>FALSE()</f>
        <v>0</v>
      </c>
      <c r="AE2125" s="65">
        <v>1</v>
      </c>
      <c r="AF2125" s="69">
        <v>14.3</v>
      </c>
      <c r="AG2125" s="65" t="s">
        <v>74</v>
      </c>
      <c r="AH2125" s="65" t="s">
        <v>7819</v>
      </c>
      <c r="AI2125">
        <f>IF(AND(OR(Company_Explorer!$B$5="All Companies",$E2125=Company_Explorer!$B$5),OR(Company_Explorer!$B$6="All Platforms",$B2125=Company_Explorer!$B$6),OR(Company_Explorer!$B$7="All Roles",$D2125=Company_Explorer!$B$7),OR(Company_Explorer!$B$8="All Ghost Labels",$AG2125=Company_Explorer!$B$8)),1,0)</f>
        <v>0</v>
      </c>
    </row>
    <row r="2126" spans="1:35" ht="15" customHeight="1" x14ac:dyDescent="0.3">
      <c r="A2126" s="60" t="s">
        <v>7820</v>
      </c>
      <c r="B2126" s="60" t="s">
        <v>82</v>
      </c>
      <c r="C2126" s="60" t="s">
        <v>7821</v>
      </c>
      <c r="D2126" s="60" t="s">
        <v>125</v>
      </c>
      <c r="E2126" s="60" t="s">
        <v>7822</v>
      </c>
      <c r="F2126" s="60" t="b">
        <f>TRUE()</f>
        <v>1</v>
      </c>
      <c r="G2126" s="60" t="s">
        <v>166</v>
      </c>
      <c r="H2126" s="60" t="s">
        <v>235</v>
      </c>
      <c r="I2126" s="61">
        <v>46200</v>
      </c>
      <c r="J2126" s="61">
        <v>46210.285357476903</v>
      </c>
      <c r="K2126" s="60">
        <v>130</v>
      </c>
      <c r="L2126" s="60" t="s">
        <v>183</v>
      </c>
      <c r="M2126" s="60" t="s">
        <v>183</v>
      </c>
      <c r="N2126" s="60" t="b">
        <f>TRUE()</f>
        <v>1</v>
      </c>
      <c r="O2126" s="70">
        <v>585000</v>
      </c>
      <c r="P2126" s="70">
        <v>700000</v>
      </c>
      <c r="Q2126" s="60" t="s">
        <v>3663</v>
      </c>
      <c r="R2126" s="60" t="s">
        <v>7351</v>
      </c>
      <c r="S2126" s="70">
        <v>642500</v>
      </c>
      <c r="T2126" s="60" t="b">
        <f>TRUE()</f>
        <v>1</v>
      </c>
      <c r="U2126" s="60" t="b">
        <f>FALSE()</f>
        <v>0</v>
      </c>
      <c r="V2126" s="60">
        <v>140</v>
      </c>
      <c r="W2126" s="62" t="s">
        <v>7823</v>
      </c>
      <c r="X2126" s="60">
        <v>1</v>
      </c>
      <c r="Y2126" s="63">
        <v>0.24</v>
      </c>
      <c r="Z2126" s="60" t="b">
        <f>FALSE()</f>
        <v>0</v>
      </c>
      <c r="AA2126" s="60" t="b">
        <f>FALSE()</f>
        <v>0</v>
      </c>
      <c r="AB2126" s="60" t="b">
        <f>TRUE()</f>
        <v>1</v>
      </c>
      <c r="AC2126" s="60" t="b">
        <f>TRUE()</f>
        <v>1</v>
      </c>
      <c r="AD2126" s="60" t="b">
        <f>FALSE()</f>
        <v>0</v>
      </c>
      <c r="AE2126" s="60">
        <v>2</v>
      </c>
      <c r="AF2126" s="64">
        <v>28.6</v>
      </c>
      <c r="AG2126" s="60" t="s">
        <v>73</v>
      </c>
      <c r="AH2126" s="60" t="s">
        <v>7824</v>
      </c>
      <c r="AI2126">
        <f>IF(AND(OR(Company_Explorer!$B$5="All Companies",$E2126=Company_Explorer!$B$5),OR(Company_Explorer!$B$6="All Platforms",$B2126=Company_Explorer!$B$6),OR(Company_Explorer!$B$7="All Roles",$D2126=Company_Explorer!$B$7),OR(Company_Explorer!$B$8="All Ghost Labels",$AG2126=Company_Explorer!$B$8)),1,0)</f>
        <v>0</v>
      </c>
    </row>
    <row r="2127" spans="1:35" ht="15" customHeight="1" x14ac:dyDescent="0.3">
      <c r="A2127" s="65" t="s">
        <v>7825</v>
      </c>
      <c r="B2127" s="65" t="s">
        <v>82</v>
      </c>
      <c r="C2127" s="65" t="s">
        <v>125</v>
      </c>
      <c r="D2127" s="65" t="s">
        <v>125</v>
      </c>
      <c r="E2127" s="65" t="s">
        <v>7796</v>
      </c>
      <c r="F2127" s="65" t="b">
        <f>TRUE()</f>
        <v>1</v>
      </c>
      <c r="G2127" s="65" t="s">
        <v>166</v>
      </c>
      <c r="H2127" s="65" t="s">
        <v>235</v>
      </c>
      <c r="I2127" s="66">
        <v>46196</v>
      </c>
      <c r="J2127" s="66">
        <v>46210.285358310197</v>
      </c>
      <c r="K2127" s="65">
        <v>14</v>
      </c>
      <c r="L2127" s="65" t="s">
        <v>192</v>
      </c>
      <c r="M2127" s="65" t="s">
        <v>183</v>
      </c>
      <c r="N2127" s="65" t="b">
        <f>TRUE()</f>
        <v>1</v>
      </c>
      <c r="O2127" s="71">
        <v>300000</v>
      </c>
      <c r="P2127" s="71">
        <v>900000</v>
      </c>
      <c r="Q2127" s="65" t="s">
        <v>3663</v>
      </c>
      <c r="R2127" s="65" t="s">
        <v>7351</v>
      </c>
      <c r="S2127" s="71">
        <v>600000</v>
      </c>
      <c r="T2127" s="65" t="b">
        <f>TRUE()</f>
        <v>1</v>
      </c>
      <c r="U2127" s="65" t="b">
        <f>FALSE()</f>
        <v>0</v>
      </c>
      <c r="V2127" s="65">
        <v>364</v>
      </c>
      <c r="W2127" s="67" t="s">
        <v>7826</v>
      </c>
      <c r="X2127" s="65">
        <v>4</v>
      </c>
      <c r="Y2127" s="68">
        <v>0.97</v>
      </c>
      <c r="Z2127" s="65" t="b">
        <f>FALSE()</f>
        <v>0</v>
      </c>
      <c r="AA2127" s="65" t="b">
        <f>FALSE()</f>
        <v>0</v>
      </c>
      <c r="AB2127" s="65" t="b">
        <f>FALSE()</f>
        <v>0</v>
      </c>
      <c r="AC2127" s="65" t="b">
        <f>FALSE()</f>
        <v>0</v>
      </c>
      <c r="AD2127" s="65" t="b">
        <f>FALSE()</f>
        <v>0</v>
      </c>
      <c r="AE2127" s="65">
        <v>0</v>
      </c>
      <c r="AF2127" s="69">
        <v>0</v>
      </c>
      <c r="AG2127" s="65" t="s">
        <v>74</v>
      </c>
      <c r="AH2127" s="65" t="s">
        <v>7827</v>
      </c>
      <c r="AI2127">
        <f>IF(AND(OR(Company_Explorer!$B$5="All Companies",$E2127=Company_Explorer!$B$5),OR(Company_Explorer!$B$6="All Platforms",$B2127=Company_Explorer!$B$6),OR(Company_Explorer!$B$7="All Roles",$D2127=Company_Explorer!$B$7),OR(Company_Explorer!$B$8="All Ghost Labels",$AG2127=Company_Explorer!$B$8)),1,0)</f>
        <v>0</v>
      </c>
    </row>
    <row r="2128" spans="1:35" ht="15" customHeight="1" x14ac:dyDescent="0.3">
      <c r="A2128" s="60" t="s">
        <v>7828</v>
      </c>
      <c r="B2128" s="60" t="s">
        <v>82</v>
      </c>
      <c r="C2128" s="60" t="s">
        <v>7829</v>
      </c>
      <c r="D2128" s="60" t="s">
        <v>125</v>
      </c>
      <c r="E2128" s="60" t="s">
        <v>7830</v>
      </c>
      <c r="F2128" s="60" t="b">
        <f>TRUE()</f>
        <v>1</v>
      </c>
      <c r="G2128" s="60" t="s">
        <v>7831</v>
      </c>
      <c r="H2128" s="60" t="s">
        <v>254</v>
      </c>
      <c r="I2128" s="61">
        <v>46197</v>
      </c>
      <c r="J2128" s="61">
        <v>46210.2853621412</v>
      </c>
      <c r="K2128" s="60">
        <v>133</v>
      </c>
      <c r="L2128" s="60" t="s">
        <v>183</v>
      </c>
      <c r="M2128" s="60" t="s">
        <v>183</v>
      </c>
      <c r="N2128" s="60" t="b">
        <f>TRUE()</f>
        <v>1</v>
      </c>
      <c r="O2128" s="70">
        <v>450000</v>
      </c>
      <c r="P2128" s="70">
        <v>737500</v>
      </c>
      <c r="Q2128" s="60" t="s">
        <v>3663</v>
      </c>
      <c r="R2128" s="60" t="s">
        <v>7351</v>
      </c>
      <c r="S2128" s="70">
        <v>593750</v>
      </c>
      <c r="T2128" s="60" t="b">
        <f>TRUE()</f>
        <v>1</v>
      </c>
      <c r="U2128" s="60" t="b">
        <f>FALSE()</f>
        <v>0</v>
      </c>
      <c r="V2128" s="60">
        <v>251</v>
      </c>
      <c r="W2128" s="62" t="s">
        <v>7832</v>
      </c>
      <c r="X2128" s="60">
        <v>1</v>
      </c>
      <c r="Y2128" s="63">
        <v>0.24</v>
      </c>
      <c r="Z2128" s="60" t="b">
        <f>FALSE()</f>
        <v>0</v>
      </c>
      <c r="AA2128" s="60" t="b">
        <f>FALSE()</f>
        <v>0</v>
      </c>
      <c r="AB2128" s="60" t="b">
        <f>FALSE()</f>
        <v>0</v>
      </c>
      <c r="AC2128" s="60" t="b">
        <f>TRUE()</f>
        <v>1</v>
      </c>
      <c r="AD2128" s="60" t="b">
        <f>FALSE()</f>
        <v>0</v>
      </c>
      <c r="AE2128" s="60">
        <v>1</v>
      </c>
      <c r="AF2128" s="64">
        <v>14.3</v>
      </c>
      <c r="AG2128" s="60" t="s">
        <v>74</v>
      </c>
      <c r="AH2128" s="60" t="s">
        <v>7833</v>
      </c>
      <c r="AI2128">
        <f>IF(AND(OR(Company_Explorer!$B$5="All Companies",$E2128=Company_Explorer!$B$5),OR(Company_Explorer!$B$6="All Platforms",$B2128=Company_Explorer!$B$6),OR(Company_Explorer!$B$7="All Roles",$D2128=Company_Explorer!$B$7),OR(Company_Explorer!$B$8="All Ghost Labels",$AG2128=Company_Explorer!$B$8)),1,0)</f>
        <v>0</v>
      </c>
    </row>
    <row r="2129" spans="1:35" ht="15" customHeight="1" x14ac:dyDescent="0.3">
      <c r="A2129" s="65" t="s">
        <v>7834</v>
      </c>
      <c r="B2129" s="65" t="s">
        <v>82</v>
      </c>
      <c r="C2129" s="65" t="s">
        <v>1622</v>
      </c>
      <c r="D2129" s="65" t="s">
        <v>126</v>
      </c>
      <c r="E2129" s="65" t="s">
        <v>7835</v>
      </c>
      <c r="F2129" s="65" t="b">
        <f>TRUE()</f>
        <v>1</v>
      </c>
      <c r="G2129" s="65" t="s">
        <v>166</v>
      </c>
      <c r="H2129" s="65" t="s">
        <v>235</v>
      </c>
      <c r="I2129" s="66">
        <v>46206</v>
      </c>
      <c r="J2129" s="66">
        <v>46210.2853659838</v>
      </c>
      <c r="K2129" s="65">
        <v>4</v>
      </c>
      <c r="L2129" s="65" t="s">
        <v>192</v>
      </c>
      <c r="M2129" s="65" t="s">
        <v>183</v>
      </c>
      <c r="N2129" s="65" t="b">
        <f>FALSE()</f>
        <v>0</v>
      </c>
      <c r="O2129" s="65"/>
      <c r="P2129" s="65"/>
      <c r="Q2129" s="65" t="s">
        <v>3663</v>
      </c>
      <c r="R2129" s="65" t="s">
        <v>236</v>
      </c>
      <c r="S2129" s="65"/>
      <c r="T2129" s="65" t="b">
        <f>FALSE()</f>
        <v>0</v>
      </c>
      <c r="U2129" s="65" t="b">
        <f>FALSE()</f>
        <v>0</v>
      </c>
      <c r="V2129" s="65">
        <v>899</v>
      </c>
      <c r="W2129" s="67" t="s">
        <v>7836</v>
      </c>
      <c r="X2129" s="65">
        <v>1</v>
      </c>
      <c r="Y2129" s="68">
        <v>0.24</v>
      </c>
      <c r="Z2129" s="65" t="b">
        <f>FALSE()</f>
        <v>0</v>
      </c>
      <c r="AA2129" s="65" t="b">
        <f>TRUE()</f>
        <v>1</v>
      </c>
      <c r="AB2129" s="65" t="b">
        <f>FALSE()</f>
        <v>0</v>
      </c>
      <c r="AC2129" s="65" t="b">
        <f>FALSE()</f>
        <v>0</v>
      </c>
      <c r="AD2129" s="65" t="b">
        <f>FALSE()</f>
        <v>0</v>
      </c>
      <c r="AE2129" s="65">
        <v>1</v>
      </c>
      <c r="AF2129" s="69">
        <v>14.3</v>
      </c>
      <c r="AG2129" s="65" t="s">
        <v>74</v>
      </c>
      <c r="AH2129" s="65" t="s">
        <v>7837</v>
      </c>
      <c r="AI2129">
        <f>IF(AND(OR(Company_Explorer!$B$5="All Companies",$E2129=Company_Explorer!$B$5),OR(Company_Explorer!$B$6="All Platforms",$B2129=Company_Explorer!$B$6),OR(Company_Explorer!$B$7="All Roles",$D2129=Company_Explorer!$B$7),OR(Company_Explorer!$B$8="All Ghost Labels",$AG2129=Company_Explorer!$B$8)),1,0)</f>
        <v>0</v>
      </c>
    </row>
    <row r="2130" spans="1:35" ht="15" customHeight="1" x14ac:dyDescent="0.3">
      <c r="A2130" s="60" t="s">
        <v>7838</v>
      </c>
      <c r="B2130" s="60" t="s">
        <v>82</v>
      </c>
      <c r="C2130" s="60" t="s">
        <v>125</v>
      </c>
      <c r="D2130" s="60" t="s">
        <v>125</v>
      </c>
      <c r="E2130" s="60" t="s">
        <v>7796</v>
      </c>
      <c r="F2130" s="60" t="b">
        <f>TRUE()</f>
        <v>1</v>
      </c>
      <c r="G2130" s="60" t="s">
        <v>165</v>
      </c>
      <c r="H2130" s="60" t="s">
        <v>165</v>
      </c>
      <c r="I2130" s="61">
        <v>46210</v>
      </c>
      <c r="J2130" s="61">
        <v>46210.285369201403</v>
      </c>
      <c r="K2130" s="60">
        <v>0</v>
      </c>
      <c r="L2130" s="60" t="s">
        <v>192</v>
      </c>
      <c r="M2130" s="60" t="s">
        <v>183</v>
      </c>
      <c r="N2130" s="60" t="b">
        <f>FALSE()</f>
        <v>0</v>
      </c>
      <c r="O2130" s="60"/>
      <c r="P2130" s="60"/>
      <c r="Q2130" s="60" t="s">
        <v>3663</v>
      </c>
      <c r="R2130" s="60" t="s">
        <v>236</v>
      </c>
      <c r="S2130" s="60"/>
      <c r="T2130" s="60" t="b">
        <f>FALSE()</f>
        <v>0</v>
      </c>
      <c r="U2130" s="60" t="b">
        <f>FALSE()</f>
        <v>0</v>
      </c>
      <c r="V2130" s="60">
        <v>491</v>
      </c>
      <c r="W2130" s="62" t="s">
        <v>7839</v>
      </c>
      <c r="X2130" s="60">
        <v>4</v>
      </c>
      <c r="Y2130" s="63">
        <v>0.97</v>
      </c>
      <c r="Z2130" s="60" t="b">
        <f>FALSE()</f>
        <v>0</v>
      </c>
      <c r="AA2130" s="60" t="b">
        <f>TRUE()</f>
        <v>1</v>
      </c>
      <c r="AB2130" s="60" t="b">
        <f>FALSE()</f>
        <v>0</v>
      </c>
      <c r="AC2130" s="60" t="b">
        <f>FALSE()</f>
        <v>0</v>
      </c>
      <c r="AD2130" s="60" t="b">
        <f>FALSE()</f>
        <v>0</v>
      </c>
      <c r="AE2130" s="60">
        <v>1</v>
      </c>
      <c r="AF2130" s="64">
        <v>14.3</v>
      </c>
      <c r="AG2130" s="60" t="s">
        <v>74</v>
      </c>
      <c r="AH2130" s="60" t="s">
        <v>7840</v>
      </c>
      <c r="AI2130">
        <f>IF(AND(OR(Company_Explorer!$B$5="All Companies",$E2130=Company_Explorer!$B$5),OR(Company_Explorer!$B$6="All Platforms",$B2130=Company_Explorer!$B$6),OR(Company_Explorer!$B$7="All Roles",$D2130=Company_Explorer!$B$7),OR(Company_Explorer!$B$8="All Ghost Labels",$AG2130=Company_Explorer!$B$8)),1,0)</f>
        <v>0</v>
      </c>
    </row>
    <row r="2131" spans="1:35" ht="15" customHeight="1" x14ac:dyDescent="0.3">
      <c r="A2131" s="65" t="s">
        <v>7841</v>
      </c>
      <c r="B2131" s="65" t="s">
        <v>82</v>
      </c>
      <c r="C2131" s="65" t="s">
        <v>315</v>
      </c>
      <c r="D2131" s="65" t="s">
        <v>126</v>
      </c>
      <c r="E2131" s="65" t="s">
        <v>152</v>
      </c>
      <c r="F2131" s="65" t="b">
        <f>TRUE()</f>
        <v>1</v>
      </c>
      <c r="G2131" s="65" t="s">
        <v>165</v>
      </c>
      <c r="H2131" s="65" t="s">
        <v>165</v>
      </c>
      <c r="I2131" s="66">
        <v>46205</v>
      </c>
      <c r="J2131" s="66">
        <v>46210.285372118102</v>
      </c>
      <c r="K2131" s="65">
        <v>128</v>
      </c>
      <c r="L2131" s="65" t="s">
        <v>192</v>
      </c>
      <c r="M2131" s="65" t="s">
        <v>183</v>
      </c>
      <c r="N2131" s="65" t="b">
        <f>FALSE()</f>
        <v>0</v>
      </c>
      <c r="O2131" s="65"/>
      <c r="P2131" s="65"/>
      <c r="Q2131" s="65" t="s">
        <v>3663</v>
      </c>
      <c r="R2131" s="65" t="s">
        <v>236</v>
      </c>
      <c r="S2131" s="65"/>
      <c r="T2131" s="65" t="b">
        <f>FALSE()</f>
        <v>0</v>
      </c>
      <c r="U2131" s="65" t="b">
        <f>FALSE()</f>
        <v>0</v>
      </c>
      <c r="V2131" s="65">
        <v>274</v>
      </c>
      <c r="W2131" s="67" t="s">
        <v>7842</v>
      </c>
      <c r="X2131" s="65">
        <v>17</v>
      </c>
      <c r="Y2131" s="68">
        <v>4.0999999999999996</v>
      </c>
      <c r="Z2131" s="65" t="b">
        <f>FALSE()</f>
        <v>0</v>
      </c>
      <c r="AA2131" s="65" t="b">
        <f>TRUE()</f>
        <v>1</v>
      </c>
      <c r="AB2131" s="65" t="b">
        <f>FALSE()</f>
        <v>0</v>
      </c>
      <c r="AC2131" s="65" t="b">
        <f>TRUE()</f>
        <v>1</v>
      </c>
      <c r="AD2131" s="65" t="b">
        <f>TRUE()</f>
        <v>1</v>
      </c>
      <c r="AE2131" s="65">
        <v>4</v>
      </c>
      <c r="AF2131" s="69">
        <v>57.1</v>
      </c>
      <c r="AG2131" s="65" t="s">
        <v>72</v>
      </c>
      <c r="AH2131" s="65" t="s">
        <v>7843</v>
      </c>
      <c r="AI2131">
        <f>IF(AND(OR(Company_Explorer!$B$5="All Companies",$E2131=Company_Explorer!$B$5),OR(Company_Explorer!$B$6="All Platforms",$B2131=Company_Explorer!$B$6),OR(Company_Explorer!$B$7="All Roles",$D2131=Company_Explorer!$B$7),OR(Company_Explorer!$B$8="All Ghost Labels",$AG2131=Company_Explorer!$B$8)),1,0)</f>
        <v>0</v>
      </c>
    </row>
    <row r="2132" spans="1:35" ht="15" customHeight="1" x14ac:dyDescent="0.3">
      <c r="A2132" s="60" t="s">
        <v>7844</v>
      </c>
      <c r="B2132" s="60" t="s">
        <v>82</v>
      </c>
      <c r="C2132" s="60" t="s">
        <v>258</v>
      </c>
      <c r="D2132" s="60" t="s">
        <v>125</v>
      </c>
      <c r="E2132" s="60" t="s">
        <v>152</v>
      </c>
      <c r="F2132" s="60" t="b">
        <f>TRUE()</f>
        <v>1</v>
      </c>
      <c r="G2132" s="60" t="s">
        <v>165</v>
      </c>
      <c r="H2132" s="60" t="s">
        <v>165</v>
      </c>
      <c r="I2132" s="61">
        <v>46183</v>
      </c>
      <c r="J2132" s="61">
        <v>46210.2853745139</v>
      </c>
      <c r="K2132" s="60">
        <v>88</v>
      </c>
      <c r="L2132" s="60" t="s">
        <v>192</v>
      </c>
      <c r="M2132" s="60" t="s">
        <v>183</v>
      </c>
      <c r="N2132" s="60" t="b">
        <f>FALSE()</f>
        <v>0</v>
      </c>
      <c r="O2132" s="60"/>
      <c r="P2132" s="60"/>
      <c r="Q2132" s="60" t="s">
        <v>3663</v>
      </c>
      <c r="R2132" s="60" t="s">
        <v>236</v>
      </c>
      <c r="S2132" s="60"/>
      <c r="T2132" s="60" t="b">
        <f>FALSE()</f>
        <v>0</v>
      </c>
      <c r="U2132" s="60" t="b">
        <f>FALSE()</f>
        <v>0</v>
      </c>
      <c r="V2132" s="60">
        <v>323</v>
      </c>
      <c r="W2132" s="62" t="s">
        <v>4514</v>
      </c>
      <c r="X2132" s="60">
        <v>17</v>
      </c>
      <c r="Y2132" s="63">
        <v>4.0999999999999996</v>
      </c>
      <c r="Z2132" s="60" t="b">
        <f>FALSE()</f>
        <v>0</v>
      </c>
      <c r="AA2132" s="60" t="b">
        <f>TRUE()</f>
        <v>1</v>
      </c>
      <c r="AB2132" s="60" t="b">
        <f>FALSE()</f>
        <v>0</v>
      </c>
      <c r="AC2132" s="60" t="b">
        <f>FALSE()</f>
        <v>0</v>
      </c>
      <c r="AD2132" s="60" t="b">
        <f>TRUE()</f>
        <v>1</v>
      </c>
      <c r="AE2132" s="60">
        <v>3</v>
      </c>
      <c r="AF2132" s="64">
        <v>42.9</v>
      </c>
      <c r="AG2132" s="60" t="s">
        <v>73</v>
      </c>
      <c r="AH2132" s="60" t="s">
        <v>7845</v>
      </c>
      <c r="AI2132">
        <f>IF(AND(OR(Company_Explorer!$B$5="All Companies",$E2132=Company_Explorer!$B$5),OR(Company_Explorer!$B$6="All Platforms",$B2132=Company_Explorer!$B$6),OR(Company_Explorer!$B$7="All Roles",$D2132=Company_Explorer!$B$7),OR(Company_Explorer!$B$8="All Ghost Labels",$AG2132=Company_Explorer!$B$8)),1,0)</f>
        <v>0</v>
      </c>
    </row>
    <row r="2133" spans="1:35" ht="15" customHeight="1" x14ac:dyDescent="0.3">
      <c r="A2133" s="65" t="s">
        <v>7846</v>
      </c>
      <c r="B2133" s="65" t="s">
        <v>82</v>
      </c>
      <c r="C2133" s="65" t="s">
        <v>7847</v>
      </c>
      <c r="D2133" s="65" t="s">
        <v>126</v>
      </c>
      <c r="E2133" s="65" t="s">
        <v>151</v>
      </c>
      <c r="F2133" s="65" t="b">
        <f>TRUE()</f>
        <v>1</v>
      </c>
      <c r="G2133" s="65" t="s">
        <v>165</v>
      </c>
      <c r="H2133" s="65" t="s">
        <v>165</v>
      </c>
      <c r="I2133" s="66">
        <v>46186</v>
      </c>
      <c r="J2133" s="66">
        <v>46210.285374606501</v>
      </c>
      <c r="K2133" s="65">
        <v>55</v>
      </c>
      <c r="L2133" s="65" t="s">
        <v>192</v>
      </c>
      <c r="M2133" s="65" t="s">
        <v>183</v>
      </c>
      <c r="N2133" s="65" t="b">
        <f>FALSE()</f>
        <v>0</v>
      </c>
      <c r="O2133" s="65"/>
      <c r="P2133" s="65"/>
      <c r="Q2133" s="65" t="s">
        <v>3663</v>
      </c>
      <c r="R2133" s="65" t="s">
        <v>236</v>
      </c>
      <c r="S2133" s="65"/>
      <c r="T2133" s="65" t="b">
        <f>FALSE()</f>
        <v>0</v>
      </c>
      <c r="U2133" s="65" t="b">
        <f>FALSE()</f>
        <v>0</v>
      </c>
      <c r="V2133" s="65">
        <v>466</v>
      </c>
      <c r="W2133" s="67" t="s">
        <v>7848</v>
      </c>
      <c r="X2133" s="65">
        <v>17</v>
      </c>
      <c r="Y2133" s="68">
        <v>4.0999999999999996</v>
      </c>
      <c r="Z2133" s="65" t="b">
        <f>FALSE()</f>
        <v>0</v>
      </c>
      <c r="AA2133" s="65" t="b">
        <f>TRUE()</f>
        <v>1</v>
      </c>
      <c r="AB2133" s="65" t="b">
        <f>FALSE()</f>
        <v>0</v>
      </c>
      <c r="AC2133" s="65" t="b">
        <f>FALSE()</f>
        <v>0</v>
      </c>
      <c r="AD2133" s="65" t="b">
        <f>TRUE()</f>
        <v>1</v>
      </c>
      <c r="AE2133" s="65">
        <v>3</v>
      </c>
      <c r="AF2133" s="69">
        <v>42.9</v>
      </c>
      <c r="AG2133" s="65" t="s">
        <v>73</v>
      </c>
      <c r="AH2133" s="65" t="s">
        <v>7849</v>
      </c>
      <c r="AI2133">
        <f>IF(AND(OR(Company_Explorer!$B$5="All Companies",$E2133=Company_Explorer!$B$5),OR(Company_Explorer!$B$6="All Platforms",$B2133=Company_Explorer!$B$6),OR(Company_Explorer!$B$7="All Roles",$D2133=Company_Explorer!$B$7),OR(Company_Explorer!$B$8="All Ghost Labels",$AG2133=Company_Explorer!$B$8)),1,0)</f>
        <v>0</v>
      </c>
    </row>
    <row r="2134" spans="1:35" ht="15" customHeight="1" x14ac:dyDescent="0.3">
      <c r="A2134" s="60" t="s">
        <v>7850</v>
      </c>
      <c r="B2134" s="60" t="s">
        <v>82</v>
      </c>
      <c r="C2134" s="60" t="s">
        <v>7851</v>
      </c>
      <c r="D2134" s="60" t="s">
        <v>125</v>
      </c>
      <c r="E2134" s="60" t="s">
        <v>7852</v>
      </c>
      <c r="F2134" s="60" t="b">
        <f>TRUE()</f>
        <v>1</v>
      </c>
      <c r="G2134" s="60" t="s">
        <v>165</v>
      </c>
      <c r="H2134" s="60" t="s">
        <v>165</v>
      </c>
      <c r="I2134" s="61">
        <v>46182</v>
      </c>
      <c r="J2134" s="61">
        <v>46210.285378472203</v>
      </c>
      <c r="K2134" s="60">
        <v>28</v>
      </c>
      <c r="L2134" s="60" t="s">
        <v>192</v>
      </c>
      <c r="M2134" s="60" t="s">
        <v>183</v>
      </c>
      <c r="N2134" s="60" t="b">
        <f>TRUE()</f>
        <v>1</v>
      </c>
      <c r="O2134" s="70">
        <v>15000</v>
      </c>
      <c r="P2134" s="70">
        <v>25000</v>
      </c>
      <c r="Q2134" s="60" t="s">
        <v>3663</v>
      </c>
      <c r="R2134" s="60" t="s">
        <v>7445</v>
      </c>
      <c r="S2134" s="70">
        <v>240000</v>
      </c>
      <c r="T2134" s="60" t="b">
        <f>TRUE()</f>
        <v>1</v>
      </c>
      <c r="U2134" s="60" t="b">
        <f>FALSE()</f>
        <v>0</v>
      </c>
      <c r="V2134" s="60">
        <v>458</v>
      </c>
      <c r="W2134" s="62" t="s">
        <v>7853</v>
      </c>
      <c r="X2134" s="60">
        <v>1</v>
      </c>
      <c r="Y2134" s="63">
        <v>0.24</v>
      </c>
      <c r="Z2134" s="60" t="b">
        <f>FALSE()</f>
        <v>0</v>
      </c>
      <c r="AA2134" s="60" t="b">
        <f>FALSE()</f>
        <v>0</v>
      </c>
      <c r="AB2134" s="60" t="b">
        <f>FALSE()</f>
        <v>0</v>
      </c>
      <c r="AC2134" s="60" t="b">
        <f>FALSE()</f>
        <v>0</v>
      </c>
      <c r="AD2134" s="60" t="b">
        <f>FALSE()</f>
        <v>0</v>
      </c>
      <c r="AE2134" s="60">
        <v>0</v>
      </c>
      <c r="AF2134" s="64">
        <v>0</v>
      </c>
      <c r="AG2134" s="60" t="s">
        <v>74</v>
      </c>
      <c r="AH2134" s="60" t="s">
        <v>7854</v>
      </c>
      <c r="AI2134">
        <f>IF(AND(OR(Company_Explorer!$B$5="All Companies",$E2134=Company_Explorer!$B$5),OR(Company_Explorer!$B$6="All Platforms",$B2134=Company_Explorer!$B$6),OR(Company_Explorer!$B$7="All Roles",$D2134=Company_Explorer!$B$7),OR(Company_Explorer!$B$8="All Ghost Labels",$AG2134=Company_Explorer!$B$8)),1,0)</f>
        <v>0</v>
      </c>
    </row>
    <row r="2135" spans="1:35" ht="15" customHeight="1" x14ac:dyDescent="0.3">
      <c r="A2135" s="65" t="s">
        <v>7855</v>
      </c>
      <c r="B2135" s="65" t="s">
        <v>82</v>
      </c>
      <c r="C2135" s="65" t="s">
        <v>125</v>
      </c>
      <c r="D2135" s="65" t="s">
        <v>125</v>
      </c>
      <c r="E2135" s="65" t="s">
        <v>7856</v>
      </c>
      <c r="F2135" s="65" t="b">
        <f>TRUE()</f>
        <v>1</v>
      </c>
      <c r="G2135" s="65" t="s">
        <v>166</v>
      </c>
      <c r="H2135" s="65" t="s">
        <v>235</v>
      </c>
      <c r="I2135" s="66">
        <v>46206</v>
      </c>
      <c r="J2135" s="66">
        <v>46210.285385208299</v>
      </c>
      <c r="K2135" s="65">
        <v>34</v>
      </c>
      <c r="L2135" s="65" t="s">
        <v>183</v>
      </c>
      <c r="M2135" s="65" t="s">
        <v>183</v>
      </c>
      <c r="N2135" s="65" t="b">
        <f>TRUE()</f>
        <v>1</v>
      </c>
      <c r="O2135" s="71">
        <v>520000</v>
      </c>
      <c r="P2135" s="71">
        <v>900000</v>
      </c>
      <c r="Q2135" s="65" t="s">
        <v>3663</v>
      </c>
      <c r="R2135" s="65" t="s">
        <v>7351</v>
      </c>
      <c r="S2135" s="71">
        <v>710000</v>
      </c>
      <c r="T2135" s="65" t="b">
        <f>TRUE()</f>
        <v>1</v>
      </c>
      <c r="U2135" s="65" t="b">
        <f>FALSE()</f>
        <v>0</v>
      </c>
      <c r="V2135" s="65">
        <v>540</v>
      </c>
      <c r="W2135" s="65" t="s">
        <v>7857</v>
      </c>
      <c r="X2135" s="65">
        <v>2</v>
      </c>
      <c r="Y2135" s="68">
        <v>0.48</v>
      </c>
      <c r="Z2135" s="65" t="b">
        <f>FALSE()</f>
        <v>0</v>
      </c>
      <c r="AA2135" s="65" t="b">
        <f>FALSE()</f>
        <v>0</v>
      </c>
      <c r="AB2135" s="65" t="b">
        <f>FALSE()</f>
        <v>0</v>
      </c>
      <c r="AC2135" s="65" t="b">
        <f>FALSE()</f>
        <v>0</v>
      </c>
      <c r="AD2135" s="65" t="b">
        <f>FALSE()</f>
        <v>0</v>
      </c>
      <c r="AE2135" s="65">
        <v>0</v>
      </c>
      <c r="AF2135" s="69">
        <v>0</v>
      </c>
      <c r="AG2135" s="65" t="s">
        <v>74</v>
      </c>
      <c r="AH2135" s="65" t="s">
        <v>7858</v>
      </c>
      <c r="AI2135">
        <f>IF(AND(OR(Company_Explorer!$B$5="All Companies",$E2135=Company_Explorer!$B$5),OR(Company_Explorer!$B$6="All Platforms",$B2135=Company_Explorer!$B$6),OR(Company_Explorer!$B$7="All Roles",$D2135=Company_Explorer!$B$7),OR(Company_Explorer!$B$8="All Ghost Labels",$AG2135=Company_Explorer!$B$8)),1,0)</f>
        <v>0</v>
      </c>
    </row>
    <row r="2136" spans="1:35" ht="15" customHeight="1" x14ac:dyDescent="0.3">
      <c r="A2136" s="60" t="s">
        <v>7859</v>
      </c>
      <c r="B2136" s="60" t="s">
        <v>82</v>
      </c>
      <c r="C2136" s="60" t="s">
        <v>125</v>
      </c>
      <c r="D2136" s="60" t="s">
        <v>125</v>
      </c>
      <c r="E2136" s="60" t="s">
        <v>7860</v>
      </c>
      <c r="F2136" s="60" t="b">
        <f>TRUE()</f>
        <v>1</v>
      </c>
      <c r="G2136" s="60" t="s">
        <v>175</v>
      </c>
      <c r="H2136" s="60" t="s">
        <v>254</v>
      </c>
      <c r="I2136" s="61">
        <v>46192</v>
      </c>
      <c r="J2136" s="61">
        <v>46210.2853853704</v>
      </c>
      <c r="K2136" s="60">
        <v>49</v>
      </c>
      <c r="L2136" s="60" t="s">
        <v>192</v>
      </c>
      <c r="M2136" s="60" t="s">
        <v>183</v>
      </c>
      <c r="N2136" s="60" t="b">
        <f>TRUE()</f>
        <v>1</v>
      </c>
      <c r="O2136" s="70">
        <v>100000</v>
      </c>
      <c r="P2136" s="70">
        <v>144000</v>
      </c>
      <c r="Q2136" s="60" t="s">
        <v>3663</v>
      </c>
      <c r="R2136" s="60" t="s">
        <v>7351</v>
      </c>
      <c r="S2136" s="70">
        <v>122000</v>
      </c>
      <c r="T2136" s="60" t="b">
        <f>TRUE()</f>
        <v>1</v>
      </c>
      <c r="U2136" s="60" t="b">
        <f>FALSE()</f>
        <v>0</v>
      </c>
      <c r="V2136" s="60">
        <v>1439</v>
      </c>
      <c r="W2136" s="62" t="s">
        <v>7861</v>
      </c>
      <c r="X2136" s="60">
        <v>1</v>
      </c>
      <c r="Y2136" s="63">
        <v>0.24</v>
      </c>
      <c r="Z2136" s="60" t="b">
        <f>FALSE()</f>
        <v>0</v>
      </c>
      <c r="AA2136" s="60" t="b">
        <f>FALSE()</f>
        <v>0</v>
      </c>
      <c r="AB2136" s="60" t="b">
        <f>FALSE()</f>
        <v>0</v>
      </c>
      <c r="AC2136" s="60" t="b">
        <f>FALSE()</f>
        <v>0</v>
      </c>
      <c r="AD2136" s="60" t="b">
        <f>FALSE()</f>
        <v>0</v>
      </c>
      <c r="AE2136" s="60">
        <v>0</v>
      </c>
      <c r="AF2136" s="64">
        <v>0</v>
      </c>
      <c r="AG2136" s="60" t="s">
        <v>74</v>
      </c>
      <c r="AH2136" s="60" t="s">
        <v>7862</v>
      </c>
      <c r="AI2136">
        <f>IF(AND(OR(Company_Explorer!$B$5="All Companies",$E2136=Company_Explorer!$B$5),OR(Company_Explorer!$B$6="All Platforms",$B2136=Company_Explorer!$B$6),OR(Company_Explorer!$B$7="All Roles",$D2136=Company_Explorer!$B$7),OR(Company_Explorer!$B$8="All Ghost Labels",$AG2136=Company_Explorer!$B$8)),1,0)</f>
        <v>0</v>
      </c>
    </row>
    <row r="2137" spans="1:35" ht="15" customHeight="1" x14ac:dyDescent="0.3">
      <c r="A2137" s="65" t="s">
        <v>7863</v>
      </c>
      <c r="B2137" s="65" t="s">
        <v>82</v>
      </c>
      <c r="C2137" s="65" t="s">
        <v>125</v>
      </c>
      <c r="D2137" s="65" t="s">
        <v>125</v>
      </c>
      <c r="E2137" s="65" t="s">
        <v>3726</v>
      </c>
      <c r="F2137" s="65" t="b">
        <f>FALSE()</f>
        <v>0</v>
      </c>
      <c r="G2137" s="65" t="s">
        <v>7864</v>
      </c>
      <c r="H2137" s="65" t="s">
        <v>2199</v>
      </c>
      <c r="I2137" s="66">
        <v>46193</v>
      </c>
      <c r="J2137" s="66">
        <v>46210.285387141201</v>
      </c>
      <c r="K2137" s="65">
        <v>137</v>
      </c>
      <c r="L2137" s="65" t="s">
        <v>192</v>
      </c>
      <c r="M2137" s="65" t="s">
        <v>183</v>
      </c>
      <c r="N2137" s="65" t="b">
        <f>TRUE()</f>
        <v>1</v>
      </c>
      <c r="O2137" s="71">
        <v>40000</v>
      </c>
      <c r="P2137" s="71">
        <v>60000</v>
      </c>
      <c r="Q2137" s="65" t="s">
        <v>3663</v>
      </c>
      <c r="R2137" s="65" t="s">
        <v>7445</v>
      </c>
      <c r="S2137" s="71">
        <v>600000</v>
      </c>
      <c r="T2137" s="65" t="b">
        <f>TRUE()</f>
        <v>1</v>
      </c>
      <c r="U2137" s="65" t="b">
        <f>FALSE()</f>
        <v>0</v>
      </c>
      <c r="V2137" s="65">
        <v>129</v>
      </c>
      <c r="W2137" s="67" t="s">
        <v>7865</v>
      </c>
      <c r="X2137" s="65"/>
      <c r="Y2137" s="68"/>
      <c r="Z2137" s="65" t="b">
        <f>TRUE()</f>
        <v>1</v>
      </c>
      <c r="AA2137" s="65" t="b">
        <f>FALSE()</f>
        <v>0</v>
      </c>
      <c r="AB2137" s="65" t="b">
        <f>TRUE()</f>
        <v>1</v>
      </c>
      <c r="AC2137" s="65" t="b">
        <f>TRUE()</f>
        <v>1</v>
      </c>
      <c r="AD2137" s="65" t="b">
        <f>FALSE()</f>
        <v>0</v>
      </c>
      <c r="AE2137" s="65">
        <v>4</v>
      </c>
      <c r="AF2137" s="69">
        <v>57.1</v>
      </c>
      <c r="AG2137" s="65" t="s">
        <v>72</v>
      </c>
      <c r="AH2137" s="65" t="s">
        <v>7866</v>
      </c>
      <c r="AI2137">
        <f>IF(AND(OR(Company_Explorer!$B$5="All Companies",$E2137=Company_Explorer!$B$5),OR(Company_Explorer!$B$6="All Platforms",$B2137=Company_Explorer!$B$6),OR(Company_Explorer!$B$7="All Roles",$D2137=Company_Explorer!$B$7),OR(Company_Explorer!$B$8="All Ghost Labels",$AG2137=Company_Explorer!$B$8)),1,0)</f>
        <v>0</v>
      </c>
    </row>
    <row r="2138" spans="1:35" ht="15" customHeight="1" x14ac:dyDescent="0.3">
      <c r="A2138" s="60" t="s">
        <v>7867</v>
      </c>
      <c r="B2138" s="60" t="s">
        <v>82</v>
      </c>
      <c r="C2138" s="60" t="s">
        <v>7868</v>
      </c>
      <c r="D2138" s="60" t="s">
        <v>129</v>
      </c>
      <c r="E2138" s="60" t="s">
        <v>4865</v>
      </c>
      <c r="F2138" s="60" t="b">
        <f>TRUE()</f>
        <v>1</v>
      </c>
      <c r="G2138" s="60" t="s">
        <v>165</v>
      </c>
      <c r="H2138" s="60" t="s">
        <v>165</v>
      </c>
      <c r="I2138" s="61">
        <v>46201</v>
      </c>
      <c r="J2138" s="61">
        <v>46210.285390428202</v>
      </c>
      <c r="K2138" s="60">
        <v>101</v>
      </c>
      <c r="L2138" s="60" t="s">
        <v>192</v>
      </c>
      <c r="M2138" s="60" t="s">
        <v>183</v>
      </c>
      <c r="N2138" s="60" t="b">
        <f>FALSE()</f>
        <v>0</v>
      </c>
      <c r="O2138" s="60"/>
      <c r="P2138" s="60"/>
      <c r="Q2138" s="60" t="s">
        <v>3663</v>
      </c>
      <c r="R2138" s="60" t="s">
        <v>236</v>
      </c>
      <c r="S2138" s="60"/>
      <c r="T2138" s="60" t="b">
        <f>FALSE()</f>
        <v>0</v>
      </c>
      <c r="U2138" s="60" t="b">
        <f>FALSE()</f>
        <v>0</v>
      </c>
      <c r="V2138" s="60">
        <v>517</v>
      </c>
      <c r="W2138" s="62" t="s">
        <v>7869</v>
      </c>
      <c r="X2138" s="60">
        <v>4</v>
      </c>
      <c r="Y2138" s="63">
        <v>0.97</v>
      </c>
      <c r="Z2138" s="60" t="b">
        <f>FALSE()</f>
        <v>0</v>
      </c>
      <c r="AA2138" s="60" t="b">
        <f>TRUE()</f>
        <v>1</v>
      </c>
      <c r="AB2138" s="60" t="b">
        <f>FALSE()</f>
        <v>0</v>
      </c>
      <c r="AC2138" s="60" t="b">
        <f>FALSE()</f>
        <v>0</v>
      </c>
      <c r="AD2138" s="60" t="b">
        <f>FALSE()</f>
        <v>0</v>
      </c>
      <c r="AE2138" s="60">
        <v>1</v>
      </c>
      <c r="AF2138" s="64">
        <v>14.3</v>
      </c>
      <c r="AG2138" s="60" t="s">
        <v>74</v>
      </c>
      <c r="AH2138" s="60" t="s">
        <v>7870</v>
      </c>
      <c r="AI2138">
        <f>IF(AND(OR(Company_Explorer!$B$5="All Companies",$E2138=Company_Explorer!$B$5),OR(Company_Explorer!$B$6="All Platforms",$B2138=Company_Explorer!$B$6),OR(Company_Explorer!$B$7="All Roles",$D2138=Company_Explorer!$B$7),OR(Company_Explorer!$B$8="All Ghost Labels",$AG2138=Company_Explorer!$B$8)),1,0)</f>
        <v>0</v>
      </c>
    </row>
    <row r="2139" spans="1:35" ht="15" customHeight="1" x14ac:dyDescent="0.3">
      <c r="A2139" s="65" t="s">
        <v>7871</v>
      </c>
      <c r="B2139" s="65" t="s">
        <v>82</v>
      </c>
      <c r="C2139" s="65" t="s">
        <v>7872</v>
      </c>
      <c r="D2139" s="65" t="s">
        <v>125</v>
      </c>
      <c r="E2139" s="65" t="s">
        <v>7873</v>
      </c>
      <c r="F2139" s="65" t="b">
        <f>TRUE()</f>
        <v>1</v>
      </c>
      <c r="G2139" s="65" t="s">
        <v>165</v>
      </c>
      <c r="H2139" s="65" t="s">
        <v>165</v>
      </c>
      <c r="I2139" s="66">
        <v>46199</v>
      </c>
      <c r="J2139" s="66">
        <v>46210.285391863399</v>
      </c>
      <c r="K2139" s="65">
        <v>103</v>
      </c>
      <c r="L2139" s="65" t="s">
        <v>192</v>
      </c>
      <c r="M2139" s="65" t="s">
        <v>183</v>
      </c>
      <c r="N2139" s="65" t="b">
        <f>FALSE()</f>
        <v>0</v>
      </c>
      <c r="O2139" s="65"/>
      <c r="P2139" s="65"/>
      <c r="Q2139" s="65" t="s">
        <v>3663</v>
      </c>
      <c r="R2139" s="65" t="s">
        <v>236</v>
      </c>
      <c r="S2139" s="65"/>
      <c r="T2139" s="65" t="b">
        <f>FALSE()</f>
        <v>0</v>
      </c>
      <c r="U2139" s="65" t="b">
        <f>FALSE()</f>
        <v>0</v>
      </c>
      <c r="V2139" s="65">
        <v>355</v>
      </c>
      <c r="W2139" s="67" t="s">
        <v>7874</v>
      </c>
      <c r="X2139" s="65">
        <v>1</v>
      </c>
      <c r="Y2139" s="68">
        <v>0.24</v>
      </c>
      <c r="Z2139" s="65" t="b">
        <f>FALSE()</f>
        <v>0</v>
      </c>
      <c r="AA2139" s="65" t="b">
        <f>TRUE()</f>
        <v>1</v>
      </c>
      <c r="AB2139" s="65" t="b">
        <f>FALSE()</f>
        <v>0</v>
      </c>
      <c r="AC2139" s="65" t="b">
        <f>FALSE()</f>
        <v>0</v>
      </c>
      <c r="AD2139" s="65" t="b">
        <f>FALSE()</f>
        <v>0</v>
      </c>
      <c r="AE2139" s="65">
        <v>1</v>
      </c>
      <c r="AF2139" s="69">
        <v>14.3</v>
      </c>
      <c r="AG2139" s="65" t="s">
        <v>74</v>
      </c>
      <c r="AH2139" s="65" t="s">
        <v>7875</v>
      </c>
      <c r="AI2139">
        <f>IF(AND(OR(Company_Explorer!$B$5="All Companies",$E2139=Company_Explorer!$B$5),OR(Company_Explorer!$B$6="All Platforms",$B2139=Company_Explorer!$B$6),OR(Company_Explorer!$B$7="All Roles",$D2139=Company_Explorer!$B$7),OR(Company_Explorer!$B$8="All Ghost Labels",$AG2139=Company_Explorer!$B$8)),1,0)</f>
        <v>0</v>
      </c>
    </row>
    <row r="2140" spans="1:35" ht="15" customHeight="1" x14ac:dyDescent="0.3">
      <c r="A2140" s="60" t="s">
        <v>7876</v>
      </c>
      <c r="B2140" s="60" t="s">
        <v>82</v>
      </c>
      <c r="C2140" s="60" t="s">
        <v>125</v>
      </c>
      <c r="D2140" s="60" t="s">
        <v>125</v>
      </c>
      <c r="E2140" s="60" t="s">
        <v>7877</v>
      </c>
      <c r="F2140" s="60" t="b">
        <f>TRUE()</f>
        <v>1</v>
      </c>
      <c r="G2140" s="60" t="s">
        <v>165</v>
      </c>
      <c r="H2140" s="60" t="s">
        <v>165</v>
      </c>
      <c r="I2140" s="61">
        <v>46206</v>
      </c>
      <c r="J2140" s="61">
        <v>46210.285394606501</v>
      </c>
      <c r="K2140" s="60">
        <v>95</v>
      </c>
      <c r="L2140" s="60" t="s">
        <v>192</v>
      </c>
      <c r="M2140" s="60" t="s">
        <v>183</v>
      </c>
      <c r="N2140" s="60" t="b">
        <f>FALSE()</f>
        <v>0</v>
      </c>
      <c r="O2140" s="60"/>
      <c r="P2140" s="60"/>
      <c r="Q2140" s="60" t="s">
        <v>3663</v>
      </c>
      <c r="R2140" s="60" t="s">
        <v>236</v>
      </c>
      <c r="S2140" s="60"/>
      <c r="T2140" s="60" t="b">
        <f>FALSE()</f>
        <v>0</v>
      </c>
      <c r="U2140" s="60" t="b">
        <f>FALSE()</f>
        <v>0</v>
      </c>
      <c r="V2140" s="60">
        <v>780</v>
      </c>
      <c r="W2140" s="62" t="s">
        <v>7878</v>
      </c>
      <c r="X2140" s="60">
        <v>8</v>
      </c>
      <c r="Y2140" s="63">
        <v>1.93</v>
      </c>
      <c r="Z2140" s="60" t="b">
        <f>FALSE()</f>
        <v>0</v>
      </c>
      <c r="AA2140" s="60" t="b">
        <f>TRUE()</f>
        <v>1</v>
      </c>
      <c r="AB2140" s="60" t="b">
        <f>FALSE()</f>
        <v>0</v>
      </c>
      <c r="AC2140" s="60" t="b">
        <f>FALSE()</f>
        <v>0</v>
      </c>
      <c r="AD2140" s="60" t="b">
        <f>FALSE()</f>
        <v>0</v>
      </c>
      <c r="AE2140" s="60">
        <v>1</v>
      </c>
      <c r="AF2140" s="64">
        <v>14.3</v>
      </c>
      <c r="AG2140" s="60" t="s">
        <v>74</v>
      </c>
      <c r="AH2140" s="60" t="s">
        <v>7879</v>
      </c>
      <c r="AI2140">
        <f>IF(AND(OR(Company_Explorer!$B$5="All Companies",$E2140=Company_Explorer!$B$5),OR(Company_Explorer!$B$6="All Platforms",$B2140=Company_Explorer!$B$6),OR(Company_Explorer!$B$7="All Roles",$D2140=Company_Explorer!$B$7),OR(Company_Explorer!$B$8="All Ghost Labels",$AG2140=Company_Explorer!$B$8)),1,0)</f>
        <v>0</v>
      </c>
    </row>
    <row r="2141" spans="1:35" ht="15" customHeight="1" x14ac:dyDescent="0.3">
      <c r="A2141" s="65" t="s">
        <v>7880</v>
      </c>
      <c r="B2141" s="65" t="s">
        <v>82</v>
      </c>
      <c r="C2141" s="65" t="s">
        <v>7881</v>
      </c>
      <c r="D2141" s="65" t="s">
        <v>125</v>
      </c>
      <c r="E2141" s="65" t="s">
        <v>7882</v>
      </c>
      <c r="F2141" s="65" t="b">
        <f>TRUE()</f>
        <v>1</v>
      </c>
      <c r="G2141" s="65" t="s">
        <v>167</v>
      </c>
      <c r="H2141" s="65" t="s">
        <v>276</v>
      </c>
      <c r="I2141" s="66">
        <v>46202</v>
      </c>
      <c r="J2141" s="66">
        <v>46210.285395555598</v>
      </c>
      <c r="K2141" s="65">
        <v>39</v>
      </c>
      <c r="L2141" s="65" t="s">
        <v>192</v>
      </c>
      <c r="M2141" s="65" t="s">
        <v>183</v>
      </c>
      <c r="N2141" s="65" t="b">
        <f>TRUE()</f>
        <v>1</v>
      </c>
      <c r="O2141" s="71">
        <v>250000</v>
      </c>
      <c r="P2141" s="71">
        <v>400000</v>
      </c>
      <c r="Q2141" s="65" t="s">
        <v>3663</v>
      </c>
      <c r="R2141" s="65" t="s">
        <v>7351</v>
      </c>
      <c r="S2141" s="71">
        <v>325000</v>
      </c>
      <c r="T2141" s="65" t="b">
        <f>TRUE()</f>
        <v>1</v>
      </c>
      <c r="U2141" s="65" t="b">
        <f>FALSE()</f>
        <v>0</v>
      </c>
      <c r="V2141" s="65">
        <v>166</v>
      </c>
      <c r="W2141" s="67" t="s">
        <v>7883</v>
      </c>
      <c r="X2141" s="65">
        <v>1</v>
      </c>
      <c r="Y2141" s="68">
        <v>0.24</v>
      </c>
      <c r="Z2141" s="65" t="b">
        <f>FALSE()</f>
        <v>0</v>
      </c>
      <c r="AA2141" s="65" t="b">
        <f>FALSE()</f>
        <v>0</v>
      </c>
      <c r="AB2141" s="65" t="b">
        <f>TRUE()</f>
        <v>1</v>
      </c>
      <c r="AC2141" s="65" t="b">
        <f>FALSE()</f>
        <v>0</v>
      </c>
      <c r="AD2141" s="65" t="b">
        <f>FALSE()</f>
        <v>0</v>
      </c>
      <c r="AE2141" s="65">
        <v>1</v>
      </c>
      <c r="AF2141" s="69">
        <v>14.3</v>
      </c>
      <c r="AG2141" s="65" t="s">
        <v>74</v>
      </c>
      <c r="AH2141" s="65" t="s">
        <v>7884</v>
      </c>
      <c r="AI2141">
        <f>IF(AND(OR(Company_Explorer!$B$5="All Companies",$E2141=Company_Explorer!$B$5),OR(Company_Explorer!$B$6="All Platforms",$B2141=Company_Explorer!$B$6),OR(Company_Explorer!$B$7="All Roles",$D2141=Company_Explorer!$B$7),OR(Company_Explorer!$B$8="All Ghost Labels",$AG2141=Company_Explorer!$B$8)),1,0)</f>
        <v>0</v>
      </c>
    </row>
    <row r="2142" spans="1:35" ht="15" customHeight="1" x14ac:dyDescent="0.3">
      <c r="A2142" s="60" t="s">
        <v>7885</v>
      </c>
      <c r="B2142" s="60" t="s">
        <v>82</v>
      </c>
      <c r="C2142" s="60" t="s">
        <v>7886</v>
      </c>
      <c r="D2142" s="60" t="s">
        <v>125</v>
      </c>
      <c r="E2142" s="60" t="s">
        <v>7887</v>
      </c>
      <c r="F2142" s="60" t="b">
        <f>TRUE()</f>
        <v>1</v>
      </c>
      <c r="G2142" s="60" t="s">
        <v>165</v>
      </c>
      <c r="H2142" s="60" t="s">
        <v>165</v>
      </c>
      <c r="I2142" s="61">
        <v>46206</v>
      </c>
      <c r="J2142" s="61">
        <v>46210.285397650499</v>
      </c>
      <c r="K2142" s="60">
        <v>4</v>
      </c>
      <c r="L2142" s="60" t="s">
        <v>192</v>
      </c>
      <c r="M2142" s="60" t="s">
        <v>183</v>
      </c>
      <c r="N2142" s="60" t="b">
        <f>FALSE()</f>
        <v>0</v>
      </c>
      <c r="O2142" s="60"/>
      <c r="P2142" s="60"/>
      <c r="Q2142" s="60" t="s">
        <v>3663</v>
      </c>
      <c r="R2142" s="60" t="s">
        <v>236</v>
      </c>
      <c r="S2142" s="60"/>
      <c r="T2142" s="60" t="b">
        <f>FALSE()</f>
        <v>0</v>
      </c>
      <c r="U2142" s="60" t="b">
        <f>FALSE()</f>
        <v>0</v>
      </c>
      <c r="V2142" s="60">
        <v>341</v>
      </c>
      <c r="W2142" s="62" t="s">
        <v>7888</v>
      </c>
      <c r="X2142" s="60">
        <v>3</v>
      </c>
      <c r="Y2142" s="63">
        <v>0.72</v>
      </c>
      <c r="Z2142" s="60" t="b">
        <f>FALSE()</f>
        <v>0</v>
      </c>
      <c r="AA2142" s="60" t="b">
        <f>TRUE()</f>
        <v>1</v>
      </c>
      <c r="AB2142" s="60" t="b">
        <f>FALSE()</f>
        <v>0</v>
      </c>
      <c r="AC2142" s="60" t="b">
        <f>FALSE()</f>
        <v>0</v>
      </c>
      <c r="AD2142" s="60" t="b">
        <f>FALSE()</f>
        <v>0</v>
      </c>
      <c r="AE2142" s="60">
        <v>1</v>
      </c>
      <c r="AF2142" s="64">
        <v>14.3</v>
      </c>
      <c r="AG2142" s="60" t="s">
        <v>74</v>
      </c>
      <c r="AH2142" s="60" t="s">
        <v>7889</v>
      </c>
      <c r="AI2142">
        <f>IF(AND(OR(Company_Explorer!$B$5="All Companies",$E2142=Company_Explorer!$B$5),OR(Company_Explorer!$B$6="All Platforms",$B2142=Company_Explorer!$B$6),OR(Company_Explorer!$B$7="All Roles",$D2142=Company_Explorer!$B$7),OR(Company_Explorer!$B$8="All Ghost Labels",$AG2142=Company_Explorer!$B$8)),1,0)</f>
        <v>0</v>
      </c>
    </row>
    <row r="2143" spans="1:35" ht="15" customHeight="1" x14ac:dyDescent="0.3">
      <c r="A2143" s="65" t="s">
        <v>7890</v>
      </c>
      <c r="B2143" s="65" t="s">
        <v>82</v>
      </c>
      <c r="C2143" s="65" t="s">
        <v>1811</v>
      </c>
      <c r="D2143" s="65" t="s">
        <v>125</v>
      </c>
      <c r="E2143" s="65" t="s">
        <v>7891</v>
      </c>
      <c r="F2143" s="65" t="b">
        <f>TRUE()</f>
        <v>1</v>
      </c>
      <c r="G2143" s="65" t="s">
        <v>165</v>
      </c>
      <c r="H2143" s="65" t="s">
        <v>165</v>
      </c>
      <c r="I2143" s="66">
        <v>46182</v>
      </c>
      <c r="J2143" s="66">
        <v>46210.285400729197</v>
      </c>
      <c r="K2143" s="65">
        <v>59</v>
      </c>
      <c r="L2143" s="65" t="s">
        <v>192</v>
      </c>
      <c r="M2143" s="65" t="s">
        <v>183</v>
      </c>
      <c r="N2143" s="65" t="b">
        <f>FALSE()</f>
        <v>0</v>
      </c>
      <c r="O2143" s="65"/>
      <c r="P2143" s="65"/>
      <c r="Q2143" s="65" t="s">
        <v>3663</v>
      </c>
      <c r="R2143" s="65" t="s">
        <v>236</v>
      </c>
      <c r="S2143" s="65"/>
      <c r="T2143" s="65" t="b">
        <f>FALSE()</f>
        <v>0</v>
      </c>
      <c r="U2143" s="65" t="b">
        <f>FALSE()</f>
        <v>0</v>
      </c>
      <c r="V2143" s="65">
        <v>638</v>
      </c>
      <c r="W2143" s="67" t="s">
        <v>7892</v>
      </c>
      <c r="X2143" s="65">
        <v>1</v>
      </c>
      <c r="Y2143" s="68">
        <v>0.24</v>
      </c>
      <c r="Z2143" s="65" t="b">
        <f>FALSE()</f>
        <v>0</v>
      </c>
      <c r="AA2143" s="65" t="b">
        <f>TRUE()</f>
        <v>1</v>
      </c>
      <c r="AB2143" s="65" t="b">
        <f>FALSE()</f>
        <v>0</v>
      </c>
      <c r="AC2143" s="65" t="b">
        <f>FALSE()</f>
        <v>0</v>
      </c>
      <c r="AD2143" s="65" t="b">
        <f>FALSE()</f>
        <v>0</v>
      </c>
      <c r="AE2143" s="65">
        <v>1</v>
      </c>
      <c r="AF2143" s="69">
        <v>14.3</v>
      </c>
      <c r="AG2143" s="65" t="s">
        <v>74</v>
      </c>
      <c r="AH2143" s="65" t="s">
        <v>7893</v>
      </c>
      <c r="AI2143">
        <f>IF(AND(OR(Company_Explorer!$B$5="All Companies",$E2143=Company_Explorer!$B$5),OR(Company_Explorer!$B$6="All Platforms",$B2143=Company_Explorer!$B$6),OR(Company_Explorer!$B$7="All Roles",$D2143=Company_Explorer!$B$7),OR(Company_Explorer!$B$8="All Ghost Labels",$AG2143=Company_Explorer!$B$8)),1,0)</f>
        <v>0</v>
      </c>
    </row>
    <row r="2144" spans="1:35" ht="15" customHeight="1" x14ac:dyDescent="0.3">
      <c r="A2144" s="60" t="s">
        <v>7894</v>
      </c>
      <c r="B2144" s="60" t="s">
        <v>82</v>
      </c>
      <c r="C2144" s="60" t="s">
        <v>125</v>
      </c>
      <c r="D2144" s="60" t="s">
        <v>125</v>
      </c>
      <c r="E2144" s="60" t="s">
        <v>7895</v>
      </c>
      <c r="F2144" s="60" t="b">
        <f>TRUE()</f>
        <v>1</v>
      </c>
      <c r="G2144" s="60" t="s">
        <v>175</v>
      </c>
      <c r="H2144" s="60" t="s">
        <v>254</v>
      </c>
      <c r="I2144" s="61">
        <v>46206</v>
      </c>
      <c r="J2144" s="61">
        <v>46210.285404062502</v>
      </c>
      <c r="K2144" s="60">
        <v>95</v>
      </c>
      <c r="L2144" s="60" t="s">
        <v>192</v>
      </c>
      <c r="M2144" s="60" t="s">
        <v>183</v>
      </c>
      <c r="N2144" s="60" t="b">
        <f>TRUE()</f>
        <v>1</v>
      </c>
      <c r="O2144" s="70">
        <v>400000</v>
      </c>
      <c r="P2144" s="70">
        <v>870000</v>
      </c>
      <c r="Q2144" s="60" t="s">
        <v>3663</v>
      </c>
      <c r="R2144" s="60" t="s">
        <v>7351</v>
      </c>
      <c r="S2144" s="70">
        <v>635000</v>
      </c>
      <c r="T2144" s="60" t="b">
        <f>TRUE()</f>
        <v>1</v>
      </c>
      <c r="U2144" s="60" t="b">
        <f>FALSE()</f>
        <v>0</v>
      </c>
      <c r="V2144" s="60">
        <v>302</v>
      </c>
      <c r="W2144" s="62" t="s">
        <v>7896</v>
      </c>
      <c r="X2144" s="60">
        <v>1</v>
      </c>
      <c r="Y2144" s="63">
        <v>0.24</v>
      </c>
      <c r="Z2144" s="60" t="b">
        <f>FALSE()</f>
        <v>0</v>
      </c>
      <c r="AA2144" s="60" t="b">
        <f>FALSE()</f>
        <v>0</v>
      </c>
      <c r="AB2144" s="60" t="b">
        <f>FALSE()</f>
        <v>0</v>
      </c>
      <c r="AC2144" s="60" t="b">
        <f>FALSE()</f>
        <v>0</v>
      </c>
      <c r="AD2144" s="60" t="b">
        <f>FALSE()</f>
        <v>0</v>
      </c>
      <c r="AE2144" s="60">
        <v>0</v>
      </c>
      <c r="AF2144" s="64">
        <v>0</v>
      </c>
      <c r="AG2144" s="60" t="s">
        <v>74</v>
      </c>
      <c r="AH2144" s="60" t="s">
        <v>7897</v>
      </c>
      <c r="AI2144">
        <f>IF(AND(OR(Company_Explorer!$B$5="All Companies",$E2144=Company_Explorer!$B$5),OR(Company_Explorer!$B$6="All Platforms",$B2144=Company_Explorer!$B$6),OR(Company_Explorer!$B$7="All Roles",$D2144=Company_Explorer!$B$7),OR(Company_Explorer!$B$8="All Ghost Labels",$AG2144=Company_Explorer!$B$8)),1,0)</f>
        <v>0</v>
      </c>
    </row>
    <row r="2145" spans="1:35" ht="15" customHeight="1" x14ac:dyDescent="0.3">
      <c r="A2145" s="65" t="s">
        <v>7898</v>
      </c>
      <c r="B2145" s="65" t="s">
        <v>82</v>
      </c>
      <c r="C2145" s="65" t="s">
        <v>125</v>
      </c>
      <c r="D2145" s="65" t="s">
        <v>125</v>
      </c>
      <c r="E2145" s="65" t="s">
        <v>7899</v>
      </c>
      <c r="F2145" s="65" t="b">
        <f>TRUE()</f>
        <v>1</v>
      </c>
      <c r="G2145" s="65" t="s">
        <v>166</v>
      </c>
      <c r="H2145" s="65" t="s">
        <v>235</v>
      </c>
      <c r="I2145" s="66">
        <v>46184</v>
      </c>
      <c r="J2145" s="66">
        <v>46210.285406238399</v>
      </c>
      <c r="K2145" s="65">
        <v>87</v>
      </c>
      <c r="L2145" s="65" t="s">
        <v>192</v>
      </c>
      <c r="M2145" s="65" t="s">
        <v>183</v>
      </c>
      <c r="N2145" s="65" t="b">
        <f>TRUE()</f>
        <v>1</v>
      </c>
      <c r="O2145" s="71">
        <v>600000</v>
      </c>
      <c r="P2145" s="71">
        <v>810000</v>
      </c>
      <c r="Q2145" s="65" t="s">
        <v>3663</v>
      </c>
      <c r="R2145" s="65" t="s">
        <v>7351</v>
      </c>
      <c r="S2145" s="71">
        <v>705000</v>
      </c>
      <c r="T2145" s="65" t="b">
        <f>TRUE()</f>
        <v>1</v>
      </c>
      <c r="U2145" s="65" t="b">
        <f>FALSE()</f>
        <v>0</v>
      </c>
      <c r="V2145" s="65">
        <v>408</v>
      </c>
      <c r="W2145" s="67" t="s">
        <v>7900</v>
      </c>
      <c r="X2145" s="65">
        <v>4</v>
      </c>
      <c r="Y2145" s="68">
        <v>0.97</v>
      </c>
      <c r="Z2145" s="65" t="b">
        <f>FALSE()</f>
        <v>0</v>
      </c>
      <c r="AA2145" s="65" t="b">
        <f>FALSE()</f>
        <v>0</v>
      </c>
      <c r="AB2145" s="65" t="b">
        <f>FALSE()</f>
        <v>0</v>
      </c>
      <c r="AC2145" s="65" t="b">
        <f>FALSE()</f>
        <v>0</v>
      </c>
      <c r="AD2145" s="65" t="b">
        <f>FALSE()</f>
        <v>0</v>
      </c>
      <c r="AE2145" s="65">
        <v>0</v>
      </c>
      <c r="AF2145" s="69">
        <v>0</v>
      </c>
      <c r="AG2145" s="65" t="s">
        <v>74</v>
      </c>
      <c r="AH2145" s="65" t="s">
        <v>7901</v>
      </c>
      <c r="AI2145">
        <f>IF(AND(OR(Company_Explorer!$B$5="All Companies",$E2145=Company_Explorer!$B$5),OR(Company_Explorer!$B$6="All Platforms",$B2145=Company_Explorer!$B$6),OR(Company_Explorer!$B$7="All Roles",$D2145=Company_Explorer!$B$7),OR(Company_Explorer!$B$8="All Ghost Labels",$AG2145=Company_Explorer!$B$8)),1,0)</f>
        <v>0</v>
      </c>
    </row>
    <row r="2146" spans="1:35" ht="15" customHeight="1" x14ac:dyDescent="0.3">
      <c r="A2146" s="60" t="s">
        <v>7902</v>
      </c>
      <c r="B2146" s="60" t="s">
        <v>82</v>
      </c>
      <c r="C2146" s="60" t="s">
        <v>718</v>
      </c>
      <c r="D2146" s="60" t="s">
        <v>125</v>
      </c>
      <c r="E2146" s="60" t="s">
        <v>7903</v>
      </c>
      <c r="F2146" s="60" t="b">
        <f>TRUE()</f>
        <v>1</v>
      </c>
      <c r="G2146" s="60" t="s">
        <v>165</v>
      </c>
      <c r="H2146" s="60" t="s">
        <v>165</v>
      </c>
      <c r="I2146" s="61">
        <v>46200</v>
      </c>
      <c r="J2146" s="61">
        <v>46210.285407094903</v>
      </c>
      <c r="K2146" s="60">
        <v>102</v>
      </c>
      <c r="L2146" s="60" t="s">
        <v>192</v>
      </c>
      <c r="M2146" s="60" t="s">
        <v>183</v>
      </c>
      <c r="N2146" s="60" t="b">
        <f>FALSE()</f>
        <v>0</v>
      </c>
      <c r="O2146" s="60"/>
      <c r="P2146" s="60"/>
      <c r="Q2146" s="60" t="s">
        <v>3663</v>
      </c>
      <c r="R2146" s="60" t="s">
        <v>236</v>
      </c>
      <c r="S2146" s="60"/>
      <c r="T2146" s="60" t="b">
        <f>FALSE()</f>
        <v>0</v>
      </c>
      <c r="U2146" s="60" t="b">
        <f>FALSE()</f>
        <v>0</v>
      </c>
      <c r="V2146" s="60">
        <v>517</v>
      </c>
      <c r="W2146" s="62" t="s">
        <v>7904</v>
      </c>
      <c r="X2146" s="60">
        <v>1</v>
      </c>
      <c r="Y2146" s="63">
        <v>0.24</v>
      </c>
      <c r="Z2146" s="60" t="b">
        <f>FALSE()</f>
        <v>0</v>
      </c>
      <c r="AA2146" s="60" t="b">
        <f>TRUE()</f>
        <v>1</v>
      </c>
      <c r="AB2146" s="60" t="b">
        <f>FALSE()</f>
        <v>0</v>
      </c>
      <c r="AC2146" s="60" t="b">
        <f>FALSE()</f>
        <v>0</v>
      </c>
      <c r="AD2146" s="60" t="b">
        <f>FALSE()</f>
        <v>0</v>
      </c>
      <c r="AE2146" s="60">
        <v>1</v>
      </c>
      <c r="AF2146" s="64">
        <v>14.3</v>
      </c>
      <c r="AG2146" s="60" t="s">
        <v>74</v>
      </c>
      <c r="AH2146" s="60" t="s">
        <v>7905</v>
      </c>
      <c r="AI2146">
        <f>IF(AND(OR(Company_Explorer!$B$5="All Companies",$E2146=Company_Explorer!$B$5),OR(Company_Explorer!$B$6="All Platforms",$B2146=Company_Explorer!$B$6),OR(Company_Explorer!$B$7="All Roles",$D2146=Company_Explorer!$B$7),OR(Company_Explorer!$B$8="All Ghost Labels",$AG2146=Company_Explorer!$B$8)),1,0)</f>
        <v>0</v>
      </c>
    </row>
    <row r="2147" spans="1:35" ht="15" customHeight="1" x14ac:dyDescent="0.3">
      <c r="A2147" s="65" t="s">
        <v>7906</v>
      </c>
      <c r="B2147" s="65" t="s">
        <v>82</v>
      </c>
      <c r="C2147" s="65" t="s">
        <v>125</v>
      </c>
      <c r="D2147" s="65" t="s">
        <v>125</v>
      </c>
      <c r="E2147" s="65" t="s">
        <v>7907</v>
      </c>
      <c r="F2147" s="65" t="b">
        <f>TRUE()</f>
        <v>1</v>
      </c>
      <c r="G2147" s="65" t="s">
        <v>175</v>
      </c>
      <c r="H2147" s="65" t="s">
        <v>254</v>
      </c>
      <c r="I2147" s="66">
        <v>46183</v>
      </c>
      <c r="J2147" s="66">
        <v>46210.285408483804</v>
      </c>
      <c r="K2147" s="65">
        <v>27</v>
      </c>
      <c r="L2147" s="65" t="s">
        <v>192</v>
      </c>
      <c r="M2147" s="65" t="s">
        <v>183</v>
      </c>
      <c r="N2147" s="65" t="b">
        <f>TRUE()</f>
        <v>1</v>
      </c>
      <c r="O2147" s="71">
        <v>800000</v>
      </c>
      <c r="P2147" s="71">
        <v>980000</v>
      </c>
      <c r="Q2147" s="65" t="s">
        <v>3663</v>
      </c>
      <c r="R2147" s="65" t="s">
        <v>7351</v>
      </c>
      <c r="S2147" s="71">
        <v>890000</v>
      </c>
      <c r="T2147" s="65" t="b">
        <f>TRUE()</f>
        <v>1</v>
      </c>
      <c r="U2147" s="65" t="b">
        <f>FALSE()</f>
        <v>0</v>
      </c>
      <c r="V2147" s="65">
        <v>645</v>
      </c>
      <c r="W2147" s="67" t="s">
        <v>7908</v>
      </c>
      <c r="X2147" s="65">
        <v>3</v>
      </c>
      <c r="Y2147" s="68">
        <v>0.72</v>
      </c>
      <c r="Z2147" s="65" t="b">
        <f>FALSE()</f>
        <v>0</v>
      </c>
      <c r="AA2147" s="65" t="b">
        <f>FALSE()</f>
        <v>0</v>
      </c>
      <c r="AB2147" s="65" t="b">
        <f>FALSE()</f>
        <v>0</v>
      </c>
      <c r="AC2147" s="65" t="b">
        <f>FALSE()</f>
        <v>0</v>
      </c>
      <c r="AD2147" s="65" t="b">
        <f>FALSE()</f>
        <v>0</v>
      </c>
      <c r="AE2147" s="65">
        <v>0</v>
      </c>
      <c r="AF2147" s="69">
        <v>0</v>
      </c>
      <c r="AG2147" s="65" t="s">
        <v>74</v>
      </c>
      <c r="AH2147" s="65" t="s">
        <v>7909</v>
      </c>
      <c r="AI2147">
        <f>IF(AND(OR(Company_Explorer!$B$5="All Companies",$E2147=Company_Explorer!$B$5),OR(Company_Explorer!$B$6="All Platforms",$B2147=Company_Explorer!$B$6),OR(Company_Explorer!$B$7="All Roles",$D2147=Company_Explorer!$B$7),OR(Company_Explorer!$B$8="All Ghost Labels",$AG2147=Company_Explorer!$B$8)),1,0)</f>
        <v>0</v>
      </c>
    </row>
    <row r="2148" spans="1:35" ht="15" customHeight="1" x14ac:dyDescent="0.3">
      <c r="A2148" s="60" t="s">
        <v>7910</v>
      </c>
      <c r="B2148" s="60" t="s">
        <v>82</v>
      </c>
      <c r="C2148" s="60" t="s">
        <v>4509</v>
      </c>
      <c r="D2148" s="60" t="s">
        <v>131</v>
      </c>
      <c r="E2148" s="60" t="s">
        <v>3726</v>
      </c>
      <c r="F2148" s="60" t="b">
        <f>FALSE()</f>
        <v>0</v>
      </c>
      <c r="G2148" s="60" t="s">
        <v>7911</v>
      </c>
      <c r="H2148" s="60" t="s">
        <v>276</v>
      </c>
      <c r="I2148" s="61">
        <v>46211</v>
      </c>
      <c r="J2148" s="61">
        <v>46210.285409189797</v>
      </c>
      <c r="K2148" s="60">
        <v>0</v>
      </c>
      <c r="L2148" s="60" t="s">
        <v>192</v>
      </c>
      <c r="M2148" s="60" t="s">
        <v>183</v>
      </c>
      <c r="N2148" s="60" t="b">
        <f>TRUE()</f>
        <v>1</v>
      </c>
      <c r="O2148" s="70">
        <v>15000</v>
      </c>
      <c r="P2148" s="70">
        <v>20000</v>
      </c>
      <c r="Q2148" s="60" t="s">
        <v>3663</v>
      </c>
      <c r="R2148" s="60" t="s">
        <v>7445</v>
      </c>
      <c r="S2148" s="70">
        <v>210000</v>
      </c>
      <c r="T2148" s="60" t="b">
        <f>TRUE()</f>
        <v>1</v>
      </c>
      <c r="U2148" s="60" t="b">
        <f>FALSE()</f>
        <v>0</v>
      </c>
      <c r="V2148" s="60">
        <v>206</v>
      </c>
      <c r="W2148" s="62" t="s">
        <v>4511</v>
      </c>
      <c r="X2148" s="60"/>
      <c r="Y2148" s="63"/>
      <c r="Z2148" s="60" t="b">
        <f>TRUE()</f>
        <v>1</v>
      </c>
      <c r="AA2148" s="60" t="b">
        <f>FALSE()</f>
        <v>0</v>
      </c>
      <c r="AB2148" s="60" t="b">
        <f>TRUE()</f>
        <v>1</v>
      </c>
      <c r="AC2148" s="60" t="b">
        <f>FALSE()</f>
        <v>0</v>
      </c>
      <c r="AD2148" s="60" t="b">
        <f>FALSE()</f>
        <v>0</v>
      </c>
      <c r="AE2148" s="60">
        <v>3</v>
      </c>
      <c r="AF2148" s="64">
        <v>42.9</v>
      </c>
      <c r="AG2148" s="60" t="s">
        <v>73</v>
      </c>
      <c r="AH2148" s="60" t="s">
        <v>7912</v>
      </c>
      <c r="AI2148">
        <f>IF(AND(OR(Company_Explorer!$B$5="All Companies",$E2148=Company_Explorer!$B$5),OR(Company_Explorer!$B$6="All Platforms",$B2148=Company_Explorer!$B$6),OR(Company_Explorer!$B$7="All Roles",$D2148=Company_Explorer!$B$7),OR(Company_Explorer!$B$8="All Ghost Labels",$AG2148=Company_Explorer!$B$8)),1,0)</f>
        <v>0</v>
      </c>
    </row>
    <row r="2149" spans="1:35" ht="15" customHeight="1" x14ac:dyDescent="0.3">
      <c r="A2149" s="65" t="s">
        <v>7913</v>
      </c>
      <c r="B2149" s="65" t="s">
        <v>82</v>
      </c>
      <c r="C2149" s="65" t="s">
        <v>125</v>
      </c>
      <c r="D2149" s="65" t="s">
        <v>125</v>
      </c>
      <c r="E2149" s="65" t="s">
        <v>7856</v>
      </c>
      <c r="F2149" s="65" t="b">
        <f>TRUE()</f>
        <v>1</v>
      </c>
      <c r="G2149" s="65" t="s">
        <v>165</v>
      </c>
      <c r="H2149" s="65" t="s">
        <v>165</v>
      </c>
      <c r="I2149" s="66">
        <v>46183</v>
      </c>
      <c r="J2149" s="66">
        <v>46210.285412129597</v>
      </c>
      <c r="K2149" s="65">
        <v>27</v>
      </c>
      <c r="L2149" s="65" t="s">
        <v>183</v>
      </c>
      <c r="M2149" s="65" t="s">
        <v>183</v>
      </c>
      <c r="N2149" s="65" t="b">
        <f>FALSE()</f>
        <v>0</v>
      </c>
      <c r="O2149" s="65"/>
      <c r="P2149" s="65"/>
      <c r="Q2149" s="65" t="s">
        <v>3663</v>
      </c>
      <c r="R2149" s="65" t="s">
        <v>236</v>
      </c>
      <c r="S2149" s="65"/>
      <c r="T2149" s="65" t="b">
        <f>FALSE()</f>
        <v>0</v>
      </c>
      <c r="U2149" s="65" t="b">
        <f>FALSE()</f>
        <v>0</v>
      </c>
      <c r="V2149" s="65">
        <v>278</v>
      </c>
      <c r="W2149" s="67" t="s">
        <v>7914</v>
      </c>
      <c r="X2149" s="65">
        <v>2</v>
      </c>
      <c r="Y2149" s="68">
        <v>0.48</v>
      </c>
      <c r="Z2149" s="65" t="b">
        <f>FALSE()</f>
        <v>0</v>
      </c>
      <c r="AA2149" s="65" t="b">
        <f>TRUE()</f>
        <v>1</v>
      </c>
      <c r="AB2149" s="65" t="b">
        <f>FALSE()</f>
        <v>0</v>
      </c>
      <c r="AC2149" s="65" t="b">
        <f>FALSE()</f>
        <v>0</v>
      </c>
      <c r="AD2149" s="65" t="b">
        <f>FALSE()</f>
        <v>0</v>
      </c>
      <c r="AE2149" s="65">
        <v>1</v>
      </c>
      <c r="AF2149" s="69">
        <v>14.3</v>
      </c>
      <c r="AG2149" s="65" t="s">
        <v>74</v>
      </c>
      <c r="AH2149" s="65" t="s">
        <v>7915</v>
      </c>
      <c r="AI2149">
        <f>IF(AND(OR(Company_Explorer!$B$5="All Companies",$E2149=Company_Explorer!$B$5),OR(Company_Explorer!$B$6="All Platforms",$B2149=Company_Explorer!$B$6),OR(Company_Explorer!$B$7="All Roles",$D2149=Company_Explorer!$B$7),OR(Company_Explorer!$B$8="All Ghost Labels",$AG2149=Company_Explorer!$B$8)),1,0)</f>
        <v>0</v>
      </c>
    </row>
    <row r="2150" spans="1:35" ht="15" customHeight="1" x14ac:dyDescent="0.3">
      <c r="A2150" s="60" t="s">
        <v>7916</v>
      </c>
      <c r="B2150" s="60" t="s">
        <v>82</v>
      </c>
      <c r="C2150" s="60" t="s">
        <v>7917</v>
      </c>
      <c r="D2150" s="60" t="s">
        <v>125</v>
      </c>
      <c r="E2150" s="60" t="s">
        <v>3726</v>
      </c>
      <c r="F2150" s="60" t="b">
        <f>FALSE()</f>
        <v>0</v>
      </c>
      <c r="G2150" s="60" t="s">
        <v>7918</v>
      </c>
      <c r="H2150" s="60" t="s">
        <v>270</v>
      </c>
      <c r="I2150" s="61">
        <v>46195</v>
      </c>
      <c r="J2150" s="61">
        <v>46210.285412986101</v>
      </c>
      <c r="K2150" s="60">
        <v>47</v>
      </c>
      <c r="L2150" s="60" t="s">
        <v>192</v>
      </c>
      <c r="M2150" s="60" t="s">
        <v>183</v>
      </c>
      <c r="N2150" s="60" t="b">
        <f>TRUE()</f>
        <v>1</v>
      </c>
      <c r="O2150" s="70">
        <v>200000</v>
      </c>
      <c r="P2150" s="70">
        <v>600000</v>
      </c>
      <c r="Q2150" s="60" t="s">
        <v>3663</v>
      </c>
      <c r="R2150" s="60" t="s">
        <v>7351</v>
      </c>
      <c r="S2150" s="70">
        <v>400000</v>
      </c>
      <c r="T2150" s="60" t="b">
        <f>TRUE()</f>
        <v>1</v>
      </c>
      <c r="U2150" s="60" t="b">
        <f>FALSE()</f>
        <v>0</v>
      </c>
      <c r="V2150" s="60">
        <v>295</v>
      </c>
      <c r="W2150" s="62" t="s">
        <v>7919</v>
      </c>
      <c r="X2150" s="60"/>
      <c r="Y2150" s="63"/>
      <c r="Z2150" s="60" t="b">
        <f>TRUE()</f>
        <v>1</v>
      </c>
      <c r="AA2150" s="60" t="b">
        <f>FALSE()</f>
        <v>0</v>
      </c>
      <c r="AB2150" s="60" t="b">
        <f>FALSE()</f>
        <v>0</v>
      </c>
      <c r="AC2150" s="60" t="b">
        <f>FALSE()</f>
        <v>0</v>
      </c>
      <c r="AD2150" s="60" t="b">
        <f>FALSE()</f>
        <v>0</v>
      </c>
      <c r="AE2150" s="60">
        <v>2</v>
      </c>
      <c r="AF2150" s="64">
        <v>28.6</v>
      </c>
      <c r="AG2150" s="60" t="s">
        <v>73</v>
      </c>
      <c r="AH2150" s="60" t="s">
        <v>7920</v>
      </c>
      <c r="AI2150">
        <f>IF(AND(OR(Company_Explorer!$B$5="All Companies",$E2150=Company_Explorer!$B$5),OR(Company_Explorer!$B$6="All Platforms",$B2150=Company_Explorer!$B$6),OR(Company_Explorer!$B$7="All Roles",$D2150=Company_Explorer!$B$7),OR(Company_Explorer!$B$8="All Ghost Labels",$AG2150=Company_Explorer!$B$8)),1,0)</f>
        <v>0</v>
      </c>
    </row>
    <row r="2151" spans="1:35" ht="15" customHeight="1" x14ac:dyDescent="0.3">
      <c r="A2151" s="65" t="s">
        <v>7921</v>
      </c>
      <c r="B2151" s="65" t="s">
        <v>82</v>
      </c>
      <c r="C2151" s="65" t="s">
        <v>7922</v>
      </c>
      <c r="D2151" s="65" t="s">
        <v>125</v>
      </c>
      <c r="E2151" s="65" t="s">
        <v>7641</v>
      </c>
      <c r="F2151" s="65" t="b">
        <f>TRUE()</f>
        <v>1</v>
      </c>
      <c r="G2151" s="65" t="s">
        <v>172</v>
      </c>
      <c r="H2151" s="65" t="s">
        <v>276</v>
      </c>
      <c r="I2151" s="66">
        <v>46201</v>
      </c>
      <c r="J2151" s="66">
        <v>46210.285415335697</v>
      </c>
      <c r="K2151" s="65">
        <v>130</v>
      </c>
      <c r="L2151" s="65" t="s">
        <v>183</v>
      </c>
      <c r="M2151" s="65" t="s">
        <v>183</v>
      </c>
      <c r="N2151" s="65" t="b">
        <f>FALSE()</f>
        <v>0</v>
      </c>
      <c r="O2151" s="65"/>
      <c r="P2151" s="65"/>
      <c r="Q2151" s="65" t="s">
        <v>3663</v>
      </c>
      <c r="R2151" s="65" t="s">
        <v>236</v>
      </c>
      <c r="S2151" s="65"/>
      <c r="T2151" s="65" t="b">
        <f>FALSE()</f>
        <v>0</v>
      </c>
      <c r="U2151" s="65" t="b">
        <f>FALSE()</f>
        <v>0</v>
      </c>
      <c r="V2151" s="65">
        <v>76</v>
      </c>
      <c r="W2151" s="67" t="s">
        <v>7923</v>
      </c>
      <c r="X2151" s="65">
        <v>2</v>
      </c>
      <c r="Y2151" s="68">
        <v>0.48</v>
      </c>
      <c r="Z2151" s="65" t="b">
        <f>FALSE()</f>
        <v>0</v>
      </c>
      <c r="AA2151" s="65" t="b">
        <f>TRUE()</f>
        <v>1</v>
      </c>
      <c r="AB2151" s="65" t="b">
        <f>TRUE()</f>
        <v>1</v>
      </c>
      <c r="AC2151" s="65" t="b">
        <f>TRUE()</f>
        <v>1</v>
      </c>
      <c r="AD2151" s="65" t="b">
        <f>FALSE()</f>
        <v>0</v>
      </c>
      <c r="AE2151" s="65">
        <v>3</v>
      </c>
      <c r="AF2151" s="69">
        <v>42.9</v>
      </c>
      <c r="AG2151" s="65" t="s">
        <v>73</v>
      </c>
      <c r="AH2151" s="65" t="s">
        <v>7924</v>
      </c>
      <c r="AI2151">
        <f>IF(AND(OR(Company_Explorer!$B$5="All Companies",$E2151=Company_Explorer!$B$5),OR(Company_Explorer!$B$6="All Platforms",$B2151=Company_Explorer!$B$6),OR(Company_Explorer!$B$7="All Roles",$D2151=Company_Explorer!$B$7),OR(Company_Explorer!$B$8="All Ghost Labels",$AG2151=Company_Explorer!$B$8)),1,0)</f>
        <v>0</v>
      </c>
    </row>
    <row r="2152" spans="1:35" ht="15" customHeight="1" x14ac:dyDescent="0.3">
      <c r="A2152" s="60" t="s">
        <v>7925</v>
      </c>
      <c r="B2152" s="60" t="s">
        <v>82</v>
      </c>
      <c r="C2152" s="60" t="s">
        <v>7926</v>
      </c>
      <c r="D2152" s="60" t="s">
        <v>125</v>
      </c>
      <c r="E2152" s="60" t="s">
        <v>7927</v>
      </c>
      <c r="F2152" s="60" t="b">
        <f>TRUE()</f>
        <v>1</v>
      </c>
      <c r="G2152" s="60" t="s">
        <v>165</v>
      </c>
      <c r="H2152" s="60" t="s">
        <v>165</v>
      </c>
      <c r="I2152" s="61">
        <v>46204</v>
      </c>
      <c r="J2152" s="61">
        <v>46210.285417384301</v>
      </c>
      <c r="K2152" s="60">
        <v>97</v>
      </c>
      <c r="L2152" s="60" t="s">
        <v>192</v>
      </c>
      <c r="M2152" s="60" t="s">
        <v>183</v>
      </c>
      <c r="N2152" s="60" t="b">
        <f>FALSE()</f>
        <v>0</v>
      </c>
      <c r="O2152" s="60"/>
      <c r="P2152" s="60"/>
      <c r="Q2152" s="60" t="s">
        <v>3663</v>
      </c>
      <c r="R2152" s="60" t="s">
        <v>236</v>
      </c>
      <c r="S2152" s="60"/>
      <c r="T2152" s="60" t="b">
        <f>FALSE()</f>
        <v>0</v>
      </c>
      <c r="U2152" s="60" t="b">
        <f>FALSE()</f>
        <v>0</v>
      </c>
      <c r="V2152" s="60">
        <v>687</v>
      </c>
      <c r="W2152" s="62" t="s">
        <v>7928</v>
      </c>
      <c r="X2152" s="60">
        <v>2</v>
      </c>
      <c r="Y2152" s="63">
        <v>0.48</v>
      </c>
      <c r="Z2152" s="60" t="b">
        <f>FALSE()</f>
        <v>0</v>
      </c>
      <c r="AA2152" s="60" t="b">
        <f>TRUE()</f>
        <v>1</v>
      </c>
      <c r="AB2152" s="60" t="b">
        <f>FALSE()</f>
        <v>0</v>
      </c>
      <c r="AC2152" s="60" t="b">
        <f>FALSE()</f>
        <v>0</v>
      </c>
      <c r="AD2152" s="60" t="b">
        <f>FALSE()</f>
        <v>0</v>
      </c>
      <c r="AE2152" s="60">
        <v>1</v>
      </c>
      <c r="AF2152" s="64">
        <v>14.3</v>
      </c>
      <c r="AG2152" s="60" t="s">
        <v>74</v>
      </c>
      <c r="AH2152" s="60" t="s">
        <v>7929</v>
      </c>
      <c r="AI2152">
        <f>IF(AND(OR(Company_Explorer!$B$5="All Companies",$E2152=Company_Explorer!$B$5),OR(Company_Explorer!$B$6="All Platforms",$B2152=Company_Explorer!$B$6),OR(Company_Explorer!$B$7="All Roles",$D2152=Company_Explorer!$B$7),OR(Company_Explorer!$B$8="All Ghost Labels",$AG2152=Company_Explorer!$B$8)),1,0)</f>
        <v>0</v>
      </c>
    </row>
    <row r="2153" spans="1:35" ht="15" customHeight="1" x14ac:dyDescent="0.3">
      <c r="A2153" s="65" t="s">
        <v>7930</v>
      </c>
      <c r="B2153" s="65" t="s">
        <v>82</v>
      </c>
      <c r="C2153" s="65" t="s">
        <v>7931</v>
      </c>
      <c r="D2153" s="65" t="s">
        <v>131</v>
      </c>
      <c r="E2153" s="65" t="s">
        <v>7487</v>
      </c>
      <c r="F2153" s="65" t="b">
        <f>TRUE()</f>
        <v>1</v>
      </c>
      <c r="G2153" s="65" t="s">
        <v>165</v>
      </c>
      <c r="H2153" s="65" t="s">
        <v>165</v>
      </c>
      <c r="I2153" s="66">
        <v>46192</v>
      </c>
      <c r="J2153" s="66">
        <v>46210.285417361098</v>
      </c>
      <c r="K2153" s="65">
        <v>18</v>
      </c>
      <c r="L2153" s="65" t="s">
        <v>188</v>
      </c>
      <c r="M2153" s="65" t="s">
        <v>183</v>
      </c>
      <c r="N2153" s="65" t="b">
        <f>FALSE()</f>
        <v>0</v>
      </c>
      <c r="O2153" s="65"/>
      <c r="P2153" s="65"/>
      <c r="Q2153" s="65" t="s">
        <v>3663</v>
      </c>
      <c r="R2153" s="65" t="s">
        <v>236</v>
      </c>
      <c r="S2153" s="65"/>
      <c r="T2153" s="65" t="b">
        <f>FALSE()</f>
        <v>0</v>
      </c>
      <c r="U2153" s="65" t="b">
        <f>FALSE()</f>
        <v>0</v>
      </c>
      <c r="V2153" s="65">
        <v>585</v>
      </c>
      <c r="W2153" s="67" t="s">
        <v>7932</v>
      </c>
      <c r="X2153" s="65">
        <v>5</v>
      </c>
      <c r="Y2153" s="68">
        <v>1.21</v>
      </c>
      <c r="Z2153" s="65" t="b">
        <f>FALSE()</f>
        <v>0</v>
      </c>
      <c r="AA2153" s="65" t="b">
        <f>TRUE()</f>
        <v>1</v>
      </c>
      <c r="AB2153" s="65" t="b">
        <f>FALSE()</f>
        <v>0</v>
      </c>
      <c r="AC2153" s="65" t="b">
        <f>FALSE()</f>
        <v>0</v>
      </c>
      <c r="AD2153" s="65" t="b">
        <f>FALSE()</f>
        <v>0</v>
      </c>
      <c r="AE2153" s="65">
        <v>1</v>
      </c>
      <c r="AF2153" s="69">
        <v>14.3</v>
      </c>
      <c r="AG2153" s="65" t="s">
        <v>74</v>
      </c>
      <c r="AH2153" s="65" t="s">
        <v>7933</v>
      </c>
      <c r="AI2153">
        <f>IF(AND(OR(Company_Explorer!$B$5="All Companies",$E2153=Company_Explorer!$B$5),OR(Company_Explorer!$B$6="All Platforms",$B2153=Company_Explorer!$B$6),OR(Company_Explorer!$B$7="All Roles",$D2153=Company_Explorer!$B$7),OR(Company_Explorer!$B$8="All Ghost Labels",$AG2153=Company_Explorer!$B$8)),1,0)</f>
        <v>0</v>
      </c>
    </row>
    <row r="2154" spans="1:35" ht="15" customHeight="1" x14ac:dyDescent="0.3">
      <c r="A2154" s="60" t="s">
        <v>7934</v>
      </c>
      <c r="B2154" s="60" t="s">
        <v>82</v>
      </c>
      <c r="C2154" s="60" t="s">
        <v>4452</v>
      </c>
      <c r="D2154" s="60" t="s">
        <v>125</v>
      </c>
      <c r="E2154" s="60" t="s">
        <v>7723</v>
      </c>
      <c r="F2154" s="60" t="b">
        <f>TRUE()</f>
        <v>1</v>
      </c>
      <c r="G2154" s="60" t="s">
        <v>167</v>
      </c>
      <c r="H2154" s="60" t="s">
        <v>276</v>
      </c>
      <c r="I2154" s="61">
        <v>46211</v>
      </c>
      <c r="J2154" s="61">
        <v>46210.285423090303</v>
      </c>
      <c r="K2154" s="60">
        <v>0</v>
      </c>
      <c r="L2154" s="60" t="s">
        <v>192</v>
      </c>
      <c r="M2154" s="60" t="s">
        <v>183</v>
      </c>
      <c r="N2154" s="60" t="b">
        <f>TRUE()</f>
        <v>1</v>
      </c>
      <c r="O2154" s="70">
        <v>313991</v>
      </c>
      <c r="P2154" s="70">
        <v>848500</v>
      </c>
      <c r="Q2154" s="60" t="s">
        <v>3663</v>
      </c>
      <c r="R2154" s="60" t="s">
        <v>7351</v>
      </c>
      <c r="S2154" s="70">
        <v>581246</v>
      </c>
      <c r="T2154" s="60" t="b">
        <f>TRUE()</f>
        <v>1</v>
      </c>
      <c r="U2154" s="60" t="b">
        <f>FALSE()</f>
        <v>0</v>
      </c>
      <c r="V2154" s="60">
        <v>604</v>
      </c>
      <c r="W2154" s="60" t="s">
        <v>733</v>
      </c>
      <c r="X2154" s="60">
        <v>4</v>
      </c>
      <c r="Y2154" s="63">
        <v>0.97</v>
      </c>
      <c r="Z2154" s="60" t="b">
        <f>FALSE()</f>
        <v>0</v>
      </c>
      <c r="AA2154" s="60" t="b">
        <f>FALSE()</f>
        <v>0</v>
      </c>
      <c r="AB2154" s="60" t="b">
        <f>FALSE()</f>
        <v>0</v>
      </c>
      <c r="AC2154" s="60" t="b">
        <f>FALSE()</f>
        <v>0</v>
      </c>
      <c r="AD2154" s="60" t="b">
        <f>FALSE()</f>
        <v>0</v>
      </c>
      <c r="AE2154" s="60">
        <v>0</v>
      </c>
      <c r="AF2154" s="64">
        <v>0</v>
      </c>
      <c r="AG2154" s="60" t="s">
        <v>74</v>
      </c>
      <c r="AH2154" s="60" t="s">
        <v>7935</v>
      </c>
      <c r="AI2154">
        <f>IF(AND(OR(Company_Explorer!$B$5="All Companies",$E2154=Company_Explorer!$B$5),OR(Company_Explorer!$B$6="All Platforms",$B2154=Company_Explorer!$B$6),OR(Company_Explorer!$B$7="All Roles",$D2154=Company_Explorer!$B$7),OR(Company_Explorer!$B$8="All Ghost Labels",$AG2154=Company_Explorer!$B$8)),1,0)</f>
        <v>0</v>
      </c>
    </row>
    <row r="2155" spans="1:35" ht="15" customHeight="1" x14ac:dyDescent="0.3">
      <c r="A2155" s="65" t="s">
        <v>7936</v>
      </c>
      <c r="B2155" s="65" t="s">
        <v>82</v>
      </c>
      <c r="C2155" s="65" t="s">
        <v>7937</v>
      </c>
      <c r="D2155" s="65" t="s">
        <v>130</v>
      </c>
      <c r="E2155" s="65" t="s">
        <v>150</v>
      </c>
      <c r="F2155" s="65" t="b">
        <f>TRUE()</f>
        <v>1</v>
      </c>
      <c r="G2155" s="65" t="s">
        <v>175</v>
      </c>
      <c r="H2155" s="65" t="s">
        <v>254</v>
      </c>
      <c r="I2155" s="66">
        <v>46182</v>
      </c>
      <c r="J2155" s="66">
        <v>46210.285427731498</v>
      </c>
      <c r="K2155" s="65">
        <v>29</v>
      </c>
      <c r="L2155" s="65" t="s">
        <v>192</v>
      </c>
      <c r="M2155" s="65" t="s">
        <v>183</v>
      </c>
      <c r="N2155" s="65" t="b">
        <f>FALSE()</f>
        <v>0</v>
      </c>
      <c r="O2155" s="65"/>
      <c r="P2155" s="65"/>
      <c r="Q2155" s="65" t="s">
        <v>3663</v>
      </c>
      <c r="R2155" s="65" t="s">
        <v>236</v>
      </c>
      <c r="S2155" s="65"/>
      <c r="T2155" s="65" t="b">
        <f>FALSE()</f>
        <v>0</v>
      </c>
      <c r="U2155" s="65" t="b">
        <f>FALSE()</f>
        <v>0</v>
      </c>
      <c r="V2155" s="65">
        <v>488</v>
      </c>
      <c r="W2155" s="67" t="s">
        <v>3698</v>
      </c>
      <c r="X2155" s="65">
        <v>18</v>
      </c>
      <c r="Y2155" s="68">
        <v>4.34</v>
      </c>
      <c r="Z2155" s="65" t="b">
        <f>FALSE()</f>
        <v>0</v>
      </c>
      <c r="AA2155" s="65" t="b">
        <f>TRUE()</f>
        <v>1</v>
      </c>
      <c r="AB2155" s="65" t="b">
        <f>FALSE()</f>
        <v>0</v>
      </c>
      <c r="AC2155" s="65" t="b">
        <f>FALSE()</f>
        <v>0</v>
      </c>
      <c r="AD2155" s="65" t="b">
        <f>TRUE()</f>
        <v>1</v>
      </c>
      <c r="AE2155" s="65">
        <v>3</v>
      </c>
      <c r="AF2155" s="69">
        <v>42.9</v>
      </c>
      <c r="AG2155" s="65" t="s">
        <v>73</v>
      </c>
      <c r="AH2155" s="65" t="s">
        <v>7938</v>
      </c>
      <c r="AI2155">
        <f>IF(AND(OR(Company_Explorer!$B$5="All Companies",$E2155=Company_Explorer!$B$5),OR(Company_Explorer!$B$6="All Platforms",$B2155=Company_Explorer!$B$6),OR(Company_Explorer!$B$7="All Roles",$D2155=Company_Explorer!$B$7),OR(Company_Explorer!$B$8="All Ghost Labels",$AG2155=Company_Explorer!$B$8)),1,0)</f>
        <v>0</v>
      </c>
    </row>
    <row r="2156" spans="1:35" ht="15" customHeight="1" x14ac:dyDescent="0.3">
      <c r="A2156" s="60" t="s">
        <v>7939</v>
      </c>
      <c r="B2156" s="60" t="s">
        <v>82</v>
      </c>
      <c r="C2156" s="60" t="s">
        <v>7940</v>
      </c>
      <c r="D2156" s="60" t="s">
        <v>125</v>
      </c>
      <c r="E2156" s="60" t="s">
        <v>3726</v>
      </c>
      <c r="F2156" s="60" t="b">
        <f>FALSE()</f>
        <v>0</v>
      </c>
      <c r="G2156" s="60" t="s">
        <v>7941</v>
      </c>
      <c r="H2156" s="60" t="s">
        <v>2066</v>
      </c>
      <c r="I2156" s="61">
        <v>46202</v>
      </c>
      <c r="J2156" s="61">
        <v>46210.285428101903</v>
      </c>
      <c r="K2156" s="60">
        <v>9</v>
      </c>
      <c r="L2156" s="60" t="s">
        <v>192</v>
      </c>
      <c r="M2156" s="60" t="s">
        <v>183</v>
      </c>
      <c r="N2156" s="60" t="b">
        <f>TRUE()</f>
        <v>1</v>
      </c>
      <c r="O2156" s="70">
        <v>15000</v>
      </c>
      <c r="P2156" s="70">
        <v>22000</v>
      </c>
      <c r="Q2156" s="60" t="s">
        <v>3663</v>
      </c>
      <c r="R2156" s="60" t="s">
        <v>7445</v>
      </c>
      <c r="S2156" s="70">
        <v>222000</v>
      </c>
      <c r="T2156" s="60" t="b">
        <f>TRUE()</f>
        <v>1</v>
      </c>
      <c r="U2156" s="60" t="b">
        <f>FALSE()</f>
        <v>0</v>
      </c>
      <c r="V2156" s="60">
        <v>376</v>
      </c>
      <c r="W2156" s="62" t="s">
        <v>7942</v>
      </c>
      <c r="X2156" s="60"/>
      <c r="Y2156" s="63"/>
      <c r="Z2156" s="60" t="b">
        <f>TRUE()</f>
        <v>1</v>
      </c>
      <c r="AA2156" s="60" t="b">
        <f>FALSE()</f>
        <v>0</v>
      </c>
      <c r="AB2156" s="60" t="b">
        <f>FALSE()</f>
        <v>0</v>
      </c>
      <c r="AC2156" s="60" t="b">
        <f>FALSE()</f>
        <v>0</v>
      </c>
      <c r="AD2156" s="60" t="b">
        <f>FALSE()</f>
        <v>0</v>
      </c>
      <c r="AE2156" s="60">
        <v>2</v>
      </c>
      <c r="AF2156" s="64">
        <v>28.6</v>
      </c>
      <c r="AG2156" s="60" t="s">
        <v>73</v>
      </c>
      <c r="AH2156" s="60" t="s">
        <v>7943</v>
      </c>
      <c r="AI2156">
        <f>IF(AND(OR(Company_Explorer!$B$5="All Companies",$E2156=Company_Explorer!$B$5),OR(Company_Explorer!$B$6="All Platforms",$B2156=Company_Explorer!$B$6),OR(Company_Explorer!$B$7="All Roles",$D2156=Company_Explorer!$B$7),OR(Company_Explorer!$B$8="All Ghost Labels",$AG2156=Company_Explorer!$B$8)),1,0)</f>
        <v>0</v>
      </c>
    </row>
    <row r="2157" spans="1:35" ht="15" customHeight="1" x14ac:dyDescent="0.3">
      <c r="A2157" s="65" t="s">
        <v>7944</v>
      </c>
      <c r="B2157" s="65" t="s">
        <v>82</v>
      </c>
      <c r="C2157" s="65" t="s">
        <v>3328</v>
      </c>
      <c r="D2157" s="65" t="s">
        <v>129</v>
      </c>
      <c r="E2157" s="65" t="s">
        <v>7945</v>
      </c>
      <c r="F2157" s="65" t="b">
        <f>TRUE()</f>
        <v>1</v>
      </c>
      <c r="G2157" s="65" t="s">
        <v>166</v>
      </c>
      <c r="H2157" s="65" t="s">
        <v>235</v>
      </c>
      <c r="I2157" s="66">
        <v>46202</v>
      </c>
      <c r="J2157" s="66">
        <v>46210.285429583302</v>
      </c>
      <c r="K2157" s="65">
        <v>8</v>
      </c>
      <c r="L2157" s="65" t="s">
        <v>183</v>
      </c>
      <c r="M2157" s="65" t="s">
        <v>183</v>
      </c>
      <c r="N2157" s="65" t="b">
        <f>TRUE()</f>
        <v>1</v>
      </c>
      <c r="O2157" s="71">
        <v>287498</v>
      </c>
      <c r="P2157" s="71">
        <v>597500</v>
      </c>
      <c r="Q2157" s="65" t="s">
        <v>3663</v>
      </c>
      <c r="R2157" s="65" t="s">
        <v>7351</v>
      </c>
      <c r="S2157" s="71">
        <v>442499</v>
      </c>
      <c r="T2157" s="65" t="b">
        <f>TRUE()</f>
        <v>1</v>
      </c>
      <c r="U2157" s="65" t="b">
        <f>FALSE()</f>
        <v>0</v>
      </c>
      <c r="V2157" s="65">
        <v>216</v>
      </c>
      <c r="W2157" s="67" t="s">
        <v>7946</v>
      </c>
      <c r="X2157" s="65">
        <v>1</v>
      </c>
      <c r="Y2157" s="68">
        <v>0.24</v>
      </c>
      <c r="Z2157" s="65" t="b">
        <f>FALSE()</f>
        <v>0</v>
      </c>
      <c r="AA2157" s="65" t="b">
        <f>FALSE()</f>
        <v>0</v>
      </c>
      <c r="AB2157" s="65" t="b">
        <f>FALSE()</f>
        <v>0</v>
      </c>
      <c r="AC2157" s="65" t="b">
        <f>FALSE()</f>
        <v>0</v>
      </c>
      <c r="AD2157" s="65" t="b">
        <f>FALSE()</f>
        <v>0</v>
      </c>
      <c r="AE2157" s="65">
        <v>0</v>
      </c>
      <c r="AF2157" s="69">
        <v>0</v>
      </c>
      <c r="AG2157" s="65" t="s">
        <v>74</v>
      </c>
      <c r="AH2157" s="65" t="s">
        <v>7947</v>
      </c>
      <c r="AI2157">
        <f>IF(AND(OR(Company_Explorer!$B$5="All Companies",$E2157=Company_Explorer!$B$5),OR(Company_Explorer!$B$6="All Platforms",$B2157=Company_Explorer!$B$6),OR(Company_Explorer!$B$7="All Roles",$D2157=Company_Explorer!$B$7),OR(Company_Explorer!$B$8="All Ghost Labels",$AG2157=Company_Explorer!$B$8)),1,0)</f>
        <v>0</v>
      </c>
    </row>
    <row r="2158" spans="1:35" ht="15" customHeight="1" x14ac:dyDescent="0.3">
      <c r="A2158" s="60" t="s">
        <v>7948</v>
      </c>
      <c r="B2158" s="60" t="s">
        <v>82</v>
      </c>
      <c r="C2158" s="60" t="s">
        <v>7949</v>
      </c>
      <c r="D2158" s="60" t="s">
        <v>129</v>
      </c>
      <c r="E2158" s="60" t="s">
        <v>7907</v>
      </c>
      <c r="F2158" s="60" t="b">
        <f>TRUE()</f>
        <v>1</v>
      </c>
      <c r="G2158" s="60" t="s">
        <v>175</v>
      </c>
      <c r="H2158" s="60" t="s">
        <v>254</v>
      </c>
      <c r="I2158" s="61">
        <v>46200</v>
      </c>
      <c r="J2158" s="61">
        <v>46210.285429745403</v>
      </c>
      <c r="K2158" s="60">
        <v>10</v>
      </c>
      <c r="L2158" s="60" t="s">
        <v>192</v>
      </c>
      <c r="M2158" s="60" t="s">
        <v>183</v>
      </c>
      <c r="N2158" s="60" t="b">
        <f>TRUE()</f>
        <v>1</v>
      </c>
      <c r="O2158" s="70">
        <v>80000</v>
      </c>
      <c r="P2158" s="70">
        <v>137800</v>
      </c>
      <c r="Q2158" s="60" t="s">
        <v>3663</v>
      </c>
      <c r="R2158" s="60" t="s">
        <v>7351</v>
      </c>
      <c r="S2158" s="70">
        <v>108900</v>
      </c>
      <c r="T2158" s="60" t="b">
        <f>TRUE()</f>
        <v>1</v>
      </c>
      <c r="U2158" s="60" t="b">
        <f>FALSE()</f>
        <v>0</v>
      </c>
      <c r="V2158" s="60">
        <v>449</v>
      </c>
      <c r="W2158" s="62" t="s">
        <v>7908</v>
      </c>
      <c r="X2158" s="60">
        <v>3</v>
      </c>
      <c r="Y2158" s="63">
        <v>0.72</v>
      </c>
      <c r="Z2158" s="60" t="b">
        <f>FALSE()</f>
        <v>0</v>
      </c>
      <c r="AA2158" s="60" t="b">
        <f>FALSE()</f>
        <v>0</v>
      </c>
      <c r="AB2158" s="60" t="b">
        <f>FALSE()</f>
        <v>0</v>
      </c>
      <c r="AC2158" s="60" t="b">
        <f>FALSE()</f>
        <v>0</v>
      </c>
      <c r="AD2158" s="60" t="b">
        <f>FALSE()</f>
        <v>0</v>
      </c>
      <c r="AE2158" s="60">
        <v>0</v>
      </c>
      <c r="AF2158" s="64">
        <v>0</v>
      </c>
      <c r="AG2158" s="60" t="s">
        <v>74</v>
      </c>
      <c r="AH2158" s="60" t="s">
        <v>7950</v>
      </c>
      <c r="AI2158">
        <f>IF(AND(OR(Company_Explorer!$B$5="All Companies",$E2158=Company_Explorer!$B$5),OR(Company_Explorer!$B$6="All Platforms",$B2158=Company_Explorer!$B$6),OR(Company_Explorer!$B$7="All Roles",$D2158=Company_Explorer!$B$7),OR(Company_Explorer!$B$8="All Ghost Labels",$AG2158=Company_Explorer!$B$8)),1,0)</f>
        <v>0</v>
      </c>
    </row>
    <row r="2159" spans="1:35" ht="15" customHeight="1" x14ac:dyDescent="0.3">
      <c r="A2159" s="65" t="s">
        <v>7951</v>
      </c>
      <c r="B2159" s="65" t="s">
        <v>82</v>
      </c>
      <c r="C2159" s="65" t="s">
        <v>3328</v>
      </c>
      <c r="D2159" s="65" t="s">
        <v>129</v>
      </c>
      <c r="E2159" s="65" t="s">
        <v>7952</v>
      </c>
      <c r="F2159" s="65" t="b">
        <f>TRUE()</f>
        <v>1</v>
      </c>
      <c r="G2159" s="65" t="s">
        <v>7953</v>
      </c>
      <c r="H2159" s="65" t="s">
        <v>2809</v>
      </c>
      <c r="I2159" s="66">
        <v>46206</v>
      </c>
      <c r="J2159" s="66">
        <v>46210.285434143501</v>
      </c>
      <c r="K2159" s="65">
        <v>4</v>
      </c>
      <c r="L2159" s="65" t="s">
        <v>193</v>
      </c>
      <c r="M2159" s="65" t="s">
        <v>183</v>
      </c>
      <c r="N2159" s="65" t="b">
        <f>TRUE()</f>
        <v>1</v>
      </c>
      <c r="O2159" s="71">
        <v>700000</v>
      </c>
      <c r="P2159" s="71">
        <v>800000</v>
      </c>
      <c r="Q2159" s="65" t="s">
        <v>3663</v>
      </c>
      <c r="R2159" s="65" t="s">
        <v>7351</v>
      </c>
      <c r="S2159" s="71">
        <v>750000</v>
      </c>
      <c r="T2159" s="65" t="b">
        <f>TRUE()</f>
        <v>1</v>
      </c>
      <c r="U2159" s="65" t="b">
        <f>FALSE()</f>
        <v>0</v>
      </c>
      <c r="V2159" s="65">
        <v>298</v>
      </c>
      <c r="W2159" s="67" t="s">
        <v>7954</v>
      </c>
      <c r="X2159" s="65">
        <v>2</v>
      </c>
      <c r="Y2159" s="68">
        <v>0.48</v>
      </c>
      <c r="Z2159" s="65" t="b">
        <f>FALSE()</f>
        <v>0</v>
      </c>
      <c r="AA2159" s="65" t="b">
        <f>FALSE()</f>
        <v>0</v>
      </c>
      <c r="AB2159" s="65" t="b">
        <f>FALSE()</f>
        <v>0</v>
      </c>
      <c r="AC2159" s="65" t="b">
        <f>FALSE()</f>
        <v>0</v>
      </c>
      <c r="AD2159" s="65" t="b">
        <f>FALSE()</f>
        <v>0</v>
      </c>
      <c r="AE2159" s="65">
        <v>0</v>
      </c>
      <c r="AF2159" s="69">
        <v>0</v>
      </c>
      <c r="AG2159" s="65" t="s">
        <v>74</v>
      </c>
      <c r="AH2159" s="65" t="s">
        <v>7955</v>
      </c>
      <c r="AI2159">
        <f>IF(AND(OR(Company_Explorer!$B$5="All Companies",$E2159=Company_Explorer!$B$5),OR(Company_Explorer!$B$6="All Platforms",$B2159=Company_Explorer!$B$6),OR(Company_Explorer!$B$7="All Roles",$D2159=Company_Explorer!$B$7),OR(Company_Explorer!$B$8="All Ghost Labels",$AG2159=Company_Explorer!$B$8)),1,0)</f>
        <v>0</v>
      </c>
    </row>
    <row r="2160" spans="1:35" ht="15" customHeight="1" x14ac:dyDescent="0.3">
      <c r="A2160" s="60" t="s">
        <v>7956</v>
      </c>
      <c r="B2160" s="60" t="s">
        <v>82</v>
      </c>
      <c r="C2160" s="60" t="s">
        <v>129</v>
      </c>
      <c r="D2160" s="60" t="s">
        <v>129</v>
      </c>
      <c r="E2160" s="60" t="s">
        <v>7459</v>
      </c>
      <c r="F2160" s="60" t="b">
        <f>TRUE()</f>
        <v>1</v>
      </c>
      <c r="G2160" s="60" t="s">
        <v>165</v>
      </c>
      <c r="H2160" s="60" t="s">
        <v>165</v>
      </c>
      <c r="I2160" s="61">
        <v>46187</v>
      </c>
      <c r="J2160" s="61">
        <v>46210.285438148101</v>
      </c>
      <c r="K2160" s="60">
        <v>84</v>
      </c>
      <c r="L2160" s="60" t="s">
        <v>192</v>
      </c>
      <c r="M2160" s="60" t="s">
        <v>183</v>
      </c>
      <c r="N2160" s="60" t="b">
        <f>FALSE()</f>
        <v>0</v>
      </c>
      <c r="O2160" s="60"/>
      <c r="P2160" s="60"/>
      <c r="Q2160" s="60" t="s">
        <v>3663</v>
      </c>
      <c r="R2160" s="60" t="s">
        <v>236</v>
      </c>
      <c r="S2160" s="60"/>
      <c r="T2160" s="60" t="b">
        <f>FALSE()</f>
        <v>0</v>
      </c>
      <c r="U2160" s="60" t="b">
        <f>FALSE()</f>
        <v>0</v>
      </c>
      <c r="V2160" s="60">
        <v>199</v>
      </c>
      <c r="W2160" s="62" t="s">
        <v>7957</v>
      </c>
      <c r="X2160" s="60">
        <v>3</v>
      </c>
      <c r="Y2160" s="63">
        <v>0.72</v>
      </c>
      <c r="Z2160" s="60" t="b">
        <f>FALSE()</f>
        <v>0</v>
      </c>
      <c r="AA2160" s="60" t="b">
        <f>TRUE()</f>
        <v>1</v>
      </c>
      <c r="AB2160" s="60" t="b">
        <f>TRUE()</f>
        <v>1</v>
      </c>
      <c r="AC2160" s="60" t="b">
        <f>FALSE()</f>
        <v>0</v>
      </c>
      <c r="AD2160" s="60" t="b">
        <f>FALSE()</f>
        <v>0</v>
      </c>
      <c r="AE2160" s="60">
        <v>2</v>
      </c>
      <c r="AF2160" s="64">
        <v>28.6</v>
      </c>
      <c r="AG2160" s="60" t="s">
        <v>73</v>
      </c>
      <c r="AH2160" s="60" t="s">
        <v>7958</v>
      </c>
      <c r="AI2160">
        <f>IF(AND(OR(Company_Explorer!$B$5="All Companies",$E2160=Company_Explorer!$B$5),OR(Company_Explorer!$B$6="All Platforms",$B2160=Company_Explorer!$B$6),OR(Company_Explorer!$B$7="All Roles",$D2160=Company_Explorer!$B$7),OR(Company_Explorer!$B$8="All Ghost Labels",$AG2160=Company_Explorer!$B$8)),1,0)</f>
        <v>0</v>
      </c>
    </row>
    <row r="2161" spans="1:35" ht="15" customHeight="1" x14ac:dyDescent="0.3">
      <c r="A2161" s="65" t="s">
        <v>7959</v>
      </c>
      <c r="B2161" s="65" t="s">
        <v>82</v>
      </c>
      <c r="C2161" s="65" t="s">
        <v>7960</v>
      </c>
      <c r="D2161" s="65" t="s">
        <v>129</v>
      </c>
      <c r="E2161" s="65" t="s">
        <v>7961</v>
      </c>
      <c r="F2161" s="65" t="b">
        <f>TRUE()</f>
        <v>1</v>
      </c>
      <c r="G2161" s="65" t="s">
        <v>166</v>
      </c>
      <c r="H2161" s="65" t="s">
        <v>235</v>
      </c>
      <c r="I2161" s="66">
        <v>46192</v>
      </c>
      <c r="J2161" s="66">
        <v>46210.285438911997</v>
      </c>
      <c r="K2161" s="65">
        <v>18</v>
      </c>
      <c r="L2161" s="65" t="s">
        <v>193</v>
      </c>
      <c r="M2161" s="65" t="s">
        <v>183</v>
      </c>
      <c r="N2161" s="65" t="b">
        <f>FALSE()</f>
        <v>0</v>
      </c>
      <c r="O2161" s="65"/>
      <c r="P2161" s="65"/>
      <c r="Q2161" s="65" t="s">
        <v>3663</v>
      </c>
      <c r="R2161" s="65" t="s">
        <v>236</v>
      </c>
      <c r="S2161" s="65"/>
      <c r="T2161" s="65" t="b">
        <f>FALSE()</f>
        <v>0</v>
      </c>
      <c r="U2161" s="65" t="b">
        <f>FALSE()</f>
        <v>0</v>
      </c>
      <c r="V2161" s="65">
        <v>278</v>
      </c>
      <c r="W2161" s="67" t="s">
        <v>7962</v>
      </c>
      <c r="X2161" s="65">
        <v>3</v>
      </c>
      <c r="Y2161" s="68">
        <v>0.72</v>
      </c>
      <c r="Z2161" s="65" t="b">
        <f>FALSE()</f>
        <v>0</v>
      </c>
      <c r="AA2161" s="65" t="b">
        <f>TRUE()</f>
        <v>1</v>
      </c>
      <c r="AB2161" s="65" t="b">
        <f>FALSE()</f>
        <v>0</v>
      </c>
      <c r="AC2161" s="65" t="b">
        <f>FALSE()</f>
        <v>0</v>
      </c>
      <c r="AD2161" s="65" t="b">
        <f>FALSE()</f>
        <v>0</v>
      </c>
      <c r="AE2161" s="65">
        <v>1</v>
      </c>
      <c r="AF2161" s="69">
        <v>14.3</v>
      </c>
      <c r="AG2161" s="65" t="s">
        <v>74</v>
      </c>
      <c r="AH2161" s="65" t="s">
        <v>7963</v>
      </c>
      <c r="AI2161">
        <f>IF(AND(OR(Company_Explorer!$B$5="All Companies",$E2161=Company_Explorer!$B$5),OR(Company_Explorer!$B$6="All Platforms",$B2161=Company_Explorer!$B$6),OR(Company_Explorer!$B$7="All Roles",$D2161=Company_Explorer!$B$7),OR(Company_Explorer!$B$8="All Ghost Labels",$AG2161=Company_Explorer!$B$8)),1,0)</f>
        <v>0</v>
      </c>
    </row>
    <row r="2162" spans="1:35" ht="15" customHeight="1" x14ac:dyDescent="0.3">
      <c r="A2162" s="60" t="s">
        <v>7964</v>
      </c>
      <c r="B2162" s="60" t="s">
        <v>82</v>
      </c>
      <c r="C2162" s="60" t="s">
        <v>7965</v>
      </c>
      <c r="D2162" s="60" t="s">
        <v>130</v>
      </c>
      <c r="E2162" s="60" t="s">
        <v>3726</v>
      </c>
      <c r="F2162" s="60" t="b">
        <f>FALSE()</f>
        <v>0</v>
      </c>
      <c r="G2162" s="60" t="s">
        <v>165</v>
      </c>
      <c r="H2162" s="60" t="s">
        <v>165</v>
      </c>
      <c r="I2162" s="61">
        <v>46198</v>
      </c>
      <c r="J2162" s="61">
        <v>46210.285439305597</v>
      </c>
      <c r="K2162" s="60">
        <v>12</v>
      </c>
      <c r="L2162" s="60" t="s">
        <v>192</v>
      </c>
      <c r="M2162" s="60" t="s">
        <v>183</v>
      </c>
      <c r="N2162" s="60" t="b">
        <f>TRUE()</f>
        <v>1</v>
      </c>
      <c r="O2162" s="70">
        <v>400000</v>
      </c>
      <c r="P2162" s="70">
        <v>700000</v>
      </c>
      <c r="Q2162" s="60" t="s">
        <v>3663</v>
      </c>
      <c r="R2162" s="60" t="s">
        <v>7351</v>
      </c>
      <c r="S2162" s="70">
        <v>550000</v>
      </c>
      <c r="T2162" s="60" t="b">
        <f>TRUE()</f>
        <v>1</v>
      </c>
      <c r="U2162" s="60" t="b">
        <f>FALSE()</f>
        <v>0</v>
      </c>
      <c r="V2162" s="60">
        <v>195</v>
      </c>
      <c r="W2162" s="62" t="s">
        <v>7966</v>
      </c>
      <c r="X2162" s="60"/>
      <c r="Y2162" s="63"/>
      <c r="Z2162" s="60" t="b">
        <f>TRUE()</f>
        <v>1</v>
      </c>
      <c r="AA2162" s="60" t="b">
        <f>FALSE()</f>
        <v>0</v>
      </c>
      <c r="AB2162" s="60" t="b">
        <f>TRUE()</f>
        <v>1</v>
      </c>
      <c r="AC2162" s="60" t="b">
        <f>FALSE()</f>
        <v>0</v>
      </c>
      <c r="AD2162" s="60" t="b">
        <f>FALSE()</f>
        <v>0</v>
      </c>
      <c r="AE2162" s="60">
        <v>3</v>
      </c>
      <c r="AF2162" s="64">
        <v>42.9</v>
      </c>
      <c r="AG2162" s="60" t="s">
        <v>73</v>
      </c>
      <c r="AH2162" s="60" t="s">
        <v>7967</v>
      </c>
      <c r="AI2162">
        <f>IF(AND(OR(Company_Explorer!$B$5="All Companies",$E2162=Company_Explorer!$B$5),OR(Company_Explorer!$B$6="All Platforms",$B2162=Company_Explorer!$B$6),OR(Company_Explorer!$B$7="All Roles",$D2162=Company_Explorer!$B$7),OR(Company_Explorer!$B$8="All Ghost Labels",$AG2162=Company_Explorer!$B$8)),1,0)</f>
        <v>0</v>
      </c>
    </row>
    <row r="2163" spans="1:35" ht="15" customHeight="1" x14ac:dyDescent="0.3">
      <c r="A2163" s="65" t="s">
        <v>7968</v>
      </c>
      <c r="B2163" s="65" t="s">
        <v>82</v>
      </c>
      <c r="C2163" s="65" t="s">
        <v>7969</v>
      </c>
      <c r="D2163" s="65" t="s">
        <v>129</v>
      </c>
      <c r="E2163" s="65" t="s">
        <v>7970</v>
      </c>
      <c r="F2163" s="65" t="b">
        <f>TRUE()</f>
        <v>1</v>
      </c>
      <c r="G2163" s="65" t="s">
        <v>165</v>
      </c>
      <c r="H2163" s="65" t="s">
        <v>165</v>
      </c>
      <c r="I2163" s="66">
        <v>46193</v>
      </c>
      <c r="J2163" s="66">
        <v>46210.285439988402</v>
      </c>
      <c r="K2163" s="65">
        <v>137</v>
      </c>
      <c r="L2163" s="65" t="s">
        <v>188</v>
      </c>
      <c r="M2163" s="65" t="s">
        <v>183</v>
      </c>
      <c r="N2163" s="65" t="b">
        <f>FALSE()</f>
        <v>0</v>
      </c>
      <c r="O2163" s="65"/>
      <c r="P2163" s="65"/>
      <c r="Q2163" s="65" t="s">
        <v>3663</v>
      </c>
      <c r="R2163" s="65" t="s">
        <v>236</v>
      </c>
      <c r="S2163" s="65"/>
      <c r="T2163" s="65" t="b">
        <f>FALSE()</f>
        <v>0</v>
      </c>
      <c r="U2163" s="65" t="b">
        <f>FALSE()</f>
        <v>0</v>
      </c>
      <c r="V2163" s="65">
        <v>235</v>
      </c>
      <c r="W2163" s="67" t="s">
        <v>7971</v>
      </c>
      <c r="X2163" s="65">
        <v>1</v>
      </c>
      <c r="Y2163" s="68">
        <v>0.24</v>
      </c>
      <c r="Z2163" s="65" t="b">
        <f>FALSE()</f>
        <v>0</v>
      </c>
      <c r="AA2163" s="65" t="b">
        <f>TRUE()</f>
        <v>1</v>
      </c>
      <c r="AB2163" s="65" t="b">
        <f>FALSE()</f>
        <v>0</v>
      </c>
      <c r="AC2163" s="65" t="b">
        <f>TRUE()</f>
        <v>1</v>
      </c>
      <c r="AD2163" s="65" t="b">
        <f>FALSE()</f>
        <v>0</v>
      </c>
      <c r="AE2163" s="65">
        <v>2</v>
      </c>
      <c r="AF2163" s="69">
        <v>28.6</v>
      </c>
      <c r="AG2163" s="65" t="s">
        <v>73</v>
      </c>
      <c r="AH2163" s="65" t="s">
        <v>7972</v>
      </c>
      <c r="AI2163">
        <f>IF(AND(OR(Company_Explorer!$B$5="All Companies",$E2163=Company_Explorer!$B$5),OR(Company_Explorer!$B$6="All Platforms",$B2163=Company_Explorer!$B$6),OR(Company_Explorer!$B$7="All Roles",$D2163=Company_Explorer!$B$7),OR(Company_Explorer!$B$8="All Ghost Labels",$AG2163=Company_Explorer!$B$8)),1,0)</f>
        <v>0</v>
      </c>
    </row>
    <row r="2164" spans="1:35" ht="15" customHeight="1" x14ac:dyDescent="0.3">
      <c r="A2164" s="60" t="s">
        <v>7973</v>
      </c>
      <c r="B2164" s="60" t="s">
        <v>82</v>
      </c>
      <c r="C2164" s="60" t="s">
        <v>7974</v>
      </c>
      <c r="D2164" s="60" t="s">
        <v>129</v>
      </c>
      <c r="E2164" s="60" t="s">
        <v>7975</v>
      </c>
      <c r="F2164" s="60" t="b">
        <f>TRUE()</f>
        <v>1</v>
      </c>
      <c r="G2164" s="60" t="s">
        <v>176</v>
      </c>
      <c r="H2164" s="60" t="s">
        <v>302</v>
      </c>
      <c r="I2164" s="61">
        <v>46206</v>
      </c>
      <c r="J2164" s="61">
        <v>46210.285441666703</v>
      </c>
      <c r="K2164" s="60">
        <v>95</v>
      </c>
      <c r="L2164" s="60" t="s">
        <v>192</v>
      </c>
      <c r="M2164" s="60" t="s">
        <v>183</v>
      </c>
      <c r="N2164" s="60" t="b">
        <f>TRUE()</f>
        <v>1</v>
      </c>
      <c r="O2164" s="70">
        <v>400000</v>
      </c>
      <c r="P2164" s="70">
        <v>495000</v>
      </c>
      <c r="Q2164" s="60" t="s">
        <v>3663</v>
      </c>
      <c r="R2164" s="60" t="s">
        <v>7351</v>
      </c>
      <c r="S2164" s="70">
        <v>447500</v>
      </c>
      <c r="T2164" s="60" t="b">
        <f>TRUE()</f>
        <v>1</v>
      </c>
      <c r="U2164" s="60" t="b">
        <f>FALSE()</f>
        <v>0</v>
      </c>
      <c r="V2164" s="60">
        <v>365</v>
      </c>
      <c r="W2164" s="62" t="s">
        <v>7976</v>
      </c>
      <c r="X2164" s="60">
        <v>1</v>
      </c>
      <c r="Y2164" s="63">
        <v>0.24</v>
      </c>
      <c r="Z2164" s="60" t="b">
        <f>FALSE()</f>
        <v>0</v>
      </c>
      <c r="AA2164" s="60" t="b">
        <f>FALSE()</f>
        <v>0</v>
      </c>
      <c r="AB2164" s="60" t="b">
        <f>FALSE()</f>
        <v>0</v>
      </c>
      <c r="AC2164" s="60" t="b">
        <f>FALSE()</f>
        <v>0</v>
      </c>
      <c r="AD2164" s="60" t="b">
        <f>FALSE()</f>
        <v>0</v>
      </c>
      <c r="AE2164" s="60">
        <v>0</v>
      </c>
      <c r="AF2164" s="64">
        <v>0</v>
      </c>
      <c r="AG2164" s="60" t="s">
        <v>74</v>
      </c>
      <c r="AH2164" s="60" t="s">
        <v>7977</v>
      </c>
      <c r="AI2164">
        <f>IF(AND(OR(Company_Explorer!$B$5="All Companies",$E2164=Company_Explorer!$B$5),OR(Company_Explorer!$B$6="All Platforms",$B2164=Company_Explorer!$B$6),OR(Company_Explorer!$B$7="All Roles",$D2164=Company_Explorer!$B$7),OR(Company_Explorer!$B$8="All Ghost Labels",$AG2164=Company_Explorer!$B$8)),1,0)</f>
        <v>0</v>
      </c>
    </row>
    <row r="2165" spans="1:35" ht="15" customHeight="1" x14ac:dyDescent="0.3">
      <c r="A2165" s="65" t="s">
        <v>7978</v>
      </c>
      <c r="B2165" s="65" t="s">
        <v>82</v>
      </c>
      <c r="C2165" s="65" t="s">
        <v>7979</v>
      </c>
      <c r="D2165" s="65" t="s">
        <v>129</v>
      </c>
      <c r="E2165" s="65" t="s">
        <v>7980</v>
      </c>
      <c r="F2165" s="65" t="b">
        <f>TRUE()</f>
        <v>1</v>
      </c>
      <c r="G2165" s="65" t="s">
        <v>165</v>
      </c>
      <c r="H2165" s="65" t="s">
        <v>165</v>
      </c>
      <c r="I2165" s="66">
        <v>46200</v>
      </c>
      <c r="J2165" s="66">
        <v>46210.285443159701</v>
      </c>
      <c r="K2165" s="65">
        <v>130</v>
      </c>
      <c r="L2165" s="65" t="s">
        <v>183</v>
      </c>
      <c r="M2165" s="65" t="s">
        <v>183</v>
      </c>
      <c r="N2165" s="65" t="b">
        <f>FALSE()</f>
        <v>0</v>
      </c>
      <c r="O2165" s="65"/>
      <c r="P2165" s="65"/>
      <c r="Q2165" s="65" t="s">
        <v>3663</v>
      </c>
      <c r="R2165" s="65" t="s">
        <v>236</v>
      </c>
      <c r="S2165" s="65"/>
      <c r="T2165" s="65" t="b">
        <f>FALSE()</f>
        <v>0</v>
      </c>
      <c r="U2165" s="65" t="b">
        <f>FALSE()</f>
        <v>0</v>
      </c>
      <c r="V2165" s="65">
        <v>268</v>
      </c>
      <c r="W2165" s="67" t="s">
        <v>7981</v>
      </c>
      <c r="X2165" s="65">
        <v>1</v>
      </c>
      <c r="Y2165" s="68">
        <v>0.24</v>
      </c>
      <c r="Z2165" s="65" t="b">
        <f>FALSE()</f>
        <v>0</v>
      </c>
      <c r="AA2165" s="65" t="b">
        <f>TRUE()</f>
        <v>1</v>
      </c>
      <c r="AB2165" s="65" t="b">
        <f>FALSE()</f>
        <v>0</v>
      </c>
      <c r="AC2165" s="65" t="b">
        <f>TRUE()</f>
        <v>1</v>
      </c>
      <c r="AD2165" s="65" t="b">
        <f>FALSE()</f>
        <v>0</v>
      </c>
      <c r="AE2165" s="65">
        <v>2</v>
      </c>
      <c r="AF2165" s="69">
        <v>28.6</v>
      </c>
      <c r="AG2165" s="65" t="s">
        <v>73</v>
      </c>
      <c r="AH2165" s="65" t="s">
        <v>7982</v>
      </c>
      <c r="AI2165">
        <f>IF(AND(OR(Company_Explorer!$B$5="All Companies",$E2165=Company_Explorer!$B$5),OR(Company_Explorer!$B$6="All Platforms",$B2165=Company_Explorer!$B$6),OR(Company_Explorer!$B$7="All Roles",$D2165=Company_Explorer!$B$7),OR(Company_Explorer!$B$8="All Ghost Labels",$AG2165=Company_Explorer!$B$8)),1,0)</f>
        <v>0</v>
      </c>
    </row>
    <row r="2166" spans="1:35" ht="15" customHeight="1" x14ac:dyDescent="0.3">
      <c r="A2166" s="60" t="s">
        <v>7983</v>
      </c>
      <c r="B2166" s="60" t="s">
        <v>82</v>
      </c>
      <c r="C2166" s="60" t="s">
        <v>7984</v>
      </c>
      <c r="D2166" s="60" t="s">
        <v>129</v>
      </c>
      <c r="E2166" s="60" t="s">
        <v>150</v>
      </c>
      <c r="F2166" s="60" t="b">
        <f>TRUE()</f>
        <v>1</v>
      </c>
      <c r="G2166" s="60" t="s">
        <v>165</v>
      </c>
      <c r="H2166" s="60" t="s">
        <v>165</v>
      </c>
      <c r="I2166" s="61">
        <v>46184</v>
      </c>
      <c r="J2166" s="61">
        <v>46210.2854431944</v>
      </c>
      <c r="K2166" s="60">
        <v>26</v>
      </c>
      <c r="L2166" s="60" t="s">
        <v>192</v>
      </c>
      <c r="M2166" s="60" t="s">
        <v>183</v>
      </c>
      <c r="N2166" s="60" t="b">
        <f>FALSE()</f>
        <v>0</v>
      </c>
      <c r="O2166" s="60"/>
      <c r="P2166" s="60"/>
      <c r="Q2166" s="60" t="s">
        <v>3663</v>
      </c>
      <c r="R2166" s="60" t="s">
        <v>236</v>
      </c>
      <c r="S2166" s="60"/>
      <c r="T2166" s="60" t="b">
        <f>FALSE()</f>
        <v>0</v>
      </c>
      <c r="U2166" s="60" t="b">
        <f>FALSE()</f>
        <v>0</v>
      </c>
      <c r="V2166" s="60">
        <v>544</v>
      </c>
      <c r="W2166" s="62" t="s">
        <v>3698</v>
      </c>
      <c r="X2166" s="60">
        <v>18</v>
      </c>
      <c r="Y2166" s="63">
        <v>4.34</v>
      </c>
      <c r="Z2166" s="60" t="b">
        <f>FALSE()</f>
        <v>0</v>
      </c>
      <c r="AA2166" s="60" t="b">
        <f>TRUE()</f>
        <v>1</v>
      </c>
      <c r="AB2166" s="60" t="b">
        <f>FALSE()</f>
        <v>0</v>
      </c>
      <c r="AC2166" s="60" t="b">
        <f>FALSE()</f>
        <v>0</v>
      </c>
      <c r="AD2166" s="60" t="b">
        <f>TRUE()</f>
        <v>1</v>
      </c>
      <c r="AE2166" s="60">
        <v>3</v>
      </c>
      <c r="AF2166" s="64">
        <v>42.9</v>
      </c>
      <c r="AG2166" s="60" t="s">
        <v>73</v>
      </c>
      <c r="AH2166" s="60" t="s">
        <v>7985</v>
      </c>
      <c r="AI2166">
        <f>IF(AND(OR(Company_Explorer!$B$5="All Companies",$E2166=Company_Explorer!$B$5),OR(Company_Explorer!$B$6="All Platforms",$B2166=Company_Explorer!$B$6),OR(Company_Explorer!$B$7="All Roles",$D2166=Company_Explorer!$B$7),OR(Company_Explorer!$B$8="All Ghost Labels",$AG2166=Company_Explorer!$B$8)),1,0)</f>
        <v>0</v>
      </c>
    </row>
    <row r="2167" spans="1:35" ht="15" customHeight="1" x14ac:dyDescent="0.3">
      <c r="A2167" s="65" t="s">
        <v>7986</v>
      </c>
      <c r="B2167" s="65" t="s">
        <v>82</v>
      </c>
      <c r="C2167" s="65" t="s">
        <v>7987</v>
      </c>
      <c r="D2167" s="65" t="s">
        <v>129</v>
      </c>
      <c r="E2167" s="65" t="s">
        <v>7988</v>
      </c>
      <c r="F2167" s="65" t="b">
        <f>TRUE()</f>
        <v>1</v>
      </c>
      <c r="G2167" s="65" t="s">
        <v>175</v>
      </c>
      <c r="H2167" s="65" t="s">
        <v>254</v>
      </c>
      <c r="I2167" s="66">
        <v>46207</v>
      </c>
      <c r="J2167" s="66">
        <v>46210.285447986098</v>
      </c>
      <c r="K2167" s="65">
        <v>3</v>
      </c>
      <c r="L2167" s="65" t="s">
        <v>192</v>
      </c>
      <c r="M2167" s="65" t="s">
        <v>183</v>
      </c>
      <c r="N2167" s="65" t="b">
        <f>TRUE()</f>
        <v>1</v>
      </c>
      <c r="O2167" s="71">
        <v>690000</v>
      </c>
      <c r="P2167" s="71">
        <v>940000</v>
      </c>
      <c r="Q2167" s="65" t="s">
        <v>3663</v>
      </c>
      <c r="R2167" s="65" t="s">
        <v>7351</v>
      </c>
      <c r="S2167" s="71">
        <v>815000</v>
      </c>
      <c r="T2167" s="65" t="b">
        <f>TRUE()</f>
        <v>1</v>
      </c>
      <c r="U2167" s="65" t="b">
        <f>FALSE()</f>
        <v>0</v>
      </c>
      <c r="V2167" s="65">
        <v>552</v>
      </c>
      <c r="W2167" s="65" t="s">
        <v>7989</v>
      </c>
      <c r="X2167" s="65">
        <v>2</v>
      </c>
      <c r="Y2167" s="68">
        <v>0.48</v>
      </c>
      <c r="Z2167" s="65" t="b">
        <f>FALSE()</f>
        <v>0</v>
      </c>
      <c r="AA2167" s="65" t="b">
        <f>FALSE()</f>
        <v>0</v>
      </c>
      <c r="AB2167" s="65" t="b">
        <f>FALSE()</f>
        <v>0</v>
      </c>
      <c r="AC2167" s="65" t="b">
        <f>FALSE()</f>
        <v>0</v>
      </c>
      <c r="AD2167" s="65" t="b">
        <f>FALSE()</f>
        <v>0</v>
      </c>
      <c r="AE2167" s="65">
        <v>0</v>
      </c>
      <c r="AF2167" s="69">
        <v>0</v>
      </c>
      <c r="AG2167" s="65" t="s">
        <v>74</v>
      </c>
      <c r="AH2167" s="65" t="s">
        <v>7990</v>
      </c>
      <c r="AI2167">
        <f>IF(AND(OR(Company_Explorer!$B$5="All Companies",$E2167=Company_Explorer!$B$5),OR(Company_Explorer!$B$6="All Platforms",$B2167=Company_Explorer!$B$6),OR(Company_Explorer!$B$7="All Roles",$D2167=Company_Explorer!$B$7),OR(Company_Explorer!$B$8="All Ghost Labels",$AG2167=Company_Explorer!$B$8)),1,0)</f>
        <v>0</v>
      </c>
    </row>
    <row r="2168" spans="1:35" ht="15" customHeight="1" x14ac:dyDescent="0.3">
      <c r="A2168" s="60" t="s">
        <v>7991</v>
      </c>
      <c r="B2168" s="60" t="s">
        <v>82</v>
      </c>
      <c r="C2168" s="60" t="s">
        <v>7992</v>
      </c>
      <c r="D2168" s="60" t="s">
        <v>129</v>
      </c>
      <c r="E2168" s="60" t="s">
        <v>7993</v>
      </c>
      <c r="F2168" s="60" t="b">
        <f>TRUE()</f>
        <v>1</v>
      </c>
      <c r="G2168" s="60" t="s">
        <v>165</v>
      </c>
      <c r="H2168" s="60" t="s">
        <v>165</v>
      </c>
      <c r="I2168" s="61">
        <v>46182</v>
      </c>
      <c r="J2168" s="61">
        <v>46210.285456099497</v>
      </c>
      <c r="K2168" s="60">
        <v>28</v>
      </c>
      <c r="L2168" s="60" t="s">
        <v>183</v>
      </c>
      <c r="M2168" s="60" t="s">
        <v>183</v>
      </c>
      <c r="N2168" s="60" t="b">
        <f>FALSE()</f>
        <v>0</v>
      </c>
      <c r="O2168" s="60"/>
      <c r="P2168" s="60"/>
      <c r="Q2168" s="60" t="s">
        <v>3663</v>
      </c>
      <c r="R2168" s="60" t="s">
        <v>236</v>
      </c>
      <c r="S2168" s="60"/>
      <c r="T2168" s="60" t="b">
        <f>FALSE()</f>
        <v>0</v>
      </c>
      <c r="U2168" s="60" t="b">
        <f>FALSE()</f>
        <v>0</v>
      </c>
      <c r="V2168" s="60">
        <v>325</v>
      </c>
      <c r="W2168" s="62" t="s">
        <v>7994</v>
      </c>
      <c r="X2168" s="60">
        <v>1</v>
      </c>
      <c r="Y2168" s="63">
        <v>0.24</v>
      </c>
      <c r="Z2168" s="60" t="b">
        <f>FALSE()</f>
        <v>0</v>
      </c>
      <c r="AA2168" s="60" t="b">
        <f>TRUE()</f>
        <v>1</v>
      </c>
      <c r="AB2168" s="60" t="b">
        <f>FALSE()</f>
        <v>0</v>
      </c>
      <c r="AC2168" s="60" t="b">
        <f>FALSE()</f>
        <v>0</v>
      </c>
      <c r="AD2168" s="60" t="b">
        <f>FALSE()</f>
        <v>0</v>
      </c>
      <c r="AE2168" s="60">
        <v>1</v>
      </c>
      <c r="AF2168" s="64">
        <v>14.3</v>
      </c>
      <c r="AG2168" s="60" t="s">
        <v>74</v>
      </c>
      <c r="AH2168" s="60" t="s">
        <v>7995</v>
      </c>
      <c r="AI2168">
        <f>IF(AND(OR(Company_Explorer!$B$5="All Companies",$E2168=Company_Explorer!$B$5),OR(Company_Explorer!$B$6="All Platforms",$B2168=Company_Explorer!$B$6),OR(Company_Explorer!$B$7="All Roles",$D2168=Company_Explorer!$B$7),OR(Company_Explorer!$B$8="All Ghost Labels",$AG2168=Company_Explorer!$B$8)),1,0)</f>
        <v>0</v>
      </c>
    </row>
    <row r="2169" spans="1:35" ht="15" customHeight="1" x14ac:dyDescent="0.3">
      <c r="A2169" s="65" t="s">
        <v>7996</v>
      </c>
      <c r="B2169" s="65" t="s">
        <v>82</v>
      </c>
      <c r="C2169" s="65" t="s">
        <v>7997</v>
      </c>
      <c r="D2169" s="65" t="s">
        <v>125</v>
      </c>
      <c r="E2169" s="65" t="s">
        <v>7998</v>
      </c>
      <c r="F2169" s="65" t="b">
        <f>TRUE()</f>
        <v>1</v>
      </c>
      <c r="G2169" s="65" t="s">
        <v>175</v>
      </c>
      <c r="H2169" s="65" t="s">
        <v>254</v>
      </c>
      <c r="I2169" s="66">
        <v>46185</v>
      </c>
      <c r="J2169" s="66">
        <v>46210.285457280101</v>
      </c>
      <c r="K2169" s="65">
        <v>26</v>
      </c>
      <c r="L2169" s="65" t="s">
        <v>192</v>
      </c>
      <c r="M2169" s="65" t="s">
        <v>183</v>
      </c>
      <c r="N2169" s="65" t="b">
        <f>TRUE()</f>
        <v>1</v>
      </c>
      <c r="O2169" s="71">
        <v>700000</v>
      </c>
      <c r="P2169" s="71">
        <v>903750</v>
      </c>
      <c r="Q2169" s="65" t="s">
        <v>3663</v>
      </c>
      <c r="R2169" s="65" t="s">
        <v>7351</v>
      </c>
      <c r="S2169" s="71">
        <v>801875</v>
      </c>
      <c r="T2169" s="65" t="b">
        <f>TRUE()</f>
        <v>1</v>
      </c>
      <c r="U2169" s="65" t="b">
        <f>FALSE()</f>
        <v>0</v>
      </c>
      <c r="V2169" s="65">
        <v>652</v>
      </c>
      <c r="W2169" s="67" t="s">
        <v>7999</v>
      </c>
      <c r="X2169" s="65">
        <v>1</v>
      </c>
      <c r="Y2169" s="68">
        <v>0.24</v>
      </c>
      <c r="Z2169" s="65" t="b">
        <f>FALSE()</f>
        <v>0</v>
      </c>
      <c r="AA2169" s="65" t="b">
        <f>FALSE()</f>
        <v>0</v>
      </c>
      <c r="AB2169" s="65" t="b">
        <f>FALSE()</f>
        <v>0</v>
      </c>
      <c r="AC2169" s="65" t="b">
        <f>FALSE()</f>
        <v>0</v>
      </c>
      <c r="AD2169" s="65" t="b">
        <f>FALSE()</f>
        <v>0</v>
      </c>
      <c r="AE2169" s="65">
        <v>0</v>
      </c>
      <c r="AF2169" s="69">
        <v>0</v>
      </c>
      <c r="AG2169" s="65" t="s">
        <v>74</v>
      </c>
      <c r="AH2169" s="65" t="s">
        <v>8000</v>
      </c>
      <c r="AI2169">
        <f>IF(AND(OR(Company_Explorer!$B$5="All Companies",$E2169=Company_Explorer!$B$5),OR(Company_Explorer!$B$6="All Platforms",$B2169=Company_Explorer!$B$6),OR(Company_Explorer!$B$7="All Roles",$D2169=Company_Explorer!$B$7),OR(Company_Explorer!$B$8="All Ghost Labels",$AG2169=Company_Explorer!$B$8)),1,0)</f>
        <v>0</v>
      </c>
    </row>
    <row r="2170" spans="1:35" ht="15" customHeight="1" x14ac:dyDescent="0.3">
      <c r="A2170" s="60" t="s">
        <v>8001</v>
      </c>
      <c r="B2170" s="60" t="s">
        <v>82</v>
      </c>
      <c r="C2170" s="60" t="s">
        <v>7350</v>
      </c>
      <c r="D2170" s="60" t="s">
        <v>129</v>
      </c>
      <c r="E2170" s="60" t="s">
        <v>3726</v>
      </c>
      <c r="F2170" s="60" t="b">
        <f>FALSE()</f>
        <v>0</v>
      </c>
      <c r="G2170" s="60" t="s">
        <v>165</v>
      </c>
      <c r="H2170" s="60" t="s">
        <v>165</v>
      </c>
      <c r="I2170" s="61">
        <v>46196</v>
      </c>
      <c r="J2170" s="61">
        <v>46210.285458067097</v>
      </c>
      <c r="K2170" s="60">
        <v>14</v>
      </c>
      <c r="L2170" s="60" t="s">
        <v>196</v>
      </c>
      <c r="M2170" s="60" t="s">
        <v>183</v>
      </c>
      <c r="N2170" s="60" t="b">
        <f>TRUE()</f>
        <v>1</v>
      </c>
      <c r="O2170" s="70">
        <v>1500</v>
      </c>
      <c r="P2170" s="70">
        <v>2000</v>
      </c>
      <c r="Q2170" s="60" t="s">
        <v>3663</v>
      </c>
      <c r="R2170" s="60" t="s">
        <v>8002</v>
      </c>
      <c r="S2170" s="70">
        <v>3696000</v>
      </c>
      <c r="T2170" s="60" t="b">
        <f>TRUE()</f>
        <v>1</v>
      </c>
      <c r="U2170" s="60" t="b">
        <f>FALSE()</f>
        <v>0</v>
      </c>
      <c r="V2170" s="60">
        <v>616</v>
      </c>
      <c r="W2170" s="60" t="s">
        <v>8003</v>
      </c>
      <c r="X2170" s="60"/>
      <c r="Y2170" s="63"/>
      <c r="Z2170" s="60" t="b">
        <f>TRUE()</f>
        <v>1</v>
      </c>
      <c r="AA2170" s="60" t="b">
        <f>FALSE()</f>
        <v>0</v>
      </c>
      <c r="AB2170" s="60" t="b">
        <f>FALSE()</f>
        <v>0</v>
      </c>
      <c r="AC2170" s="60" t="b">
        <f>FALSE()</f>
        <v>0</v>
      </c>
      <c r="AD2170" s="60" t="b">
        <f>FALSE()</f>
        <v>0</v>
      </c>
      <c r="AE2170" s="60">
        <v>2</v>
      </c>
      <c r="AF2170" s="64">
        <v>28.6</v>
      </c>
      <c r="AG2170" s="60" t="s">
        <v>73</v>
      </c>
      <c r="AH2170" s="60" t="s">
        <v>8004</v>
      </c>
      <c r="AI2170">
        <f>IF(AND(OR(Company_Explorer!$B$5="All Companies",$E2170=Company_Explorer!$B$5),OR(Company_Explorer!$B$6="All Platforms",$B2170=Company_Explorer!$B$6),OR(Company_Explorer!$B$7="All Roles",$D2170=Company_Explorer!$B$7),OR(Company_Explorer!$B$8="All Ghost Labels",$AG2170=Company_Explorer!$B$8)),1,0)</f>
        <v>0</v>
      </c>
    </row>
    <row r="2171" spans="1:35" ht="15" customHeight="1" x14ac:dyDescent="0.3">
      <c r="A2171" s="65" t="s">
        <v>8005</v>
      </c>
      <c r="B2171" s="65" t="s">
        <v>82</v>
      </c>
      <c r="C2171" s="65" t="s">
        <v>8006</v>
      </c>
      <c r="D2171" s="65" t="s">
        <v>129</v>
      </c>
      <c r="E2171" s="65" t="s">
        <v>8007</v>
      </c>
      <c r="F2171" s="65" t="b">
        <f>TRUE()</f>
        <v>1</v>
      </c>
      <c r="G2171" s="65" t="s">
        <v>166</v>
      </c>
      <c r="H2171" s="65" t="s">
        <v>235</v>
      </c>
      <c r="I2171" s="66">
        <v>46190</v>
      </c>
      <c r="J2171" s="66">
        <v>46210.285460740699</v>
      </c>
      <c r="K2171" s="65">
        <v>20</v>
      </c>
      <c r="L2171" s="65" t="s">
        <v>192</v>
      </c>
      <c r="M2171" s="65" t="s">
        <v>183</v>
      </c>
      <c r="N2171" s="65" t="b">
        <f>TRUE()</f>
        <v>1</v>
      </c>
      <c r="O2171" s="71">
        <v>600000</v>
      </c>
      <c r="P2171" s="71">
        <v>650000</v>
      </c>
      <c r="Q2171" s="65" t="s">
        <v>3663</v>
      </c>
      <c r="R2171" s="65" t="s">
        <v>7351</v>
      </c>
      <c r="S2171" s="71">
        <v>625000</v>
      </c>
      <c r="T2171" s="65" t="b">
        <f>TRUE()</f>
        <v>1</v>
      </c>
      <c r="U2171" s="65" t="b">
        <f>FALSE()</f>
        <v>0</v>
      </c>
      <c r="V2171" s="65">
        <v>592</v>
      </c>
      <c r="W2171" s="67" t="s">
        <v>8008</v>
      </c>
      <c r="X2171" s="65">
        <v>1</v>
      </c>
      <c r="Y2171" s="68">
        <v>0.24</v>
      </c>
      <c r="Z2171" s="65" t="b">
        <f>FALSE()</f>
        <v>0</v>
      </c>
      <c r="AA2171" s="65" t="b">
        <f>FALSE()</f>
        <v>0</v>
      </c>
      <c r="AB2171" s="65" t="b">
        <f>FALSE()</f>
        <v>0</v>
      </c>
      <c r="AC2171" s="65" t="b">
        <f>FALSE()</f>
        <v>0</v>
      </c>
      <c r="AD2171" s="65" t="b">
        <f>FALSE()</f>
        <v>0</v>
      </c>
      <c r="AE2171" s="65">
        <v>0</v>
      </c>
      <c r="AF2171" s="69">
        <v>0</v>
      </c>
      <c r="AG2171" s="65" t="s">
        <v>74</v>
      </c>
      <c r="AH2171" s="65" t="s">
        <v>8009</v>
      </c>
      <c r="AI2171">
        <f>IF(AND(OR(Company_Explorer!$B$5="All Companies",$E2171=Company_Explorer!$B$5),OR(Company_Explorer!$B$6="All Platforms",$B2171=Company_Explorer!$B$6),OR(Company_Explorer!$B$7="All Roles",$D2171=Company_Explorer!$B$7),OR(Company_Explorer!$B$8="All Ghost Labels",$AG2171=Company_Explorer!$B$8)),1,0)</f>
        <v>0</v>
      </c>
    </row>
    <row r="2172" spans="1:35" ht="15" customHeight="1" x14ac:dyDescent="0.3">
      <c r="A2172" s="60" t="s">
        <v>8010</v>
      </c>
      <c r="B2172" s="60" t="s">
        <v>82</v>
      </c>
      <c r="C2172" s="60" t="s">
        <v>8011</v>
      </c>
      <c r="D2172" s="60" t="s">
        <v>126</v>
      </c>
      <c r="E2172" s="60" t="s">
        <v>7431</v>
      </c>
      <c r="F2172" s="60" t="b">
        <f>TRUE()</f>
        <v>1</v>
      </c>
      <c r="G2172" s="60" t="s">
        <v>165</v>
      </c>
      <c r="H2172" s="60" t="s">
        <v>165</v>
      </c>
      <c r="I2172" s="61">
        <v>46200</v>
      </c>
      <c r="J2172" s="61">
        <v>46210.285462453699</v>
      </c>
      <c r="K2172" s="60">
        <v>10</v>
      </c>
      <c r="L2172" s="60" t="s">
        <v>183</v>
      </c>
      <c r="M2172" s="60" t="s">
        <v>183</v>
      </c>
      <c r="N2172" s="60" t="b">
        <f>FALSE()</f>
        <v>0</v>
      </c>
      <c r="O2172" s="60"/>
      <c r="P2172" s="60"/>
      <c r="Q2172" s="60" t="s">
        <v>3663</v>
      </c>
      <c r="R2172" s="60" t="s">
        <v>236</v>
      </c>
      <c r="S2172" s="60"/>
      <c r="T2172" s="60" t="b">
        <f>FALSE()</f>
        <v>0</v>
      </c>
      <c r="U2172" s="60" t="b">
        <f>FALSE()</f>
        <v>0</v>
      </c>
      <c r="V2172" s="60">
        <v>571</v>
      </c>
      <c r="W2172" s="62" t="s">
        <v>8012</v>
      </c>
      <c r="X2172" s="60">
        <v>4</v>
      </c>
      <c r="Y2172" s="63">
        <v>0.97</v>
      </c>
      <c r="Z2172" s="60" t="b">
        <f>FALSE()</f>
        <v>0</v>
      </c>
      <c r="AA2172" s="60" t="b">
        <f>TRUE()</f>
        <v>1</v>
      </c>
      <c r="AB2172" s="60" t="b">
        <f>FALSE()</f>
        <v>0</v>
      </c>
      <c r="AC2172" s="60" t="b">
        <f>FALSE()</f>
        <v>0</v>
      </c>
      <c r="AD2172" s="60" t="b">
        <f>FALSE()</f>
        <v>0</v>
      </c>
      <c r="AE2172" s="60">
        <v>1</v>
      </c>
      <c r="AF2172" s="64">
        <v>14.3</v>
      </c>
      <c r="AG2172" s="60" t="s">
        <v>74</v>
      </c>
      <c r="AH2172" s="60" t="s">
        <v>8013</v>
      </c>
      <c r="AI2172">
        <f>IF(AND(OR(Company_Explorer!$B$5="All Companies",$E2172=Company_Explorer!$B$5),OR(Company_Explorer!$B$6="All Platforms",$B2172=Company_Explorer!$B$6),OR(Company_Explorer!$B$7="All Roles",$D2172=Company_Explorer!$B$7),OR(Company_Explorer!$B$8="All Ghost Labels",$AG2172=Company_Explorer!$B$8)),1,0)</f>
        <v>0</v>
      </c>
    </row>
    <row r="2173" spans="1:35" ht="15" customHeight="1" x14ac:dyDescent="0.3">
      <c r="A2173" s="65" t="s">
        <v>8014</v>
      </c>
      <c r="B2173" s="65" t="s">
        <v>82</v>
      </c>
      <c r="C2173" s="65" t="s">
        <v>8015</v>
      </c>
      <c r="D2173" s="65" t="s">
        <v>129</v>
      </c>
      <c r="E2173" s="65" t="s">
        <v>8016</v>
      </c>
      <c r="F2173" s="65" t="b">
        <f>TRUE()</f>
        <v>1</v>
      </c>
      <c r="G2173" s="65" t="s">
        <v>165</v>
      </c>
      <c r="H2173" s="65" t="s">
        <v>165</v>
      </c>
      <c r="I2173" s="66">
        <v>46202</v>
      </c>
      <c r="J2173" s="66">
        <v>46210.2854632292</v>
      </c>
      <c r="K2173" s="65">
        <v>39</v>
      </c>
      <c r="L2173" s="65" t="s">
        <v>192</v>
      </c>
      <c r="M2173" s="65" t="s">
        <v>183</v>
      </c>
      <c r="N2173" s="65" t="b">
        <f>FALSE()</f>
        <v>0</v>
      </c>
      <c r="O2173" s="65"/>
      <c r="P2173" s="65"/>
      <c r="Q2173" s="65" t="s">
        <v>3663</v>
      </c>
      <c r="R2173" s="65" t="s">
        <v>236</v>
      </c>
      <c r="S2173" s="65"/>
      <c r="T2173" s="65" t="b">
        <f>FALSE()</f>
        <v>0</v>
      </c>
      <c r="U2173" s="65" t="b">
        <f>FALSE()</f>
        <v>0</v>
      </c>
      <c r="V2173" s="65">
        <v>570</v>
      </c>
      <c r="W2173" s="67" t="s">
        <v>8017</v>
      </c>
      <c r="X2173" s="65">
        <v>1</v>
      </c>
      <c r="Y2173" s="68">
        <v>0.24</v>
      </c>
      <c r="Z2173" s="65" t="b">
        <f>FALSE()</f>
        <v>0</v>
      </c>
      <c r="AA2173" s="65" t="b">
        <f>TRUE()</f>
        <v>1</v>
      </c>
      <c r="AB2173" s="65" t="b">
        <f>FALSE()</f>
        <v>0</v>
      </c>
      <c r="AC2173" s="65" t="b">
        <f>FALSE()</f>
        <v>0</v>
      </c>
      <c r="AD2173" s="65" t="b">
        <f>FALSE()</f>
        <v>0</v>
      </c>
      <c r="AE2173" s="65">
        <v>1</v>
      </c>
      <c r="AF2173" s="69">
        <v>14.3</v>
      </c>
      <c r="AG2173" s="65" t="s">
        <v>74</v>
      </c>
      <c r="AH2173" s="65" t="s">
        <v>8018</v>
      </c>
      <c r="AI2173">
        <f>IF(AND(OR(Company_Explorer!$B$5="All Companies",$E2173=Company_Explorer!$B$5),OR(Company_Explorer!$B$6="All Platforms",$B2173=Company_Explorer!$B$6),OR(Company_Explorer!$B$7="All Roles",$D2173=Company_Explorer!$B$7),OR(Company_Explorer!$B$8="All Ghost Labels",$AG2173=Company_Explorer!$B$8)),1,0)</f>
        <v>0</v>
      </c>
    </row>
    <row r="2174" spans="1:35" ht="15" customHeight="1" x14ac:dyDescent="0.3">
      <c r="A2174" s="60" t="s">
        <v>8019</v>
      </c>
      <c r="B2174" s="60" t="s">
        <v>82</v>
      </c>
      <c r="C2174" s="60" t="s">
        <v>8020</v>
      </c>
      <c r="D2174" s="60" t="s">
        <v>129</v>
      </c>
      <c r="E2174" s="60" t="s">
        <v>8021</v>
      </c>
      <c r="F2174" s="60" t="b">
        <f>TRUE()</f>
        <v>1</v>
      </c>
      <c r="G2174" s="60" t="s">
        <v>165</v>
      </c>
      <c r="H2174" s="60" t="s">
        <v>165</v>
      </c>
      <c r="I2174" s="61">
        <v>46197</v>
      </c>
      <c r="J2174" s="61">
        <v>46210.2854666204</v>
      </c>
      <c r="K2174" s="60">
        <v>44</v>
      </c>
      <c r="L2174" s="60" t="s">
        <v>192</v>
      </c>
      <c r="M2174" s="60" t="s">
        <v>183</v>
      </c>
      <c r="N2174" s="60" t="b">
        <f>FALSE()</f>
        <v>0</v>
      </c>
      <c r="O2174" s="60"/>
      <c r="P2174" s="60"/>
      <c r="Q2174" s="60" t="s">
        <v>3663</v>
      </c>
      <c r="R2174" s="60" t="s">
        <v>236</v>
      </c>
      <c r="S2174" s="60"/>
      <c r="T2174" s="60" t="b">
        <f>FALSE()</f>
        <v>0</v>
      </c>
      <c r="U2174" s="60" t="b">
        <f>FALSE()</f>
        <v>0</v>
      </c>
      <c r="V2174" s="60">
        <v>507</v>
      </c>
      <c r="W2174" s="62" t="s">
        <v>8022</v>
      </c>
      <c r="X2174" s="60">
        <v>2</v>
      </c>
      <c r="Y2174" s="63">
        <v>0.48</v>
      </c>
      <c r="Z2174" s="60" t="b">
        <f>FALSE()</f>
        <v>0</v>
      </c>
      <c r="AA2174" s="60" t="b">
        <f>TRUE()</f>
        <v>1</v>
      </c>
      <c r="AB2174" s="60" t="b">
        <f>FALSE()</f>
        <v>0</v>
      </c>
      <c r="AC2174" s="60" t="b">
        <f>FALSE()</f>
        <v>0</v>
      </c>
      <c r="AD2174" s="60" t="b">
        <f>FALSE()</f>
        <v>0</v>
      </c>
      <c r="AE2174" s="60">
        <v>1</v>
      </c>
      <c r="AF2174" s="64">
        <v>14.3</v>
      </c>
      <c r="AG2174" s="60" t="s">
        <v>74</v>
      </c>
      <c r="AH2174" s="60" t="s">
        <v>8023</v>
      </c>
      <c r="AI2174">
        <f>IF(AND(OR(Company_Explorer!$B$5="All Companies",$E2174=Company_Explorer!$B$5),OR(Company_Explorer!$B$6="All Platforms",$B2174=Company_Explorer!$B$6),OR(Company_Explorer!$B$7="All Roles",$D2174=Company_Explorer!$B$7),OR(Company_Explorer!$B$8="All Ghost Labels",$AG2174=Company_Explorer!$B$8)),1,0)</f>
        <v>0</v>
      </c>
    </row>
    <row r="2175" spans="1:35" ht="15" customHeight="1" x14ac:dyDescent="0.3">
      <c r="A2175" s="65" t="s">
        <v>8024</v>
      </c>
      <c r="B2175" s="65" t="s">
        <v>82</v>
      </c>
      <c r="C2175" s="65" t="s">
        <v>3328</v>
      </c>
      <c r="D2175" s="65" t="s">
        <v>129</v>
      </c>
      <c r="E2175" s="65" t="s">
        <v>8025</v>
      </c>
      <c r="F2175" s="65" t="b">
        <f>TRUE()</f>
        <v>1</v>
      </c>
      <c r="G2175" s="65" t="s">
        <v>166</v>
      </c>
      <c r="H2175" s="65" t="s">
        <v>235</v>
      </c>
      <c r="I2175" s="66">
        <v>46203</v>
      </c>
      <c r="J2175" s="66">
        <v>46210.285466886598</v>
      </c>
      <c r="K2175" s="65">
        <v>7</v>
      </c>
      <c r="L2175" s="65" t="s">
        <v>192</v>
      </c>
      <c r="M2175" s="65" t="s">
        <v>183</v>
      </c>
      <c r="N2175" s="65" t="b">
        <f>FALSE()</f>
        <v>0</v>
      </c>
      <c r="O2175" s="65"/>
      <c r="P2175" s="65"/>
      <c r="Q2175" s="65" t="s">
        <v>3663</v>
      </c>
      <c r="R2175" s="65" t="s">
        <v>236</v>
      </c>
      <c r="S2175" s="65"/>
      <c r="T2175" s="65" t="b">
        <f>FALSE()</f>
        <v>0</v>
      </c>
      <c r="U2175" s="65" t="b">
        <f>FALSE()</f>
        <v>0</v>
      </c>
      <c r="V2175" s="65">
        <v>361</v>
      </c>
      <c r="W2175" s="65" t="s">
        <v>8026</v>
      </c>
      <c r="X2175" s="65">
        <v>1</v>
      </c>
      <c r="Y2175" s="68">
        <v>0.24</v>
      </c>
      <c r="Z2175" s="65" t="b">
        <f>FALSE()</f>
        <v>0</v>
      </c>
      <c r="AA2175" s="65" t="b">
        <f>TRUE()</f>
        <v>1</v>
      </c>
      <c r="AB2175" s="65" t="b">
        <f>FALSE()</f>
        <v>0</v>
      </c>
      <c r="AC2175" s="65" t="b">
        <f>FALSE()</f>
        <v>0</v>
      </c>
      <c r="AD2175" s="65" t="b">
        <f>FALSE()</f>
        <v>0</v>
      </c>
      <c r="AE2175" s="65">
        <v>1</v>
      </c>
      <c r="AF2175" s="69">
        <v>14.3</v>
      </c>
      <c r="AG2175" s="65" t="s">
        <v>74</v>
      </c>
      <c r="AH2175" s="65" t="s">
        <v>8027</v>
      </c>
      <c r="AI2175">
        <f>IF(AND(OR(Company_Explorer!$B$5="All Companies",$E2175=Company_Explorer!$B$5),OR(Company_Explorer!$B$6="All Platforms",$B2175=Company_Explorer!$B$6),OR(Company_Explorer!$B$7="All Roles",$D2175=Company_Explorer!$B$7),OR(Company_Explorer!$B$8="All Ghost Labels",$AG2175=Company_Explorer!$B$8)),1,0)</f>
        <v>0</v>
      </c>
    </row>
    <row r="2176" spans="1:35" ht="15" customHeight="1" x14ac:dyDescent="0.3">
      <c r="A2176" s="60" t="s">
        <v>8028</v>
      </c>
      <c r="B2176" s="60" t="s">
        <v>82</v>
      </c>
      <c r="C2176" s="60" t="s">
        <v>8029</v>
      </c>
      <c r="D2176" s="60" t="s">
        <v>129</v>
      </c>
      <c r="E2176" s="60" t="s">
        <v>3726</v>
      </c>
      <c r="F2176" s="60" t="b">
        <f>FALSE()</f>
        <v>0</v>
      </c>
      <c r="G2176" s="60" t="s">
        <v>165</v>
      </c>
      <c r="H2176" s="60" t="s">
        <v>165</v>
      </c>
      <c r="I2176" s="61">
        <v>46204</v>
      </c>
      <c r="J2176" s="61">
        <v>46210.285468055597</v>
      </c>
      <c r="K2176" s="60">
        <v>6</v>
      </c>
      <c r="L2176" s="60" t="s">
        <v>192</v>
      </c>
      <c r="M2176" s="60" t="s">
        <v>183</v>
      </c>
      <c r="N2176" s="60" t="b">
        <f>TRUE()</f>
        <v>1</v>
      </c>
      <c r="O2176" s="70">
        <v>120000</v>
      </c>
      <c r="P2176" s="70">
        <v>300000</v>
      </c>
      <c r="Q2176" s="60" t="s">
        <v>3663</v>
      </c>
      <c r="R2176" s="60" t="s">
        <v>7351</v>
      </c>
      <c r="S2176" s="70">
        <v>210000</v>
      </c>
      <c r="T2176" s="60" t="b">
        <f>TRUE()</f>
        <v>1</v>
      </c>
      <c r="U2176" s="60" t="b">
        <f>FALSE()</f>
        <v>0</v>
      </c>
      <c r="V2176" s="60">
        <v>231</v>
      </c>
      <c r="W2176" s="62" t="s">
        <v>8030</v>
      </c>
      <c r="X2176" s="60"/>
      <c r="Y2176" s="63"/>
      <c r="Z2176" s="60" t="b">
        <f>TRUE()</f>
        <v>1</v>
      </c>
      <c r="AA2176" s="60" t="b">
        <f>FALSE()</f>
        <v>0</v>
      </c>
      <c r="AB2176" s="60" t="b">
        <f>FALSE()</f>
        <v>0</v>
      </c>
      <c r="AC2176" s="60" t="b">
        <f>FALSE()</f>
        <v>0</v>
      </c>
      <c r="AD2176" s="60" t="b">
        <f>FALSE()</f>
        <v>0</v>
      </c>
      <c r="AE2176" s="60">
        <v>2</v>
      </c>
      <c r="AF2176" s="64">
        <v>28.6</v>
      </c>
      <c r="AG2176" s="60" t="s">
        <v>73</v>
      </c>
      <c r="AH2176" s="60" t="s">
        <v>8031</v>
      </c>
      <c r="AI2176">
        <f>IF(AND(OR(Company_Explorer!$B$5="All Companies",$E2176=Company_Explorer!$B$5),OR(Company_Explorer!$B$6="All Platforms",$B2176=Company_Explorer!$B$6),OR(Company_Explorer!$B$7="All Roles",$D2176=Company_Explorer!$B$7),OR(Company_Explorer!$B$8="All Ghost Labels",$AG2176=Company_Explorer!$B$8)),1,0)</f>
        <v>0</v>
      </c>
    </row>
    <row r="2177" spans="1:35" ht="15" customHeight="1" x14ac:dyDescent="0.3">
      <c r="A2177" s="65" t="s">
        <v>8032</v>
      </c>
      <c r="B2177" s="65" t="s">
        <v>82</v>
      </c>
      <c r="C2177" s="65" t="s">
        <v>8033</v>
      </c>
      <c r="D2177" s="65" t="s">
        <v>129</v>
      </c>
      <c r="E2177" s="65" t="s">
        <v>8034</v>
      </c>
      <c r="F2177" s="65" t="b">
        <f>TRUE()</f>
        <v>1</v>
      </c>
      <c r="G2177" s="65" t="s">
        <v>8035</v>
      </c>
      <c r="H2177" s="65" t="s">
        <v>2066</v>
      </c>
      <c r="I2177" s="66">
        <v>46199</v>
      </c>
      <c r="J2177" s="66">
        <v>46210.285473680597</v>
      </c>
      <c r="K2177" s="65">
        <v>132</v>
      </c>
      <c r="L2177" s="65" t="s">
        <v>192</v>
      </c>
      <c r="M2177" s="65" t="s">
        <v>183</v>
      </c>
      <c r="N2177" s="65" t="b">
        <f>TRUE()</f>
        <v>1</v>
      </c>
      <c r="O2177" s="71">
        <v>315000</v>
      </c>
      <c r="P2177" s="71">
        <v>830990</v>
      </c>
      <c r="Q2177" s="65" t="s">
        <v>3663</v>
      </c>
      <c r="R2177" s="65" t="s">
        <v>7351</v>
      </c>
      <c r="S2177" s="71">
        <v>572995</v>
      </c>
      <c r="T2177" s="65" t="b">
        <f>TRUE()</f>
        <v>1</v>
      </c>
      <c r="U2177" s="65" t="b">
        <f>FALSE()</f>
        <v>0</v>
      </c>
      <c r="V2177" s="65">
        <v>182</v>
      </c>
      <c r="W2177" s="67" t="s">
        <v>8036</v>
      </c>
      <c r="X2177" s="65">
        <v>1</v>
      </c>
      <c r="Y2177" s="68">
        <v>0.24</v>
      </c>
      <c r="Z2177" s="65" t="b">
        <f>FALSE()</f>
        <v>0</v>
      </c>
      <c r="AA2177" s="65" t="b">
        <f>FALSE()</f>
        <v>0</v>
      </c>
      <c r="AB2177" s="65" t="b">
        <f>TRUE()</f>
        <v>1</v>
      </c>
      <c r="AC2177" s="65" t="b">
        <f>TRUE()</f>
        <v>1</v>
      </c>
      <c r="AD2177" s="65" t="b">
        <f>FALSE()</f>
        <v>0</v>
      </c>
      <c r="AE2177" s="65">
        <v>2</v>
      </c>
      <c r="AF2177" s="69">
        <v>28.6</v>
      </c>
      <c r="AG2177" s="65" t="s">
        <v>73</v>
      </c>
      <c r="AH2177" s="65" t="s">
        <v>8037</v>
      </c>
      <c r="AI2177">
        <f>IF(AND(OR(Company_Explorer!$B$5="All Companies",$E2177=Company_Explorer!$B$5),OR(Company_Explorer!$B$6="All Platforms",$B2177=Company_Explorer!$B$6),OR(Company_Explorer!$B$7="All Roles",$D2177=Company_Explorer!$B$7),OR(Company_Explorer!$B$8="All Ghost Labels",$AG2177=Company_Explorer!$B$8)),1,0)</f>
        <v>0</v>
      </c>
    </row>
    <row r="2178" spans="1:35" ht="15" customHeight="1" x14ac:dyDescent="0.3">
      <c r="A2178" s="60" t="s">
        <v>8038</v>
      </c>
      <c r="B2178" s="60" t="s">
        <v>82</v>
      </c>
      <c r="C2178" s="60" t="s">
        <v>8039</v>
      </c>
      <c r="D2178" s="60" t="s">
        <v>125</v>
      </c>
      <c r="E2178" s="60" t="s">
        <v>8040</v>
      </c>
      <c r="F2178" s="60" t="b">
        <f>TRUE()</f>
        <v>1</v>
      </c>
      <c r="G2178" s="60" t="s">
        <v>165</v>
      </c>
      <c r="H2178" s="60" t="s">
        <v>165</v>
      </c>
      <c r="I2178" s="61">
        <v>46206</v>
      </c>
      <c r="J2178" s="61">
        <v>46210.285474213</v>
      </c>
      <c r="K2178" s="60">
        <v>126</v>
      </c>
      <c r="L2178" s="60" t="s">
        <v>183</v>
      </c>
      <c r="M2178" s="60" t="s">
        <v>183</v>
      </c>
      <c r="N2178" s="60" t="b">
        <f>FALSE()</f>
        <v>0</v>
      </c>
      <c r="O2178" s="60"/>
      <c r="P2178" s="60"/>
      <c r="Q2178" s="60" t="s">
        <v>3663</v>
      </c>
      <c r="R2178" s="60" t="s">
        <v>236</v>
      </c>
      <c r="S2178" s="60"/>
      <c r="T2178" s="60" t="b">
        <f>FALSE()</f>
        <v>0</v>
      </c>
      <c r="U2178" s="60" t="b">
        <f>FALSE()</f>
        <v>0</v>
      </c>
      <c r="V2178" s="60">
        <v>90</v>
      </c>
      <c r="W2178" s="62" t="s">
        <v>8041</v>
      </c>
      <c r="X2178" s="60">
        <v>1</v>
      </c>
      <c r="Y2178" s="63">
        <v>0.24</v>
      </c>
      <c r="Z2178" s="60" t="b">
        <f>FALSE()</f>
        <v>0</v>
      </c>
      <c r="AA2178" s="60" t="b">
        <f>TRUE()</f>
        <v>1</v>
      </c>
      <c r="AB2178" s="60" t="b">
        <f>TRUE()</f>
        <v>1</v>
      </c>
      <c r="AC2178" s="60" t="b">
        <f>TRUE()</f>
        <v>1</v>
      </c>
      <c r="AD2178" s="60" t="b">
        <f>FALSE()</f>
        <v>0</v>
      </c>
      <c r="AE2178" s="60">
        <v>3</v>
      </c>
      <c r="AF2178" s="64">
        <v>42.9</v>
      </c>
      <c r="AG2178" s="60" t="s">
        <v>73</v>
      </c>
      <c r="AH2178" s="60" t="s">
        <v>8042</v>
      </c>
      <c r="AI2178">
        <f>IF(AND(OR(Company_Explorer!$B$5="All Companies",$E2178=Company_Explorer!$B$5),OR(Company_Explorer!$B$6="All Platforms",$B2178=Company_Explorer!$B$6),OR(Company_Explorer!$B$7="All Roles",$D2178=Company_Explorer!$B$7),OR(Company_Explorer!$B$8="All Ghost Labels",$AG2178=Company_Explorer!$B$8)),1,0)</f>
        <v>0</v>
      </c>
    </row>
    <row r="2179" spans="1:35" ht="15" customHeight="1" x14ac:dyDescent="0.3">
      <c r="A2179" s="65" t="s">
        <v>8043</v>
      </c>
      <c r="B2179" s="65" t="s">
        <v>82</v>
      </c>
      <c r="C2179" s="65" t="s">
        <v>8044</v>
      </c>
      <c r="D2179" s="65" t="s">
        <v>125</v>
      </c>
      <c r="E2179" s="65" t="s">
        <v>7346</v>
      </c>
      <c r="F2179" s="65" t="b">
        <f>TRUE()</f>
        <v>1</v>
      </c>
      <c r="G2179" s="65" t="s">
        <v>165</v>
      </c>
      <c r="H2179" s="65" t="s">
        <v>165</v>
      </c>
      <c r="I2179" s="66">
        <v>46205</v>
      </c>
      <c r="J2179" s="66">
        <v>46210.285479293998</v>
      </c>
      <c r="K2179" s="65">
        <v>6</v>
      </c>
      <c r="L2179" s="65" t="s">
        <v>183</v>
      </c>
      <c r="M2179" s="65" t="s">
        <v>183</v>
      </c>
      <c r="N2179" s="65" t="b">
        <f>FALSE()</f>
        <v>0</v>
      </c>
      <c r="O2179" s="65"/>
      <c r="P2179" s="65"/>
      <c r="Q2179" s="65" t="s">
        <v>3663</v>
      </c>
      <c r="R2179" s="65" t="s">
        <v>236</v>
      </c>
      <c r="S2179" s="65"/>
      <c r="T2179" s="65" t="b">
        <f>FALSE()</f>
        <v>0</v>
      </c>
      <c r="U2179" s="65" t="b">
        <f>FALSE()</f>
        <v>0</v>
      </c>
      <c r="V2179" s="65">
        <v>1138</v>
      </c>
      <c r="W2179" s="67" t="s">
        <v>8045</v>
      </c>
      <c r="X2179" s="65">
        <v>10</v>
      </c>
      <c r="Y2179" s="68">
        <v>2.41</v>
      </c>
      <c r="Z2179" s="65" t="b">
        <f>FALSE()</f>
        <v>0</v>
      </c>
      <c r="AA2179" s="65" t="b">
        <f>TRUE()</f>
        <v>1</v>
      </c>
      <c r="AB2179" s="65" t="b">
        <f>FALSE()</f>
        <v>0</v>
      </c>
      <c r="AC2179" s="65" t="b">
        <f>FALSE()</f>
        <v>0</v>
      </c>
      <c r="AD2179" s="65" t="b">
        <f>TRUE()</f>
        <v>1</v>
      </c>
      <c r="AE2179" s="65">
        <v>3</v>
      </c>
      <c r="AF2179" s="69">
        <v>42.9</v>
      </c>
      <c r="AG2179" s="65" t="s">
        <v>73</v>
      </c>
      <c r="AH2179" s="65" t="s">
        <v>8046</v>
      </c>
      <c r="AI2179">
        <f>IF(AND(OR(Company_Explorer!$B$5="All Companies",$E2179=Company_Explorer!$B$5),OR(Company_Explorer!$B$6="All Platforms",$B2179=Company_Explorer!$B$6),OR(Company_Explorer!$B$7="All Roles",$D2179=Company_Explorer!$B$7),OR(Company_Explorer!$B$8="All Ghost Labels",$AG2179=Company_Explorer!$B$8)),1,0)</f>
        <v>0</v>
      </c>
    </row>
    <row r="2180" spans="1:35" ht="15" customHeight="1" x14ac:dyDescent="0.3">
      <c r="A2180" s="60" t="s">
        <v>8047</v>
      </c>
      <c r="B2180" s="60" t="s">
        <v>82</v>
      </c>
      <c r="C2180" s="60" t="s">
        <v>8048</v>
      </c>
      <c r="D2180" s="60" t="s">
        <v>129</v>
      </c>
      <c r="E2180" s="60" t="s">
        <v>8049</v>
      </c>
      <c r="F2180" s="60" t="b">
        <f>TRUE()</f>
        <v>1</v>
      </c>
      <c r="G2180" s="60" t="s">
        <v>8050</v>
      </c>
      <c r="H2180" s="60" t="s">
        <v>2385</v>
      </c>
      <c r="I2180" s="61">
        <v>46198</v>
      </c>
      <c r="J2180" s="61">
        <v>46210.285480231498</v>
      </c>
      <c r="K2180" s="60">
        <v>132</v>
      </c>
      <c r="L2180" s="60" t="s">
        <v>183</v>
      </c>
      <c r="M2180" s="60" t="s">
        <v>183</v>
      </c>
      <c r="N2180" s="60" t="b">
        <f>TRUE()</f>
        <v>1</v>
      </c>
      <c r="O2180" s="70">
        <v>315000</v>
      </c>
      <c r="P2180" s="70">
        <v>830990</v>
      </c>
      <c r="Q2180" s="60" t="s">
        <v>3663</v>
      </c>
      <c r="R2180" s="60" t="s">
        <v>7351</v>
      </c>
      <c r="S2180" s="70">
        <v>572995</v>
      </c>
      <c r="T2180" s="60" t="b">
        <f>TRUE()</f>
        <v>1</v>
      </c>
      <c r="U2180" s="60" t="b">
        <f>FALSE()</f>
        <v>0</v>
      </c>
      <c r="V2180" s="60">
        <v>151</v>
      </c>
      <c r="W2180" s="62" t="s">
        <v>8051</v>
      </c>
      <c r="X2180" s="60">
        <v>1</v>
      </c>
      <c r="Y2180" s="63">
        <v>0.24</v>
      </c>
      <c r="Z2180" s="60" t="b">
        <f>FALSE()</f>
        <v>0</v>
      </c>
      <c r="AA2180" s="60" t="b">
        <f>FALSE()</f>
        <v>0</v>
      </c>
      <c r="AB2180" s="60" t="b">
        <f>TRUE()</f>
        <v>1</v>
      </c>
      <c r="AC2180" s="60" t="b">
        <f>TRUE()</f>
        <v>1</v>
      </c>
      <c r="AD2180" s="60" t="b">
        <f>FALSE()</f>
        <v>0</v>
      </c>
      <c r="AE2180" s="60">
        <v>2</v>
      </c>
      <c r="AF2180" s="64">
        <v>28.6</v>
      </c>
      <c r="AG2180" s="60" t="s">
        <v>73</v>
      </c>
      <c r="AH2180" s="60" t="s">
        <v>8052</v>
      </c>
      <c r="AI2180">
        <f>IF(AND(OR(Company_Explorer!$B$5="All Companies",$E2180=Company_Explorer!$B$5),OR(Company_Explorer!$B$6="All Platforms",$B2180=Company_Explorer!$B$6),OR(Company_Explorer!$B$7="All Roles",$D2180=Company_Explorer!$B$7),OR(Company_Explorer!$B$8="All Ghost Labels",$AG2180=Company_Explorer!$B$8)),1,0)</f>
        <v>0</v>
      </c>
    </row>
    <row r="2181" spans="1:35" ht="15" customHeight="1" x14ac:dyDescent="0.3">
      <c r="A2181" s="65" t="s">
        <v>8053</v>
      </c>
      <c r="B2181" s="65" t="s">
        <v>82</v>
      </c>
      <c r="C2181" s="65" t="s">
        <v>3328</v>
      </c>
      <c r="D2181" s="65" t="s">
        <v>129</v>
      </c>
      <c r="E2181" s="65" t="s">
        <v>8054</v>
      </c>
      <c r="F2181" s="65" t="b">
        <f>TRUE()</f>
        <v>1</v>
      </c>
      <c r="G2181" s="65" t="s">
        <v>269</v>
      </c>
      <c r="H2181" s="65" t="s">
        <v>270</v>
      </c>
      <c r="I2181" s="66">
        <v>46193</v>
      </c>
      <c r="J2181" s="66">
        <v>46210.285480775499</v>
      </c>
      <c r="K2181" s="65">
        <v>137</v>
      </c>
      <c r="L2181" s="65" t="s">
        <v>183</v>
      </c>
      <c r="M2181" s="65" t="s">
        <v>183</v>
      </c>
      <c r="N2181" s="65" t="b">
        <f>TRUE()</f>
        <v>1</v>
      </c>
      <c r="O2181" s="71">
        <v>456000</v>
      </c>
      <c r="P2181" s="71">
        <v>550000</v>
      </c>
      <c r="Q2181" s="65" t="s">
        <v>3663</v>
      </c>
      <c r="R2181" s="65" t="s">
        <v>7351</v>
      </c>
      <c r="S2181" s="71">
        <v>503000</v>
      </c>
      <c r="T2181" s="65" t="b">
        <f>TRUE()</f>
        <v>1</v>
      </c>
      <c r="U2181" s="65" t="b">
        <f>FALSE()</f>
        <v>0</v>
      </c>
      <c r="V2181" s="65">
        <v>96</v>
      </c>
      <c r="W2181" s="67" t="s">
        <v>8055</v>
      </c>
      <c r="X2181" s="65">
        <v>1</v>
      </c>
      <c r="Y2181" s="68">
        <v>0.24</v>
      </c>
      <c r="Z2181" s="65" t="b">
        <f>FALSE()</f>
        <v>0</v>
      </c>
      <c r="AA2181" s="65" t="b">
        <f>FALSE()</f>
        <v>0</v>
      </c>
      <c r="AB2181" s="65" t="b">
        <f>TRUE()</f>
        <v>1</v>
      </c>
      <c r="AC2181" s="65" t="b">
        <f>TRUE()</f>
        <v>1</v>
      </c>
      <c r="AD2181" s="65" t="b">
        <f>FALSE()</f>
        <v>0</v>
      </c>
      <c r="AE2181" s="65">
        <v>2</v>
      </c>
      <c r="AF2181" s="69">
        <v>28.6</v>
      </c>
      <c r="AG2181" s="65" t="s">
        <v>73</v>
      </c>
      <c r="AH2181" s="65" t="s">
        <v>8056</v>
      </c>
      <c r="AI2181">
        <f>IF(AND(OR(Company_Explorer!$B$5="All Companies",$E2181=Company_Explorer!$B$5),OR(Company_Explorer!$B$6="All Platforms",$B2181=Company_Explorer!$B$6),OR(Company_Explorer!$B$7="All Roles",$D2181=Company_Explorer!$B$7),OR(Company_Explorer!$B$8="All Ghost Labels",$AG2181=Company_Explorer!$B$8)),1,0)</f>
        <v>0</v>
      </c>
    </row>
    <row r="2182" spans="1:35" ht="15" customHeight="1" x14ac:dyDescent="0.3">
      <c r="A2182" s="60" t="s">
        <v>8057</v>
      </c>
      <c r="B2182" s="60" t="s">
        <v>82</v>
      </c>
      <c r="C2182" s="60" t="s">
        <v>8058</v>
      </c>
      <c r="D2182" s="60" t="s">
        <v>129</v>
      </c>
      <c r="E2182" s="60" t="s">
        <v>8059</v>
      </c>
      <c r="F2182" s="60" t="b">
        <f>TRUE()</f>
        <v>1</v>
      </c>
      <c r="G2182" s="60" t="s">
        <v>165</v>
      </c>
      <c r="H2182" s="60" t="s">
        <v>165</v>
      </c>
      <c r="I2182" s="61">
        <v>46194</v>
      </c>
      <c r="J2182" s="61">
        <v>46210.285482928201</v>
      </c>
      <c r="K2182" s="60">
        <v>47</v>
      </c>
      <c r="L2182" s="60" t="s">
        <v>192</v>
      </c>
      <c r="M2182" s="60" t="s">
        <v>183</v>
      </c>
      <c r="N2182" s="60" t="b">
        <f>FALSE()</f>
        <v>0</v>
      </c>
      <c r="O2182" s="60"/>
      <c r="P2182" s="60"/>
      <c r="Q2182" s="60" t="s">
        <v>3663</v>
      </c>
      <c r="R2182" s="60" t="s">
        <v>236</v>
      </c>
      <c r="S2182" s="60"/>
      <c r="T2182" s="60" t="b">
        <f>FALSE()</f>
        <v>0</v>
      </c>
      <c r="U2182" s="60" t="b">
        <f>FALSE()</f>
        <v>0</v>
      </c>
      <c r="V2182" s="60">
        <v>810</v>
      </c>
      <c r="W2182" s="62" t="s">
        <v>8060</v>
      </c>
      <c r="X2182" s="60">
        <v>1</v>
      </c>
      <c r="Y2182" s="63">
        <v>0.24</v>
      </c>
      <c r="Z2182" s="60" t="b">
        <f>FALSE()</f>
        <v>0</v>
      </c>
      <c r="AA2182" s="60" t="b">
        <f>TRUE()</f>
        <v>1</v>
      </c>
      <c r="AB2182" s="60" t="b">
        <f>FALSE()</f>
        <v>0</v>
      </c>
      <c r="AC2182" s="60" t="b">
        <f>FALSE()</f>
        <v>0</v>
      </c>
      <c r="AD2182" s="60" t="b">
        <f>FALSE()</f>
        <v>0</v>
      </c>
      <c r="AE2182" s="60">
        <v>1</v>
      </c>
      <c r="AF2182" s="64">
        <v>14.3</v>
      </c>
      <c r="AG2182" s="60" t="s">
        <v>74</v>
      </c>
      <c r="AH2182" s="60" t="s">
        <v>8061</v>
      </c>
      <c r="AI2182">
        <f>IF(AND(OR(Company_Explorer!$B$5="All Companies",$E2182=Company_Explorer!$B$5),OR(Company_Explorer!$B$6="All Platforms",$B2182=Company_Explorer!$B$6),OR(Company_Explorer!$B$7="All Roles",$D2182=Company_Explorer!$B$7),OR(Company_Explorer!$B$8="All Ghost Labels",$AG2182=Company_Explorer!$B$8)),1,0)</f>
        <v>0</v>
      </c>
    </row>
    <row r="2183" spans="1:35" ht="15" customHeight="1" x14ac:dyDescent="0.3">
      <c r="A2183" s="65" t="s">
        <v>8062</v>
      </c>
      <c r="B2183" s="65" t="s">
        <v>82</v>
      </c>
      <c r="C2183" s="65" t="s">
        <v>8063</v>
      </c>
      <c r="D2183" s="65" t="s">
        <v>129</v>
      </c>
      <c r="E2183" s="65" t="s">
        <v>7961</v>
      </c>
      <c r="F2183" s="65" t="b">
        <f>TRUE()</f>
        <v>1</v>
      </c>
      <c r="G2183" s="65" t="s">
        <v>165</v>
      </c>
      <c r="H2183" s="65" t="s">
        <v>165</v>
      </c>
      <c r="I2183" s="66">
        <v>46186</v>
      </c>
      <c r="J2183" s="66">
        <v>46210.2854846181</v>
      </c>
      <c r="K2183" s="65">
        <v>24</v>
      </c>
      <c r="L2183" s="65" t="s">
        <v>183</v>
      </c>
      <c r="M2183" s="65" t="s">
        <v>183</v>
      </c>
      <c r="N2183" s="65" t="b">
        <f>FALSE()</f>
        <v>0</v>
      </c>
      <c r="O2183" s="65"/>
      <c r="P2183" s="65"/>
      <c r="Q2183" s="65" t="s">
        <v>3663</v>
      </c>
      <c r="R2183" s="65" t="s">
        <v>236</v>
      </c>
      <c r="S2183" s="65"/>
      <c r="T2183" s="65" t="b">
        <f>FALSE()</f>
        <v>0</v>
      </c>
      <c r="U2183" s="65" t="b">
        <f>FALSE()</f>
        <v>0</v>
      </c>
      <c r="V2183" s="65">
        <v>293</v>
      </c>
      <c r="W2183" s="67" t="s">
        <v>8064</v>
      </c>
      <c r="X2183" s="65">
        <v>3</v>
      </c>
      <c r="Y2183" s="68">
        <v>0.72</v>
      </c>
      <c r="Z2183" s="65" t="b">
        <f>FALSE()</f>
        <v>0</v>
      </c>
      <c r="AA2183" s="65" t="b">
        <f>TRUE()</f>
        <v>1</v>
      </c>
      <c r="AB2183" s="65" t="b">
        <f>FALSE()</f>
        <v>0</v>
      </c>
      <c r="AC2183" s="65" t="b">
        <f>FALSE()</f>
        <v>0</v>
      </c>
      <c r="AD2183" s="65" t="b">
        <f>FALSE()</f>
        <v>0</v>
      </c>
      <c r="AE2183" s="65">
        <v>1</v>
      </c>
      <c r="AF2183" s="69">
        <v>14.3</v>
      </c>
      <c r="AG2183" s="65" t="s">
        <v>74</v>
      </c>
      <c r="AH2183" s="65" t="s">
        <v>8065</v>
      </c>
      <c r="AI2183">
        <f>IF(AND(OR(Company_Explorer!$B$5="All Companies",$E2183=Company_Explorer!$B$5),OR(Company_Explorer!$B$6="All Platforms",$B2183=Company_Explorer!$B$6),OR(Company_Explorer!$B$7="All Roles",$D2183=Company_Explorer!$B$7),OR(Company_Explorer!$B$8="All Ghost Labels",$AG2183=Company_Explorer!$B$8)),1,0)</f>
        <v>0</v>
      </c>
    </row>
    <row r="2184" spans="1:35" ht="15" customHeight="1" x14ac:dyDescent="0.3">
      <c r="A2184" s="60" t="s">
        <v>8066</v>
      </c>
      <c r="B2184" s="60" t="s">
        <v>82</v>
      </c>
      <c r="C2184" s="60" t="s">
        <v>258</v>
      </c>
      <c r="D2184" s="60" t="s">
        <v>125</v>
      </c>
      <c r="E2184" s="60" t="s">
        <v>152</v>
      </c>
      <c r="F2184" s="60" t="b">
        <f>TRUE()</f>
        <v>1</v>
      </c>
      <c r="G2184" s="60" t="s">
        <v>165</v>
      </c>
      <c r="H2184" s="60" t="s">
        <v>165</v>
      </c>
      <c r="I2184" s="61">
        <v>46207</v>
      </c>
      <c r="J2184" s="61">
        <v>46210.285488449103</v>
      </c>
      <c r="K2184" s="60">
        <v>3</v>
      </c>
      <c r="L2184" s="60" t="s">
        <v>192</v>
      </c>
      <c r="M2184" s="60" t="s">
        <v>183</v>
      </c>
      <c r="N2184" s="60" t="b">
        <f>FALSE()</f>
        <v>0</v>
      </c>
      <c r="O2184" s="60"/>
      <c r="P2184" s="60"/>
      <c r="Q2184" s="60" t="s">
        <v>3663</v>
      </c>
      <c r="R2184" s="60" t="s">
        <v>236</v>
      </c>
      <c r="S2184" s="60"/>
      <c r="T2184" s="60" t="b">
        <f>FALSE()</f>
        <v>0</v>
      </c>
      <c r="U2184" s="60" t="b">
        <f>FALSE()</f>
        <v>0</v>
      </c>
      <c r="V2184" s="60">
        <v>308</v>
      </c>
      <c r="W2184" s="62" t="s">
        <v>4514</v>
      </c>
      <c r="X2184" s="60">
        <v>17</v>
      </c>
      <c r="Y2184" s="63">
        <v>4.0999999999999996</v>
      </c>
      <c r="Z2184" s="60" t="b">
        <f>FALSE()</f>
        <v>0</v>
      </c>
      <c r="AA2184" s="60" t="b">
        <f>TRUE()</f>
        <v>1</v>
      </c>
      <c r="AB2184" s="60" t="b">
        <f>FALSE()</f>
        <v>0</v>
      </c>
      <c r="AC2184" s="60" t="b">
        <f>FALSE()</f>
        <v>0</v>
      </c>
      <c r="AD2184" s="60" t="b">
        <f>TRUE()</f>
        <v>1</v>
      </c>
      <c r="AE2184" s="60">
        <v>3</v>
      </c>
      <c r="AF2184" s="64">
        <v>42.9</v>
      </c>
      <c r="AG2184" s="60" t="s">
        <v>73</v>
      </c>
      <c r="AH2184" s="60" t="s">
        <v>8067</v>
      </c>
      <c r="AI2184">
        <f>IF(AND(OR(Company_Explorer!$B$5="All Companies",$E2184=Company_Explorer!$B$5),OR(Company_Explorer!$B$6="All Platforms",$B2184=Company_Explorer!$B$6),OR(Company_Explorer!$B$7="All Roles",$D2184=Company_Explorer!$B$7),OR(Company_Explorer!$B$8="All Ghost Labels",$AG2184=Company_Explorer!$B$8)),1,0)</f>
        <v>0</v>
      </c>
    </row>
    <row r="2185" spans="1:35" ht="15" customHeight="1" x14ac:dyDescent="0.3">
      <c r="A2185" s="65" t="s">
        <v>8068</v>
      </c>
      <c r="B2185" s="65" t="s">
        <v>82</v>
      </c>
      <c r="C2185" s="65" t="s">
        <v>8069</v>
      </c>
      <c r="D2185" s="65" t="s">
        <v>129</v>
      </c>
      <c r="E2185" s="65" t="s">
        <v>8070</v>
      </c>
      <c r="F2185" s="65" t="b">
        <f>TRUE()</f>
        <v>1</v>
      </c>
      <c r="G2185" s="65" t="s">
        <v>165</v>
      </c>
      <c r="H2185" s="65" t="s">
        <v>165</v>
      </c>
      <c r="I2185" s="66">
        <v>46209</v>
      </c>
      <c r="J2185" s="66">
        <v>46210.2854890741</v>
      </c>
      <c r="K2185" s="65">
        <v>31</v>
      </c>
      <c r="L2185" s="65" t="s">
        <v>183</v>
      </c>
      <c r="M2185" s="65" t="s">
        <v>183</v>
      </c>
      <c r="N2185" s="65" t="b">
        <f>FALSE()</f>
        <v>0</v>
      </c>
      <c r="O2185" s="65"/>
      <c r="P2185" s="65"/>
      <c r="Q2185" s="65" t="s">
        <v>3663</v>
      </c>
      <c r="R2185" s="65" t="s">
        <v>236</v>
      </c>
      <c r="S2185" s="65"/>
      <c r="T2185" s="65" t="b">
        <f>FALSE()</f>
        <v>0</v>
      </c>
      <c r="U2185" s="65" t="b">
        <f>FALSE()</f>
        <v>0</v>
      </c>
      <c r="V2185" s="65">
        <v>37</v>
      </c>
      <c r="W2185" s="65" t="s">
        <v>8071</v>
      </c>
      <c r="X2185" s="65">
        <v>3</v>
      </c>
      <c r="Y2185" s="68">
        <v>0.72</v>
      </c>
      <c r="Z2185" s="65" t="b">
        <f>FALSE()</f>
        <v>0</v>
      </c>
      <c r="AA2185" s="65" t="b">
        <f>TRUE()</f>
        <v>1</v>
      </c>
      <c r="AB2185" s="65" t="b">
        <f>TRUE()</f>
        <v>1</v>
      </c>
      <c r="AC2185" s="65" t="b">
        <f>FALSE()</f>
        <v>0</v>
      </c>
      <c r="AD2185" s="65" t="b">
        <f>FALSE()</f>
        <v>0</v>
      </c>
      <c r="AE2185" s="65">
        <v>2</v>
      </c>
      <c r="AF2185" s="69">
        <v>28.6</v>
      </c>
      <c r="AG2185" s="65" t="s">
        <v>73</v>
      </c>
      <c r="AH2185" s="65" t="s">
        <v>8072</v>
      </c>
      <c r="AI2185">
        <f>IF(AND(OR(Company_Explorer!$B$5="All Companies",$E2185=Company_Explorer!$B$5),OR(Company_Explorer!$B$6="All Platforms",$B2185=Company_Explorer!$B$6),OR(Company_Explorer!$B$7="All Roles",$D2185=Company_Explorer!$B$7),OR(Company_Explorer!$B$8="All Ghost Labels",$AG2185=Company_Explorer!$B$8)),1,0)</f>
        <v>0</v>
      </c>
    </row>
    <row r="2186" spans="1:35" ht="15" customHeight="1" x14ac:dyDescent="0.3">
      <c r="A2186" s="60" t="s">
        <v>8073</v>
      </c>
      <c r="B2186" s="60" t="s">
        <v>82</v>
      </c>
      <c r="C2186" s="60" t="s">
        <v>8074</v>
      </c>
      <c r="D2186" s="60" t="s">
        <v>125</v>
      </c>
      <c r="E2186" s="60" t="s">
        <v>8075</v>
      </c>
      <c r="F2186" s="60" t="b">
        <f>TRUE()</f>
        <v>1</v>
      </c>
      <c r="G2186" s="60" t="s">
        <v>167</v>
      </c>
      <c r="H2186" s="60" t="s">
        <v>276</v>
      </c>
      <c r="I2186" s="61">
        <v>46188</v>
      </c>
      <c r="J2186" s="61">
        <v>46210.285490231501</v>
      </c>
      <c r="K2186" s="60">
        <v>83</v>
      </c>
      <c r="L2186" s="60" t="s">
        <v>183</v>
      </c>
      <c r="M2186" s="60" t="s">
        <v>183</v>
      </c>
      <c r="N2186" s="60" t="b">
        <f>TRUE()</f>
        <v>1</v>
      </c>
      <c r="O2186" s="70">
        <v>400000</v>
      </c>
      <c r="P2186" s="70">
        <v>700000</v>
      </c>
      <c r="Q2186" s="60" t="s">
        <v>3663</v>
      </c>
      <c r="R2186" s="60" t="s">
        <v>7351</v>
      </c>
      <c r="S2186" s="70">
        <v>550000</v>
      </c>
      <c r="T2186" s="60" t="b">
        <f>TRUE()</f>
        <v>1</v>
      </c>
      <c r="U2186" s="60" t="b">
        <f>FALSE()</f>
        <v>0</v>
      </c>
      <c r="V2186" s="60">
        <v>20</v>
      </c>
      <c r="W2186" s="62" t="s">
        <v>8076</v>
      </c>
      <c r="X2186" s="60">
        <v>1</v>
      </c>
      <c r="Y2186" s="63">
        <v>0.24</v>
      </c>
      <c r="Z2186" s="60" t="b">
        <f>FALSE()</f>
        <v>0</v>
      </c>
      <c r="AA2186" s="60" t="b">
        <f>FALSE()</f>
        <v>0</v>
      </c>
      <c r="AB2186" s="60" t="b">
        <f>TRUE()</f>
        <v>1</v>
      </c>
      <c r="AC2186" s="60" t="b">
        <f>FALSE()</f>
        <v>0</v>
      </c>
      <c r="AD2186" s="60" t="b">
        <f>FALSE()</f>
        <v>0</v>
      </c>
      <c r="AE2186" s="60">
        <v>1</v>
      </c>
      <c r="AF2186" s="64">
        <v>14.3</v>
      </c>
      <c r="AG2186" s="60" t="s">
        <v>74</v>
      </c>
      <c r="AH2186" s="60" t="s">
        <v>8077</v>
      </c>
      <c r="AI2186">
        <f>IF(AND(OR(Company_Explorer!$B$5="All Companies",$E2186=Company_Explorer!$B$5),OR(Company_Explorer!$B$6="All Platforms",$B2186=Company_Explorer!$B$6),OR(Company_Explorer!$B$7="All Roles",$D2186=Company_Explorer!$B$7),OR(Company_Explorer!$B$8="All Ghost Labels",$AG2186=Company_Explorer!$B$8)),1,0)</f>
        <v>0</v>
      </c>
    </row>
    <row r="2187" spans="1:35" ht="15" customHeight="1" x14ac:dyDescent="0.3">
      <c r="A2187" s="65" t="s">
        <v>8078</v>
      </c>
      <c r="B2187" s="65" t="s">
        <v>82</v>
      </c>
      <c r="C2187" s="65" t="s">
        <v>8079</v>
      </c>
      <c r="D2187" s="65" t="s">
        <v>129</v>
      </c>
      <c r="E2187" s="65" t="s">
        <v>8080</v>
      </c>
      <c r="F2187" s="65" t="b">
        <f>TRUE()</f>
        <v>1</v>
      </c>
      <c r="G2187" s="65" t="s">
        <v>165</v>
      </c>
      <c r="H2187" s="65" t="s">
        <v>165</v>
      </c>
      <c r="I2187" s="66">
        <v>46199</v>
      </c>
      <c r="J2187" s="66">
        <v>46210.285493020798</v>
      </c>
      <c r="K2187" s="65">
        <v>42</v>
      </c>
      <c r="L2187" s="65" t="s">
        <v>192</v>
      </c>
      <c r="M2187" s="65" t="s">
        <v>183</v>
      </c>
      <c r="N2187" s="65" t="b">
        <f>FALSE()</f>
        <v>0</v>
      </c>
      <c r="O2187" s="65"/>
      <c r="P2187" s="65"/>
      <c r="Q2187" s="65" t="s">
        <v>3663</v>
      </c>
      <c r="R2187" s="65" t="s">
        <v>236</v>
      </c>
      <c r="S2187" s="65"/>
      <c r="T2187" s="65" t="b">
        <f>FALSE()</f>
        <v>0</v>
      </c>
      <c r="U2187" s="65" t="b">
        <f>FALSE()</f>
        <v>0</v>
      </c>
      <c r="V2187" s="65">
        <v>483</v>
      </c>
      <c r="W2187" s="67" t="s">
        <v>8081</v>
      </c>
      <c r="X2187" s="65">
        <v>1</v>
      </c>
      <c r="Y2187" s="68">
        <v>0.24</v>
      </c>
      <c r="Z2187" s="65" t="b">
        <f>FALSE()</f>
        <v>0</v>
      </c>
      <c r="AA2187" s="65" t="b">
        <f>TRUE()</f>
        <v>1</v>
      </c>
      <c r="AB2187" s="65" t="b">
        <f>FALSE()</f>
        <v>0</v>
      </c>
      <c r="AC2187" s="65" t="b">
        <f>FALSE()</f>
        <v>0</v>
      </c>
      <c r="AD2187" s="65" t="b">
        <f>FALSE()</f>
        <v>0</v>
      </c>
      <c r="AE2187" s="65">
        <v>1</v>
      </c>
      <c r="AF2187" s="69">
        <v>14.3</v>
      </c>
      <c r="AG2187" s="65" t="s">
        <v>74</v>
      </c>
      <c r="AH2187" s="65" t="s">
        <v>8082</v>
      </c>
      <c r="AI2187">
        <f>IF(AND(OR(Company_Explorer!$B$5="All Companies",$E2187=Company_Explorer!$B$5),OR(Company_Explorer!$B$6="All Platforms",$B2187=Company_Explorer!$B$6),OR(Company_Explorer!$B$7="All Roles",$D2187=Company_Explorer!$B$7),OR(Company_Explorer!$B$8="All Ghost Labels",$AG2187=Company_Explorer!$B$8)),1,0)</f>
        <v>0</v>
      </c>
    </row>
    <row r="2188" spans="1:35" ht="15" customHeight="1" x14ac:dyDescent="0.3">
      <c r="A2188" s="60" t="s">
        <v>8083</v>
      </c>
      <c r="B2188" s="60" t="s">
        <v>82</v>
      </c>
      <c r="C2188" s="60" t="s">
        <v>8084</v>
      </c>
      <c r="D2188" s="60" t="s">
        <v>129</v>
      </c>
      <c r="E2188" s="60" t="s">
        <v>8085</v>
      </c>
      <c r="F2188" s="60" t="b">
        <f>TRUE()</f>
        <v>1</v>
      </c>
      <c r="G2188" s="60" t="s">
        <v>165</v>
      </c>
      <c r="H2188" s="60" t="s">
        <v>165</v>
      </c>
      <c r="I2188" s="61">
        <v>46182</v>
      </c>
      <c r="J2188" s="61">
        <v>46210.285497488403</v>
      </c>
      <c r="K2188" s="60">
        <v>28</v>
      </c>
      <c r="L2188" s="60" t="s">
        <v>192</v>
      </c>
      <c r="M2188" s="60" t="s">
        <v>183</v>
      </c>
      <c r="N2188" s="60" t="b">
        <f>FALSE()</f>
        <v>0</v>
      </c>
      <c r="O2188" s="60"/>
      <c r="P2188" s="60"/>
      <c r="Q2188" s="60" t="s">
        <v>3663</v>
      </c>
      <c r="R2188" s="60" t="s">
        <v>236</v>
      </c>
      <c r="S2188" s="60"/>
      <c r="T2188" s="60" t="b">
        <f>FALSE()</f>
        <v>0</v>
      </c>
      <c r="U2188" s="60" t="b">
        <f>FALSE()</f>
        <v>0</v>
      </c>
      <c r="V2188" s="60">
        <v>115</v>
      </c>
      <c r="W2188" s="62" t="s">
        <v>8086</v>
      </c>
      <c r="X2188" s="60">
        <v>1</v>
      </c>
      <c r="Y2188" s="63">
        <v>0.24</v>
      </c>
      <c r="Z2188" s="60" t="b">
        <f>FALSE()</f>
        <v>0</v>
      </c>
      <c r="AA2188" s="60" t="b">
        <f>TRUE()</f>
        <v>1</v>
      </c>
      <c r="AB2188" s="60" t="b">
        <f>TRUE()</f>
        <v>1</v>
      </c>
      <c r="AC2188" s="60" t="b">
        <f>FALSE()</f>
        <v>0</v>
      </c>
      <c r="AD2188" s="60" t="b">
        <f>FALSE()</f>
        <v>0</v>
      </c>
      <c r="AE2188" s="60">
        <v>2</v>
      </c>
      <c r="AF2188" s="64">
        <v>28.6</v>
      </c>
      <c r="AG2188" s="60" t="s">
        <v>73</v>
      </c>
      <c r="AH2188" s="60" t="s">
        <v>8087</v>
      </c>
      <c r="AI2188">
        <f>IF(AND(OR(Company_Explorer!$B$5="All Companies",$E2188=Company_Explorer!$B$5),OR(Company_Explorer!$B$6="All Platforms",$B2188=Company_Explorer!$B$6),OR(Company_Explorer!$B$7="All Roles",$D2188=Company_Explorer!$B$7),OR(Company_Explorer!$B$8="All Ghost Labels",$AG2188=Company_Explorer!$B$8)),1,0)</f>
        <v>0</v>
      </c>
    </row>
    <row r="2189" spans="1:35" ht="15" customHeight="1" x14ac:dyDescent="0.3">
      <c r="A2189" s="65" t="s">
        <v>8088</v>
      </c>
      <c r="B2189" s="65" t="s">
        <v>82</v>
      </c>
      <c r="C2189" s="65" t="s">
        <v>8089</v>
      </c>
      <c r="D2189" s="65" t="s">
        <v>129</v>
      </c>
      <c r="E2189" s="65" t="s">
        <v>8090</v>
      </c>
      <c r="F2189" s="65" t="b">
        <f>TRUE()</f>
        <v>1</v>
      </c>
      <c r="G2189" s="65" t="s">
        <v>165</v>
      </c>
      <c r="H2189" s="65" t="s">
        <v>165</v>
      </c>
      <c r="I2189" s="66">
        <v>46193</v>
      </c>
      <c r="J2189" s="66">
        <v>46210.285501550898</v>
      </c>
      <c r="K2189" s="65">
        <v>137</v>
      </c>
      <c r="L2189" s="65" t="s">
        <v>192</v>
      </c>
      <c r="M2189" s="65" t="s">
        <v>183</v>
      </c>
      <c r="N2189" s="65" t="b">
        <f>FALSE()</f>
        <v>0</v>
      </c>
      <c r="O2189" s="65"/>
      <c r="P2189" s="65"/>
      <c r="Q2189" s="65" t="s">
        <v>3663</v>
      </c>
      <c r="R2189" s="65" t="s">
        <v>236</v>
      </c>
      <c r="S2189" s="65"/>
      <c r="T2189" s="65" t="b">
        <f>FALSE()</f>
        <v>0</v>
      </c>
      <c r="U2189" s="65" t="b">
        <f>FALSE()</f>
        <v>0</v>
      </c>
      <c r="V2189" s="65">
        <v>307</v>
      </c>
      <c r="W2189" s="67" t="s">
        <v>8091</v>
      </c>
      <c r="X2189" s="65">
        <v>1</v>
      </c>
      <c r="Y2189" s="68">
        <v>0.24</v>
      </c>
      <c r="Z2189" s="65" t="b">
        <f>FALSE()</f>
        <v>0</v>
      </c>
      <c r="AA2189" s="65" t="b">
        <f>TRUE()</f>
        <v>1</v>
      </c>
      <c r="AB2189" s="65" t="b">
        <f>FALSE()</f>
        <v>0</v>
      </c>
      <c r="AC2189" s="65" t="b">
        <f>TRUE()</f>
        <v>1</v>
      </c>
      <c r="AD2189" s="65" t="b">
        <f>FALSE()</f>
        <v>0</v>
      </c>
      <c r="AE2189" s="65">
        <v>2</v>
      </c>
      <c r="AF2189" s="69">
        <v>28.6</v>
      </c>
      <c r="AG2189" s="65" t="s">
        <v>73</v>
      </c>
      <c r="AH2189" s="65" t="s">
        <v>8092</v>
      </c>
      <c r="AI2189">
        <f>IF(AND(OR(Company_Explorer!$B$5="All Companies",$E2189=Company_Explorer!$B$5),OR(Company_Explorer!$B$6="All Platforms",$B2189=Company_Explorer!$B$6),OR(Company_Explorer!$B$7="All Roles",$D2189=Company_Explorer!$B$7),OR(Company_Explorer!$B$8="All Ghost Labels",$AG2189=Company_Explorer!$B$8)),1,0)</f>
        <v>0</v>
      </c>
    </row>
    <row r="2190" spans="1:35" ht="15" customHeight="1" x14ac:dyDescent="0.3">
      <c r="A2190" s="60" t="s">
        <v>8093</v>
      </c>
      <c r="B2190" s="60" t="s">
        <v>82</v>
      </c>
      <c r="C2190" s="60" t="s">
        <v>8094</v>
      </c>
      <c r="D2190" s="60" t="s">
        <v>129</v>
      </c>
      <c r="E2190" s="60" t="s">
        <v>3726</v>
      </c>
      <c r="F2190" s="60" t="b">
        <f>FALSE()</f>
        <v>0</v>
      </c>
      <c r="G2190" s="60" t="s">
        <v>165</v>
      </c>
      <c r="H2190" s="60" t="s">
        <v>165</v>
      </c>
      <c r="I2190" s="61">
        <v>46204</v>
      </c>
      <c r="J2190" s="61">
        <v>46210.285502974497</v>
      </c>
      <c r="K2190" s="60">
        <v>97</v>
      </c>
      <c r="L2190" s="60" t="s">
        <v>192</v>
      </c>
      <c r="M2190" s="60" t="s">
        <v>183</v>
      </c>
      <c r="N2190" s="60" t="b">
        <f>TRUE()</f>
        <v>1</v>
      </c>
      <c r="O2190" s="70">
        <v>300000</v>
      </c>
      <c r="P2190" s="70">
        <v>500000</v>
      </c>
      <c r="Q2190" s="60" t="s">
        <v>3663</v>
      </c>
      <c r="R2190" s="60" t="s">
        <v>7351</v>
      </c>
      <c r="S2190" s="70">
        <v>400000</v>
      </c>
      <c r="T2190" s="60" t="b">
        <f>TRUE()</f>
        <v>1</v>
      </c>
      <c r="U2190" s="60" t="b">
        <f>FALSE()</f>
        <v>0</v>
      </c>
      <c r="V2190" s="60">
        <v>302</v>
      </c>
      <c r="W2190" s="62" t="s">
        <v>8095</v>
      </c>
      <c r="X2190" s="60"/>
      <c r="Y2190" s="63"/>
      <c r="Z2190" s="60" t="b">
        <f>TRUE()</f>
        <v>1</v>
      </c>
      <c r="AA2190" s="60" t="b">
        <f>FALSE()</f>
        <v>0</v>
      </c>
      <c r="AB2190" s="60" t="b">
        <f>FALSE()</f>
        <v>0</v>
      </c>
      <c r="AC2190" s="60" t="b">
        <f>FALSE()</f>
        <v>0</v>
      </c>
      <c r="AD2190" s="60" t="b">
        <f>FALSE()</f>
        <v>0</v>
      </c>
      <c r="AE2190" s="60">
        <v>2</v>
      </c>
      <c r="AF2190" s="64">
        <v>28.6</v>
      </c>
      <c r="AG2190" s="60" t="s">
        <v>73</v>
      </c>
      <c r="AH2190" s="60" t="s">
        <v>8096</v>
      </c>
      <c r="AI2190">
        <f>IF(AND(OR(Company_Explorer!$B$5="All Companies",$E2190=Company_Explorer!$B$5),OR(Company_Explorer!$B$6="All Platforms",$B2190=Company_Explorer!$B$6),OR(Company_Explorer!$B$7="All Roles",$D2190=Company_Explorer!$B$7),OR(Company_Explorer!$B$8="All Ghost Labels",$AG2190=Company_Explorer!$B$8)),1,0)</f>
        <v>0</v>
      </c>
    </row>
    <row r="2191" spans="1:35" ht="15" customHeight="1" x14ac:dyDescent="0.3">
      <c r="A2191" s="65" t="s">
        <v>8097</v>
      </c>
      <c r="B2191" s="65" t="s">
        <v>82</v>
      </c>
      <c r="C2191" s="65" t="s">
        <v>8098</v>
      </c>
      <c r="D2191" s="65" t="s">
        <v>129</v>
      </c>
      <c r="E2191" s="65" t="s">
        <v>8099</v>
      </c>
      <c r="F2191" s="65" t="b">
        <f>TRUE()</f>
        <v>1</v>
      </c>
      <c r="G2191" s="65" t="s">
        <v>165</v>
      </c>
      <c r="H2191" s="65" t="s">
        <v>165</v>
      </c>
      <c r="I2191" s="66">
        <v>46205</v>
      </c>
      <c r="J2191" s="66">
        <v>46210.285505752297</v>
      </c>
      <c r="K2191" s="65">
        <v>35</v>
      </c>
      <c r="L2191" s="65" t="s">
        <v>183</v>
      </c>
      <c r="M2191" s="65" t="s">
        <v>183</v>
      </c>
      <c r="N2191" s="65" t="b">
        <f>FALSE()</f>
        <v>0</v>
      </c>
      <c r="O2191" s="65"/>
      <c r="P2191" s="65"/>
      <c r="Q2191" s="65" t="s">
        <v>3663</v>
      </c>
      <c r="R2191" s="65" t="s">
        <v>236</v>
      </c>
      <c r="S2191" s="65"/>
      <c r="T2191" s="65" t="b">
        <f>FALSE()</f>
        <v>0</v>
      </c>
      <c r="U2191" s="65" t="b">
        <f>FALSE()</f>
        <v>0</v>
      </c>
      <c r="V2191" s="65">
        <v>694</v>
      </c>
      <c r="W2191" s="65" t="s">
        <v>8100</v>
      </c>
      <c r="X2191" s="65">
        <v>1</v>
      </c>
      <c r="Y2191" s="68">
        <v>0.24</v>
      </c>
      <c r="Z2191" s="65" t="b">
        <f>FALSE()</f>
        <v>0</v>
      </c>
      <c r="AA2191" s="65" t="b">
        <f>TRUE()</f>
        <v>1</v>
      </c>
      <c r="AB2191" s="65" t="b">
        <f>FALSE()</f>
        <v>0</v>
      </c>
      <c r="AC2191" s="65" t="b">
        <f>FALSE()</f>
        <v>0</v>
      </c>
      <c r="AD2191" s="65" t="b">
        <f>FALSE()</f>
        <v>0</v>
      </c>
      <c r="AE2191" s="65">
        <v>1</v>
      </c>
      <c r="AF2191" s="69">
        <v>14.3</v>
      </c>
      <c r="AG2191" s="65" t="s">
        <v>74</v>
      </c>
      <c r="AH2191" s="65" t="s">
        <v>8101</v>
      </c>
      <c r="AI2191">
        <f>IF(AND(OR(Company_Explorer!$B$5="All Companies",$E2191=Company_Explorer!$B$5),OR(Company_Explorer!$B$6="All Platforms",$B2191=Company_Explorer!$B$6),OR(Company_Explorer!$B$7="All Roles",$D2191=Company_Explorer!$B$7),OR(Company_Explorer!$B$8="All Ghost Labels",$AG2191=Company_Explorer!$B$8)),1,0)</f>
        <v>0</v>
      </c>
    </row>
    <row r="2192" spans="1:35" ht="15" customHeight="1" x14ac:dyDescent="0.3">
      <c r="A2192" s="60" t="s">
        <v>8102</v>
      </c>
      <c r="B2192" s="60" t="s">
        <v>82</v>
      </c>
      <c r="C2192" s="60" t="s">
        <v>8103</v>
      </c>
      <c r="D2192" s="60" t="s">
        <v>129</v>
      </c>
      <c r="E2192" s="60" t="s">
        <v>8104</v>
      </c>
      <c r="F2192" s="60" t="b">
        <f>TRUE()</f>
        <v>1</v>
      </c>
      <c r="G2192" s="60" t="s">
        <v>166</v>
      </c>
      <c r="H2192" s="60" t="s">
        <v>235</v>
      </c>
      <c r="I2192" s="61">
        <v>46200</v>
      </c>
      <c r="J2192" s="61">
        <v>46210.285507337998</v>
      </c>
      <c r="K2192" s="60">
        <v>130</v>
      </c>
      <c r="L2192" s="60" t="s">
        <v>183</v>
      </c>
      <c r="M2192" s="60" t="s">
        <v>183</v>
      </c>
      <c r="N2192" s="60" t="b">
        <f>TRUE()</f>
        <v>1</v>
      </c>
      <c r="O2192" s="70">
        <v>450000</v>
      </c>
      <c r="P2192" s="70">
        <v>1000000</v>
      </c>
      <c r="Q2192" s="60" t="s">
        <v>3663</v>
      </c>
      <c r="R2192" s="60" t="s">
        <v>7351</v>
      </c>
      <c r="S2192" s="70">
        <v>725000</v>
      </c>
      <c r="T2192" s="60" t="b">
        <f>TRUE()</f>
        <v>1</v>
      </c>
      <c r="U2192" s="60" t="b">
        <f>FALSE()</f>
        <v>0</v>
      </c>
      <c r="V2192" s="60">
        <v>160</v>
      </c>
      <c r="W2192" s="60" t="s">
        <v>8105</v>
      </c>
      <c r="X2192" s="60">
        <v>1</v>
      </c>
      <c r="Y2192" s="63">
        <v>0.24</v>
      </c>
      <c r="Z2192" s="60" t="b">
        <f>FALSE()</f>
        <v>0</v>
      </c>
      <c r="AA2192" s="60" t="b">
        <f>FALSE()</f>
        <v>0</v>
      </c>
      <c r="AB2192" s="60" t="b">
        <f>TRUE()</f>
        <v>1</v>
      </c>
      <c r="AC2192" s="60" t="b">
        <f>TRUE()</f>
        <v>1</v>
      </c>
      <c r="AD2192" s="60" t="b">
        <f>FALSE()</f>
        <v>0</v>
      </c>
      <c r="AE2192" s="60">
        <v>2</v>
      </c>
      <c r="AF2192" s="64">
        <v>28.6</v>
      </c>
      <c r="AG2192" s="60" t="s">
        <v>73</v>
      </c>
      <c r="AH2192" s="60" t="s">
        <v>8106</v>
      </c>
      <c r="AI2192">
        <f>IF(AND(OR(Company_Explorer!$B$5="All Companies",$E2192=Company_Explorer!$B$5),OR(Company_Explorer!$B$6="All Platforms",$B2192=Company_Explorer!$B$6),OR(Company_Explorer!$B$7="All Roles",$D2192=Company_Explorer!$B$7),OR(Company_Explorer!$B$8="All Ghost Labels",$AG2192=Company_Explorer!$B$8)),1,0)</f>
        <v>0</v>
      </c>
    </row>
    <row r="2193" spans="1:35" ht="15" customHeight="1" x14ac:dyDescent="0.3">
      <c r="A2193" s="65" t="s">
        <v>8107</v>
      </c>
      <c r="B2193" s="65" t="s">
        <v>82</v>
      </c>
      <c r="C2193" s="65" t="s">
        <v>3328</v>
      </c>
      <c r="D2193" s="65" t="s">
        <v>129</v>
      </c>
      <c r="E2193" s="65" t="s">
        <v>8108</v>
      </c>
      <c r="F2193" s="65" t="b">
        <f>TRUE()</f>
        <v>1</v>
      </c>
      <c r="G2193" s="65" t="s">
        <v>167</v>
      </c>
      <c r="H2193" s="65" t="s">
        <v>276</v>
      </c>
      <c r="I2193" s="66">
        <v>46201</v>
      </c>
      <c r="J2193" s="66">
        <v>46210.285512164402</v>
      </c>
      <c r="K2193" s="65">
        <v>130</v>
      </c>
      <c r="L2193" s="65" t="s">
        <v>192</v>
      </c>
      <c r="M2193" s="65" t="s">
        <v>183</v>
      </c>
      <c r="N2193" s="65" t="b">
        <f>TRUE()</f>
        <v>1</v>
      </c>
      <c r="O2193" s="71">
        <v>427564</v>
      </c>
      <c r="P2193" s="71">
        <v>777219</v>
      </c>
      <c r="Q2193" s="65" t="s">
        <v>3663</v>
      </c>
      <c r="R2193" s="65" t="s">
        <v>7351</v>
      </c>
      <c r="S2193" s="71">
        <v>602392</v>
      </c>
      <c r="T2193" s="65" t="b">
        <f>TRUE()</f>
        <v>1</v>
      </c>
      <c r="U2193" s="65" t="b">
        <f>FALSE()</f>
        <v>0</v>
      </c>
      <c r="V2193" s="65">
        <v>169</v>
      </c>
      <c r="W2193" s="67" t="s">
        <v>8109</v>
      </c>
      <c r="X2193" s="65">
        <v>1</v>
      </c>
      <c r="Y2193" s="68">
        <v>0.24</v>
      </c>
      <c r="Z2193" s="65" t="b">
        <f>FALSE()</f>
        <v>0</v>
      </c>
      <c r="AA2193" s="65" t="b">
        <f>FALSE()</f>
        <v>0</v>
      </c>
      <c r="AB2193" s="65" t="b">
        <f>TRUE()</f>
        <v>1</v>
      </c>
      <c r="AC2193" s="65" t="b">
        <f>TRUE()</f>
        <v>1</v>
      </c>
      <c r="AD2193" s="65" t="b">
        <f>FALSE()</f>
        <v>0</v>
      </c>
      <c r="AE2193" s="65">
        <v>2</v>
      </c>
      <c r="AF2193" s="69">
        <v>28.6</v>
      </c>
      <c r="AG2193" s="65" t="s">
        <v>73</v>
      </c>
      <c r="AH2193" s="65" t="s">
        <v>8110</v>
      </c>
      <c r="AI2193">
        <f>IF(AND(OR(Company_Explorer!$B$5="All Companies",$E2193=Company_Explorer!$B$5),OR(Company_Explorer!$B$6="All Platforms",$B2193=Company_Explorer!$B$6),OR(Company_Explorer!$B$7="All Roles",$D2193=Company_Explorer!$B$7),OR(Company_Explorer!$B$8="All Ghost Labels",$AG2193=Company_Explorer!$B$8)),1,0)</f>
        <v>0</v>
      </c>
    </row>
    <row r="2194" spans="1:35" ht="15" customHeight="1" x14ac:dyDescent="0.3">
      <c r="A2194" s="60" t="s">
        <v>8111</v>
      </c>
      <c r="B2194" s="60" t="s">
        <v>82</v>
      </c>
      <c r="C2194" s="60" t="s">
        <v>8112</v>
      </c>
      <c r="D2194" s="60" t="s">
        <v>129</v>
      </c>
      <c r="E2194" s="60" t="s">
        <v>8113</v>
      </c>
      <c r="F2194" s="60" t="b">
        <f>TRUE()</f>
        <v>1</v>
      </c>
      <c r="G2194" s="60" t="s">
        <v>166</v>
      </c>
      <c r="H2194" s="60" t="s">
        <v>235</v>
      </c>
      <c r="I2194" s="61">
        <v>46207</v>
      </c>
      <c r="J2194" s="61">
        <v>46210.285512708302</v>
      </c>
      <c r="K2194" s="60">
        <v>33</v>
      </c>
      <c r="L2194" s="60" t="s">
        <v>192</v>
      </c>
      <c r="M2194" s="60" t="s">
        <v>183</v>
      </c>
      <c r="N2194" s="60" t="b">
        <f>TRUE()</f>
        <v>1</v>
      </c>
      <c r="O2194" s="70">
        <v>562500</v>
      </c>
      <c r="P2194" s="70">
        <v>900000</v>
      </c>
      <c r="Q2194" s="60" t="s">
        <v>3663</v>
      </c>
      <c r="R2194" s="60" t="s">
        <v>7351</v>
      </c>
      <c r="S2194" s="70">
        <v>731250</v>
      </c>
      <c r="T2194" s="60" t="b">
        <f>TRUE()</f>
        <v>1</v>
      </c>
      <c r="U2194" s="60" t="b">
        <f>FALSE()</f>
        <v>0</v>
      </c>
      <c r="V2194" s="60">
        <v>594</v>
      </c>
      <c r="W2194" s="62" t="s">
        <v>8114</v>
      </c>
      <c r="X2194" s="60">
        <v>1</v>
      </c>
      <c r="Y2194" s="63">
        <v>0.24</v>
      </c>
      <c r="Z2194" s="60" t="b">
        <f>FALSE()</f>
        <v>0</v>
      </c>
      <c r="AA2194" s="60" t="b">
        <f>FALSE()</f>
        <v>0</v>
      </c>
      <c r="AB2194" s="60" t="b">
        <f>FALSE()</f>
        <v>0</v>
      </c>
      <c r="AC2194" s="60" t="b">
        <f>FALSE()</f>
        <v>0</v>
      </c>
      <c r="AD2194" s="60" t="b">
        <f>FALSE()</f>
        <v>0</v>
      </c>
      <c r="AE2194" s="60">
        <v>0</v>
      </c>
      <c r="AF2194" s="64">
        <v>0</v>
      </c>
      <c r="AG2194" s="60" t="s">
        <v>74</v>
      </c>
      <c r="AH2194" s="60" t="s">
        <v>8115</v>
      </c>
      <c r="AI2194">
        <f>IF(AND(OR(Company_Explorer!$B$5="All Companies",$E2194=Company_Explorer!$B$5),OR(Company_Explorer!$B$6="All Platforms",$B2194=Company_Explorer!$B$6),OR(Company_Explorer!$B$7="All Roles",$D2194=Company_Explorer!$B$7),OR(Company_Explorer!$B$8="All Ghost Labels",$AG2194=Company_Explorer!$B$8)),1,0)</f>
        <v>0</v>
      </c>
    </row>
    <row r="2195" spans="1:35" ht="15" customHeight="1" x14ac:dyDescent="0.3">
      <c r="A2195" s="65" t="s">
        <v>8116</v>
      </c>
      <c r="B2195" s="65" t="s">
        <v>82</v>
      </c>
      <c r="C2195" s="65" t="s">
        <v>8117</v>
      </c>
      <c r="D2195" s="65" t="s">
        <v>129</v>
      </c>
      <c r="E2195" s="65" t="s">
        <v>8118</v>
      </c>
      <c r="F2195" s="65" t="b">
        <f>TRUE()</f>
        <v>1</v>
      </c>
      <c r="G2195" s="65" t="s">
        <v>166</v>
      </c>
      <c r="H2195" s="65" t="s">
        <v>235</v>
      </c>
      <c r="I2195" s="66">
        <v>46206</v>
      </c>
      <c r="J2195" s="66">
        <v>46210.285513275499</v>
      </c>
      <c r="K2195" s="65">
        <v>4</v>
      </c>
      <c r="L2195" s="65" t="s">
        <v>192</v>
      </c>
      <c r="M2195" s="65" t="s">
        <v>183</v>
      </c>
      <c r="N2195" s="65" t="b">
        <f>TRUE()</f>
        <v>1</v>
      </c>
      <c r="O2195" s="71">
        <v>387000</v>
      </c>
      <c r="P2195" s="71">
        <v>547200</v>
      </c>
      <c r="Q2195" s="65" t="s">
        <v>3663</v>
      </c>
      <c r="R2195" s="65" t="s">
        <v>7351</v>
      </c>
      <c r="S2195" s="71">
        <v>467100</v>
      </c>
      <c r="T2195" s="65" t="b">
        <f>TRUE()</f>
        <v>1</v>
      </c>
      <c r="U2195" s="65" t="b">
        <f>FALSE()</f>
        <v>0</v>
      </c>
      <c r="V2195" s="65">
        <v>676</v>
      </c>
      <c r="W2195" s="67" t="s">
        <v>8119</v>
      </c>
      <c r="X2195" s="65">
        <v>1</v>
      </c>
      <c r="Y2195" s="68">
        <v>0.24</v>
      </c>
      <c r="Z2195" s="65" t="b">
        <f>FALSE()</f>
        <v>0</v>
      </c>
      <c r="AA2195" s="65" t="b">
        <f>FALSE()</f>
        <v>0</v>
      </c>
      <c r="AB2195" s="65" t="b">
        <f>FALSE()</f>
        <v>0</v>
      </c>
      <c r="AC2195" s="65" t="b">
        <f>FALSE()</f>
        <v>0</v>
      </c>
      <c r="AD2195" s="65" t="b">
        <f>FALSE()</f>
        <v>0</v>
      </c>
      <c r="AE2195" s="65">
        <v>0</v>
      </c>
      <c r="AF2195" s="69">
        <v>0</v>
      </c>
      <c r="AG2195" s="65" t="s">
        <v>74</v>
      </c>
      <c r="AH2195" s="65" t="s">
        <v>8120</v>
      </c>
      <c r="AI2195">
        <f>IF(AND(OR(Company_Explorer!$B$5="All Companies",$E2195=Company_Explorer!$B$5),OR(Company_Explorer!$B$6="All Platforms",$B2195=Company_Explorer!$B$6),OR(Company_Explorer!$B$7="All Roles",$D2195=Company_Explorer!$B$7),OR(Company_Explorer!$B$8="All Ghost Labels",$AG2195=Company_Explorer!$B$8)),1,0)</f>
        <v>0</v>
      </c>
    </row>
    <row r="2196" spans="1:35" ht="15" customHeight="1" x14ac:dyDescent="0.3">
      <c r="A2196" s="60" t="s">
        <v>8121</v>
      </c>
      <c r="B2196" s="60" t="s">
        <v>82</v>
      </c>
      <c r="C2196" s="60" t="s">
        <v>306</v>
      </c>
      <c r="D2196" s="60" t="s">
        <v>125</v>
      </c>
      <c r="E2196" s="60" t="s">
        <v>3726</v>
      </c>
      <c r="F2196" s="60" t="b">
        <f>FALSE()</f>
        <v>0</v>
      </c>
      <c r="G2196" s="60" t="s">
        <v>165</v>
      </c>
      <c r="H2196" s="60" t="s">
        <v>165</v>
      </c>
      <c r="I2196" s="61">
        <v>46201</v>
      </c>
      <c r="J2196" s="61">
        <v>46210.285515080999</v>
      </c>
      <c r="K2196" s="60">
        <v>40</v>
      </c>
      <c r="L2196" s="60" t="s">
        <v>192</v>
      </c>
      <c r="M2196" s="60" t="s">
        <v>183</v>
      </c>
      <c r="N2196" s="60" t="b">
        <f>FALSE()</f>
        <v>0</v>
      </c>
      <c r="O2196" s="60"/>
      <c r="P2196" s="60"/>
      <c r="Q2196" s="60" t="s">
        <v>3663</v>
      </c>
      <c r="R2196" s="60" t="s">
        <v>236</v>
      </c>
      <c r="S2196" s="60"/>
      <c r="T2196" s="60" t="b">
        <f>FALSE()</f>
        <v>0</v>
      </c>
      <c r="U2196" s="60" t="b">
        <f>FALSE()</f>
        <v>0</v>
      </c>
      <c r="V2196" s="60">
        <v>215</v>
      </c>
      <c r="W2196" s="62" t="s">
        <v>8122</v>
      </c>
      <c r="X2196" s="60"/>
      <c r="Y2196" s="63"/>
      <c r="Z2196" s="60" t="b">
        <f>TRUE()</f>
        <v>1</v>
      </c>
      <c r="AA2196" s="60" t="b">
        <f>TRUE()</f>
        <v>1</v>
      </c>
      <c r="AB2196" s="60" t="b">
        <f>FALSE()</f>
        <v>0</v>
      </c>
      <c r="AC2196" s="60" t="b">
        <f>FALSE()</f>
        <v>0</v>
      </c>
      <c r="AD2196" s="60" t="b">
        <f>FALSE()</f>
        <v>0</v>
      </c>
      <c r="AE2196" s="60">
        <v>3</v>
      </c>
      <c r="AF2196" s="64">
        <v>42.9</v>
      </c>
      <c r="AG2196" s="60" t="s">
        <v>73</v>
      </c>
      <c r="AH2196" s="60" t="s">
        <v>8123</v>
      </c>
      <c r="AI2196">
        <f>IF(AND(OR(Company_Explorer!$B$5="All Companies",$E2196=Company_Explorer!$B$5),OR(Company_Explorer!$B$6="All Platforms",$B2196=Company_Explorer!$B$6),OR(Company_Explorer!$B$7="All Roles",$D2196=Company_Explorer!$B$7),OR(Company_Explorer!$B$8="All Ghost Labels",$AG2196=Company_Explorer!$B$8)),1,0)</f>
        <v>0</v>
      </c>
    </row>
    <row r="2197" spans="1:35" ht="15" customHeight="1" x14ac:dyDescent="0.3">
      <c r="A2197" s="65" t="s">
        <v>8124</v>
      </c>
      <c r="B2197" s="65" t="s">
        <v>82</v>
      </c>
      <c r="C2197" s="65" t="s">
        <v>3328</v>
      </c>
      <c r="D2197" s="65" t="s">
        <v>129</v>
      </c>
      <c r="E2197" s="65" t="s">
        <v>8125</v>
      </c>
      <c r="F2197" s="65" t="b">
        <f>TRUE()</f>
        <v>1</v>
      </c>
      <c r="G2197" s="65" t="s">
        <v>176</v>
      </c>
      <c r="H2197" s="65" t="s">
        <v>302</v>
      </c>
      <c r="I2197" s="66">
        <v>46193</v>
      </c>
      <c r="J2197" s="66">
        <v>46210.285516574098</v>
      </c>
      <c r="K2197" s="65">
        <v>137</v>
      </c>
      <c r="L2197" s="65" t="s">
        <v>192</v>
      </c>
      <c r="M2197" s="65" t="s">
        <v>183</v>
      </c>
      <c r="N2197" s="65" t="b">
        <f>TRUE()</f>
        <v>1</v>
      </c>
      <c r="O2197" s="71">
        <v>360000</v>
      </c>
      <c r="P2197" s="71">
        <v>990000</v>
      </c>
      <c r="Q2197" s="65" t="s">
        <v>3663</v>
      </c>
      <c r="R2197" s="65" t="s">
        <v>7351</v>
      </c>
      <c r="S2197" s="71">
        <v>675000</v>
      </c>
      <c r="T2197" s="65" t="b">
        <f>TRUE()</f>
        <v>1</v>
      </c>
      <c r="U2197" s="65" t="b">
        <f>FALSE()</f>
        <v>0</v>
      </c>
      <c r="V2197" s="65">
        <v>75</v>
      </c>
      <c r="W2197" s="67" t="s">
        <v>8126</v>
      </c>
      <c r="X2197" s="65">
        <v>1</v>
      </c>
      <c r="Y2197" s="68">
        <v>0.24</v>
      </c>
      <c r="Z2197" s="65" t="b">
        <f>FALSE()</f>
        <v>0</v>
      </c>
      <c r="AA2197" s="65" t="b">
        <f>FALSE()</f>
        <v>0</v>
      </c>
      <c r="AB2197" s="65" t="b">
        <f>TRUE()</f>
        <v>1</v>
      </c>
      <c r="AC2197" s="65" t="b">
        <f>TRUE()</f>
        <v>1</v>
      </c>
      <c r="AD2197" s="65" t="b">
        <f>FALSE()</f>
        <v>0</v>
      </c>
      <c r="AE2197" s="65">
        <v>2</v>
      </c>
      <c r="AF2197" s="69">
        <v>28.6</v>
      </c>
      <c r="AG2197" s="65" t="s">
        <v>73</v>
      </c>
      <c r="AH2197" s="65" t="s">
        <v>8127</v>
      </c>
      <c r="AI2197">
        <f>IF(AND(OR(Company_Explorer!$B$5="All Companies",$E2197=Company_Explorer!$B$5),OR(Company_Explorer!$B$6="All Platforms",$B2197=Company_Explorer!$B$6),OR(Company_Explorer!$B$7="All Roles",$D2197=Company_Explorer!$B$7),OR(Company_Explorer!$B$8="All Ghost Labels",$AG2197=Company_Explorer!$B$8)),1,0)</f>
        <v>0</v>
      </c>
    </row>
    <row r="2198" spans="1:35" ht="15" customHeight="1" x14ac:dyDescent="0.3">
      <c r="A2198" s="60" t="s">
        <v>8128</v>
      </c>
      <c r="B2198" s="60" t="s">
        <v>82</v>
      </c>
      <c r="C2198" s="60" t="s">
        <v>8129</v>
      </c>
      <c r="D2198" s="60" t="s">
        <v>125</v>
      </c>
      <c r="E2198" s="60" t="s">
        <v>8130</v>
      </c>
      <c r="F2198" s="60" t="b">
        <f>TRUE()</f>
        <v>1</v>
      </c>
      <c r="G2198" s="60" t="s">
        <v>171</v>
      </c>
      <c r="H2198" s="60" t="s">
        <v>254</v>
      </c>
      <c r="I2198" s="61">
        <v>46193</v>
      </c>
      <c r="J2198" s="61">
        <v>46210.285517511598</v>
      </c>
      <c r="K2198" s="60">
        <v>137</v>
      </c>
      <c r="L2198" s="60" t="s">
        <v>192</v>
      </c>
      <c r="M2198" s="60" t="s">
        <v>183</v>
      </c>
      <c r="N2198" s="60" t="b">
        <f>TRUE()</f>
        <v>1</v>
      </c>
      <c r="O2198" s="70">
        <v>100000</v>
      </c>
      <c r="P2198" s="70">
        <v>800000</v>
      </c>
      <c r="Q2198" s="60" t="s">
        <v>3663</v>
      </c>
      <c r="R2198" s="60" t="s">
        <v>7351</v>
      </c>
      <c r="S2198" s="70">
        <v>450000</v>
      </c>
      <c r="T2198" s="60" t="b">
        <f>TRUE()</f>
        <v>1</v>
      </c>
      <c r="U2198" s="60" t="b">
        <f>FALSE()</f>
        <v>0</v>
      </c>
      <c r="V2198" s="60">
        <v>71</v>
      </c>
      <c r="W2198" s="62" t="s">
        <v>8131</v>
      </c>
      <c r="X2198" s="60">
        <v>1</v>
      </c>
      <c r="Y2198" s="63">
        <v>0.24</v>
      </c>
      <c r="Z2198" s="60" t="b">
        <f>FALSE()</f>
        <v>0</v>
      </c>
      <c r="AA2198" s="60" t="b">
        <f>FALSE()</f>
        <v>0</v>
      </c>
      <c r="AB2198" s="60" t="b">
        <f>TRUE()</f>
        <v>1</v>
      </c>
      <c r="AC2198" s="60" t="b">
        <f>TRUE()</f>
        <v>1</v>
      </c>
      <c r="AD2198" s="60" t="b">
        <f>FALSE()</f>
        <v>0</v>
      </c>
      <c r="AE2198" s="60">
        <v>2</v>
      </c>
      <c r="AF2198" s="64">
        <v>28.6</v>
      </c>
      <c r="AG2198" s="60" t="s">
        <v>73</v>
      </c>
      <c r="AH2198" s="60" t="s">
        <v>8132</v>
      </c>
      <c r="AI2198">
        <f>IF(AND(OR(Company_Explorer!$B$5="All Companies",$E2198=Company_Explorer!$B$5),OR(Company_Explorer!$B$6="All Platforms",$B2198=Company_Explorer!$B$6),OR(Company_Explorer!$B$7="All Roles",$D2198=Company_Explorer!$B$7),OR(Company_Explorer!$B$8="All Ghost Labels",$AG2198=Company_Explorer!$B$8)),1,0)</f>
        <v>0</v>
      </c>
    </row>
    <row r="2199" spans="1:35" ht="15" customHeight="1" x14ac:dyDescent="0.3">
      <c r="A2199" s="65" t="s">
        <v>8133</v>
      </c>
      <c r="B2199" s="65" t="s">
        <v>82</v>
      </c>
      <c r="C2199" s="65" t="s">
        <v>7922</v>
      </c>
      <c r="D2199" s="65" t="s">
        <v>125</v>
      </c>
      <c r="E2199" s="65" t="s">
        <v>8134</v>
      </c>
      <c r="F2199" s="65" t="b">
        <f>TRUE()</f>
        <v>1</v>
      </c>
      <c r="G2199" s="65" t="s">
        <v>167</v>
      </c>
      <c r="H2199" s="65" t="s">
        <v>276</v>
      </c>
      <c r="I2199" s="66">
        <v>46201</v>
      </c>
      <c r="J2199" s="66">
        <v>46210.285517094897</v>
      </c>
      <c r="K2199" s="65">
        <v>130</v>
      </c>
      <c r="L2199" s="65" t="s">
        <v>183</v>
      </c>
      <c r="M2199" s="65" t="s">
        <v>183</v>
      </c>
      <c r="N2199" s="65" t="b">
        <f>TRUE()</f>
        <v>1</v>
      </c>
      <c r="O2199" s="71">
        <v>370000</v>
      </c>
      <c r="P2199" s="71">
        <v>787500</v>
      </c>
      <c r="Q2199" s="65" t="s">
        <v>3663</v>
      </c>
      <c r="R2199" s="65" t="s">
        <v>7351</v>
      </c>
      <c r="S2199" s="71">
        <v>578750</v>
      </c>
      <c r="T2199" s="65" t="b">
        <f>TRUE()</f>
        <v>1</v>
      </c>
      <c r="U2199" s="65" t="b">
        <f>FALSE()</f>
        <v>0</v>
      </c>
      <c r="V2199" s="65">
        <v>146</v>
      </c>
      <c r="W2199" s="67" t="s">
        <v>8135</v>
      </c>
      <c r="X2199" s="65">
        <v>2</v>
      </c>
      <c r="Y2199" s="68">
        <v>0.48</v>
      </c>
      <c r="Z2199" s="65" t="b">
        <f>FALSE()</f>
        <v>0</v>
      </c>
      <c r="AA2199" s="65" t="b">
        <f>FALSE()</f>
        <v>0</v>
      </c>
      <c r="AB2199" s="65" t="b">
        <f>TRUE()</f>
        <v>1</v>
      </c>
      <c r="AC2199" s="65" t="b">
        <f>TRUE()</f>
        <v>1</v>
      </c>
      <c r="AD2199" s="65" t="b">
        <f>FALSE()</f>
        <v>0</v>
      </c>
      <c r="AE2199" s="65">
        <v>2</v>
      </c>
      <c r="AF2199" s="69">
        <v>28.6</v>
      </c>
      <c r="AG2199" s="65" t="s">
        <v>73</v>
      </c>
      <c r="AH2199" s="65" t="s">
        <v>8136</v>
      </c>
      <c r="AI2199">
        <f>IF(AND(OR(Company_Explorer!$B$5="All Companies",$E2199=Company_Explorer!$B$5),OR(Company_Explorer!$B$6="All Platforms",$B2199=Company_Explorer!$B$6),OR(Company_Explorer!$B$7="All Roles",$D2199=Company_Explorer!$B$7),OR(Company_Explorer!$B$8="All Ghost Labels",$AG2199=Company_Explorer!$B$8)),1,0)</f>
        <v>0</v>
      </c>
    </row>
    <row r="2200" spans="1:35" ht="15" customHeight="1" x14ac:dyDescent="0.3">
      <c r="A2200" s="60" t="s">
        <v>8137</v>
      </c>
      <c r="B2200" s="60" t="s">
        <v>82</v>
      </c>
      <c r="C2200" s="60" t="s">
        <v>8138</v>
      </c>
      <c r="D2200" s="60" t="s">
        <v>125</v>
      </c>
      <c r="E2200" s="60" t="s">
        <v>8139</v>
      </c>
      <c r="F2200" s="60" t="b">
        <f>TRUE()</f>
        <v>1</v>
      </c>
      <c r="G2200" s="60" t="s">
        <v>7941</v>
      </c>
      <c r="H2200" s="60" t="s">
        <v>2066</v>
      </c>
      <c r="I2200" s="61">
        <v>46191</v>
      </c>
      <c r="J2200" s="61">
        <v>46210.285518020799</v>
      </c>
      <c r="K2200" s="60">
        <v>80</v>
      </c>
      <c r="L2200" s="60" t="s">
        <v>183</v>
      </c>
      <c r="M2200" s="60" t="s">
        <v>183</v>
      </c>
      <c r="N2200" s="60" t="b">
        <f>TRUE()</f>
        <v>1</v>
      </c>
      <c r="O2200" s="70">
        <v>214000</v>
      </c>
      <c r="P2200" s="70">
        <v>427000</v>
      </c>
      <c r="Q2200" s="60" t="s">
        <v>3663</v>
      </c>
      <c r="R2200" s="60" t="s">
        <v>7351</v>
      </c>
      <c r="S2200" s="70">
        <v>320500</v>
      </c>
      <c r="T2200" s="60" t="b">
        <f>TRUE()</f>
        <v>1</v>
      </c>
      <c r="U2200" s="60" t="b">
        <f>FALSE()</f>
        <v>0</v>
      </c>
      <c r="V2200" s="60">
        <v>188</v>
      </c>
      <c r="W2200" s="62" t="s">
        <v>8140</v>
      </c>
      <c r="X2200" s="60">
        <v>1</v>
      </c>
      <c r="Y2200" s="63">
        <v>0.24</v>
      </c>
      <c r="Z2200" s="60" t="b">
        <f>FALSE()</f>
        <v>0</v>
      </c>
      <c r="AA2200" s="60" t="b">
        <f>FALSE()</f>
        <v>0</v>
      </c>
      <c r="AB2200" s="60" t="b">
        <f>TRUE()</f>
        <v>1</v>
      </c>
      <c r="AC2200" s="60" t="b">
        <f>FALSE()</f>
        <v>0</v>
      </c>
      <c r="AD2200" s="60" t="b">
        <f>FALSE()</f>
        <v>0</v>
      </c>
      <c r="AE2200" s="60">
        <v>1</v>
      </c>
      <c r="AF2200" s="64">
        <v>14.3</v>
      </c>
      <c r="AG2200" s="60" t="s">
        <v>74</v>
      </c>
      <c r="AH2200" s="60" t="s">
        <v>8141</v>
      </c>
      <c r="AI2200">
        <f>IF(AND(OR(Company_Explorer!$B$5="All Companies",$E2200=Company_Explorer!$B$5),OR(Company_Explorer!$B$6="All Platforms",$B2200=Company_Explorer!$B$6),OR(Company_Explorer!$B$7="All Roles",$D2200=Company_Explorer!$B$7),OR(Company_Explorer!$B$8="All Ghost Labels",$AG2200=Company_Explorer!$B$8)),1,0)</f>
        <v>0</v>
      </c>
    </row>
    <row r="2201" spans="1:35" ht="15" customHeight="1" x14ac:dyDescent="0.3">
      <c r="A2201" s="65" t="s">
        <v>8142</v>
      </c>
      <c r="B2201" s="65" t="s">
        <v>82</v>
      </c>
      <c r="C2201" s="65" t="s">
        <v>306</v>
      </c>
      <c r="D2201" s="65" t="s">
        <v>125</v>
      </c>
      <c r="E2201" s="65" t="s">
        <v>8143</v>
      </c>
      <c r="F2201" s="65" t="b">
        <f>TRUE()</f>
        <v>1</v>
      </c>
      <c r="G2201" s="65" t="s">
        <v>172</v>
      </c>
      <c r="H2201" s="65" t="s">
        <v>276</v>
      </c>
      <c r="I2201" s="66">
        <v>46189</v>
      </c>
      <c r="J2201" s="66">
        <v>46210.285518044002</v>
      </c>
      <c r="K2201" s="65">
        <v>21</v>
      </c>
      <c r="L2201" s="65" t="s">
        <v>193</v>
      </c>
      <c r="M2201" s="65" t="s">
        <v>183</v>
      </c>
      <c r="N2201" s="65" t="b">
        <f>TRUE()</f>
        <v>1</v>
      </c>
      <c r="O2201" s="71">
        <v>23000</v>
      </c>
      <c r="P2201" s="71">
        <v>35000</v>
      </c>
      <c r="Q2201" s="65" t="s">
        <v>3663</v>
      </c>
      <c r="R2201" s="65" t="s">
        <v>7445</v>
      </c>
      <c r="S2201" s="71">
        <v>348000</v>
      </c>
      <c r="T2201" s="65" t="b">
        <f>TRUE()</f>
        <v>1</v>
      </c>
      <c r="U2201" s="65" t="b">
        <f>FALSE()</f>
        <v>0</v>
      </c>
      <c r="V2201" s="65">
        <v>305</v>
      </c>
      <c r="W2201" s="67" t="s">
        <v>8144</v>
      </c>
      <c r="X2201" s="65">
        <v>1</v>
      </c>
      <c r="Y2201" s="68">
        <v>0.24</v>
      </c>
      <c r="Z2201" s="65" t="b">
        <f>FALSE()</f>
        <v>0</v>
      </c>
      <c r="AA2201" s="65" t="b">
        <f>FALSE()</f>
        <v>0</v>
      </c>
      <c r="AB2201" s="65" t="b">
        <f>FALSE()</f>
        <v>0</v>
      </c>
      <c r="AC2201" s="65" t="b">
        <f>FALSE()</f>
        <v>0</v>
      </c>
      <c r="AD2201" s="65" t="b">
        <f>FALSE()</f>
        <v>0</v>
      </c>
      <c r="AE2201" s="65">
        <v>0</v>
      </c>
      <c r="AF2201" s="69">
        <v>0</v>
      </c>
      <c r="AG2201" s="65" t="s">
        <v>74</v>
      </c>
      <c r="AH2201" s="65" t="s">
        <v>8145</v>
      </c>
      <c r="AI2201">
        <f>IF(AND(OR(Company_Explorer!$B$5="All Companies",$E2201=Company_Explorer!$B$5),OR(Company_Explorer!$B$6="All Platforms",$B2201=Company_Explorer!$B$6),OR(Company_Explorer!$B$7="All Roles",$D2201=Company_Explorer!$B$7),OR(Company_Explorer!$B$8="All Ghost Labels",$AG2201=Company_Explorer!$B$8)),1,0)</f>
        <v>0</v>
      </c>
    </row>
    <row r="2202" spans="1:35" ht="15" customHeight="1" x14ac:dyDescent="0.3">
      <c r="A2202" s="60" t="s">
        <v>8146</v>
      </c>
      <c r="B2202" s="60" t="s">
        <v>82</v>
      </c>
      <c r="C2202" s="60" t="s">
        <v>8147</v>
      </c>
      <c r="D2202" s="60" t="s">
        <v>129</v>
      </c>
      <c r="E2202" s="60" t="s">
        <v>3726</v>
      </c>
      <c r="F2202" s="60" t="b">
        <f>FALSE()</f>
        <v>0</v>
      </c>
      <c r="G2202" s="60" t="s">
        <v>165</v>
      </c>
      <c r="H2202" s="60" t="s">
        <v>165</v>
      </c>
      <c r="I2202" s="61">
        <v>46207</v>
      </c>
      <c r="J2202" s="61">
        <v>46210.285524733801</v>
      </c>
      <c r="K2202" s="60">
        <v>4</v>
      </c>
      <c r="L2202" s="60" t="s">
        <v>192</v>
      </c>
      <c r="M2202" s="60" t="s">
        <v>183</v>
      </c>
      <c r="N2202" s="60" t="b">
        <f>TRUE()</f>
        <v>1</v>
      </c>
      <c r="O2202" s="70">
        <v>40000</v>
      </c>
      <c r="P2202" s="70">
        <v>100000</v>
      </c>
      <c r="Q2202" s="60" t="s">
        <v>3663</v>
      </c>
      <c r="R2202" s="60" t="s">
        <v>7445</v>
      </c>
      <c r="S2202" s="70">
        <v>840000</v>
      </c>
      <c r="T2202" s="60" t="b">
        <f>TRUE()</f>
        <v>1</v>
      </c>
      <c r="U2202" s="60" t="b">
        <f>FALSE()</f>
        <v>0</v>
      </c>
      <c r="V2202" s="60">
        <v>756</v>
      </c>
      <c r="W2202" s="62" t="s">
        <v>8148</v>
      </c>
      <c r="X2202" s="60"/>
      <c r="Y2202" s="63"/>
      <c r="Z2202" s="60" t="b">
        <f>TRUE()</f>
        <v>1</v>
      </c>
      <c r="AA2202" s="60" t="b">
        <f>FALSE()</f>
        <v>0</v>
      </c>
      <c r="AB2202" s="60" t="b">
        <f>FALSE()</f>
        <v>0</v>
      </c>
      <c r="AC2202" s="60" t="b">
        <f>FALSE()</f>
        <v>0</v>
      </c>
      <c r="AD2202" s="60" t="b">
        <f>FALSE()</f>
        <v>0</v>
      </c>
      <c r="AE2202" s="60">
        <v>2</v>
      </c>
      <c r="AF2202" s="64">
        <v>28.6</v>
      </c>
      <c r="AG2202" s="60" t="s">
        <v>73</v>
      </c>
      <c r="AH2202" s="60" t="s">
        <v>8149</v>
      </c>
      <c r="AI2202">
        <f>IF(AND(OR(Company_Explorer!$B$5="All Companies",$E2202=Company_Explorer!$B$5),OR(Company_Explorer!$B$6="All Platforms",$B2202=Company_Explorer!$B$6),OR(Company_Explorer!$B$7="All Roles",$D2202=Company_Explorer!$B$7),OR(Company_Explorer!$B$8="All Ghost Labels",$AG2202=Company_Explorer!$B$8)),1,0)</f>
        <v>0</v>
      </c>
    </row>
    <row r="2203" spans="1:35" ht="15" customHeight="1" x14ac:dyDescent="0.3">
      <c r="A2203" s="65" t="s">
        <v>8150</v>
      </c>
      <c r="B2203" s="65" t="s">
        <v>82</v>
      </c>
      <c r="C2203" s="65" t="s">
        <v>306</v>
      </c>
      <c r="D2203" s="65" t="s">
        <v>125</v>
      </c>
      <c r="E2203" s="65" t="s">
        <v>152</v>
      </c>
      <c r="F2203" s="65" t="b">
        <f>TRUE()</f>
        <v>1</v>
      </c>
      <c r="G2203" s="65" t="s">
        <v>165</v>
      </c>
      <c r="H2203" s="65" t="s">
        <v>165</v>
      </c>
      <c r="I2203" s="66">
        <v>46199</v>
      </c>
      <c r="J2203" s="66">
        <v>46210.2855283565</v>
      </c>
      <c r="K2203" s="65">
        <v>11</v>
      </c>
      <c r="L2203" s="65" t="s">
        <v>192</v>
      </c>
      <c r="M2203" s="65" t="s">
        <v>183</v>
      </c>
      <c r="N2203" s="65" t="b">
        <f>FALSE()</f>
        <v>0</v>
      </c>
      <c r="O2203" s="65"/>
      <c r="P2203" s="65"/>
      <c r="Q2203" s="65" t="s">
        <v>3663</v>
      </c>
      <c r="R2203" s="65" t="s">
        <v>236</v>
      </c>
      <c r="S2203" s="65"/>
      <c r="T2203" s="65" t="b">
        <f>FALSE()</f>
        <v>0</v>
      </c>
      <c r="U2203" s="65" t="b">
        <f>FALSE()</f>
        <v>0</v>
      </c>
      <c r="V2203" s="65">
        <v>1017</v>
      </c>
      <c r="W2203" s="67" t="s">
        <v>8151</v>
      </c>
      <c r="X2203" s="65">
        <v>17</v>
      </c>
      <c r="Y2203" s="68">
        <v>4.0999999999999996</v>
      </c>
      <c r="Z2203" s="65" t="b">
        <f>FALSE()</f>
        <v>0</v>
      </c>
      <c r="AA2203" s="65" t="b">
        <f>TRUE()</f>
        <v>1</v>
      </c>
      <c r="AB2203" s="65" t="b">
        <f>FALSE()</f>
        <v>0</v>
      </c>
      <c r="AC2203" s="65" t="b">
        <f>FALSE()</f>
        <v>0</v>
      </c>
      <c r="AD2203" s="65" t="b">
        <f>TRUE()</f>
        <v>1</v>
      </c>
      <c r="AE2203" s="65">
        <v>3</v>
      </c>
      <c r="AF2203" s="69">
        <v>42.9</v>
      </c>
      <c r="AG2203" s="65" t="s">
        <v>73</v>
      </c>
      <c r="AH2203" s="65" t="s">
        <v>8152</v>
      </c>
      <c r="AI2203">
        <f>IF(AND(OR(Company_Explorer!$B$5="All Companies",$E2203=Company_Explorer!$B$5),OR(Company_Explorer!$B$6="All Platforms",$B2203=Company_Explorer!$B$6),OR(Company_Explorer!$B$7="All Roles",$D2203=Company_Explorer!$B$7),OR(Company_Explorer!$B$8="All Ghost Labels",$AG2203=Company_Explorer!$B$8)),1,0)</f>
        <v>0</v>
      </c>
    </row>
    <row r="2204" spans="1:35" ht="15" customHeight="1" x14ac:dyDescent="0.3">
      <c r="A2204" s="60" t="s">
        <v>8153</v>
      </c>
      <c r="B2204" s="60" t="s">
        <v>82</v>
      </c>
      <c r="C2204" s="60" t="s">
        <v>3328</v>
      </c>
      <c r="D2204" s="60" t="s">
        <v>129</v>
      </c>
      <c r="E2204" s="60" t="s">
        <v>8154</v>
      </c>
      <c r="F2204" s="60" t="b">
        <f>TRUE()</f>
        <v>1</v>
      </c>
      <c r="G2204" s="60" t="s">
        <v>165</v>
      </c>
      <c r="H2204" s="60" t="s">
        <v>165</v>
      </c>
      <c r="I2204" s="61">
        <v>46210</v>
      </c>
      <c r="J2204" s="61">
        <v>46210.285531238398</v>
      </c>
      <c r="K2204" s="60">
        <v>122</v>
      </c>
      <c r="L2204" s="60" t="s">
        <v>192</v>
      </c>
      <c r="M2204" s="60" t="s">
        <v>183</v>
      </c>
      <c r="N2204" s="60" t="b">
        <f>FALSE()</f>
        <v>0</v>
      </c>
      <c r="O2204" s="60"/>
      <c r="P2204" s="60"/>
      <c r="Q2204" s="60" t="s">
        <v>3663</v>
      </c>
      <c r="R2204" s="60" t="s">
        <v>236</v>
      </c>
      <c r="S2204" s="60"/>
      <c r="T2204" s="60" t="b">
        <f>FALSE()</f>
        <v>0</v>
      </c>
      <c r="U2204" s="60" t="b">
        <f>FALSE()</f>
        <v>0</v>
      </c>
      <c r="V2204" s="60">
        <v>716</v>
      </c>
      <c r="W2204" s="62" t="s">
        <v>8155</v>
      </c>
      <c r="X2204" s="60">
        <v>1</v>
      </c>
      <c r="Y2204" s="63">
        <v>0.24</v>
      </c>
      <c r="Z2204" s="60" t="b">
        <f>FALSE()</f>
        <v>0</v>
      </c>
      <c r="AA2204" s="60" t="b">
        <f>TRUE()</f>
        <v>1</v>
      </c>
      <c r="AB2204" s="60" t="b">
        <f>FALSE()</f>
        <v>0</v>
      </c>
      <c r="AC2204" s="60" t="b">
        <f>TRUE()</f>
        <v>1</v>
      </c>
      <c r="AD2204" s="60" t="b">
        <f>FALSE()</f>
        <v>0</v>
      </c>
      <c r="AE2204" s="60">
        <v>2</v>
      </c>
      <c r="AF2204" s="64">
        <v>28.6</v>
      </c>
      <c r="AG2204" s="60" t="s">
        <v>73</v>
      </c>
      <c r="AH2204" s="60" t="s">
        <v>8156</v>
      </c>
      <c r="AI2204">
        <f>IF(AND(OR(Company_Explorer!$B$5="All Companies",$E2204=Company_Explorer!$B$5),OR(Company_Explorer!$B$6="All Platforms",$B2204=Company_Explorer!$B$6),OR(Company_Explorer!$B$7="All Roles",$D2204=Company_Explorer!$B$7),OR(Company_Explorer!$B$8="All Ghost Labels",$AG2204=Company_Explorer!$B$8)),1,0)</f>
        <v>0</v>
      </c>
    </row>
    <row r="2205" spans="1:35" ht="15" customHeight="1" x14ac:dyDescent="0.3">
      <c r="A2205" s="65" t="s">
        <v>8157</v>
      </c>
      <c r="B2205" s="65" t="s">
        <v>82</v>
      </c>
      <c r="C2205" s="65" t="s">
        <v>8158</v>
      </c>
      <c r="D2205" s="65" t="s">
        <v>129</v>
      </c>
      <c r="E2205" s="65" t="s">
        <v>8159</v>
      </c>
      <c r="F2205" s="65" t="b">
        <f>TRUE()</f>
        <v>1</v>
      </c>
      <c r="G2205" s="65" t="s">
        <v>8160</v>
      </c>
      <c r="H2205" s="65" t="s">
        <v>263</v>
      </c>
      <c r="I2205" s="66">
        <v>46197</v>
      </c>
      <c r="J2205" s="66">
        <v>46210.285532800903</v>
      </c>
      <c r="K2205" s="65">
        <v>133</v>
      </c>
      <c r="L2205" s="65" t="s">
        <v>195</v>
      </c>
      <c r="M2205" s="65" t="s">
        <v>183</v>
      </c>
      <c r="N2205" s="65" t="b">
        <f>TRUE()</f>
        <v>1</v>
      </c>
      <c r="O2205" s="71">
        <v>315000</v>
      </c>
      <c r="P2205" s="71">
        <v>830990</v>
      </c>
      <c r="Q2205" s="65" t="s">
        <v>3663</v>
      </c>
      <c r="R2205" s="65" t="s">
        <v>7351</v>
      </c>
      <c r="S2205" s="71">
        <v>572995</v>
      </c>
      <c r="T2205" s="65" t="b">
        <f>TRUE()</f>
        <v>1</v>
      </c>
      <c r="U2205" s="65" t="b">
        <f>FALSE()</f>
        <v>0</v>
      </c>
      <c r="V2205" s="65">
        <v>271</v>
      </c>
      <c r="W2205" s="67" t="s">
        <v>8161</v>
      </c>
      <c r="X2205" s="65">
        <v>1</v>
      </c>
      <c r="Y2205" s="68">
        <v>0.24</v>
      </c>
      <c r="Z2205" s="65" t="b">
        <f>FALSE()</f>
        <v>0</v>
      </c>
      <c r="AA2205" s="65" t="b">
        <f>FALSE()</f>
        <v>0</v>
      </c>
      <c r="AB2205" s="65" t="b">
        <f>FALSE()</f>
        <v>0</v>
      </c>
      <c r="AC2205" s="65" t="b">
        <f>TRUE()</f>
        <v>1</v>
      </c>
      <c r="AD2205" s="65" t="b">
        <f>FALSE()</f>
        <v>0</v>
      </c>
      <c r="AE2205" s="65">
        <v>1</v>
      </c>
      <c r="AF2205" s="69">
        <v>14.3</v>
      </c>
      <c r="AG2205" s="65" t="s">
        <v>74</v>
      </c>
      <c r="AH2205" s="65" t="s">
        <v>8162</v>
      </c>
      <c r="AI2205">
        <f>IF(AND(OR(Company_Explorer!$B$5="All Companies",$E2205=Company_Explorer!$B$5),OR(Company_Explorer!$B$6="All Platforms",$B2205=Company_Explorer!$B$6),OR(Company_Explorer!$B$7="All Roles",$D2205=Company_Explorer!$B$7),OR(Company_Explorer!$B$8="All Ghost Labels",$AG2205=Company_Explorer!$B$8)),1,0)</f>
        <v>0</v>
      </c>
    </row>
    <row r="2206" spans="1:35" ht="15" customHeight="1" x14ac:dyDescent="0.3">
      <c r="A2206" s="60" t="s">
        <v>8163</v>
      </c>
      <c r="B2206" s="60" t="s">
        <v>82</v>
      </c>
      <c r="C2206" s="60" t="s">
        <v>8164</v>
      </c>
      <c r="D2206" s="60" t="s">
        <v>129</v>
      </c>
      <c r="E2206" s="60" t="s">
        <v>3726</v>
      </c>
      <c r="F2206" s="60" t="b">
        <f>FALSE()</f>
        <v>0</v>
      </c>
      <c r="G2206" s="60" t="s">
        <v>8165</v>
      </c>
      <c r="H2206" s="60" t="s">
        <v>254</v>
      </c>
      <c r="I2206" s="61">
        <v>46192</v>
      </c>
      <c r="J2206" s="61">
        <v>46210.2855334259</v>
      </c>
      <c r="K2206" s="60">
        <v>18</v>
      </c>
      <c r="L2206" s="60" t="s">
        <v>192</v>
      </c>
      <c r="M2206" s="60" t="s">
        <v>183</v>
      </c>
      <c r="N2206" s="60" t="b">
        <f>TRUE()</f>
        <v>1</v>
      </c>
      <c r="O2206" s="70">
        <v>200000</v>
      </c>
      <c r="P2206" s="70">
        <v>200000</v>
      </c>
      <c r="Q2206" s="60" t="s">
        <v>3663</v>
      </c>
      <c r="R2206" s="60" t="s">
        <v>7351</v>
      </c>
      <c r="S2206" s="70">
        <v>200000</v>
      </c>
      <c r="T2206" s="60" t="b">
        <f>TRUE()</f>
        <v>1</v>
      </c>
      <c r="U2206" s="60" t="b">
        <f>FALSE()</f>
        <v>0</v>
      </c>
      <c r="V2206" s="60">
        <v>252</v>
      </c>
      <c r="W2206" s="62" t="s">
        <v>8166</v>
      </c>
      <c r="X2206" s="60"/>
      <c r="Y2206" s="63"/>
      <c r="Z2206" s="60" t="b">
        <f>TRUE()</f>
        <v>1</v>
      </c>
      <c r="AA2206" s="60" t="b">
        <f>FALSE()</f>
        <v>0</v>
      </c>
      <c r="AB2206" s="60" t="b">
        <f>FALSE()</f>
        <v>0</v>
      </c>
      <c r="AC2206" s="60" t="b">
        <f>FALSE()</f>
        <v>0</v>
      </c>
      <c r="AD2206" s="60" t="b">
        <f>FALSE()</f>
        <v>0</v>
      </c>
      <c r="AE2206" s="60">
        <v>2</v>
      </c>
      <c r="AF2206" s="64">
        <v>28.6</v>
      </c>
      <c r="AG2206" s="60" t="s">
        <v>73</v>
      </c>
      <c r="AH2206" s="60" t="s">
        <v>8167</v>
      </c>
      <c r="AI2206">
        <f>IF(AND(OR(Company_Explorer!$B$5="All Companies",$E2206=Company_Explorer!$B$5),OR(Company_Explorer!$B$6="All Platforms",$B2206=Company_Explorer!$B$6),OR(Company_Explorer!$B$7="All Roles",$D2206=Company_Explorer!$B$7),OR(Company_Explorer!$B$8="All Ghost Labels",$AG2206=Company_Explorer!$B$8)),1,0)</f>
        <v>0</v>
      </c>
    </row>
    <row r="2207" spans="1:35" ht="15" customHeight="1" x14ac:dyDescent="0.3">
      <c r="A2207" s="65" t="s">
        <v>8168</v>
      </c>
      <c r="B2207" s="65" t="s">
        <v>82</v>
      </c>
      <c r="C2207" s="65" t="s">
        <v>8169</v>
      </c>
      <c r="D2207" s="65" t="s">
        <v>125</v>
      </c>
      <c r="E2207" s="65" t="s">
        <v>8170</v>
      </c>
      <c r="F2207" s="65" t="b">
        <f>TRUE()</f>
        <v>1</v>
      </c>
      <c r="G2207" s="65" t="s">
        <v>165</v>
      </c>
      <c r="H2207" s="65" t="s">
        <v>165</v>
      </c>
      <c r="I2207" s="66">
        <v>46197</v>
      </c>
      <c r="J2207" s="66">
        <v>46210.285533530099</v>
      </c>
      <c r="K2207" s="65">
        <v>133</v>
      </c>
      <c r="L2207" s="65" t="s">
        <v>183</v>
      </c>
      <c r="M2207" s="65" t="s">
        <v>183</v>
      </c>
      <c r="N2207" s="65" t="b">
        <f>FALSE()</f>
        <v>0</v>
      </c>
      <c r="O2207" s="65"/>
      <c r="P2207" s="65"/>
      <c r="Q2207" s="65" t="s">
        <v>3663</v>
      </c>
      <c r="R2207" s="65" t="s">
        <v>236</v>
      </c>
      <c r="S2207" s="65"/>
      <c r="T2207" s="65" t="b">
        <f>FALSE()</f>
        <v>0</v>
      </c>
      <c r="U2207" s="65" t="b">
        <f>FALSE()</f>
        <v>0</v>
      </c>
      <c r="V2207" s="65">
        <v>203</v>
      </c>
      <c r="W2207" s="65" t="s">
        <v>8171</v>
      </c>
      <c r="X2207" s="65">
        <v>2</v>
      </c>
      <c r="Y2207" s="68">
        <v>0.48</v>
      </c>
      <c r="Z2207" s="65" t="b">
        <f>FALSE()</f>
        <v>0</v>
      </c>
      <c r="AA2207" s="65" t="b">
        <f>TRUE()</f>
        <v>1</v>
      </c>
      <c r="AB2207" s="65" t="b">
        <f>TRUE()</f>
        <v>1</v>
      </c>
      <c r="AC2207" s="65" t="b">
        <f>TRUE()</f>
        <v>1</v>
      </c>
      <c r="AD2207" s="65" t="b">
        <f>FALSE()</f>
        <v>0</v>
      </c>
      <c r="AE2207" s="65">
        <v>3</v>
      </c>
      <c r="AF2207" s="69">
        <v>42.9</v>
      </c>
      <c r="AG2207" s="65" t="s">
        <v>73</v>
      </c>
      <c r="AH2207" s="65" t="s">
        <v>8172</v>
      </c>
      <c r="AI2207">
        <f>IF(AND(OR(Company_Explorer!$B$5="All Companies",$E2207=Company_Explorer!$B$5),OR(Company_Explorer!$B$6="All Platforms",$B2207=Company_Explorer!$B$6),OR(Company_Explorer!$B$7="All Roles",$D2207=Company_Explorer!$B$7),OR(Company_Explorer!$B$8="All Ghost Labels",$AG2207=Company_Explorer!$B$8)),1,0)</f>
        <v>0</v>
      </c>
    </row>
    <row r="2208" spans="1:35" ht="15" customHeight="1" x14ac:dyDescent="0.3">
      <c r="A2208" s="60" t="s">
        <v>8173</v>
      </c>
      <c r="B2208" s="60" t="s">
        <v>82</v>
      </c>
      <c r="C2208" s="60" t="s">
        <v>8174</v>
      </c>
      <c r="D2208" s="60" t="s">
        <v>125</v>
      </c>
      <c r="E2208" s="60" t="s">
        <v>8175</v>
      </c>
      <c r="F2208" s="60" t="b">
        <f>TRUE()</f>
        <v>1</v>
      </c>
      <c r="G2208" s="60" t="s">
        <v>269</v>
      </c>
      <c r="H2208" s="60" t="s">
        <v>270</v>
      </c>
      <c r="I2208" s="61">
        <v>46193</v>
      </c>
      <c r="J2208" s="61">
        <v>46210.285538969903</v>
      </c>
      <c r="K2208" s="60">
        <v>137</v>
      </c>
      <c r="L2208" s="60" t="s">
        <v>192</v>
      </c>
      <c r="M2208" s="60" t="s">
        <v>183</v>
      </c>
      <c r="N2208" s="60" t="b">
        <f>TRUE()</f>
        <v>1</v>
      </c>
      <c r="O2208" s="70">
        <v>281700</v>
      </c>
      <c r="P2208" s="70">
        <v>500000</v>
      </c>
      <c r="Q2208" s="60" t="s">
        <v>3663</v>
      </c>
      <c r="R2208" s="60" t="s">
        <v>7351</v>
      </c>
      <c r="S2208" s="70">
        <v>390850</v>
      </c>
      <c r="T2208" s="60" t="b">
        <f>TRUE()</f>
        <v>1</v>
      </c>
      <c r="U2208" s="60" t="b">
        <f>FALSE()</f>
        <v>0</v>
      </c>
      <c r="V2208" s="60">
        <v>208</v>
      </c>
      <c r="W2208" s="62" t="s">
        <v>8176</v>
      </c>
      <c r="X2208" s="60">
        <v>1</v>
      </c>
      <c r="Y2208" s="63">
        <v>0.24</v>
      </c>
      <c r="Z2208" s="60" t="b">
        <f>FALSE()</f>
        <v>0</v>
      </c>
      <c r="AA2208" s="60" t="b">
        <f>FALSE()</f>
        <v>0</v>
      </c>
      <c r="AB2208" s="60" t="b">
        <f>TRUE()</f>
        <v>1</v>
      </c>
      <c r="AC2208" s="60" t="b">
        <f>TRUE()</f>
        <v>1</v>
      </c>
      <c r="AD2208" s="60" t="b">
        <f>FALSE()</f>
        <v>0</v>
      </c>
      <c r="AE2208" s="60">
        <v>2</v>
      </c>
      <c r="AF2208" s="64">
        <v>28.6</v>
      </c>
      <c r="AG2208" s="60" t="s">
        <v>73</v>
      </c>
      <c r="AH2208" s="60" t="s">
        <v>8177</v>
      </c>
      <c r="AI2208">
        <f>IF(AND(OR(Company_Explorer!$B$5="All Companies",$E2208=Company_Explorer!$B$5),OR(Company_Explorer!$B$6="All Platforms",$B2208=Company_Explorer!$B$6),OR(Company_Explorer!$B$7="All Roles",$D2208=Company_Explorer!$B$7),OR(Company_Explorer!$B$8="All Ghost Labels",$AG2208=Company_Explorer!$B$8)),1,0)</f>
        <v>0</v>
      </c>
    </row>
    <row r="2209" spans="1:35" ht="15" customHeight="1" x14ac:dyDescent="0.3">
      <c r="A2209" s="65" t="s">
        <v>8178</v>
      </c>
      <c r="B2209" s="65" t="s">
        <v>82</v>
      </c>
      <c r="C2209" s="65" t="s">
        <v>8179</v>
      </c>
      <c r="D2209" s="65" t="s">
        <v>129</v>
      </c>
      <c r="E2209" s="65" t="s">
        <v>4865</v>
      </c>
      <c r="F2209" s="65" t="b">
        <f>TRUE()</f>
        <v>1</v>
      </c>
      <c r="G2209" s="65" t="s">
        <v>166</v>
      </c>
      <c r="H2209" s="65" t="s">
        <v>235</v>
      </c>
      <c r="I2209" s="66">
        <v>46200</v>
      </c>
      <c r="J2209" s="66">
        <v>46210.285539479199</v>
      </c>
      <c r="K2209" s="65">
        <v>10</v>
      </c>
      <c r="L2209" s="65" t="s">
        <v>192</v>
      </c>
      <c r="M2209" s="65" t="s">
        <v>183</v>
      </c>
      <c r="N2209" s="65" t="b">
        <f>TRUE()</f>
        <v>1</v>
      </c>
      <c r="O2209" s="71">
        <v>390000</v>
      </c>
      <c r="P2209" s="71">
        <v>914750</v>
      </c>
      <c r="Q2209" s="65" t="s">
        <v>3663</v>
      </c>
      <c r="R2209" s="65" t="s">
        <v>7351</v>
      </c>
      <c r="S2209" s="71">
        <v>652375</v>
      </c>
      <c r="T2209" s="65" t="b">
        <f>TRUE()</f>
        <v>1</v>
      </c>
      <c r="U2209" s="65" t="b">
        <f>FALSE()</f>
        <v>0</v>
      </c>
      <c r="V2209" s="65">
        <v>940</v>
      </c>
      <c r="W2209" s="67" t="s">
        <v>8180</v>
      </c>
      <c r="X2209" s="65">
        <v>4</v>
      </c>
      <c r="Y2209" s="68">
        <v>0.97</v>
      </c>
      <c r="Z2209" s="65" t="b">
        <f>FALSE()</f>
        <v>0</v>
      </c>
      <c r="AA2209" s="65" t="b">
        <f>FALSE()</f>
        <v>0</v>
      </c>
      <c r="AB2209" s="65" t="b">
        <f>FALSE()</f>
        <v>0</v>
      </c>
      <c r="AC2209" s="65" t="b">
        <f>FALSE()</f>
        <v>0</v>
      </c>
      <c r="AD2209" s="65" t="b">
        <f>FALSE()</f>
        <v>0</v>
      </c>
      <c r="AE2209" s="65">
        <v>0</v>
      </c>
      <c r="AF2209" s="69">
        <v>0</v>
      </c>
      <c r="AG2209" s="65" t="s">
        <v>74</v>
      </c>
      <c r="AH2209" s="65" t="s">
        <v>8181</v>
      </c>
      <c r="AI2209">
        <f>IF(AND(OR(Company_Explorer!$B$5="All Companies",$E2209=Company_Explorer!$B$5),OR(Company_Explorer!$B$6="All Platforms",$B2209=Company_Explorer!$B$6),OR(Company_Explorer!$B$7="All Roles",$D2209=Company_Explorer!$B$7),OR(Company_Explorer!$B$8="All Ghost Labels",$AG2209=Company_Explorer!$B$8)),1,0)</f>
        <v>0</v>
      </c>
    </row>
    <row r="2210" spans="1:35" ht="15" customHeight="1" x14ac:dyDescent="0.3">
      <c r="A2210" s="60" t="s">
        <v>8182</v>
      </c>
      <c r="B2210" s="60" t="s">
        <v>82</v>
      </c>
      <c r="C2210" s="60" t="s">
        <v>8164</v>
      </c>
      <c r="D2210" s="60" t="s">
        <v>129</v>
      </c>
      <c r="E2210" s="60" t="s">
        <v>3726</v>
      </c>
      <c r="F2210" s="60" t="b">
        <f>FALSE()</f>
        <v>0</v>
      </c>
      <c r="G2210" s="60" t="s">
        <v>165</v>
      </c>
      <c r="H2210" s="60" t="s">
        <v>165</v>
      </c>
      <c r="I2210" s="61">
        <v>46198</v>
      </c>
      <c r="J2210" s="61">
        <v>46210.285541469901</v>
      </c>
      <c r="K2210" s="60">
        <v>12</v>
      </c>
      <c r="L2210" s="60" t="s">
        <v>192</v>
      </c>
      <c r="M2210" s="60" t="s">
        <v>183</v>
      </c>
      <c r="N2210" s="60" t="b">
        <f>TRUE()</f>
        <v>1</v>
      </c>
      <c r="O2210" s="70">
        <v>100000</v>
      </c>
      <c r="P2210" s="70">
        <v>200000</v>
      </c>
      <c r="Q2210" s="60" t="s">
        <v>3663</v>
      </c>
      <c r="R2210" s="60" t="s">
        <v>7445</v>
      </c>
      <c r="S2210" s="70">
        <v>1800000</v>
      </c>
      <c r="T2210" s="60" t="b">
        <f>TRUE()</f>
        <v>1</v>
      </c>
      <c r="U2210" s="60" t="b">
        <f>FALSE()</f>
        <v>0</v>
      </c>
      <c r="V2210" s="60">
        <v>120</v>
      </c>
      <c r="W2210" s="62" t="s">
        <v>8183</v>
      </c>
      <c r="X2210" s="60"/>
      <c r="Y2210" s="63"/>
      <c r="Z2210" s="60" t="b">
        <f>TRUE()</f>
        <v>1</v>
      </c>
      <c r="AA2210" s="60" t="b">
        <f>FALSE()</f>
        <v>0</v>
      </c>
      <c r="AB2210" s="60" t="b">
        <f>TRUE()</f>
        <v>1</v>
      </c>
      <c r="AC2210" s="60" t="b">
        <f>FALSE()</f>
        <v>0</v>
      </c>
      <c r="AD2210" s="60" t="b">
        <f>FALSE()</f>
        <v>0</v>
      </c>
      <c r="AE2210" s="60">
        <v>3</v>
      </c>
      <c r="AF2210" s="64">
        <v>42.9</v>
      </c>
      <c r="AG2210" s="60" t="s">
        <v>73</v>
      </c>
      <c r="AH2210" s="60" t="s">
        <v>8184</v>
      </c>
      <c r="AI2210">
        <f>IF(AND(OR(Company_Explorer!$B$5="All Companies",$E2210=Company_Explorer!$B$5),OR(Company_Explorer!$B$6="All Platforms",$B2210=Company_Explorer!$B$6),OR(Company_Explorer!$B$7="All Roles",$D2210=Company_Explorer!$B$7),OR(Company_Explorer!$B$8="All Ghost Labels",$AG2210=Company_Explorer!$B$8)),1,0)</f>
        <v>0</v>
      </c>
    </row>
    <row r="2211" spans="1:35" ht="15" customHeight="1" x14ac:dyDescent="0.3">
      <c r="A2211" s="65" t="s">
        <v>8185</v>
      </c>
      <c r="B2211" s="65" t="s">
        <v>82</v>
      </c>
      <c r="C2211" s="65" t="s">
        <v>8186</v>
      </c>
      <c r="D2211" s="65" t="s">
        <v>129</v>
      </c>
      <c r="E2211" s="65" t="s">
        <v>8187</v>
      </c>
      <c r="F2211" s="65" t="b">
        <f>TRUE()</f>
        <v>1</v>
      </c>
      <c r="G2211" s="65" t="s">
        <v>165</v>
      </c>
      <c r="H2211" s="65" t="s">
        <v>165</v>
      </c>
      <c r="I2211" s="66">
        <v>46201</v>
      </c>
      <c r="J2211" s="66">
        <v>46210.285543645798</v>
      </c>
      <c r="K2211" s="65">
        <v>130</v>
      </c>
      <c r="L2211" s="65" t="s">
        <v>183</v>
      </c>
      <c r="M2211" s="65" t="s">
        <v>183</v>
      </c>
      <c r="N2211" s="65" t="b">
        <f>FALSE()</f>
        <v>0</v>
      </c>
      <c r="O2211" s="65"/>
      <c r="P2211" s="65"/>
      <c r="Q2211" s="65" t="s">
        <v>3663</v>
      </c>
      <c r="R2211" s="65" t="s">
        <v>236</v>
      </c>
      <c r="S2211" s="65"/>
      <c r="T2211" s="65" t="b">
        <f>FALSE()</f>
        <v>0</v>
      </c>
      <c r="U2211" s="65" t="b">
        <f>FALSE()</f>
        <v>0</v>
      </c>
      <c r="V2211" s="65">
        <v>78</v>
      </c>
      <c r="W2211" s="67" t="s">
        <v>8188</v>
      </c>
      <c r="X2211" s="65">
        <v>1</v>
      </c>
      <c r="Y2211" s="68">
        <v>0.24</v>
      </c>
      <c r="Z2211" s="65" t="b">
        <f>FALSE()</f>
        <v>0</v>
      </c>
      <c r="AA2211" s="65" t="b">
        <f>TRUE()</f>
        <v>1</v>
      </c>
      <c r="AB2211" s="65" t="b">
        <f>TRUE()</f>
        <v>1</v>
      </c>
      <c r="AC2211" s="65" t="b">
        <f>TRUE()</f>
        <v>1</v>
      </c>
      <c r="AD2211" s="65" t="b">
        <f>FALSE()</f>
        <v>0</v>
      </c>
      <c r="AE2211" s="65">
        <v>3</v>
      </c>
      <c r="AF2211" s="69">
        <v>42.9</v>
      </c>
      <c r="AG2211" s="65" t="s">
        <v>73</v>
      </c>
      <c r="AH2211" s="65" t="s">
        <v>8189</v>
      </c>
      <c r="AI2211">
        <f>IF(AND(OR(Company_Explorer!$B$5="All Companies",$E2211=Company_Explorer!$B$5),OR(Company_Explorer!$B$6="All Platforms",$B2211=Company_Explorer!$B$6),OR(Company_Explorer!$B$7="All Roles",$D2211=Company_Explorer!$B$7),OR(Company_Explorer!$B$8="All Ghost Labels",$AG2211=Company_Explorer!$B$8)),1,0)</f>
        <v>0</v>
      </c>
    </row>
    <row r="2212" spans="1:35" ht="15" customHeight="1" x14ac:dyDescent="0.3">
      <c r="A2212" s="60" t="s">
        <v>8190</v>
      </c>
      <c r="B2212" s="60" t="s">
        <v>82</v>
      </c>
      <c r="C2212" s="60" t="s">
        <v>8191</v>
      </c>
      <c r="D2212" s="60" t="s">
        <v>125</v>
      </c>
      <c r="E2212" s="60" t="s">
        <v>3726</v>
      </c>
      <c r="F2212" s="60" t="b">
        <f>FALSE()</f>
        <v>0</v>
      </c>
      <c r="G2212" s="60" t="s">
        <v>3455</v>
      </c>
      <c r="H2212" s="60" t="s">
        <v>276</v>
      </c>
      <c r="I2212" s="61">
        <v>46206</v>
      </c>
      <c r="J2212" s="61">
        <v>46210.285545567102</v>
      </c>
      <c r="K2212" s="60">
        <v>95</v>
      </c>
      <c r="L2212" s="60" t="s">
        <v>183</v>
      </c>
      <c r="M2212" s="60" t="s">
        <v>183</v>
      </c>
      <c r="N2212" s="60" t="b">
        <f>FALSE()</f>
        <v>0</v>
      </c>
      <c r="O2212" s="60"/>
      <c r="P2212" s="60"/>
      <c r="Q2212" s="60" t="s">
        <v>3663</v>
      </c>
      <c r="R2212" s="60" t="s">
        <v>236</v>
      </c>
      <c r="S2212" s="60"/>
      <c r="T2212" s="60" t="b">
        <f>FALSE()</f>
        <v>0</v>
      </c>
      <c r="U2212" s="60" t="b">
        <f>FALSE()</f>
        <v>0</v>
      </c>
      <c r="V2212" s="60">
        <v>64</v>
      </c>
      <c r="W2212" s="62" t="s">
        <v>8192</v>
      </c>
      <c r="X2212" s="60"/>
      <c r="Y2212" s="63"/>
      <c r="Z2212" s="60" t="b">
        <f>TRUE()</f>
        <v>1</v>
      </c>
      <c r="AA2212" s="60" t="b">
        <f>TRUE()</f>
        <v>1</v>
      </c>
      <c r="AB2212" s="60" t="b">
        <f>TRUE()</f>
        <v>1</v>
      </c>
      <c r="AC2212" s="60" t="b">
        <f>FALSE()</f>
        <v>0</v>
      </c>
      <c r="AD2212" s="60" t="b">
        <f>FALSE()</f>
        <v>0</v>
      </c>
      <c r="AE2212" s="60">
        <v>4</v>
      </c>
      <c r="AF2212" s="64">
        <v>57.1</v>
      </c>
      <c r="AG2212" s="60" t="s">
        <v>72</v>
      </c>
      <c r="AH2212" s="60" t="s">
        <v>8193</v>
      </c>
      <c r="AI2212">
        <f>IF(AND(OR(Company_Explorer!$B$5="All Companies",$E2212=Company_Explorer!$B$5),OR(Company_Explorer!$B$6="All Platforms",$B2212=Company_Explorer!$B$6),OR(Company_Explorer!$B$7="All Roles",$D2212=Company_Explorer!$B$7),OR(Company_Explorer!$B$8="All Ghost Labels",$AG2212=Company_Explorer!$B$8)),1,0)</f>
        <v>0</v>
      </c>
    </row>
    <row r="2213" spans="1:35" ht="15" customHeight="1" x14ac:dyDescent="0.3">
      <c r="A2213" s="65" t="s">
        <v>8194</v>
      </c>
      <c r="B2213" s="65" t="s">
        <v>82</v>
      </c>
      <c r="C2213" s="65" t="s">
        <v>8195</v>
      </c>
      <c r="D2213" s="65" t="s">
        <v>128</v>
      </c>
      <c r="E2213" s="65" t="s">
        <v>154</v>
      </c>
      <c r="F2213" s="65" t="b">
        <f>TRUE()</f>
        <v>1</v>
      </c>
      <c r="G2213" s="65" t="s">
        <v>165</v>
      </c>
      <c r="H2213" s="65" t="s">
        <v>165</v>
      </c>
      <c r="I2213" s="66">
        <v>46196</v>
      </c>
      <c r="J2213" s="66">
        <v>46210.285546296298</v>
      </c>
      <c r="K2213" s="65">
        <v>46</v>
      </c>
      <c r="L2213" s="65" t="s">
        <v>192</v>
      </c>
      <c r="M2213" s="65" t="s">
        <v>183</v>
      </c>
      <c r="N2213" s="65" t="b">
        <f>FALSE()</f>
        <v>0</v>
      </c>
      <c r="O2213" s="65"/>
      <c r="P2213" s="65"/>
      <c r="Q2213" s="65" t="s">
        <v>3663</v>
      </c>
      <c r="R2213" s="65" t="s">
        <v>236</v>
      </c>
      <c r="S2213" s="65"/>
      <c r="T2213" s="65" t="b">
        <f>FALSE()</f>
        <v>0</v>
      </c>
      <c r="U2213" s="65" t="b">
        <f>FALSE()</f>
        <v>0</v>
      </c>
      <c r="V2213" s="65">
        <v>521</v>
      </c>
      <c r="W2213" s="65" t="s">
        <v>3893</v>
      </c>
      <c r="X2213" s="65">
        <v>16</v>
      </c>
      <c r="Y2213" s="68">
        <v>3.86</v>
      </c>
      <c r="Z2213" s="65" t="b">
        <f>FALSE()</f>
        <v>0</v>
      </c>
      <c r="AA2213" s="65" t="b">
        <f>TRUE()</f>
        <v>1</v>
      </c>
      <c r="AB2213" s="65" t="b">
        <f>FALSE()</f>
        <v>0</v>
      </c>
      <c r="AC2213" s="65" t="b">
        <f>FALSE()</f>
        <v>0</v>
      </c>
      <c r="AD2213" s="65" t="b">
        <f>TRUE()</f>
        <v>1</v>
      </c>
      <c r="AE2213" s="65">
        <v>3</v>
      </c>
      <c r="AF2213" s="69">
        <v>42.9</v>
      </c>
      <c r="AG2213" s="65" t="s">
        <v>73</v>
      </c>
      <c r="AH2213" s="65" t="s">
        <v>8196</v>
      </c>
      <c r="AI2213">
        <f>IF(AND(OR(Company_Explorer!$B$5="All Companies",$E2213=Company_Explorer!$B$5),OR(Company_Explorer!$B$6="All Platforms",$B2213=Company_Explorer!$B$6),OR(Company_Explorer!$B$7="All Roles",$D2213=Company_Explorer!$B$7),OR(Company_Explorer!$B$8="All Ghost Labels",$AG2213=Company_Explorer!$B$8)),1,0)</f>
        <v>0</v>
      </c>
    </row>
    <row r="2214" spans="1:35" ht="15" customHeight="1" x14ac:dyDescent="0.3">
      <c r="A2214" s="60" t="s">
        <v>8197</v>
      </c>
      <c r="B2214" s="60" t="s">
        <v>82</v>
      </c>
      <c r="C2214" s="60" t="s">
        <v>8198</v>
      </c>
      <c r="D2214" s="60" t="s">
        <v>131</v>
      </c>
      <c r="E2214" s="60" t="s">
        <v>3726</v>
      </c>
      <c r="F2214" s="60" t="b">
        <f>FALSE()</f>
        <v>0</v>
      </c>
      <c r="G2214" s="60" t="s">
        <v>165</v>
      </c>
      <c r="H2214" s="60" t="s">
        <v>165</v>
      </c>
      <c r="I2214" s="61">
        <v>46202</v>
      </c>
      <c r="J2214" s="61">
        <v>46210.285547881998</v>
      </c>
      <c r="K2214" s="60">
        <v>8</v>
      </c>
      <c r="L2214" s="60" t="s">
        <v>192</v>
      </c>
      <c r="M2214" s="60" t="s">
        <v>183</v>
      </c>
      <c r="N2214" s="60" t="b">
        <f>TRUE()</f>
        <v>1</v>
      </c>
      <c r="O2214" s="70">
        <v>1000000</v>
      </c>
      <c r="P2214" s="70">
        <v>1600000</v>
      </c>
      <c r="Q2214" s="60" t="s">
        <v>3663</v>
      </c>
      <c r="R2214" s="60" t="s">
        <v>7351</v>
      </c>
      <c r="S2214" s="70">
        <v>1300000</v>
      </c>
      <c r="T2214" s="60" t="b">
        <f>TRUE()</f>
        <v>1</v>
      </c>
      <c r="U2214" s="60" t="b">
        <f>FALSE()</f>
        <v>0</v>
      </c>
      <c r="V2214" s="60">
        <v>516</v>
      </c>
      <c r="W2214" s="60" t="s">
        <v>8199</v>
      </c>
      <c r="X2214" s="60"/>
      <c r="Y2214" s="63"/>
      <c r="Z2214" s="60" t="b">
        <f>TRUE()</f>
        <v>1</v>
      </c>
      <c r="AA2214" s="60" t="b">
        <f>FALSE()</f>
        <v>0</v>
      </c>
      <c r="AB2214" s="60" t="b">
        <f>FALSE()</f>
        <v>0</v>
      </c>
      <c r="AC2214" s="60" t="b">
        <f>FALSE()</f>
        <v>0</v>
      </c>
      <c r="AD2214" s="60" t="b">
        <f>FALSE()</f>
        <v>0</v>
      </c>
      <c r="AE2214" s="60">
        <v>2</v>
      </c>
      <c r="AF2214" s="64">
        <v>28.6</v>
      </c>
      <c r="AG2214" s="60" t="s">
        <v>73</v>
      </c>
      <c r="AH2214" s="60" t="s">
        <v>8200</v>
      </c>
      <c r="AI2214">
        <f>IF(AND(OR(Company_Explorer!$B$5="All Companies",$E2214=Company_Explorer!$B$5),OR(Company_Explorer!$B$6="All Platforms",$B2214=Company_Explorer!$B$6),OR(Company_Explorer!$B$7="All Roles",$D2214=Company_Explorer!$B$7),OR(Company_Explorer!$B$8="All Ghost Labels",$AG2214=Company_Explorer!$B$8)),1,0)</f>
        <v>0</v>
      </c>
    </row>
    <row r="2215" spans="1:35" ht="15" customHeight="1" x14ac:dyDescent="0.3">
      <c r="A2215" s="65" t="s">
        <v>8201</v>
      </c>
      <c r="B2215" s="65" t="s">
        <v>82</v>
      </c>
      <c r="C2215" s="65" t="s">
        <v>8202</v>
      </c>
      <c r="D2215" s="65" t="s">
        <v>125</v>
      </c>
      <c r="E2215" s="65" t="s">
        <v>8203</v>
      </c>
      <c r="F2215" s="65" t="b">
        <f>TRUE()</f>
        <v>1</v>
      </c>
      <c r="G2215" s="65" t="s">
        <v>175</v>
      </c>
      <c r="H2215" s="65" t="s">
        <v>254</v>
      </c>
      <c r="I2215" s="66">
        <v>46200</v>
      </c>
      <c r="J2215" s="66">
        <v>46210.285547858803</v>
      </c>
      <c r="K2215" s="65">
        <v>130</v>
      </c>
      <c r="L2215" s="65" t="s">
        <v>192</v>
      </c>
      <c r="M2215" s="65" t="s">
        <v>183</v>
      </c>
      <c r="N2215" s="65" t="b">
        <f>TRUE()</f>
        <v>1</v>
      </c>
      <c r="O2215" s="71">
        <v>400000</v>
      </c>
      <c r="P2215" s="71">
        <v>600000</v>
      </c>
      <c r="Q2215" s="65" t="s">
        <v>3663</v>
      </c>
      <c r="R2215" s="65" t="s">
        <v>7351</v>
      </c>
      <c r="S2215" s="71">
        <v>500000</v>
      </c>
      <c r="T2215" s="65" t="b">
        <f>TRUE()</f>
        <v>1</v>
      </c>
      <c r="U2215" s="65" t="b">
        <f>FALSE()</f>
        <v>0</v>
      </c>
      <c r="V2215" s="65">
        <v>227</v>
      </c>
      <c r="W2215" s="67" t="s">
        <v>8204</v>
      </c>
      <c r="X2215" s="65">
        <v>1</v>
      </c>
      <c r="Y2215" s="68">
        <v>0.24</v>
      </c>
      <c r="Z2215" s="65" t="b">
        <f>FALSE()</f>
        <v>0</v>
      </c>
      <c r="AA2215" s="65" t="b">
        <f>FALSE()</f>
        <v>0</v>
      </c>
      <c r="AB2215" s="65" t="b">
        <f>FALSE()</f>
        <v>0</v>
      </c>
      <c r="AC2215" s="65" t="b">
        <f>TRUE()</f>
        <v>1</v>
      </c>
      <c r="AD2215" s="65" t="b">
        <f>FALSE()</f>
        <v>0</v>
      </c>
      <c r="AE2215" s="65">
        <v>1</v>
      </c>
      <c r="AF2215" s="69">
        <v>14.3</v>
      </c>
      <c r="AG2215" s="65" t="s">
        <v>74</v>
      </c>
      <c r="AH2215" s="65" t="s">
        <v>8205</v>
      </c>
      <c r="AI2215">
        <f>IF(AND(OR(Company_Explorer!$B$5="All Companies",$E2215=Company_Explorer!$B$5),OR(Company_Explorer!$B$6="All Platforms",$B2215=Company_Explorer!$B$6),OR(Company_Explorer!$B$7="All Roles",$D2215=Company_Explorer!$B$7),OR(Company_Explorer!$B$8="All Ghost Labels",$AG2215=Company_Explorer!$B$8)),1,0)</f>
        <v>0</v>
      </c>
    </row>
    <row r="2216" spans="1:35" ht="15" customHeight="1" x14ac:dyDescent="0.3">
      <c r="A2216" s="60" t="s">
        <v>8206</v>
      </c>
      <c r="B2216" s="60" t="s">
        <v>82</v>
      </c>
      <c r="C2216" s="60" t="s">
        <v>7355</v>
      </c>
      <c r="D2216" s="60" t="s">
        <v>128</v>
      </c>
      <c r="E2216" s="60" t="s">
        <v>8207</v>
      </c>
      <c r="F2216" s="60" t="b">
        <f>TRUE()</f>
        <v>1</v>
      </c>
      <c r="G2216" s="60" t="s">
        <v>165</v>
      </c>
      <c r="H2216" s="60" t="s">
        <v>165</v>
      </c>
      <c r="I2216" s="61">
        <v>46210</v>
      </c>
      <c r="J2216" s="61">
        <v>46210.285547974498</v>
      </c>
      <c r="K2216" s="60">
        <v>122</v>
      </c>
      <c r="L2216" s="60" t="s">
        <v>192</v>
      </c>
      <c r="M2216" s="60" t="s">
        <v>183</v>
      </c>
      <c r="N2216" s="60" t="b">
        <f>FALSE()</f>
        <v>0</v>
      </c>
      <c r="O2216" s="60"/>
      <c r="P2216" s="60"/>
      <c r="Q2216" s="60" t="s">
        <v>3663</v>
      </c>
      <c r="R2216" s="60" t="s">
        <v>236</v>
      </c>
      <c r="S2216" s="60"/>
      <c r="T2216" s="60" t="b">
        <f>FALSE()</f>
        <v>0</v>
      </c>
      <c r="U2216" s="60" t="b">
        <f>FALSE()</f>
        <v>0</v>
      </c>
      <c r="V2216" s="60">
        <v>33</v>
      </c>
      <c r="W2216" s="62" t="s">
        <v>8208</v>
      </c>
      <c r="X2216" s="60">
        <v>1</v>
      </c>
      <c r="Y2216" s="63">
        <v>0.24</v>
      </c>
      <c r="Z2216" s="60" t="b">
        <f>FALSE()</f>
        <v>0</v>
      </c>
      <c r="AA2216" s="60" t="b">
        <f>TRUE()</f>
        <v>1</v>
      </c>
      <c r="AB2216" s="60" t="b">
        <f>TRUE()</f>
        <v>1</v>
      </c>
      <c r="AC2216" s="60" t="b">
        <f>TRUE()</f>
        <v>1</v>
      </c>
      <c r="AD2216" s="60" t="b">
        <f>FALSE()</f>
        <v>0</v>
      </c>
      <c r="AE2216" s="60">
        <v>3</v>
      </c>
      <c r="AF2216" s="64">
        <v>42.9</v>
      </c>
      <c r="AG2216" s="60" t="s">
        <v>73</v>
      </c>
      <c r="AH2216" s="60" t="s">
        <v>8209</v>
      </c>
      <c r="AI2216">
        <f>IF(AND(OR(Company_Explorer!$B$5="All Companies",$E2216=Company_Explorer!$B$5),OR(Company_Explorer!$B$6="All Platforms",$B2216=Company_Explorer!$B$6),OR(Company_Explorer!$B$7="All Roles",$D2216=Company_Explorer!$B$7),OR(Company_Explorer!$B$8="All Ghost Labels",$AG2216=Company_Explorer!$B$8)),1,0)</f>
        <v>0</v>
      </c>
    </row>
    <row r="2217" spans="1:35" ht="15" customHeight="1" x14ac:dyDescent="0.3">
      <c r="A2217" s="65" t="s">
        <v>8210</v>
      </c>
      <c r="B2217" s="65" t="s">
        <v>82</v>
      </c>
      <c r="C2217" s="65" t="s">
        <v>8211</v>
      </c>
      <c r="D2217" s="65" t="s">
        <v>125</v>
      </c>
      <c r="E2217" s="65" t="s">
        <v>8134</v>
      </c>
      <c r="F2217" s="65" t="b">
        <f>TRUE()</f>
        <v>1</v>
      </c>
      <c r="G2217" s="65" t="s">
        <v>165</v>
      </c>
      <c r="H2217" s="65" t="s">
        <v>165</v>
      </c>
      <c r="I2217" s="66">
        <v>46201</v>
      </c>
      <c r="J2217" s="66">
        <v>46210.285549965301</v>
      </c>
      <c r="K2217" s="65">
        <v>130</v>
      </c>
      <c r="L2217" s="65" t="s">
        <v>183</v>
      </c>
      <c r="M2217" s="65" t="s">
        <v>183</v>
      </c>
      <c r="N2217" s="65" t="b">
        <f>FALSE()</f>
        <v>0</v>
      </c>
      <c r="O2217" s="65"/>
      <c r="P2217" s="65"/>
      <c r="Q2217" s="65" t="s">
        <v>3663</v>
      </c>
      <c r="R2217" s="65" t="s">
        <v>236</v>
      </c>
      <c r="S2217" s="65"/>
      <c r="T2217" s="65" t="b">
        <f>FALSE()</f>
        <v>0</v>
      </c>
      <c r="U2217" s="65" t="b">
        <f>FALSE()</f>
        <v>0</v>
      </c>
      <c r="V2217" s="65">
        <v>142</v>
      </c>
      <c r="W2217" s="67" t="s">
        <v>8212</v>
      </c>
      <c r="X2217" s="65">
        <v>2</v>
      </c>
      <c r="Y2217" s="68">
        <v>0.48</v>
      </c>
      <c r="Z2217" s="65" t="b">
        <f>FALSE()</f>
        <v>0</v>
      </c>
      <c r="AA2217" s="65" t="b">
        <f>TRUE()</f>
        <v>1</v>
      </c>
      <c r="AB2217" s="65" t="b">
        <f>TRUE()</f>
        <v>1</v>
      </c>
      <c r="AC2217" s="65" t="b">
        <f>TRUE()</f>
        <v>1</v>
      </c>
      <c r="AD2217" s="65" t="b">
        <f>FALSE()</f>
        <v>0</v>
      </c>
      <c r="AE2217" s="65">
        <v>3</v>
      </c>
      <c r="AF2217" s="69">
        <v>42.9</v>
      </c>
      <c r="AG2217" s="65" t="s">
        <v>73</v>
      </c>
      <c r="AH2217" s="65" t="s">
        <v>8213</v>
      </c>
      <c r="AI2217">
        <f>IF(AND(OR(Company_Explorer!$B$5="All Companies",$E2217=Company_Explorer!$B$5),OR(Company_Explorer!$B$6="All Platforms",$B2217=Company_Explorer!$B$6),OR(Company_Explorer!$B$7="All Roles",$D2217=Company_Explorer!$B$7),OR(Company_Explorer!$B$8="All Ghost Labels",$AG2217=Company_Explorer!$B$8)),1,0)</f>
        <v>0</v>
      </c>
    </row>
    <row r="2218" spans="1:35" ht="15" customHeight="1" x14ac:dyDescent="0.3">
      <c r="A2218" s="60" t="s">
        <v>8214</v>
      </c>
      <c r="B2218" s="60" t="s">
        <v>82</v>
      </c>
      <c r="C2218" s="60" t="s">
        <v>8215</v>
      </c>
      <c r="D2218" s="60" t="s">
        <v>128</v>
      </c>
      <c r="E2218" s="60" t="s">
        <v>8216</v>
      </c>
      <c r="F2218" s="60" t="b">
        <f>TRUE()</f>
        <v>1</v>
      </c>
      <c r="G2218" s="60" t="s">
        <v>165</v>
      </c>
      <c r="H2218" s="60" t="s">
        <v>165</v>
      </c>
      <c r="I2218" s="61">
        <v>46208</v>
      </c>
      <c r="J2218" s="61">
        <v>46210.285550462999</v>
      </c>
      <c r="K2218" s="60">
        <v>32</v>
      </c>
      <c r="L2218" s="60" t="s">
        <v>183</v>
      </c>
      <c r="M2218" s="60" t="s">
        <v>183</v>
      </c>
      <c r="N2218" s="60" t="b">
        <f>FALSE()</f>
        <v>0</v>
      </c>
      <c r="O2218" s="60"/>
      <c r="P2218" s="60"/>
      <c r="Q2218" s="60" t="s">
        <v>3663</v>
      </c>
      <c r="R2218" s="60" t="s">
        <v>236</v>
      </c>
      <c r="S2218" s="60"/>
      <c r="T2218" s="60" t="b">
        <f>FALSE()</f>
        <v>0</v>
      </c>
      <c r="U2218" s="60" t="b">
        <f>FALSE()</f>
        <v>0</v>
      </c>
      <c r="V2218" s="60">
        <v>306</v>
      </c>
      <c r="W2218" s="62" t="s">
        <v>8217</v>
      </c>
      <c r="X2218" s="60">
        <v>1</v>
      </c>
      <c r="Y2218" s="63">
        <v>0.24</v>
      </c>
      <c r="Z2218" s="60" t="b">
        <f>FALSE()</f>
        <v>0</v>
      </c>
      <c r="AA2218" s="60" t="b">
        <f>TRUE()</f>
        <v>1</v>
      </c>
      <c r="AB2218" s="60" t="b">
        <f>FALSE()</f>
        <v>0</v>
      </c>
      <c r="AC2218" s="60" t="b">
        <f>FALSE()</f>
        <v>0</v>
      </c>
      <c r="AD2218" s="60" t="b">
        <f>FALSE()</f>
        <v>0</v>
      </c>
      <c r="AE2218" s="60">
        <v>1</v>
      </c>
      <c r="AF2218" s="64">
        <v>14.3</v>
      </c>
      <c r="AG2218" s="60" t="s">
        <v>74</v>
      </c>
      <c r="AH2218" s="60" t="s">
        <v>8218</v>
      </c>
      <c r="AI2218">
        <f>IF(AND(OR(Company_Explorer!$B$5="All Companies",$E2218=Company_Explorer!$B$5),OR(Company_Explorer!$B$6="All Platforms",$B2218=Company_Explorer!$B$6),OR(Company_Explorer!$B$7="All Roles",$D2218=Company_Explorer!$B$7),OR(Company_Explorer!$B$8="All Ghost Labels",$AG2218=Company_Explorer!$B$8)),1,0)</f>
        <v>0</v>
      </c>
    </row>
    <row r="2219" spans="1:35" ht="15" customHeight="1" x14ac:dyDescent="0.3">
      <c r="A2219" s="65" t="s">
        <v>8219</v>
      </c>
      <c r="B2219" s="65" t="s">
        <v>82</v>
      </c>
      <c r="C2219" s="65" t="s">
        <v>8220</v>
      </c>
      <c r="D2219" s="65" t="s">
        <v>129</v>
      </c>
      <c r="E2219" s="65" t="s">
        <v>8221</v>
      </c>
      <c r="F2219" s="65" t="b">
        <f>TRUE()</f>
        <v>1</v>
      </c>
      <c r="G2219" s="65" t="s">
        <v>2065</v>
      </c>
      <c r="H2219" s="65" t="s">
        <v>2066</v>
      </c>
      <c r="I2219" s="66">
        <v>46211</v>
      </c>
      <c r="J2219" s="66">
        <v>46210.285550497698</v>
      </c>
      <c r="K2219" s="65">
        <v>91</v>
      </c>
      <c r="L2219" s="65" t="s">
        <v>192</v>
      </c>
      <c r="M2219" s="65" t="s">
        <v>183</v>
      </c>
      <c r="N2219" s="65" t="b">
        <f>TRUE()</f>
        <v>1</v>
      </c>
      <c r="O2219" s="71">
        <v>300000</v>
      </c>
      <c r="P2219" s="71">
        <v>875000</v>
      </c>
      <c r="Q2219" s="65" t="s">
        <v>3663</v>
      </c>
      <c r="R2219" s="65" t="s">
        <v>7351</v>
      </c>
      <c r="S2219" s="71">
        <v>587500</v>
      </c>
      <c r="T2219" s="65" t="b">
        <f>TRUE()</f>
        <v>1</v>
      </c>
      <c r="U2219" s="65" t="b">
        <f>FALSE()</f>
        <v>0</v>
      </c>
      <c r="V2219" s="65">
        <v>367</v>
      </c>
      <c r="W2219" s="65" t="s">
        <v>8222</v>
      </c>
      <c r="X2219" s="65">
        <v>1</v>
      </c>
      <c r="Y2219" s="68">
        <v>0.24</v>
      </c>
      <c r="Z2219" s="65" t="b">
        <f>FALSE()</f>
        <v>0</v>
      </c>
      <c r="AA2219" s="65" t="b">
        <f>FALSE()</f>
        <v>0</v>
      </c>
      <c r="AB2219" s="65" t="b">
        <f>FALSE()</f>
        <v>0</v>
      </c>
      <c r="AC2219" s="65" t="b">
        <f>FALSE()</f>
        <v>0</v>
      </c>
      <c r="AD2219" s="65" t="b">
        <f>FALSE()</f>
        <v>0</v>
      </c>
      <c r="AE2219" s="65">
        <v>0</v>
      </c>
      <c r="AF2219" s="69">
        <v>0</v>
      </c>
      <c r="AG2219" s="65" t="s">
        <v>74</v>
      </c>
      <c r="AH2219" s="65" t="s">
        <v>8223</v>
      </c>
      <c r="AI2219">
        <f>IF(AND(OR(Company_Explorer!$B$5="All Companies",$E2219=Company_Explorer!$B$5),OR(Company_Explorer!$B$6="All Platforms",$B2219=Company_Explorer!$B$6),OR(Company_Explorer!$B$7="All Roles",$D2219=Company_Explorer!$B$7),OR(Company_Explorer!$B$8="All Ghost Labels",$AG2219=Company_Explorer!$B$8)),1,0)</f>
        <v>0</v>
      </c>
    </row>
    <row r="2220" spans="1:35" ht="15" customHeight="1" x14ac:dyDescent="0.3">
      <c r="A2220" s="60" t="s">
        <v>8224</v>
      </c>
      <c r="B2220" s="60" t="s">
        <v>82</v>
      </c>
      <c r="C2220" s="60" t="s">
        <v>8225</v>
      </c>
      <c r="D2220" s="60" t="s">
        <v>126</v>
      </c>
      <c r="E2220" s="60" t="s">
        <v>7346</v>
      </c>
      <c r="F2220" s="60" t="b">
        <f>TRUE()</f>
        <v>1</v>
      </c>
      <c r="G2220" s="60" t="s">
        <v>165</v>
      </c>
      <c r="H2220" s="60" t="s">
        <v>165</v>
      </c>
      <c r="I2220" s="61">
        <v>46191</v>
      </c>
      <c r="J2220" s="61">
        <v>46210.285550914399</v>
      </c>
      <c r="K2220" s="60">
        <v>19</v>
      </c>
      <c r="L2220" s="60" t="s">
        <v>183</v>
      </c>
      <c r="M2220" s="60" t="s">
        <v>183</v>
      </c>
      <c r="N2220" s="60" t="b">
        <f>FALSE()</f>
        <v>0</v>
      </c>
      <c r="O2220" s="60"/>
      <c r="P2220" s="60"/>
      <c r="Q2220" s="60" t="s">
        <v>3663</v>
      </c>
      <c r="R2220" s="60" t="s">
        <v>236</v>
      </c>
      <c r="S2220" s="60"/>
      <c r="T2220" s="60" t="b">
        <f>FALSE()</f>
        <v>0</v>
      </c>
      <c r="U2220" s="60" t="b">
        <f>FALSE()</f>
        <v>0</v>
      </c>
      <c r="V2220" s="60">
        <v>1445</v>
      </c>
      <c r="W2220" s="62" t="s">
        <v>7347</v>
      </c>
      <c r="X2220" s="60">
        <v>10</v>
      </c>
      <c r="Y2220" s="63">
        <v>2.41</v>
      </c>
      <c r="Z2220" s="60" t="b">
        <f>FALSE()</f>
        <v>0</v>
      </c>
      <c r="AA2220" s="60" t="b">
        <f>TRUE()</f>
        <v>1</v>
      </c>
      <c r="AB2220" s="60" t="b">
        <f>FALSE()</f>
        <v>0</v>
      </c>
      <c r="AC2220" s="60" t="b">
        <f>FALSE()</f>
        <v>0</v>
      </c>
      <c r="AD2220" s="60" t="b">
        <f>TRUE()</f>
        <v>1</v>
      </c>
      <c r="AE2220" s="60">
        <v>3</v>
      </c>
      <c r="AF2220" s="64">
        <v>42.9</v>
      </c>
      <c r="AG2220" s="60" t="s">
        <v>73</v>
      </c>
      <c r="AH2220" s="60" t="s">
        <v>8226</v>
      </c>
      <c r="AI2220">
        <f>IF(AND(OR(Company_Explorer!$B$5="All Companies",$E2220=Company_Explorer!$B$5),OR(Company_Explorer!$B$6="All Platforms",$B2220=Company_Explorer!$B$6),OR(Company_Explorer!$B$7="All Roles",$D2220=Company_Explorer!$B$7),OR(Company_Explorer!$B$8="All Ghost Labels",$AG2220=Company_Explorer!$B$8)),1,0)</f>
        <v>0</v>
      </c>
    </row>
    <row r="2221" spans="1:35" ht="15" customHeight="1" x14ac:dyDescent="0.3">
      <c r="A2221" s="65" t="s">
        <v>8227</v>
      </c>
      <c r="B2221" s="65" t="s">
        <v>82</v>
      </c>
      <c r="C2221" s="65" t="s">
        <v>7355</v>
      </c>
      <c r="D2221" s="65" t="s">
        <v>128</v>
      </c>
      <c r="E2221" s="65" t="s">
        <v>3726</v>
      </c>
      <c r="F2221" s="65" t="b">
        <f>FALSE()</f>
        <v>0</v>
      </c>
      <c r="G2221" s="65" t="s">
        <v>165</v>
      </c>
      <c r="H2221" s="65" t="s">
        <v>165</v>
      </c>
      <c r="I2221" s="66">
        <v>46207</v>
      </c>
      <c r="J2221" s="66">
        <v>46210.285557326402</v>
      </c>
      <c r="K2221" s="65">
        <v>3</v>
      </c>
      <c r="L2221" s="65" t="s">
        <v>192</v>
      </c>
      <c r="M2221" s="65" t="s">
        <v>183</v>
      </c>
      <c r="N2221" s="65" t="b">
        <f>TRUE()</f>
        <v>1</v>
      </c>
      <c r="O2221" s="71">
        <v>23000</v>
      </c>
      <c r="P2221" s="71">
        <v>38000</v>
      </c>
      <c r="Q2221" s="65" t="s">
        <v>3663</v>
      </c>
      <c r="R2221" s="65" t="s">
        <v>7445</v>
      </c>
      <c r="S2221" s="71">
        <v>366000</v>
      </c>
      <c r="T2221" s="65" t="b">
        <f>TRUE()</f>
        <v>1</v>
      </c>
      <c r="U2221" s="65" t="b">
        <f>FALSE()</f>
        <v>0</v>
      </c>
      <c r="V2221" s="65">
        <v>890</v>
      </c>
      <c r="W2221" s="67" t="s">
        <v>8228</v>
      </c>
      <c r="X2221" s="65"/>
      <c r="Y2221" s="68"/>
      <c r="Z2221" s="65" t="b">
        <f>TRUE()</f>
        <v>1</v>
      </c>
      <c r="AA2221" s="65" t="b">
        <f>FALSE()</f>
        <v>0</v>
      </c>
      <c r="AB2221" s="65" t="b">
        <f>FALSE()</f>
        <v>0</v>
      </c>
      <c r="AC2221" s="65" t="b">
        <f>FALSE()</f>
        <v>0</v>
      </c>
      <c r="AD2221" s="65" t="b">
        <f>FALSE()</f>
        <v>0</v>
      </c>
      <c r="AE2221" s="65">
        <v>2</v>
      </c>
      <c r="AF2221" s="69">
        <v>28.6</v>
      </c>
      <c r="AG2221" s="65" t="s">
        <v>73</v>
      </c>
      <c r="AH2221" s="65" t="s">
        <v>8229</v>
      </c>
      <c r="AI2221">
        <f>IF(AND(OR(Company_Explorer!$B$5="All Companies",$E2221=Company_Explorer!$B$5),OR(Company_Explorer!$B$6="All Platforms",$B2221=Company_Explorer!$B$6),OR(Company_Explorer!$B$7="All Roles",$D2221=Company_Explorer!$B$7),OR(Company_Explorer!$B$8="All Ghost Labels",$AG2221=Company_Explorer!$B$8)),1,0)</f>
        <v>0</v>
      </c>
    </row>
    <row r="2222" spans="1:35" ht="15" customHeight="1" x14ac:dyDescent="0.3">
      <c r="A2222" s="60" t="s">
        <v>8230</v>
      </c>
      <c r="B2222" s="60" t="s">
        <v>82</v>
      </c>
      <c r="C2222" s="60" t="s">
        <v>8231</v>
      </c>
      <c r="D2222" s="60" t="s">
        <v>128</v>
      </c>
      <c r="E2222" s="60" t="s">
        <v>154</v>
      </c>
      <c r="F2222" s="60" t="b">
        <f>TRUE()</f>
        <v>1</v>
      </c>
      <c r="G2222" s="60" t="s">
        <v>165</v>
      </c>
      <c r="H2222" s="60" t="s">
        <v>165</v>
      </c>
      <c r="I2222" s="61">
        <v>46210</v>
      </c>
      <c r="J2222" s="61">
        <v>46210.2855600232</v>
      </c>
      <c r="K2222" s="60">
        <v>0</v>
      </c>
      <c r="L2222" s="60" t="s">
        <v>192</v>
      </c>
      <c r="M2222" s="60" t="s">
        <v>183</v>
      </c>
      <c r="N2222" s="60" t="b">
        <f>FALSE()</f>
        <v>0</v>
      </c>
      <c r="O2222" s="60"/>
      <c r="P2222" s="60"/>
      <c r="Q2222" s="60" t="s">
        <v>3663</v>
      </c>
      <c r="R2222" s="60" t="s">
        <v>236</v>
      </c>
      <c r="S2222" s="60"/>
      <c r="T2222" s="60" t="b">
        <f>FALSE()</f>
        <v>0</v>
      </c>
      <c r="U2222" s="60" t="b">
        <f>FALSE()</f>
        <v>0</v>
      </c>
      <c r="V2222" s="60">
        <v>534</v>
      </c>
      <c r="W2222" s="60" t="s">
        <v>3893</v>
      </c>
      <c r="X2222" s="60">
        <v>16</v>
      </c>
      <c r="Y2222" s="63">
        <v>3.86</v>
      </c>
      <c r="Z2222" s="60" t="b">
        <f>FALSE()</f>
        <v>0</v>
      </c>
      <c r="AA2222" s="60" t="b">
        <f>TRUE()</f>
        <v>1</v>
      </c>
      <c r="AB2222" s="60" t="b">
        <f>FALSE()</f>
        <v>0</v>
      </c>
      <c r="AC2222" s="60" t="b">
        <f>FALSE()</f>
        <v>0</v>
      </c>
      <c r="AD2222" s="60" t="b">
        <f>TRUE()</f>
        <v>1</v>
      </c>
      <c r="AE2222" s="60">
        <v>3</v>
      </c>
      <c r="AF2222" s="64">
        <v>42.9</v>
      </c>
      <c r="AG2222" s="60" t="s">
        <v>73</v>
      </c>
      <c r="AH2222" s="60" t="s">
        <v>8232</v>
      </c>
      <c r="AI2222">
        <f>IF(AND(OR(Company_Explorer!$B$5="All Companies",$E2222=Company_Explorer!$B$5),OR(Company_Explorer!$B$6="All Platforms",$B2222=Company_Explorer!$B$6),OR(Company_Explorer!$B$7="All Roles",$D2222=Company_Explorer!$B$7),OR(Company_Explorer!$B$8="All Ghost Labels",$AG2222=Company_Explorer!$B$8)),1,0)</f>
        <v>0</v>
      </c>
    </row>
    <row r="2223" spans="1:35" ht="15" customHeight="1" x14ac:dyDescent="0.3">
      <c r="A2223" s="65" t="s">
        <v>8233</v>
      </c>
      <c r="B2223" s="65" t="s">
        <v>82</v>
      </c>
      <c r="C2223" s="65" t="s">
        <v>7285</v>
      </c>
      <c r="D2223" s="65" t="s">
        <v>128</v>
      </c>
      <c r="E2223" s="65" t="s">
        <v>8234</v>
      </c>
      <c r="F2223" s="65" t="b">
        <f>TRUE()</f>
        <v>1</v>
      </c>
      <c r="G2223" s="65" t="s">
        <v>166</v>
      </c>
      <c r="H2223" s="65" t="s">
        <v>235</v>
      </c>
      <c r="I2223" s="66">
        <v>46194</v>
      </c>
      <c r="J2223" s="66">
        <v>46210.285560763899</v>
      </c>
      <c r="K2223" s="65">
        <v>16</v>
      </c>
      <c r="L2223" s="65" t="s">
        <v>192</v>
      </c>
      <c r="M2223" s="65" t="s">
        <v>183</v>
      </c>
      <c r="N2223" s="65" t="b">
        <f>TRUE()</f>
        <v>1</v>
      </c>
      <c r="O2223" s="71">
        <v>180000</v>
      </c>
      <c r="P2223" s="71">
        <v>750000</v>
      </c>
      <c r="Q2223" s="65" t="s">
        <v>3663</v>
      </c>
      <c r="R2223" s="65" t="s">
        <v>7351</v>
      </c>
      <c r="S2223" s="71">
        <v>465000</v>
      </c>
      <c r="T2223" s="65" t="b">
        <f>TRUE()</f>
        <v>1</v>
      </c>
      <c r="U2223" s="65" t="b">
        <f>FALSE()</f>
        <v>0</v>
      </c>
      <c r="V2223" s="65">
        <v>315</v>
      </c>
      <c r="W2223" s="65" t="s">
        <v>8235</v>
      </c>
      <c r="X2223" s="65">
        <v>1</v>
      </c>
      <c r="Y2223" s="68">
        <v>0.24</v>
      </c>
      <c r="Z2223" s="65" t="b">
        <f>FALSE()</f>
        <v>0</v>
      </c>
      <c r="AA2223" s="65" t="b">
        <f>FALSE()</f>
        <v>0</v>
      </c>
      <c r="AB2223" s="65" t="b">
        <f>FALSE()</f>
        <v>0</v>
      </c>
      <c r="AC2223" s="65" t="b">
        <f>FALSE()</f>
        <v>0</v>
      </c>
      <c r="AD2223" s="65" t="b">
        <f>FALSE()</f>
        <v>0</v>
      </c>
      <c r="AE2223" s="65">
        <v>0</v>
      </c>
      <c r="AF2223" s="69">
        <v>0</v>
      </c>
      <c r="AG2223" s="65" t="s">
        <v>74</v>
      </c>
      <c r="AH2223" s="65" t="s">
        <v>8236</v>
      </c>
      <c r="AI2223">
        <f>IF(AND(OR(Company_Explorer!$B$5="All Companies",$E2223=Company_Explorer!$B$5),OR(Company_Explorer!$B$6="All Platforms",$B2223=Company_Explorer!$B$6),OR(Company_Explorer!$B$7="All Roles",$D2223=Company_Explorer!$B$7),OR(Company_Explorer!$B$8="All Ghost Labels",$AG2223=Company_Explorer!$B$8)),1,0)</f>
        <v>0</v>
      </c>
    </row>
    <row r="2224" spans="1:35" ht="15" customHeight="1" x14ac:dyDescent="0.3">
      <c r="A2224" s="60" t="s">
        <v>8237</v>
      </c>
      <c r="B2224" s="60" t="s">
        <v>82</v>
      </c>
      <c r="C2224" s="60" t="s">
        <v>8238</v>
      </c>
      <c r="D2224" s="60" t="s">
        <v>128</v>
      </c>
      <c r="E2224" s="60" t="s">
        <v>8239</v>
      </c>
      <c r="F2224" s="60" t="b">
        <f>TRUE()</f>
        <v>1</v>
      </c>
      <c r="G2224" s="60" t="s">
        <v>165</v>
      </c>
      <c r="H2224" s="60" t="s">
        <v>165</v>
      </c>
      <c r="I2224" s="61">
        <v>46202</v>
      </c>
      <c r="J2224" s="61">
        <v>46210.285560925899</v>
      </c>
      <c r="K2224" s="60">
        <v>69</v>
      </c>
      <c r="L2224" s="60" t="s">
        <v>183</v>
      </c>
      <c r="M2224" s="60" t="s">
        <v>183</v>
      </c>
      <c r="N2224" s="60" t="b">
        <f>FALSE()</f>
        <v>0</v>
      </c>
      <c r="O2224" s="60"/>
      <c r="P2224" s="60"/>
      <c r="Q2224" s="60" t="s">
        <v>3663</v>
      </c>
      <c r="R2224" s="60" t="s">
        <v>236</v>
      </c>
      <c r="S2224" s="60"/>
      <c r="T2224" s="60" t="b">
        <f>FALSE()</f>
        <v>0</v>
      </c>
      <c r="U2224" s="60" t="b">
        <f>FALSE()</f>
        <v>0</v>
      </c>
      <c r="V2224" s="60">
        <v>135</v>
      </c>
      <c r="W2224" s="62" t="s">
        <v>8240</v>
      </c>
      <c r="X2224" s="60">
        <v>1</v>
      </c>
      <c r="Y2224" s="63">
        <v>0.24</v>
      </c>
      <c r="Z2224" s="60" t="b">
        <f>FALSE()</f>
        <v>0</v>
      </c>
      <c r="AA2224" s="60" t="b">
        <f>TRUE()</f>
        <v>1</v>
      </c>
      <c r="AB2224" s="60" t="b">
        <f>TRUE()</f>
        <v>1</v>
      </c>
      <c r="AC2224" s="60" t="b">
        <f>FALSE()</f>
        <v>0</v>
      </c>
      <c r="AD2224" s="60" t="b">
        <f>FALSE()</f>
        <v>0</v>
      </c>
      <c r="AE2224" s="60">
        <v>2</v>
      </c>
      <c r="AF2224" s="64">
        <v>28.6</v>
      </c>
      <c r="AG2224" s="60" t="s">
        <v>73</v>
      </c>
      <c r="AH2224" s="60" t="s">
        <v>8241</v>
      </c>
      <c r="AI2224">
        <f>IF(AND(OR(Company_Explorer!$B$5="All Companies",$E2224=Company_Explorer!$B$5),OR(Company_Explorer!$B$6="All Platforms",$B2224=Company_Explorer!$B$6),OR(Company_Explorer!$B$7="All Roles",$D2224=Company_Explorer!$B$7),OR(Company_Explorer!$B$8="All Ghost Labels",$AG2224=Company_Explorer!$B$8)),1,0)</f>
        <v>0</v>
      </c>
    </row>
    <row r="2225" spans="1:35" ht="15" customHeight="1" x14ac:dyDescent="0.3">
      <c r="A2225" s="65" t="s">
        <v>8242</v>
      </c>
      <c r="B2225" s="65" t="s">
        <v>82</v>
      </c>
      <c r="C2225" s="65" t="s">
        <v>7355</v>
      </c>
      <c r="D2225" s="65" t="s">
        <v>128</v>
      </c>
      <c r="E2225" s="65" t="s">
        <v>3726</v>
      </c>
      <c r="F2225" s="65" t="b">
        <f>FALSE()</f>
        <v>0</v>
      </c>
      <c r="G2225" s="65" t="s">
        <v>167</v>
      </c>
      <c r="H2225" s="65" t="s">
        <v>276</v>
      </c>
      <c r="I2225" s="66">
        <v>46207</v>
      </c>
      <c r="J2225" s="66">
        <v>46210.285560868098</v>
      </c>
      <c r="K2225" s="65">
        <v>3</v>
      </c>
      <c r="L2225" s="65" t="s">
        <v>183</v>
      </c>
      <c r="M2225" s="65" t="s">
        <v>183</v>
      </c>
      <c r="N2225" s="65" t="b">
        <f>FALSE()</f>
        <v>0</v>
      </c>
      <c r="O2225" s="65"/>
      <c r="P2225" s="65"/>
      <c r="Q2225" s="65" t="s">
        <v>3663</v>
      </c>
      <c r="R2225" s="65" t="s">
        <v>236</v>
      </c>
      <c r="S2225" s="65"/>
      <c r="T2225" s="65" t="b">
        <f>FALSE()</f>
        <v>0</v>
      </c>
      <c r="U2225" s="65" t="b">
        <f>FALSE()</f>
        <v>0</v>
      </c>
      <c r="V2225" s="65">
        <v>715</v>
      </c>
      <c r="W2225" s="65" t="s">
        <v>8243</v>
      </c>
      <c r="X2225" s="65"/>
      <c r="Y2225" s="68"/>
      <c r="Z2225" s="65" t="b">
        <f>TRUE()</f>
        <v>1</v>
      </c>
      <c r="AA2225" s="65" t="b">
        <f>TRUE()</f>
        <v>1</v>
      </c>
      <c r="AB2225" s="65" t="b">
        <f>FALSE()</f>
        <v>0</v>
      </c>
      <c r="AC2225" s="65" t="b">
        <f>FALSE()</f>
        <v>0</v>
      </c>
      <c r="AD2225" s="65" t="b">
        <f>FALSE()</f>
        <v>0</v>
      </c>
      <c r="AE2225" s="65">
        <v>3</v>
      </c>
      <c r="AF2225" s="69">
        <v>42.9</v>
      </c>
      <c r="AG2225" s="65" t="s">
        <v>73</v>
      </c>
      <c r="AH2225" s="65" t="s">
        <v>8244</v>
      </c>
      <c r="AI2225">
        <f>IF(AND(OR(Company_Explorer!$B$5="All Companies",$E2225=Company_Explorer!$B$5),OR(Company_Explorer!$B$6="All Platforms",$B2225=Company_Explorer!$B$6),OR(Company_Explorer!$B$7="All Roles",$D2225=Company_Explorer!$B$7),OR(Company_Explorer!$B$8="All Ghost Labels",$AG2225=Company_Explorer!$B$8)),1,0)</f>
        <v>0</v>
      </c>
    </row>
    <row r="2226" spans="1:35" ht="15" customHeight="1" x14ac:dyDescent="0.3">
      <c r="A2226" s="60" t="s">
        <v>8245</v>
      </c>
      <c r="B2226" s="60" t="s">
        <v>82</v>
      </c>
      <c r="C2226" s="60" t="s">
        <v>6911</v>
      </c>
      <c r="D2226" s="60" t="s">
        <v>126</v>
      </c>
      <c r="E2226" s="60" t="s">
        <v>7696</v>
      </c>
      <c r="F2226" s="60" t="b">
        <f>TRUE()</f>
        <v>1</v>
      </c>
      <c r="G2226" s="60" t="s">
        <v>7697</v>
      </c>
      <c r="H2226" s="60" t="s">
        <v>254</v>
      </c>
      <c r="I2226" s="61">
        <v>46195</v>
      </c>
      <c r="J2226" s="61">
        <v>46210.285566516199</v>
      </c>
      <c r="K2226" s="60">
        <v>46</v>
      </c>
      <c r="L2226" s="60" t="s">
        <v>192</v>
      </c>
      <c r="M2226" s="60" t="s">
        <v>183</v>
      </c>
      <c r="N2226" s="60" t="b">
        <f>TRUE()</f>
        <v>1</v>
      </c>
      <c r="O2226" s="70">
        <v>416000</v>
      </c>
      <c r="P2226" s="70">
        <v>639680</v>
      </c>
      <c r="Q2226" s="60" t="s">
        <v>3663</v>
      </c>
      <c r="R2226" s="60" t="s">
        <v>7351</v>
      </c>
      <c r="S2226" s="70">
        <v>527840</v>
      </c>
      <c r="T2226" s="60" t="b">
        <f>TRUE()</f>
        <v>1</v>
      </c>
      <c r="U2226" s="60" t="b">
        <f>FALSE()</f>
        <v>0</v>
      </c>
      <c r="V2226" s="60">
        <v>608</v>
      </c>
      <c r="W2226" s="60" t="s">
        <v>8246</v>
      </c>
      <c r="X2226" s="60">
        <v>2</v>
      </c>
      <c r="Y2226" s="63">
        <v>0.48</v>
      </c>
      <c r="Z2226" s="60" t="b">
        <f>FALSE()</f>
        <v>0</v>
      </c>
      <c r="AA2226" s="60" t="b">
        <f>FALSE()</f>
        <v>0</v>
      </c>
      <c r="AB2226" s="60" t="b">
        <f>FALSE()</f>
        <v>0</v>
      </c>
      <c r="AC2226" s="60" t="b">
        <f>FALSE()</f>
        <v>0</v>
      </c>
      <c r="AD2226" s="60" t="b">
        <f>FALSE()</f>
        <v>0</v>
      </c>
      <c r="AE2226" s="60">
        <v>0</v>
      </c>
      <c r="AF2226" s="64">
        <v>0</v>
      </c>
      <c r="AG2226" s="60" t="s">
        <v>74</v>
      </c>
      <c r="AH2226" s="60" t="s">
        <v>8247</v>
      </c>
      <c r="AI2226">
        <f>IF(AND(OR(Company_Explorer!$B$5="All Companies",$E2226=Company_Explorer!$B$5),OR(Company_Explorer!$B$6="All Platforms",$B2226=Company_Explorer!$B$6),OR(Company_Explorer!$B$7="All Roles",$D2226=Company_Explorer!$B$7),OR(Company_Explorer!$B$8="All Ghost Labels",$AG2226=Company_Explorer!$B$8)),1,0)</f>
        <v>0</v>
      </c>
    </row>
    <row r="2227" spans="1:35" ht="15" customHeight="1" x14ac:dyDescent="0.3">
      <c r="A2227" s="65" t="s">
        <v>8248</v>
      </c>
      <c r="B2227" s="65" t="s">
        <v>82</v>
      </c>
      <c r="C2227" s="65" t="s">
        <v>8249</v>
      </c>
      <c r="D2227" s="65" t="s">
        <v>128</v>
      </c>
      <c r="E2227" s="65" t="s">
        <v>8250</v>
      </c>
      <c r="F2227" s="65" t="b">
        <f>TRUE()</f>
        <v>1</v>
      </c>
      <c r="G2227" s="65" t="s">
        <v>165</v>
      </c>
      <c r="H2227" s="65" t="s">
        <v>165</v>
      </c>
      <c r="I2227" s="66">
        <v>46198</v>
      </c>
      <c r="J2227" s="66">
        <v>46210.285567708299</v>
      </c>
      <c r="K2227" s="65">
        <v>12</v>
      </c>
      <c r="L2227" s="65" t="s">
        <v>183</v>
      </c>
      <c r="M2227" s="65" t="s">
        <v>183</v>
      </c>
      <c r="N2227" s="65" t="b">
        <f>FALSE()</f>
        <v>0</v>
      </c>
      <c r="O2227" s="65"/>
      <c r="P2227" s="65"/>
      <c r="Q2227" s="65" t="s">
        <v>3663</v>
      </c>
      <c r="R2227" s="65" t="s">
        <v>236</v>
      </c>
      <c r="S2227" s="65"/>
      <c r="T2227" s="65" t="b">
        <f>FALSE()</f>
        <v>0</v>
      </c>
      <c r="U2227" s="65" t="b">
        <f>FALSE()</f>
        <v>0</v>
      </c>
      <c r="V2227" s="65">
        <v>646</v>
      </c>
      <c r="W2227" s="67" t="s">
        <v>8251</v>
      </c>
      <c r="X2227" s="65">
        <v>4</v>
      </c>
      <c r="Y2227" s="68">
        <v>0.97</v>
      </c>
      <c r="Z2227" s="65" t="b">
        <f>FALSE()</f>
        <v>0</v>
      </c>
      <c r="AA2227" s="65" t="b">
        <f>TRUE()</f>
        <v>1</v>
      </c>
      <c r="AB2227" s="65" t="b">
        <f>FALSE()</f>
        <v>0</v>
      </c>
      <c r="AC2227" s="65" t="b">
        <f>FALSE()</f>
        <v>0</v>
      </c>
      <c r="AD2227" s="65" t="b">
        <f>FALSE()</f>
        <v>0</v>
      </c>
      <c r="AE2227" s="65">
        <v>1</v>
      </c>
      <c r="AF2227" s="69">
        <v>14.3</v>
      </c>
      <c r="AG2227" s="65" t="s">
        <v>74</v>
      </c>
      <c r="AH2227" s="65" t="s">
        <v>8252</v>
      </c>
      <c r="AI2227">
        <f>IF(AND(OR(Company_Explorer!$B$5="All Companies",$E2227=Company_Explorer!$B$5),OR(Company_Explorer!$B$6="All Platforms",$B2227=Company_Explorer!$B$6),OR(Company_Explorer!$B$7="All Roles",$D2227=Company_Explorer!$B$7),OR(Company_Explorer!$B$8="All Ghost Labels",$AG2227=Company_Explorer!$B$8)),1,0)</f>
        <v>0</v>
      </c>
    </row>
    <row r="2228" spans="1:35" ht="15" customHeight="1" x14ac:dyDescent="0.3">
      <c r="A2228" s="60" t="s">
        <v>8253</v>
      </c>
      <c r="B2228" s="60" t="s">
        <v>82</v>
      </c>
      <c r="C2228" s="60" t="s">
        <v>8254</v>
      </c>
      <c r="D2228" s="60" t="s">
        <v>128</v>
      </c>
      <c r="E2228" s="60" t="s">
        <v>7491</v>
      </c>
      <c r="F2228" s="60" t="b">
        <f>TRUE()</f>
        <v>1</v>
      </c>
      <c r="G2228" s="60" t="s">
        <v>7492</v>
      </c>
      <c r="H2228" s="60" t="s">
        <v>754</v>
      </c>
      <c r="I2228" s="61">
        <v>46203</v>
      </c>
      <c r="J2228" s="61">
        <v>46210.285570150503</v>
      </c>
      <c r="K2228" s="60">
        <v>38</v>
      </c>
      <c r="L2228" s="60" t="s">
        <v>192</v>
      </c>
      <c r="M2228" s="60" t="s">
        <v>183</v>
      </c>
      <c r="N2228" s="60" t="b">
        <f>TRUE()</f>
        <v>1</v>
      </c>
      <c r="O2228" s="70">
        <v>360000</v>
      </c>
      <c r="P2228" s="70">
        <v>700000</v>
      </c>
      <c r="Q2228" s="60" t="s">
        <v>3663</v>
      </c>
      <c r="R2228" s="60" t="s">
        <v>7351</v>
      </c>
      <c r="S2228" s="70">
        <v>530000</v>
      </c>
      <c r="T2228" s="60" t="b">
        <f>TRUE()</f>
        <v>1</v>
      </c>
      <c r="U2228" s="60" t="b">
        <f>FALSE()</f>
        <v>0</v>
      </c>
      <c r="V2228" s="60">
        <v>743</v>
      </c>
      <c r="W2228" s="62" t="s">
        <v>8255</v>
      </c>
      <c r="X2228" s="60">
        <v>6</v>
      </c>
      <c r="Y2228" s="63">
        <v>1.45</v>
      </c>
      <c r="Z2228" s="60" t="b">
        <f>FALSE()</f>
        <v>0</v>
      </c>
      <c r="AA2228" s="60" t="b">
        <f>FALSE()</f>
        <v>0</v>
      </c>
      <c r="AB2228" s="60" t="b">
        <f>FALSE()</f>
        <v>0</v>
      </c>
      <c r="AC2228" s="60" t="b">
        <f>FALSE()</f>
        <v>0</v>
      </c>
      <c r="AD2228" s="60" t="b">
        <f>FALSE()</f>
        <v>0</v>
      </c>
      <c r="AE2228" s="60">
        <v>0</v>
      </c>
      <c r="AF2228" s="64">
        <v>0</v>
      </c>
      <c r="AG2228" s="60" t="s">
        <v>74</v>
      </c>
      <c r="AH2228" s="60" t="s">
        <v>8256</v>
      </c>
      <c r="AI2228">
        <f>IF(AND(OR(Company_Explorer!$B$5="All Companies",$E2228=Company_Explorer!$B$5),OR(Company_Explorer!$B$6="All Platforms",$B2228=Company_Explorer!$B$6),OR(Company_Explorer!$B$7="All Roles",$D2228=Company_Explorer!$B$7),OR(Company_Explorer!$B$8="All Ghost Labels",$AG2228=Company_Explorer!$B$8)),1,0)</f>
        <v>0</v>
      </c>
    </row>
    <row r="2229" spans="1:35" ht="15" customHeight="1" x14ac:dyDescent="0.3">
      <c r="A2229" s="65" t="s">
        <v>8257</v>
      </c>
      <c r="B2229" s="65" t="s">
        <v>82</v>
      </c>
      <c r="C2229" s="65" t="s">
        <v>8258</v>
      </c>
      <c r="D2229" s="65" t="s">
        <v>128</v>
      </c>
      <c r="E2229" s="65" t="s">
        <v>8259</v>
      </c>
      <c r="F2229" s="65" t="b">
        <f>TRUE()</f>
        <v>1</v>
      </c>
      <c r="G2229" s="65" t="s">
        <v>165</v>
      </c>
      <c r="H2229" s="65" t="s">
        <v>165</v>
      </c>
      <c r="I2229" s="66">
        <v>46194</v>
      </c>
      <c r="J2229" s="66">
        <v>46210.285573368099</v>
      </c>
      <c r="K2229" s="65">
        <v>47</v>
      </c>
      <c r="L2229" s="65" t="s">
        <v>192</v>
      </c>
      <c r="M2229" s="65" t="s">
        <v>183</v>
      </c>
      <c r="N2229" s="65" t="b">
        <f>FALSE()</f>
        <v>0</v>
      </c>
      <c r="O2229" s="65"/>
      <c r="P2229" s="65"/>
      <c r="Q2229" s="65" t="s">
        <v>3663</v>
      </c>
      <c r="R2229" s="65" t="s">
        <v>236</v>
      </c>
      <c r="S2229" s="65"/>
      <c r="T2229" s="65" t="b">
        <f>FALSE()</f>
        <v>0</v>
      </c>
      <c r="U2229" s="65" t="b">
        <f>FALSE()</f>
        <v>0</v>
      </c>
      <c r="V2229" s="65">
        <v>767</v>
      </c>
      <c r="W2229" s="67" t="s">
        <v>8260</v>
      </c>
      <c r="X2229" s="65">
        <v>2</v>
      </c>
      <c r="Y2229" s="68">
        <v>0.48</v>
      </c>
      <c r="Z2229" s="65" t="b">
        <f>FALSE()</f>
        <v>0</v>
      </c>
      <c r="AA2229" s="65" t="b">
        <f>TRUE()</f>
        <v>1</v>
      </c>
      <c r="AB2229" s="65" t="b">
        <f>FALSE()</f>
        <v>0</v>
      </c>
      <c r="AC2229" s="65" t="b">
        <f>FALSE()</f>
        <v>0</v>
      </c>
      <c r="AD2229" s="65" t="b">
        <f>FALSE()</f>
        <v>0</v>
      </c>
      <c r="AE2229" s="65">
        <v>1</v>
      </c>
      <c r="AF2229" s="69">
        <v>14.3</v>
      </c>
      <c r="AG2229" s="65" t="s">
        <v>74</v>
      </c>
      <c r="AH2229" s="65" t="s">
        <v>8261</v>
      </c>
      <c r="AI2229">
        <f>IF(AND(OR(Company_Explorer!$B$5="All Companies",$E2229=Company_Explorer!$B$5),OR(Company_Explorer!$B$6="All Platforms",$B2229=Company_Explorer!$B$6),OR(Company_Explorer!$B$7="All Roles",$D2229=Company_Explorer!$B$7),OR(Company_Explorer!$B$8="All Ghost Labels",$AG2229=Company_Explorer!$B$8)),1,0)</f>
        <v>0</v>
      </c>
    </row>
    <row r="2230" spans="1:35" ht="15" customHeight="1" x14ac:dyDescent="0.3">
      <c r="A2230" s="60" t="s">
        <v>8262</v>
      </c>
      <c r="B2230" s="60" t="s">
        <v>82</v>
      </c>
      <c r="C2230" s="60" t="s">
        <v>8263</v>
      </c>
      <c r="D2230" s="60" t="s">
        <v>126</v>
      </c>
      <c r="E2230" s="60" t="s">
        <v>7511</v>
      </c>
      <c r="F2230" s="60" t="b">
        <f>TRUE()</f>
        <v>1</v>
      </c>
      <c r="G2230" s="60" t="s">
        <v>165</v>
      </c>
      <c r="H2230" s="60" t="s">
        <v>165</v>
      </c>
      <c r="I2230" s="61">
        <v>46199</v>
      </c>
      <c r="J2230" s="61">
        <v>46210.2855736458</v>
      </c>
      <c r="K2230" s="60">
        <v>11</v>
      </c>
      <c r="L2230" s="60" t="s">
        <v>192</v>
      </c>
      <c r="M2230" s="60" t="s">
        <v>183</v>
      </c>
      <c r="N2230" s="60" t="b">
        <f>FALSE()</f>
        <v>0</v>
      </c>
      <c r="O2230" s="60"/>
      <c r="P2230" s="60"/>
      <c r="Q2230" s="60" t="s">
        <v>3663</v>
      </c>
      <c r="R2230" s="60" t="s">
        <v>236</v>
      </c>
      <c r="S2230" s="60"/>
      <c r="T2230" s="60" t="b">
        <f>FALSE()</f>
        <v>0</v>
      </c>
      <c r="U2230" s="60" t="b">
        <f>FALSE()</f>
        <v>0</v>
      </c>
      <c r="V2230" s="60">
        <v>727</v>
      </c>
      <c r="W2230" s="62" t="s">
        <v>7512</v>
      </c>
      <c r="X2230" s="60">
        <v>9</v>
      </c>
      <c r="Y2230" s="63">
        <v>2.17</v>
      </c>
      <c r="Z2230" s="60" t="b">
        <f>FALSE()</f>
        <v>0</v>
      </c>
      <c r="AA2230" s="60" t="b">
        <f>TRUE()</f>
        <v>1</v>
      </c>
      <c r="AB2230" s="60" t="b">
        <f>FALSE()</f>
        <v>0</v>
      </c>
      <c r="AC2230" s="60" t="b">
        <f>FALSE()</f>
        <v>0</v>
      </c>
      <c r="AD2230" s="60" t="b">
        <f>FALSE()</f>
        <v>0</v>
      </c>
      <c r="AE2230" s="60">
        <v>1</v>
      </c>
      <c r="AF2230" s="64">
        <v>14.3</v>
      </c>
      <c r="AG2230" s="60" t="s">
        <v>74</v>
      </c>
      <c r="AH2230" s="60" t="s">
        <v>8264</v>
      </c>
      <c r="AI2230">
        <f>IF(AND(OR(Company_Explorer!$B$5="All Companies",$E2230=Company_Explorer!$B$5),OR(Company_Explorer!$B$6="All Platforms",$B2230=Company_Explorer!$B$6),OR(Company_Explorer!$B$7="All Roles",$D2230=Company_Explorer!$B$7),OR(Company_Explorer!$B$8="All Ghost Labels",$AG2230=Company_Explorer!$B$8)),1,0)</f>
        <v>0</v>
      </c>
    </row>
    <row r="2231" spans="1:35" ht="15" customHeight="1" x14ac:dyDescent="0.3">
      <c r="A2231" s="65" t="s">
        <v>8265</v>
      </c>
      <c r="B2231" s="65" t="s">
        <v>82</v>
      </c>
      <c r="C2231" s="65" t="s">
        <v>2637</v>
      </c>
      <c r="D2231" s="65" t="s">
        <v>131</v>
      </c>
      <c r="E2231" s="65" t="s">
        <v>3726</v>
      </c>
      <c r="F2231" s="65" t="b">
        <f>FALSE()</f>
        <v>0</v>
      </c>
      <c r="G2231" s="65" t="s">
        <v>165</v>
      </c>
      <c r="H2231" s="65" t="s">
        <v>165</v>
      </c>
      <c r="I2231" s="66">
        <v>46200</v>
      </c>
      <c r="J2231" s="66">
        <v>46210.285574502297</v>
      </c>
      <c r="K2231" s="65">
        <v>42</v>
      </c>
      <c r="L2231" s="65" t="s">
        <v>192</v>
      </c>
      <c r="M2231" s="65" t="s">
        <v>183</v>
      </c>
      <c r="N2231" s="65" t="b">
        <f>TRUE()</f>
        <v>1</v>
      </c>
      <c r="O2231" s="71">
        <v>3000000</v>
      </c>
      <c r="P2231" s="71">
        <v>3000000</v>
      </c>
      <c r="Q2231" s="65" t="s">
        <v>3663</v>
      </c>
      <c r="R2231" s="65" t="s">
        <v>7351</v>
      </c>
      <c r="S2231" s="71">
        <v>3000000</v>
      </c>
      <c r="T2231" s="65" t="b">
        <f>TRUE()</f>
        <v>1</v>
      </c>
      <c r="U2231" s="65" t="b">
        <f>FALSE()</f>
        <v>0</v>
      </c>
      <c r="V2231" s="65">
        <v>621</v>
      </c>
      <c r="W2231" s="67" t="s">
        <v>8266</v>
      </c>
      <c r="X2231" s="65"/>
      <c r="Y2231" s="68"/>
      <c r="Z2231" s="65" t="b">
        <f>TRUE()</f>
        <v>1</v>
      </c>
      <c r="AA2231" s="65" t="b">
        <f>FALSE()</f>
        <v>0</v>
      </c>
      <c r="AB2231" s="65" t="b">
        <f>FALSE()</f>
        <v>0</v>
      </c>
      <c r="AC2231" s="65" t="b">
        <f>FALSE()</f>
        <v>0</v>
      </c>
      <c r="AD2231" s="65" t="b">
        <f>FALSE()</f>
        <v>0</v>
      </c>
      <c r="AE2231" s="65">
        <v>2</v>
      </c>
      <c r="AF2231" s="69">
        <v>28.6</v>
      </c>
      <c r="AG2231" s="65" t="s">
        <v>73</v>
      </c>
      <c r="AH2231" s="65" t="s">
        <v>8267</v>
      </c>
      <c r="AI2231">
        <f>IF(AND(OR(Company_Explorer!$B$5="All Companies",$E2231=Company_Explorer!$B$5),OR(Company_Explorer!$B$6="All Platforms",$B2231=Company_Explorer!$B$6),OR(Company_Explorer!$B$7="All Roles",$D2231=Company_Explorer!$B$7),OR(Company_Explorer!$B$8="All Ghost Labels",$AG2231=Company_Explorer!$B$8)),1,0)</f>
        <v>0</v>
      </c>
    </row>
    <row r="2232" spans="1:35" ht="15" customHeight="1" x14ac:dyDescent="0.3">
      <c r="A2232" s="60" t="s">
        <v>8268</v>
      </c>
      <c r="B2232" s="60" t="s">
        <v>82</v>
      </c>
      <c r="C2232" s="60" t="s">
        <v>8269</v>
      </c>
      <c r="D2232" s="60" t="s">
        <v>126</v>
      </c>
      <c r="E2232" s="60" t="s">
        <v>8250</v>
      </c>
      <c r="F2232" s="60" t="b">
        <f>TRUE()</f>
        <v>1</v>
      </c>
      <c r="G2232" s="60" t="s">
        <v>165</v>
      </c>
      <c r="H2232" s="60" t="s">
        <v>165</v>
      </c>
      <c r="I2232" s="61">
        <v>46210</v>
      </c>
      <c r="J2232" s="61">
        <v>46210.285575995404</v>
      </c>
      <c r="K2232" s="60">
        <v>0</v>
      </c>
      <c r="L2232" s="60" t="s">
        <v>183</v>
      </c>
      <c r="M2232" s="60" t="s">
        <v>183</v>
      </c>
      <c r="N2232" s="60" t="b">
        <f>FALSE()</f>
        <v>0</v>
      </c>
      <c r="O2232" s="60"/>
      <c r="P2232" s="60"/>
      <c r="Q2232" s="60" t="s">
        <v>3663</v>
      </c>
      <c r="R2232" s="60" t="s">
        <v>236</v>
      </c>
      <c r="S2232" s="60"/>
      <c r="T2232" s="60" t="b">
        <f>FALSE()</f>
        <v>0</v>
      </c>
      <c r="U2232" s="60" t="b">
        <f>FALSE()</f>
        <v>0</v>
      </c>
      <c r="V2232" s="60">
        <v>641</v>
      </c>
      <c r="W2232" s="62" t="s">
        <v>8270</v>
      </c>
      <c r="X2232" s="60">
        <v>4</v>
      </c>
      <c r="Y2232" s="63">
        <v>0.97</v>
      </c>
      <c r="Z2232" s="60" t="b">
        <f>FALSE()</f>
        <v>0</v>
      </c>
      <c r="AA2232" s="60" t="b">
        <f>TRUE()</f>
        <v>1</v>
      </c>
      <c r="AB2232" s="60" t="b">
        <f>FALSE()</f>
        <v>0</v>
      </c>
      <c r="AC2232" s="60" t="b">
        <f>FALSE()</f>
        <v>0</v>
      </c>
      <c r="AD2232" s="60" t="b">
        <f>FALSE()</f>
        <v>0</v>
      </c>
      <c r="AE2232" s="60">
        <v>1</v>
      </c>
      <c r="AF2232" s="64">
        <v>14.3</v>
      </c>
      <c r="AG2232" s="60" t="s">
        <v>74</v>
      </c>
      <c r="AH2232" s="60" t="s">
        <v>8271</v>
      </c>
      <c r="AI2232">
        <f>IF(AND(OR(Company_Explorer!$B$5="All Companies",$E2232=Company_Explorer!$B$5),OR(Company_Explorer!$B$6="All Platforms",$B2232=Company_Explorer!$B$6),OR(Company_Explorer!$B$7="All Roles",$D2232=Company_Explorer!$B$7),OR(Company_Explorer!$B$8="All Ghost Labels",$AG2232=Company_Explorer!$B$8)),1,0)</f>
        <v>0</v>
      </c>
    </row>
    <row r="2233" spans="1:35" ht="15" customHeight="1" x14ac:dyDescent="0.3">
      <c r="A2233" s="65" t="s">
        <v>8272</v>
      </c>
      <c r="B2233" s="65" t="s">
        <v>82</v>
      </c>
      <c r="C2233" s="65" t="s">
        <v>8273</v>
      </c>
      <c r="D2233" s="65" t="s">
        <v>128</v>
      </c>
      <c r="E2233" s="65" t="s">
        <v>7491</v>
      </c>
      <c r="F2233" s="65" t="b">
        <f>TRUE()</f>
        <v>1</v>
      </c>
      <c r="G2233" s="65" t="s">
        <v>7492</v>
      </c>
      <c r="H2233" s="65" t="s">
        <v>754</v>
      </c>
      <c r="I2233" s="66">
        <v>46203</v>
      </c>
      <c r="J2233" s="66">
        <v>46210.285578842602</v>
      </c>
      <c r="K2233" s="65">
        <v>38</v>
      </c>
      <c r="L2233" s="65" t="s">
        <v>192</v>
      </c>
      <c r="M2233" s="65" t="s">
        <v>183</v>
      </c>
      <c r="N2233" s="65" t="b">
        <f>TRUE()</f>
        <v>1</v>
      </c>
      <c r="O2233" s="71">
        <v>360000</v>
      </c>
      <c r="P2233" s="71">
        <v>700000</v>
      </c>
      <c r="Q2233" s="65" t="s">
        <v>3663</v>
      </c>
      <c r="R2233" s="65" t="s">
        <v>7351</v>
      </c>
      <c r="S2233" s="71">
        <v>530000</v>
      </c>
      <c r="T2233" s="65" t="b">
        <f>TRUE()</f>
        <v>1</v>
      </c>
      <c r="U2233" s="65" t="b">
        <f>FALSE()</f>
        <v>0</v>
      </c>
      <c r="V2233" s="65">
        <v>704</v>
      </c>
      <c r="W2233" s="67" t="s">
        <v>8274</v>
      </c>
      <c r="X2233" s="65">
        <v>6</v>
      </c>
      <c r="Y2233" s="68">
        <v>1.45</v>
      </c>
      <c r="Z2233" s="65" t="b">
        <f>FALSE()</f>
        <v>0</v>
      </c>
      <c r="AA2233" s="65" t="b">
        <f>FALSE()</f>
        <v>0</v>
      </c>
      <c r="AB2233" s="65" t="b">
        <f>FALSE()</f>
        <v>0</v>
      </c>
      <c r="AC2233" s="65" t="b">
        <f>FALSE()</f>
        <v>0</v>
      </c>
      <c r="AD2233" s="65" t="b">
        <f>FALSE()</f>
        <v>0</v>
      </c>
      <c r="AE2233" s="65">
        <v>0</v>
      </c>
      <c r="AF2233" s="69">
        <v>0</v>
      </c>
      <c r="AG2233" s="65" t="s">
        <v>74</v>
      </c>
      <c r="AH2233" s="65" t="s">
        <v>8275</v>
      </c>
      <c r="AI2233">
        <f>IF(AND(OR(Company_Explorer!$B$5="All Companies",$E2233=Company_Explorer!$B$5),OR(Company_Explorer!$B$6="All Platforms",$B2233=Company_Explorer!$B$6),OR(Company_Explorer!$B$7="All Roles",$D2233=Company_Explorer!$B$7),OR(Company_Explorer!$B$8="All Ghost Labels",$AG2233=Company_Explorer!$B$8)),1,0)</f>
        <v>0</v>
      </c>
    </row>
    <row r="2234" spans="1:35" ht="15" customHeight="1" x14ac:dyDescent="0.3">
      <c r="A2234" s="60" t="s">
        <v>8276</v>
      </c>
      <c r="B2234" s="60" t="s">
        <v>82</v>
      </c>
      <c r="C2234" s="60" t="s">
        <v>8277</v>
      </c>
      <c r="D2234" s="60" t="s">
        <v>128</v>
      </c>
      <c r="E2234" s="60" t="s">
        <v>8278</v>
      </c>
      <c r="F2234" s="60" t="b">
        <f>TRUE()</f>
        <v>1</v>
      </c>
      <c r="G2234" s="60" t="s">
        <v>167</v>
      </c>
      <c r="H2234" s="60" t="s">
        <v>276</v>
      </c>
      <c r="I2234" s="61">
        <v>46209</v>
      </c>
      <c r="J2234" s="61">
        <v>46210.285583877303</v>
      </c>
      <c r="K2234" s="60">
        <v>31</v>
      </c>
      <c r="L2234" s="60" t="s">
        <v>192</v>
      </c>
      <c r="M2234" s="60" t="s">
        <v>183</v>
      </c>
      <c r="N2234" s="60" t="b">
        <f>FALSE()</f>
        <v>0</v>
      </c>
      <c r="O2234" s="60"/>
      <c r="P2234" s="60"/>
      <c r="Q2234" s="60" t="s">
        <v>3663</v>
      </c>
      <c r="R2234" s="60" t="s">
        <v>236</v>
      </c>
      <c r="S2234" s="60"/>
      <c r="T2234" s="60" t="b">
        <f>FALSE()</f>
        <v>0</v>
      </c>
      <c r="U2234" s="60" t="b">
        <f>FALSE()</f>
        <v>0</v>
      </c>
      <c r="V2234" s="60">
        <v>162</v>
      </c>
      <c r="W2234" s="62" t="s">
        <v>8279</v>
      </c>
      <c r="X2234" s="60">
        <v>1</v>
      </c>
      <c r="Y2234" s="63">
        <v>0.24</v>
      </c>
      <c r="Z2234" s="60" t="b">
        <f>FALSE()</f>
        <v>0</v>
      </c>
      <c r="AA2234" s="60" t="b">
        <f>TRUE()</f>
        <v>1</v>
      </c>
      <c r="AB2234" s="60" t="b">
        <f>TRUE()</f>
        <v>1</v>
      </c>
      <c r="AC2234" s="60" t="b">
        <f>FALSE()</f>
        <v>0</v>
      </c>
      <c r="AD2234" s="60" t="b">
        <f>FALSE()</f>
        <v>0</v>
      </c>
      <c r="AE2234" s="60">
        <v>2</v>
      </c>
      <c r="AF2234" s="64">
        <v>28.6</v>
      </c>
      <c r="AG2234" s="60" t="s">
        <v>73</v>
      </c>
      <c r="AH2234" s="60" t="s">
        <v>8280</v>
      </c>
      <c r="AI2234">
        <f>IF(AND(OR(Company_Explorer!$B$5="All Companies",$E2234=Company_Explorer!$B$5),OR(Company_Explorer!$B$6="All Platforms",$B2234=Company_Explorer!$B$6),OR(Company_Explorer!$B$7="All Roles",$D2234=Company_Explorer!$B$7),OR(Company_Explorer!$B$8="All Ghost Labels",$AG2234=Company_Explorer!$B$8)),1,0)</f>
        <v>0</v>
      </c>
    </row>
    <row r="2235" spans="1:35" ht="15" customHeight="1" x14ac:dyDescent="0.3">
      <c r="A2235" s="65" t="s">
        <v>8281</v>
      </c>
      <c r="B2235" s="65" t="s">
        <v>82</v>
      </c>
      <c r="C2235" s="65" t="s">
        <v>8282</v>
      </c>
      <c r="D2235" s="65" t="s">
        <v>126</v>
      </c>
      <c r="E2235" s="65" t="s">
        <v>7758</v>
      </c>
      <c r="F2235" s="65" t="b">
        <f>TRUE()</f>
        <v>1</v>
      </c>
      <c r="G2235" s="65" t="s">
        <v>165</v>
      </c>
      <c r="H2235" s="65" t="s">
        <v>165</v>
      </c>
      <c r="I2235" s="66">
        <v>46193</v>
      </c>
      <c r="J2235" s="66">
        <v>46210.285584513898</v>
      </c>
      <c r="K2235" s="65">
        <v>18</v>
      </c>
      <c r="L2235" s="65" t="s">
        <v>192</v>
      </c>
      <c r="M2235" s="65" t="s">
        <v>183</v>
      </c>
      <c r="N2235" s="65" t="b">
        <f>FALSE()</f>
        <v>0</v>
      </c>
      <c r="O2235" s="65"/>
      <c r="P2235" s="65"/>
      <c r="Q2235" s="65" t="s">
        <v>3663</v>
      </c>
      <c r="R2235" s="65" t="s">
        <v>236</v>
      </c>
      <c r="S2235" s="65"/>
      <c r="T2235" s="65" t="b">
        <f>FALSE()</f>
        <v>0</v>
      </c>
      <c r="U2235" s="65" t="b">
        <f>FALSE()</f>
        <v>0</v>
      </c>
      <c r="V2235" s="65">
        <v>359</v>
      </c>
      <c r="W2235" s="67" t="s">
        <v>8283</v>
      </c>
      <c r="X2235" s="65">
        <v>3</v>
      </c>
      <c r="Y2235" s="68">
        <v>0.72</v>
      </c>
      <c r="Z2235" s="65" t="b">
        <f>FALSE()</f>
        <v>0</v>
      </c>
      <c r="AA2235" s="65" t="b">
        <f>TRUE()</f>
        <v>1</v>
      </c>
      <c r="AB2235" s="65" t="b">
        <f>FALSE()</f>
        <v>0</v>
      </c>
      <c r="AC2235" s="65" t="b">
        <f>FALSE()</f>
        <v>0</v>
      </c>
      <c r="AD2235" s="65" t="b">
        <f>FALSE()</f>
        <v>0</v>
      </c>
      <c r="AE2235" s="65">
        <v>1</v>
      </c>
      <c r="AF2235" s="69">
        <v>14.3</v>
      </c>
      <c r="AG2235" s="65" t="s">
        <v>74</v>
      </c>
      <c r="AH2235" s="65" t="s">
        <v>8284</v>
      </c>
      <c r="AI2235">
        <f>IF(AND(OR(Company_Explorer!$B$5="All Companies",$E2235=Company_Explorer!$B$5),OR(Company_Explorer!$B$6="All Platforms",$B2235=Company_Explorer!$B$6),OR(Company_Explorer!$B$7="All Roles",$D2235=Company_Explorer!$B$7),OR(Company_Explorer!$B$8="All Ghost Labels",$AG2235=Company_Explorer!$B$8)),1,0)</f>
        <v>0</v>
      </c>
    </row>
    <row r="2236" spans="1:35" ht="15" customHeight="1" x14ac:dyDescent="0.3">
      <c r="A2236" s="60" t="s">
        <v>8285</v>
      </c>
      <c r="B2236" s="60" t="s">
        <v>82</v>
      </c>
      <c r="C2236" s="60" t="s">
        <v>8286</v>
      </c>
      <c r="D2236" s="60" t="s">
        <v>126</v>
      </c>
      <c r="E2236" s="60" t="s">
        <v>7511</v>
      </c>
      <c r="F2236" s="60" t="b">
        <f>TRUE()</f>
        <v>1</v>
      </c>
      <c r="G2236" s="60" t="s">
        <v>165</v>
      </c>
      <c r="H2236" s="60" t="s">
        <v>165</v>
      </c>
      <c r="I2236" s="61">
        <v>46190</v>
      </c>
      <c r="J2236" s="61">
        <v>46210.285585150501</v>
      </c>
      <c r="K2236" s="60">
        <v>81</v>
      </c>
      <c r="L2236" s="60" t="s">
        <v>192</v>
      </c>
      <c r="M2236" s="60" t="s">
        <v>183</v>
      </c>
      <c r="N2236" s="60" t="b">
        <f>FALSE()</f>
        <v>0</v>
      </c>
      <c r="O2236" s="60"/>
      <c r="P2236" s="60"/>
      <c r="Q2236" s="60" t="s">
        <v>3663</v>
      </c>
      <c r="R2236" s="60" t="s">
        <v>236</v>
      </c>
      <c r="S2236" s="60"/>
      <c r="T2236" s="60" t="b">
        <f>FALSE()</f>
        <v>0</v>
      </c>
      <c r="U2236" s="60" t="b">
        <f>FALSE()</f>
        <v>0</v>
      </c>
      <c r="V2236" s="60">
        <v>1914</v>
      </c>
      <c r="W2236" s="62" t="s">
        <v>7512</v>
      </c>
      <c r="X2236" s="60">
        <v>9</v>
      </c>
      <c r="Y2236" s="63">
        <v>2.17</v>
      </c>
      <c r="Z2236" s="60" t="b">
        <f>FALSE()</f>
        <v>0</v>
      </c>
      <c r="AA2236" s="60" t="b">
        <f>TRUE()</f>
        <v>1</v>
      </c>
      <c r="AB2236" s="60" t="b">
        <f>FALSE()</f>
        <v>0</v>
      </c>
      <c r="AC2236" s="60" t="b">
        <f>FALSE()</f>
        <v>0</v>
      </c>
      <c r="AD2236" s="60" t="b">
        <f>FALSE()</f>
        <v>0</v>
      </c>
      <c r="AE2236" s="60">
        <v>1</v>
      </c>
      <c r="AF2236" s="64">
        <v>14.3</v>
      </c>
      <c r="AG2236" s="60" t="s">
        <v>74</v>
      </c>
      <c r="AH2236" s="60" t="s">
        <v>8287</v>
      </c>
      <c r="AI2236">
        <f>IF(AND(OR(Company_Explorer!$B$5="All Companies",$E2236=Company_Explorer!$B$5),OR(Company_Explorer!$B$6="All Platforms",$B2236=Company_Explorer!$B$6),OR(Company_Explorer!$B$7="All Roles",$D2236=Company_Explorer!$B$7),OR(Company_Explorer!$B$8="All Ghost Labels",$AG2236=Company_Explorer!$B$8)),1,0)</f>
        <v>0</v>
      </c>
    </row>
    <row r="2237" spans="1:35" ht="15" customHeight="1" x14ac:dyDescent="0.3">
      <c r="A2237" s="65" t="s">
        <v>8288</v>
      </c>
      <c r="B2237" s="65" t="s">
        <v>82</v>
      </c>
      <c r="C2237" s="65" t="s">
        <v>8289</v>
      </c>
      <c r="D2237" s="65" t="s">
        <v>132</v>
      </c>
      <c r="E2237" s="65" t="s">
        <v>8290</v>
      </c>
      <c r="F2237" s="65" t="b">
        <f>TRUE()</f>
        <v>1</v>
      </c>
      <c r="G2237" s="65" t="s">
        <v>165</v>
      </c>
      <c r="H2237" s="65" t="s">
        <v>165</v>
      </c>
      <c r="I2237" s="66">
        <v>46197</v>
      </c>
      <c r="J2237" s="66">
        <v>46210.285586006998</v>
      </c>
      <c r="K2237" s="65">
        <v>14</v>
      </c>
      <c r="L2237" s="65" t="s">
        <v>192</v>
      </c>
      <c r="M2237" s="65" t="s">
        <v>183</v>
      </c>
      <c r="N2237" s="65" t="b">
        <f>FALSE()</f>
        <v>0</v>
      </c>
      <c r="O2237" s="65"/>
      <c r="P2237" s="65"/>
      <c r="Q2237" s="65" t="s">
        <v>3663</v>
      </c>
      <c r="R2237" s="65" t="s">
        <v>236</v>
      </c>
      <c r="S2237" s="65"/>
      <c r="T2237" s="65" t="b">
        <f>FALSE()</f>
        <v>0</v>
      </c>
      <c r="U2237" s="65" t="b">
        <f>FALSE()</f>
        <v>0</v>
      </c>
      <c r="V2237" s="65">
        <v>1116</v>
      </c>
      <c r="W2237" s="65" t="s">
        <v>8291</v>
      </c>
      <c r="X2237" s="65">
        <v>1</v>
      </c>
      <c r="Y2237" s="68">
        <v>0.24</v>
      </c>
      <c r="Z2237" s="65" t="b">
        <f>FALSE()</f>
        <v>0</v>
      </c>
      <c r="AA2237" s="65" t="b">
        <f>TRUE()</f>
        <v>1</v>
      </c>
      <c r="AB2237" s="65" t="b">
        <f>FALSE()</f>
        <v>0</v>
      </c>
      <c r="AC2237" s="65" t="b">
        <f>FALSE()</f>
        <v>0</v>
      </c>
      <c r="AD2237" s="65" t="b">
        <f>FALSE()</f>
        <v>0</v>
      </c>
      <c r="AE2237" s="65">
        <v>1</v>
      </c>
      <c r="AF2237" s="69">
        <v>14.3</v>
      </c>
      <c r="AG2237" s="65" t="s">
        <v>74</v>
      </c>
      <c r="AH2237" s="65" t="s">
        <v>8292</v>
      </c>
      <c r="AI2237">
        <f>IF(AND(OR(Company_Explorer!$B$5="All Companies",$E2237=Company_Explorer!$B$5),OR(Company_Explorer!$B$6="All Platforms",$B2237=Company_Explorer!$B$6),OR(Company_Explorer!$B$7="All Roles",$D2237=Company_Explorer!$B$7),OR(Company_Explorer!$B$8="All Ghost Labels",$AG2237=Company_Explorer!$B$8)),1,0)</f>
        <v>0</v>
      </c>
    </row>
    <row r="2238" spans="1:35" ht="15" customHeight="1" x14ac:dyDescent="0.3">
      <c r="A2238" s="60" t="s">
        <v>8293</v>
      </c>
      <c r="B2238" s="60" t="s">
        <v>82</v>
      </c>
      <c r="C2238" s="60" t="s">
        <v>8294</v>
      </c>
      <c r="D2238" s="60" t="s">
        <v>126</v>
      </c>
      <c r="E2238" s="60" t="s">
        <v>8295</v>
      </c>
      <c r="F2238" s="60" t="b">
        <f>TRUE()</f>
        <v>1</v>
      </c>
      <c r="G2238" s="60" t="s">
        <v>166</v>
      </c>
      <c r="H2238" s="60" t="s">
        <v>235</v>
      </c>
      <c r="I2238" s="61">
        <v>46189</v>
      </c>
      <c r="J2238" s="61">
        <v>46210.285586678197</v>
      </c>
      <c r="K2238" s="60">
        <v>21</v>
      </c>
      <c r="L2238" s="60" t="s">
        <v>192</v>
      </c>
      <c r="M2238" s="60" t="s">
        <v>183</v>
      </c>
      <c r="N2238" s="60" t="b">
        <f>TRUE()</f>
        <v>1</v>
      </c>
      <c r="O2238" s="70">
        <v>289200</v>
      </c>
      <c r="P2238" s="70">
        <v>339200</v>
      </c>
      <c r="Q2238" s="60" t="s">
        <v>3663</v>
      </c>
      <c r="R2238" s="60" t="s">
        <v>7351</v>
      </c>
      <c r="S2238" s="70">
        <v>314200</v>
      </c>
      <c r="T2238" s="60" t="b">
        <f>TRUE()</f>
        <v>1</v>
      </c>
      <c r="U2238" s="60" t="b">
        <f>FALSE()</f>
        <v>0</v>
      </c>
      <c r="V2238" s="60">
        <v>566</v>
      </c>
      <c r="W2238" s="62" t="s">
        <v>8296</v>
      </c>
      <c r="X2238" s="60">
        <v>1</v>
      </c>
      <c r="Y2238" s="63">
        <v>0.24</v>
      </c>
      <c r="Z2238" s="60" t="b">
        <f>FALSE()</f>
        <v>0</v>
      </c>
      <c r="AA2238" s="60" t="b">
        <f>FALSE()</f>
        <v>0</v>
      </c>
      <c r="AB2238" s="60" t="b">
        <f>FALSE()</f>
        <v>0</v>
      </c>
      <c r="AC2238" s="60" t="b">
        <f>FALSE()</f>
        <v>0</v>
      </c>
      <c r="AD2238" s="60" t="b">
        <f>FALSE()</f>
        <v>0</v>
      </c>
      <c r="AE2238" s="60">
        <v>0</v>
      </c>
      <c r="AF2238" s="64">
        <v>0</v>
      </c>
      <c r="AG2238" s="60" t="s">
        <v>74</v>
      </c>
      <c r="AH2238" s="60" t="s">
        <v>8297</v>
      </c>
      <c r="AI2238">
        <f>IF(AND(OR(Company_Explorer!$B$5="All Companies",$E2238=Company_Explorer!$B$5),OR(Company_Explorer!$B$6="All Platforms",$B2238=Company_Explorer!$B$6),OR(Company_Explorer!$B$7="All Roles",$D2238=Company_Explorer!$B$7),OR(Company_Explorer!$B$8="All Ghost Labels",$AG2238=Company_Explorer!$B$8)),1,0)</f>
        <v>0</v>
      </c>
    </row>
    <row r="2239" spans="1:35" ht="15" customHeight="1" x14ac:dyDescent="0.3">
      <c r="A2239" s="65" t="s">
        <v>8298</v>
      </c>
      <c r="B2239" s="65" t="s">
        <v>82</v>
      </c>
      <c r="C2239" s="65" t="s">
        <v>8299</v>
      </c>
      <c r="D2239" s="65" t="s">
        <v>133</v>
      </c>
      <c r="E2239" s="65" t="s">
        <v>7511</v>
      </c>
      <c r="F2239" s="65" t="b">
        <f>TRUE()</f>
        <v>1</v>
      </c>
      <c r="G2239" s="65" t="s">
        <v>165</v>
      </c>
      <c r="H2239" s="65" t="s">
        <v>165</v>
      </c>
      <c r="I2239" s="66">
        <v>46195</v>
      </c>
      <c r="J2239" s="66">
        <v>46210.285590416701</v>
      </c>
      <c r="K2239" s="65">
        <v>46</v>
      </c>
      <c r="L2239" s="65" t="s">
        <v>192</v>
      </c>
      <c r="M2239" s="65" t="s">
        <v>183</v>
      </c>
      <c r="N2239" s="65" t="b">
        <f>FALSE()</f>
        <v>0</v>
      </c>
      <c r="O2239" s="65"/>
      <c r="P2239" s="65"/>
      <c r="Q2239" s="65" t="s">
        <v>3663</v>
      </c>
      <c r="R2239" s="65" t="s">
        <v>236</v>
      </c>
      <c r="S2239" s="65"/>
      <c r="T2239" s="65" t="b">
        <f>FALSE()</f>
        <v>0</v>
      </c>
      <c r="U2239" s="65" t="b">
        <f>FALSE()</f>
        <v>0</v>
      </c>
      <c r="V2239" s="65">
        <v>736</v>
      </c>
      <c r="W2239" s="67" t="s">
        <v>7512</v>
      </c>
      <c r="X2239" s="65">
        <v>9</v>
      </c>
      <c r="Y2239" s="68">
        <v>2.17</v>
      </c>
      <c r="Z2239" s="65" t="b">
        <f>FALSE()</f>
        <v>0</v>
      </c>
      <c r="AA2239" s="65" t="b">
        <f>TRUE()</f>
        <v>1</v>
      </c>
      <c r="AB2239" s="65" t="b">
        <f>FALSE()</f>
        <v>0</v>
      </c>
      <c r="AC2239" s="65" t="b">
        <f>FALSE()</f>
        <v>0</v>
      </c>
      <c r="AD2239" s="65" t="b">
        <f>FALSE()</f>
        <v>0</v>
      </c>
      <c r="AE2239" s="65">
        <v>1</v>
      </c>
      <c r="AF2239" s="69">
        <v>14.3</v>
      </c>
      <c r="AG2239" s="65" t="s">
        <v>74</v>
      </c>
      <c r="AH2239" s="65" t="s">
        <v>8300</v>
      </c>
      <c r="AI2239">
        <f>IF(AND(OR(Company_Explorer!$B$5="All Companies",$E2239=Company_Explorer!$B$5),OR(Company_Explorer!$B$6="All Platforms",$B2239=Company_Explorer!$B$6),OR(Company_Explorer!$B$7="All Roles",$D2239=Company_Explorer!$B$7),OR(Company_Explorer!$B$8="All Ghost Labels",$AG2239=Company_Explorer!$B$8)),1,0)</f>
        <v>0</v>
      </c>
    </row>
    <row r="2240" spans="1:35" ht="15" customHeight="1" x14ac:dyDescent="0.3">
      <c r="A2240" s="60" t="s">
        <v>8301</v>
      </c>
      <c r="B2240" s="60" t="s">
        <v>82</v>
      </c>
      <c r="C2240" s="60" t="s">
        <v>8302</v>
      </c>
      <c r="D2240" s="60" t="s">
        <v>128</v>
      </c>
      <c r="E2240" s="60" t="s">
        <v>8303</v>
      </c>
      <c r="F2240" s="60" t="b">
        <f>TRUE()</f>
        <v>1</v>
      </c>
      <c r="G2240" s="60" t="s">
        <v>165</v>
      </c>
      <c r="H2240" s="60" t="s">
        <v>165</v>
      </c>
      <c r="I2240" s="61">
        <v>46199</v>
      </c>
      <c r="J2240" s="61">
        <v>46210.285593692097</v>
      </c>
      <c r="K2240" s="60">
        <v>11</v>
      </c>
      <c r="L2240" s="60" t="s">
        <v>192</v>
      </c>
      <c r="M2240" s="60" t="s">
        <v>183</v>
      </c>
      <c r="N2240" s="60" t="b">
        <f>FALSE()</f>
        <v>0</v>
      </c>
      <c r="O2240" s="60"/>
      <c r="P2240" s="60"/>
      <c r="Q2240" s="60" t="s">
        <v>3663</v>
      </c>
      <c r="R2240" s="60" t="s">
        <v>236</v>
      </c>
      <c r="S2240" s="60"/>
      <c r="T2240" s="60" t="b">
        <f>FALSE()</f>
        <v>0</v>
      </c>
      <c r="U2240" s="60" t="b">
        <f>FALSE()</f>
        <v>0</v>
      </c>
      <c r="V2240" s="60">
        <v>900</v>
      </c>
      <c r="W2240" s="62" t="s">
        <v>8304</v>
      </c>
      <c r="X2240" s="60">
        <v>2</v>
      </c>
      <c r="Y2240" s="63">
        <v>0.48</v>
      </c>
      <c r="Z2240" s="60" t="b">
        <f>FALSE()</f>
        <v>0</v>
      </c>
      <c r="AA2240" s="60" t="b">
        <f>TRUE()</f>
        <v>1</v>
      </c>
      <c r="AB2240" s="60" t="b">
        <f>FALSE()</f>
        <v>0</v>
      </c>
      <c r="AC2240" s="60" t="b">
        <f>FALSE()</f>
        <v>0</v>
      </c>
      <c r="AD2240" s="60" t="b">
        <f>FALSE()</f>
        <v>0</v>
      </c>
      <c r="AE2240" s="60">
        <v>1</v>
      </c>
      <c r="AF2240" s="64">
        <v>14.3</v>
      </c>
      <c r="AG2240" s="60" t="s">
        <v>74</v>
      </c>
      <c r="AH2240" s="60" t="s">
        <v>8305</v>
      </c>
      <c r="AI2240">
        <f>IF(AND(OR(Company_Explorer!$B$5="All Companies",$E2240=Company_Explorer!$B$5),OR(Company_Explorer!$B$6="All Platforms",$B2240=Company_Explorer!$B$6),OR(Company_Explorer!$B$7="All Roles",$D2240=Company_Explorer!$B$7),OR(Company_Explorer!$B$8="All Ghost Labels",$AG2240=Company_Explorer!$B$8)),1,0)</f>
        <v>0</v>
      </c>
    </row>
    <row r="2241" spans="1:35" ht="15" customHeight="1" x14ac:dyDescent="0.3">
      <c r="A2241" s="65" t="s">
        <v>8306</v>
      </c>
      <c r="B2241" s="65" t="s">
        <v>82</v>
      </c>
      <c r="C2241" s="65" t="s">
        <v>8307</v>
      </c>
      <c r="D2241" s="65" t="s">
        <v>128</v>
      </c>
      <c r="E2241" s="65" t="s">
        <v>3726</v>
      </c>
      <c r="F2241" s="65" t="b">
        <f>FALSE()</f>
        <v>0</v>
      </c>
      <c r="G2241" s="65" t="s">
        <v>165</v>
      </c>
      <c r="H2241" s="65" t="s">
        <v>165</v>
      </c>
      <c r="I2241" s="66">
        <v>46209</v>
      </c>
      <c r="J2241" s="66">
        <v>46210.285593935201</v>
      </c>
      <c r="K2241" s="65">
        <v>1</v>
      </c>
      <c r="L2241" s="65" t="s">
        <v>192</v>
      </c>
      <c r="M2241" s="65" t="s">
        <v>183</v>
      </c>
      <c r="N2241" s="65" t="b">
        <f>TRUE()</f>
        <v>1</v>
      </c>
      <c r="O2241" s="71">
        <v>400000</v>
      </c>
      <c r="P2241" s="71">
        <v>800000</v>
      </c>
      <c r="Q2241" s="65" t="s">
        <v>3663</v>
      </c>
      <c r="R2241" s="65" t="s">
        <v>7351</v>
      </c>
      <c r="S2241" s="71">
        <v>600000</v>
      </c>
      <c r="T2241" s="65" t="b">
        <f>TRUE()</f>
        <v>1</v>
      </c>
      <c r="U2241" s="65" t="b">
        <f>FALSE()</f>
        <v>0</v>
      </c>
      <c r="V2241" s="65">
        <v>669</v>
      </c>
      <c r="W2241" s="65" t="s">
        <v>8308</v>
      </c>
      <c r="X2241" s="65"/>
      <c r="Y2241" s="68"/>
      <c r="Z2241" s="65" t="b">
        <f>TRUE()</f>
        <v>1</v>
      </c>
      <c r="AA2241" s="65" t="b">
        <f>FALSE()</f>
        <v>0</v>
      </c>
      <c r="AB2241" s="65" t="b">
        <f>FALSE()</f>
        <v>0</v>
      </c>
      <c r="AC2241" s="65" t="b">
        <f>FALSE()</f>
        <v>0</v>
      </c>
      <c r="AD2241" s="65" t="b">
        <f>FALSE()</f>
        <v>0</v>
      </c>
      <c r="AE2241" s="65">
        <v>2</v>
      </c>
      <c r="AF2241" s="69">
        <v>28.6</v>
      </c>
      <c r="AG2241" s="65" t="s">
        <v>73</v>
      </c>
      <c r="AH2241" s="65" t="s">
        <v>8309</v>
      </c>
      <c r="AI2241">
        <f>IF(AND(OR(Company_Explorer!$B$5="All Companies",$E2241=Company_Explorer!$B$5),OR(Company_Explorer!$B$6="All Platforms",$B2241=Company_Explorer!$B$6),OR(Company_Explorer!$B$7="All Roles",$D2241=Company_Explorer!$B$7),OR(Company_Explorer!$B$8="All Ghost Labels",$AG2241=Company_Explorer!$B$8)),1,0)</f>
        <v>0</v>
      </c>
    </row>
    <row r="2242" spans="1:35" ht="15" customHeight="1" x14ac:dyDescent="0.3">
      <c r="A2242" s="60" t="s">
        <v>8310</v>
      </c>
      <c r="B2242" s="60" t="s">
        <v>82</v>
      </c>
      <c r="C2242" s="60" t="s">
        <v>8311</v>
      </c>
      <c r="D2242" s="60" t="s">
        <v>128</v>
      </c>
      <c r="E2242" s="60" t="s">
        <v>8312</v>
      </c>
      <c r="F2242" s="60" t="b">
        <f>TRUE()</f>
        <v>1</v>
      </c>
      <c r="G2242" s="60" t="s">
        <v>167</v>
      </c>
      <c r="H2242" s="60" t="s">
        <v>276</v>
      </c>
      <c r="I2242" s="61">
        <v>46209</v>
      </c>
      <c r="J2242" s="61">
        <v>46210.285594212997</v>
      </c>
      <c r="K2242" s="60">
        <v>123</v>
      </c>
      <c r="L2242" s="60" t="s">
        <v>183</v>
      </c>
      <c r="M2242" s="60" t="s">
        <v>183</v>
      </c>
      <c r="N2242" s="60" t="b">
        <f>TRUE()</f>
        <v>1</v>
      </c>
      <c r="O2242" s="70">
        <v>430000</v>
      </c>
      <c r="P2242" s="70">
        <v>654000</v>
      </c>
      <c r="Q2242" s="60" t="s">
        <v>3663</v>
      </c>
      <c r="R2242" s="60" t="s">
        <v>7351</v>
      </c>
      <c r="S2242" s="70">
        <v>542000</v>
      </c>
      <c r="T2242" s="60" t="b">
        <f>TRUE()</f>
        <v>1</v>
      </c>
      <c r="U2242" s="60" t="b">
        <f>FALSE()</f>
        <v>0</v>
      </c>
      <c r="V2242" s="60">
        <v>207</v>
      </c>
      <c r="W2242" s="62" t="s">
        <v>8313</v>
      </c>
      <c r="X2242" s="60">
        <v>2</v>
      </c>
      <c r="Y2242" s="63">
        <v>0.48</v>
      </c>
      <c r="Z2242" s="60" t="b">
        <f>FALSE()</f>
        <v>0</v>
      </c>
      <c r="AA2242" s="60" t="b">
        <f>FALSE()</f>
        <v>0</v>
      </c>
      <c r="AB2242" s="60" t="b">
        <f>TRUE()</f>
        <v>1</v>
      </c>
      <c r="AC2242" s="60" t="b">
        <f>TRUE()</f>
        <v>1</v>
      </c>
      <c r="AD2242" s="60" t="b">
        <f>FALSE()</f>
        <v>0</v>
      </c>
      <c r="AE2242" s="60">
        <v>2</v>
      </c>
      <c r="AF2242" s="64">
        <v>28.6</v>
      </c>
      <c r="AG2242" s="60" t="s">
        <v>73</v>
      </c>
      <c r="AH2242" s="60" t="s">
        <v>8314</v>
      </c>
      <c r="AI2242">
        <f>IF(AND(OR(Company_Explorer!$B$5="All Companies",$E2242=Company_Explorer!$B$5),OR(Company_Explorer!$B$6="All Platforms",$B2242=Company_Explorer!$B$6),OR(Company_Explorer!$B$7="All Roles",$D2242=Company_Explorer!$B$7),OR(Company_Explorer!$B$8="All Ghost Labels",$AG2242=Company_Explorer!$B$8)),1,0)</f>
        <v>0</v>
      </c>
    </row>
    <row r="2243" spans="1:35" ht="15" customHeight="1" x14ac:dyDescent="0.3">
      <c r="A2243" s="65" t="s">
        <v>8315</v>
      </c>
      <c r="B2243" s="65" t="s">
        <v>82</v>
      </c>
      <c r="C2243" s="65" t="s">
        <v>8316</v>
      </c>
      <c r="D2243" s="65" t="s">
        <v>128</v>
      </c>
      <c r="E2243" s="65" t="s">
        <v>7887</v>
      </c>
      <c r="F2243" s="65" t="b">
        <f>TRUE()</f>
        <v>1</v>
      </c>
      <c r="G2243" s="65" t="s">
        <v>165</v>
      </c>
      <c r="H2243" s="65" t="s">
        <v>165</v>
      </c>
      <c r="I2243" s="66">
        <v>46205</v>
      </c>
      <c r="J2243" s="66">
        <v>46210.285595567097</v>
      </c>
      <c r="K2243" s="65">
        <v>6</v>
      </c>
      <c r="L2243" s="65" t="s">
        <v>192</v>
      </c>
      <c r="M2243" s="65" t="s">
        <v>183</v>
      </c>
      <c r="N2243" s="65" t="b">
        <f>FALSE()</f>
        <v>0</v>
      </c>
      <c r="O2243" s="65"/>
      <c r="P2243" s="65"/>
      <c r="Q2243" s="65" t="s">
        <v>3663</v>
      </c>
      <c r="R2243" s="65" t="s">
        <v>236</v>
      </c>
      <c r="S2243" s="65"/>
      <c r="T2243" s="65" t="b">
        <f>FALSE()</f>
        <v>0</v>
      </c>
      <c r="U2243" s="65" t="b">
        <f>FALSE()</f>
        <v>0</v>
      </c>
      <c r="V2243" s="65">
        <v>1112</v>
      </c>
      <c r="W2243" s="67" t="s">
        <v>5032</v>
      </c>
      <c r="X2243" s="65">
        <v>3</v>
      </c>
      <c r="Y2243" s="68">
        <v>0.72</v>
      </c>
      <c r="Z2243" s="65" t="b">
        <f>FALSE()</f>
        <v>0</v>
      </c>
      <c r="AA2243" s="65" t="b">
        <f>TRUE()</f>
        <v>1</v>
      </c>
      <c r="AB2243" s="65" t="b">
        <f>FALSE()</f>
        <v>0</v>
      </c>
      <c r="AC2243" s="65" t="b">
        <f>FALSE()</f>
        <v>0</v>
      </c>
      <c r="AD2243" s="65" t="b">
        <f>FALSE()</f>
        <v>0</v>
      </c>
      <c r="AE2243" s="65">
        <v>1</v>
      </c>
      <c r="AF2243" s="69">
        <v>14.3</v>
      </c>
      <c r="AG2243" s="65" t="s">
        <v>74</v>
      </c>
      <c r="AH2243" s="65" t="s">
        <v>8317</v>
      </c>
      <c r="AI2243">
        <f>IF(AND(OR(Company_Explorer!$B$5="All Companies",$E2243=Company_Explorer!$B$5),OR(Company_Explorer!$B$6="All Platforms",$B2243=Company_Explorer!$B$6),OR(Company_Explorer!$B$7="All Roles",$D2243=Company_Explorer!$B$7),OR(Company_Explorer!$B$8="All Ghost Labels",$AG2243=Company_Explorer!$B$8)),1,0)</f>
        <v>0</v>
      </c>
    </row>
    <row r="2244" spans="1:35" ht="15" customHeight="1" x14ac:dyDescent="0.3">
      <c r="A2244" s="60" t="s">
        <v>8318</v>
      </c>
      <c r="B2244" s="60" t="s">
        <v>82</v>
      </c>
      <c r="C2244" s="60" t="s">
        <v>8319</v>
      </c>
      <c r="D2244" s="60" t="s">
        <v>126</v>
      </c>
      <c r="E2244" s="60" t="s">
        <v>7491</v>
      </c>
      <c r="F2244" s="60" t="b">
        <f>TRUE()</f>
        <v>1</v>
      </c>
      <c r="G2244" s="60" t="s">
        <v>7492</v>
      </c>
      <c r="H2244" s="60" t="s">
        <v>754</v>
      </c>
      <c r="I2244" s="61">
        <v>46197</v>
      </c>
      <c r="J2244" s="61">
        <v>46210.285599895797</v>
      </c>
      <c r="K2244" s="60">
        <v>13</v>
      </c>
      <c r="L2244" s="60" t="s">
        <v>192</v>
      </c>
      <c r="M2244" s="60" t="s">
        <v>183</v>
      </c>
      <c r="N2244" s="60" t="b">
        <f>TRUE()</f>
        <v>1</v>
      </c>
      <c r="O2244" s="70">
        <v>650000</v>
      </c>
      <c r="P2244" s="70">
        <v>900000</v>
      </c>
      <c r="Q2244" s="60" t="s">
        <v>3663</v>
      </c>
      <c r="R2244" s="60" t="s">
        <v>7351</v>
      </c>
      <c r="S2244" s="70">
        <v>775000</v>
      </c>
      <c r="T2244" s="60" t="b">
        <f>TRUE()</f>
        <v>1</v>
      </c>
      <c r="U2244" s="60" t="b">
        <f>FALSE()</f>
        <v>0</v>
      </c>
      <c r="V2244" s="60">
        <v>552</v>
      </c>
      <c r="W2244" s="62" t="s">
        <v>8320</v>
      </c>
      <c r="X2244" s="60">
        <v>6</v>
      </c>
      <c r="Y2244" s="63">
        <v>1.45</v>
      </c>
      <c r="Z2244" s="60" t="b">
        <f>FALSE()</f>
        <v>0</v>
      </c>
      <c r="AA2244" s="60" t="b">
        <f>FALSE()</f>
        <v>0</v>
      </c>
      <c r="AB2244" s="60" t="b">
        <f>FALSE()</f>
        <v>0</v>
      </c>
      <c r="AC2244" s="60" t="b">
        <f>FALSE()</f>
        <v>0</v>
      </c>
      <c r="AD2244" s="60" t="b">
        <f>FALSE()</f>
        <v>0</v>
      </c>
      <c r="AE2244" s="60">
        <v>0</v>
      </c>
      <c r="AF2244" s="64">
        <v>0</v>
      </c>
      <c r="AG2244" s="60" t="s">
        <v>74</v>
      </c>
      <c r="AH2244" s="60" t="s">
        <v>8321</v>
      </c>
      <c r="AI2244">
        <f>IF(AND(OR(Company_Explorer!$B$5="All Companies",$E2244=Company_Explorer!$B$5),OR(Company_Explorer!$B$6="All Platforms",$B2244=Company_Explorer!$B$6),OR(Company_Explorer!$B$7="All Roles",$D2244=Company_Explorer!$B$7),OR(Company_Explorer!$B$8="All Ghost Labels",$AG2244=Company_Explorer!$B$8)),1,0)</f>
        <v>0</v>
      </c>
    </row>
    <row r="2245" spans="1:35" ht="15" customHeight="1" x14ac:dyDescent="0.3">
      <c r="A2245" s="65" t="s">
        <v>8322</v>
      </c>
      <c r="B2245" s="65" t="s">
        <v>82</v>
      </c>
      <c r="C2245" s="65" t="s">
        <v>8323</v>
      </c>
      <c r="D2245" s="65" t="s">
        <v>126</v>
      </c>
      <c r="E2245" s="65" t="s">
        <v>3726</v>
      </c>
      <c r="F2245" s="65" t="b">
        <f>FALSE()</f>
        <v>0</v>
      </c>
      <c r="G2245" s="65" t="s">
        <v>165</v>
      </c>
      <c r="H2245" s="65" t="s">
        <v>165</v>
      </c>
      <c r="I2245" s="66">
        <v>46200</v>
      </c>
      <c r="J2245" s="66">
        <v>46210.285603020799</v>
      </c>
      <c r="K2245" s="65">
        <v>42</v>
      </c>
      <c r="L2245" s="65" t="s">
        <v>192</v>
      </c>
      <c r="M2245" s="65" t="s">
        <v>183</v>
      </c>
      <c r="N2245" s="65" t="b">
        <f>TRUE()</f>
        <v>1</v>
      </c>
      <c r="O2245" s="71">
        <v>2000000</v>
      </c>
      <c r="P2245" s="71">
        <v>2000000</v>
      </c>
      <c r="Q2245" s="65" t="s">
        <v>3663</v>
      </c>
      <c r="R2245" s="65" t="s">
        <v>7351</v>
      </c>
      <c r="S2245" s="71">
        <v>2000000</v>
      </c>
      <c r="T2245" s="65" t="b">
        <f>TRUE()</f>
        <v>1</v>
      </c>
      <c r="U2245" s="65" t="b">
        <f>FALSE()</f>
        <v>0</v>
      </c>
      <c r="V2245" s="65">
        <v>805</v>
      </c>
      <c r="W2245" s="65" t="s">
        <v>8324</v>
      </c>
      <c r="X2245" s="65"/>
      <c r="Y2245" s="68"/>
      <c r="Z2245" s="65" t="b">
        <f>TRUE()</f>
        <v>1</v>
      </c>
      <c r="AA2245" s="65" t="b">
        <f>FALSE()</f>
        <v>0</v>
      </c>
      <c r="AB2245" s="65" t="b">
        <f>FALSE()</f>
        <v>0</v>
      </c>
      <c r="AC2245" s="65" t="b">
        <f>FALSE()</f>
        <v>0</v>
      </c>
      <c r="AD2245" s="65" t="b">
        <f>FALSE()</f>
        <v>0</v>
      </c>
      <c r="AE2245" s="65">
        <v>2</v>
      </c>
      <c r="AF2245" s="69">
        <v>28.6</v>
      </c>
      <c r="AG2245" s="65" t="s">
        <v>73</v>
      </c>
      <c r="AH2245" s="65" t="s">
        <v>8325</v>
      </c>
      <c r="AI2245">
        <f>IF(AND(OR(Company_Explorer!$B$5="All Companies",$E2245=Company_Explorer!$B$5),OR(Company_Explorer!$B$6="All Platforms",$B2245=Company_Explorer!$B$6),OR(Company_Explorer!$B$7="All Roles",$D2245=Company_Explorer!$B$7),OR(Company_Explorer!$B$8="All Ghost Labels",$AG2245=Company_Explorer!$B$8)),1,0)</f>
        <v>0</v>
      </c>
    </row>
    <row r="2246" spans="1:35" ht="15" customHeight="1" x14ac:dyDescent="0.3">
      <c r="A2246" s="60" t="s">
        <v>8326</v>
      </c>
      <c r="B2246" s="60" t="s">
        <v>82</v>
      </c>
      <c r="C2246" s="60" t="s">
        <v>7355</v>
      </c>
      <c r="D2246" s="60" t="s">
        <v>128</v>
      </c>
      <c r="E2246" s="60" t="s">
        <v>8327</v>
      </c>
      <c r="F2246" s="60" t="b">
        <f>TRUE()</f>
        <v>1</v>
      </c>
      <c r="G2246" s="60" t="s">
        <v>165</v>
      </c>
      <c r="H2246" s="60" t="s">
        <v>165</v>
      </c>
      <c r="I2246" s="61">
        <v>46191</v>
      </c>
      <c r="J2246" s="61">
        <v>46210.285609409701</v>
      </c>
      <c r="K2246" s="60">
        <v>19</v>
      </c>
      <c r="L2246" s="60" t="s">
        <v>183</v>
      </c>
      <c r="M2246" s="60" t="s">
        <v>183</v>
      </c>
      <c r="N2246" s="60" t="b">
        <f>FALSE()</f>
        <v>0</v>
      </c>
      <c r="O2246" s="60"/>
      <c r="P2246" s="60"/>
      <c r="Q2246" s="60" t="s">
        <v>3663</v>
      </c>
      <c r="R2246" s="60" t="s">
        <v>236</v>
      </c>
      <c r="S2246" s="60"/>
      <c r="T2246" s="60" t="b">
        <f>FALSE()</f>
        <v>0</v>
      </c>
      <c r="U2246" s="60" t="b">
        <f>FALSE()</f>
        <v>0</v>
      </c>
      <c r="V2246" s="60">
        <v>434</v>
      </c>
      <c r="W2246" s="62" t="s">
        <v>8328</v>
      </c>
      <c r="X2246" s="60">
        <v>1</v>
      </c>
      <c r="Y2246" s="63">
        <v>0.24</v>
      </c>
      <c r="Z2246" s="60" t="b">
        <f>FALSE()</f>
        <v>0</v>
      </c>
      <c r="AA2246" s="60" t="b">
        <f>TRUE()</f>
        <v>1</v>
      </c>
      <c r="AB2246" s="60" t="b">
        <f>FALSE()</f>
        <v>0</v>
      </c>
      <c r="AC2246" s="60" t="b">
        <f>FALSE()</f>
        <v>0</v>
      </c>
      <c r="AD2246" s="60" t="b">
        <f>FALSE()</f>
        <v>0</v>
      </c>
      <c r="AE2246" s="60">
        <v>1</v>
      </c>
      <c r="AF2246" s="64">
        <v>14.3</v>
      </c>
      <c r="AG2246" s="60" t="s">
        <v>74</v>
      </c>
      <c r="AH2246" s="60" t="s">
        <v>8329</v>
      </c>
      <c r="AI2246">
        <f>IF(AND(OR(Company_Explorer!$B$5="All Companies",$E2246=Company_Explorer!$B$5),OR(Company_Explorer!$B$6="All Platforms",$B2246=Company_Explorer!$B$6),OR(Company_Explorer!$B$7="All Roles",$D2246=Company_Explorer!$B$7),OR(Company_Explorer!$B$8="All Ghost Labels",$AG2246=Company_Explorer!$B$8)),1,0)</f>
        <v>0</v>
      </c>
    </row>
    <row r="2247" spans="1:35" ht="15" customHeight="1" x14ac:dyDescent="0.3">
      <c r="A2247" s="65" t="s">
        <v>8330</v>
      </c>
      <c r="B2247" s="65" t="s">
        <v>82</v>
      </c>
      <c r="C2247" s="65" t="s">
        <v>8331</v>
      </c>
      <c r="D2247" s="65" t="s">
        <v>126</v>
      </c>
      <c r="E2247" s="65" t="s">
        <v>3726</v>
      </c>
      <c r="F2247" s="65" t="b">
        <f>FALSE()</f>
        <v>0</v>
      </c>
      <c r="G2247" s="65" t="s">
        <v>165</v>
      </c>
      <c r="H2247" s="65" t="s">
        <v>165</v>
      </c>
      <c r="I2247" s="66">
        <v>46187</v>
      </c>
      <c r="J2247" s="66">
        <v>46210.285611122701</v>
      </c>
      <c r="K2247" s="65">
        <v>24</v>
      </c>
      <c r="L2247" s="65" t="s">
        <v>192</v>
      </c>
      <c r="M2247" s="65" t="s">
        <v>183</v>
      </c>
      <c r="N2247" s="65" t="b">
        <f>TRUE()</f>
        <v>1</v>
      </c>
      <c r="O2247" s="71">
        <v>25000</v>
      </c>
      <c r="P2247" s="71">
        <v>30000</v>
      </c>
      <c r="Q2247" s="65" t="s">
        <v>3663</v>
      </c>
      <c r="R2247" s="65" t="s">
        <v>7445</v>
      </c>
      <c r="S2247" s="71">
        <v>330000</v>
      </c>
      <c r="T2247" s="65" t="b">
        <f>TRUE()</f>
        <v>1</v>
      </c>
      <c r="U2247" s="65" t="b">
        <f>FALSE()</f>
        <v>0</v>
      </c>
      <c r="V2247" s="65">
        <v>278</v>
      </c>
      <c r="W2247" s="67" t="s">
        <v>8332</v>
      </c>
      <c r="X2247" s="65"/>
      <c r="Y2247" s="68"/>
      <c r="Z2247" s="65" t="b">
        <f>TRUE()</f>
        <v>1</v>
      </c>
      <c r="AA2247" s="65" t="b">
        <f>FALSE()</f>
        <v>0</v>
      </c>
      <c r="AB2247" s="65" t="b">
        <f>FALSE()</f>
        <v>0</v>
      </c>
      <c r="AC2247" s="65" t="b">
        <f>FALSE()</f>
        <v>0</v>
      </c>
      <c r="AD2247" s="65" t="b">
        <f>FALSE()</f>
        <v>0</v>
      </c>
      <c r="AE2247" s="65">
        <v>2</v>
      </c>
      <c r="AF2247" s="69">
        <v>28.6</v>
      </c>
      <c r="AG2247" s="65" t="s">
        <v>73</v>
      </c>
      <c r="AH2247" s="65" t="s">
        <v>8333</v>
      </c>
      <c r="AI2247">
        <f>IF(AND(OR(Company_Explorer!$B$5="All Companies",$E2247=Company_Explorer!$B$5),OR(Company_Explorer!$B$6="All Platforms",$B2247=Company_Explorer!$B$6),OR(Company_Explorer!$B$7="All Roles",$D2247=Company_Explorer!$B$7),OR(Company_Explorer!$B$8="All Ghost Labels",$AG2247=Company_Explorer!$B$8)),1,0)</f>
        <v>0</v>
      </c>
    </row>
    <row r="2248" spans="1:35" ht="15" customHeight="1" x14ac:dyDescent="0.3">
      <c r="A2248" s="60" t="s">
        <v>8334</v>
      </c>
      <c r="B2248" s="60" t="s">
        <v>82</v>
      </c>
      <c r="C2248" s="60" t="s">
        <v>8335</v>
      </c>
      <c r="D2248" s="60" t="s">
        <v>128</v>
      </c>
      <c r="E2248" s="60" t="s">
        <v>154</v>
      </c>
      <c r="F2248" s="60" t="b">
        <f>TRUE()</f>
        <v>1</v>
      </c>
      <c r="G2248" s="60" t="s">
        <v>165</v>
      </c>
      <c r="H2248" s="60" t="s">
        <v>165</v>
      </c>
      <c r="I2248" s="61">
        <v>46210</v>
      </c>
      <c r="J2248" s="61">
        <v>46210.285614710701</v>
      </c>
      <c r="K2248" s="60">
        <v>0</v>
      </c>
      <c r="L2248" s="60" t="s">
        <v>192</v>
      </c>
      <c r="M2248" s="60" t="s">
        <v>183</v>
      </c>
      <c r="N2248" s="60" t="b">
        <f>FALSE()</f>
        <v>0</v>
      </c>
      <c r="O2248" s="60"/>
      <c r="P2248" s="60"/>
      <c r="Q2248" s="60" t="s">
        <v>3663</v>
      </c>
      <c r="R2248" s="60" t="s">
        <v>236</v>
      </c>
      <c r="S2248" s="60"/>
      <c r="T2248" s="60" t="b">
        <f>FALSE()</f>
        <v>0</v>
      </c>
      <c r="U2248" s="60" t="b">
        <f>FALSE()</f>
        <v>0</v>
      </c>
      <c r="V2248" s="60">
        <v>544</v>
      </c>
      <c r="W2248" s="60" t="s">
        <v>3893</v>
      </c>
      <c r="X2248" s="60">
        <v>16</v>
      </c>
      <c r="Y2248" s="63">
        <v>3.86</v>
      </c>
      <c r="Z2248" s="60" t="b">
        <f>FALSE()</f>
        <v>0</v>
      </c>
      <c r="AA2248" s="60" t="b">
        <f>TRUE()</f>
        <v>1</v>
      </c>
      <c r="AB2248" s="60" t="b">
        <f>FALSE()</f>
        <v>0</v>
      </c>
      <c r="AC2248" s="60" t="b">
        <f>FALSE()</f>
        <v>0</v>
      </c>
      <c r="AD2248" s="60" t="b">
        <f>TRUE()</f>
        <v>1</v>
      </c>
      <c r="AE2248" s="60">
        <v>3</v>
      </c>
      <c r="AF2248" s="64">
        <v>42.9</v>
      </c>
      <c r="AG2248" s="60" t="s">
        <v>73</v>
      </c>
      <c r="AH2248" s="60" t="s">
        <v>8336</v>
      </c>
      <c r="AI2248">
        <f>IF(AND(OR(Company_Explorer!$B$5="All Companies",$E2248=Company_Explorer!$B$5),OR(Company_Explorer!$B$6="All Platforms",$B2248=Company_Explorer!$B$6),OR(Company_Explorer!$B$7="All Roles",$D2248=Company_Explorer!$B$7),OR(Company_Explorer!$B$8="All Ghost Labels",$AG2248=Company_Explorer!$B$8)),1,0)</f>
        <v>0</v>
      </c>
    </row>
    <row r="2249" spans="1:35" ht="15" customHeight="1" x14ac:dyDescent="0.3">
      <c r="A2249" s="65" t="s">
        <v>8337</v>
      </c>
      <c r="B2249" s="65" t="s">
        <v>82</v>
      </c>
      <c r="C2249" s="65" t="s">
        <v>7355</v>
      </c>
      <c r="D2249" s="65" t="s">
        <v>128</v>
      </c>
      <c r="E2249" s="65" t="s">
        <v>8338</v>
      </c>
      <c r="F2249" s="65" t="b">
        <f>TRUE()</f>
        <v>1</v>
      </c>
      <c r="G2249" s="65" t="s">
        <v>165</v>
      </c>
      <c r="H2249" s="65" t="s">
        <v>165</v>
      </c>
      <c r="I2249" s="66">
        <v>46210</v>
      </c>
      <c r="J2249" s="66">
        <v>46210.285618090304</v>
      </c>
      <c r="K2249" s="65">
        <v>61</v>
      </c>
      <c r="L2249" s="65" t="s">
        <v>192</v>
      </c>
      <c r="M2249" s="65" t="s">
        <v>183</v>
      </c>
      <c r="N2249" s="65" t="b">
        <f>FALSE()</f>
        <v>0</v>
      </c>
      <c r="O2249" s="65"/>
      <c r="P2249" s="65"/>
      <c r="Q2249" s="65" t="s">
        <v>3663</v>
      </c>
      <c r="R2249" s="65" t="s">
        <v>236</v>
      </c>
      <c r="S2249" s="65"/>
      <c r="T2249" s="65" t="b">
        <f>FALSE()</f>
        <v>0</v>
      </c>
      <c r="U2249" s="65" t="b">
        <f>FALSE()</f>
        <v>0</v>
      </c>
      <c r="V2249" s="65">
        <v>302</v>
      </c>
      <c r="W2249" s="67" t="s">
        <v>8339</v>
      </c>
      <c r="X2249" s="65">
        <v>1</v>
      </c>
      <c r="Y2249" s="68">
        <v>0.24</v>
      </c>
      <c r="Z2249" s="65" t="b">
        <f>FALSE()</f>
        <v>0</v>
      </c>
      <c r="AA2249" s="65" t="b">
        <f>TRUE()</f>
        <v>1</v>
      </c>
      <c r="AB2249" s="65" t="b">
        <f>FALSE()</f>
        <v>0</v>
      </c>
      <c r="AC2249" s="65" t="b">
        <f>FALSE()</f>
        <v>0</v>
      </c>
      <c r="AD2249" s="65" t="b">
        <f>FALSE()</f>
        <v>0</v>
      </c>
      <c r="AE2249" s="65">
        <v>1</v>
      </c>
      <c r="AF2249" s="69">
        <v>14.3</v>
      </c>
      <c r="AG2249" s="65" t="s">
        <v>74</v>
      </c>
      <c r="AH2249" s="65" t="s">
        <v>8340</v>
      </c>
      <c r="AI2249">
        <f>IF(AND(OR(Company_Explorer!$B$5="All Companies",$E2249=Company_Explorer!$B$5),OR(Company_Explorer!$B$6="All Platforms",$B2249=Company_Explorer!$B$6),OR(Company_Explorer!$B$7="All Roles",$D2249=Company_Explorer!$B$7),OR(Company_Explorer!$B$8="All Ghost Labels",$AG2249=Company_Explorer!$B$8)),1,0)</f>
        <v>0</v>
      </c>
    </row>
    <row r="2250" spans="1:35" ht="15" customHeight="1" x14ac:dyDescent="0.3">
      <c r="A2250" s="60" t="s">
        <v>8341</v>
      </c>
      <c r="B2250" s="60" t="s">
        <v>82</v>
      </c>
      <c r="C2250" s="60" t="s">
        <v>8342</v>
      </c>
      <c r="D2250" s="60" t="s">
        <v>126</v>
      </c>
      <c r="E2250" s="60" t="s">
        <v>3726</v>
      </c>
      <c r="F2250" s="60" t="b">
        <f>FALSE()</f>
        <v>0</v>
      </c>
      <c r="G2250" s="60" t="s">
        <v>176</v>
      </c>
      <c r="H2250" s="60" t="s">
        <v>302</v>
      </c>
      <c r="I2250" s="61">
        <v>46202</v>
      </c>
      <c r="J2250" s="61">
        <v>46210.2856183681</v>
      </c>
      <c r="K2250" s="60">
        <v>40</v>
      </c>
      <c r="L2250" s="60" t="s">
        <v>192</v>
      </c>
      <c r="M2250" s="60" t="s">
        <v>183</v>
      </c>
      <c r="N2250" s="60" t="b">
        <f>TRUE()</f>
        <v>1</v>
      </c>
      <c r="O2250" s="70">
        <v>800000</v>
      </c>
      <c r="P2250" s="70">
        <v>2000000</v>
      </c>
      <c r="Q2250" s="60" t="s">
        <v>3663</v>
      </c>
      <c r="R2250" s="60" t="s">
        <v>7351</v>
      </c>
      <c r="S2250" s="70">
        <v>1400000</v>
      </c>
      <c r="T2250" s="60" t="b">
        <f>TRUE()</f>
        <v>1</v>
      </c>
      <c r="U2250" s="60" t="b">
        <f>FALSE()</f>
        <v>0</v>
      </c>
      <c r="V2250" s="60">
        <v>848</v>
      </c>
      <c r="W2250" s="62" t="s">
        <v>8343</v>
      </c>
      <c r="X2250" s="60"/>
      <c r="Y2250" s="63"/>
      <c r="Z2250" s="60" t="b">
        <f>TRUE()</f>
        <v>1</v>
      </c>
      <c r="AA2250" s="60" t="b">
        <f>FALSE()</f>
        <v>0</v>
      </c>
      <c r="AB2250" s="60" t="b">
        <f>FALSE()</f>
        <v>0</v>
      </c>
      <c r="AC2250" s="60" t="b">
        <f>FALSE()</f>
        <v>0</v>
      </c>
      <c r="AD2250" s="60" t="b">
        <f>FALSE()</f>
        <v>0</v>
      </c>
      <c r="AE2250" s="60">
        <v>2</v>
      </c>
      <c r="AF2250" s="64">
        <v>28.6</v>
      </c>
      <c r="AG2250" s="60" t="s">
        <v>73</v>
      </c>
      <c r="AH2250" s="60" t="s">
        <v>8344</v>
      </c>
      <c r="AI2250">
        <f>IF(AND(OR(Company_Explorer!$B$5="All Companies",$E2250=Company_Explorer!$B$5),OR(Company_Explorer!$B$6="All Platforms",$B2250=Company_Explorer!$B$6),OR(Company_Explorer!$B$7="All Roles",$D2250=Company_Explorer!$B$7),OR(Company_Explorer!$B$8="All Ghost Labels",$AG2250=Company_Explorer!$B$8)),1,0)</f>
        <v>0</v>
      </c>
    </row>
    <row r="2251" spans="1:35" ht="15" customHeight="1" x14ac:dyDescent="0.3">
      <c r="A2251" s="65" t="s">
        <v>8345</v>
      </c>
      <c r="B2251" s="65" t="s">
        <v>82</v>
      </c>
      <c r="C2251" s="65" t="s">
        <v>8346</v>
      </c>
      <c r="D2251" s="65" t="s">
        <v>126</v>
      </c>
      <c r="E2251" s="65" t="s">
        <v>8347</v>
      </c>
      <c r="F2251" s="65" t="b">
        <f>TRUE()</f>
        <v>1</v>
      </c>
      <c r="G2251" s="65" t="s">
        <v>172</v>
      </c>
      <c r="H2251" s="65" t="s">
        <v>276</v>
      </c>
      <c r="I2251" s="66">
        <v>46204</v>
      </c>
      <c r="J2251" s="66">
        <v>46210.285622847201</v>
      </c>
      <c r="K2251" s="65">
        <v>37</v>
      </c>
      <c r="L2251" s="65" t="s">
        <v>195</v>
      </c>
      <c r="M2251" s="65" t="s">
        <v>183</v>
      </c>
      <c r="N2251" s="65" t="b">
        <f>TRUE()</f>
        <v>1</v>
      </c>
      <c r="O2251" s="71">
        <v>220800</v>
      </c>
      <c r="P2251" s="71">
        <v>600000</v>
      </c>
      <c r="Q2251" s="65" t="s">
        <v>3663</v>
      </c>
      <c r="R2251" s="65" t="s">
        <v>7351</v>
      </c>
      <c r="S2251" s="71">
        <v>410400</v>
      </c>
      <c r="T2251" s="65" t="b">
        <f>TRUE()</f>
        <v>1</v>
      </c>
      <c r="U2251" s="65" t="b">
        <f>FALSE()</f>
        <v>0</v>
      </c>
      <c r="V2251" s="65">
        <v>150</v>
      </c>
      <c r="W2251" s="67" t="s">
        <v>8348</v>
      </c>
      <c r="X2251" s="65">
        <v>1</v>
      </c>
      <c r="Y2251" s="68">
        <v>0.24</v>
      </c>
      <c r="Z2251" s="65" t="b">
        <f>FALSE()</f>
        <v>0</v>
      </c>
      <c r="AA2251" s="65" t="b">
        <f>FALSE()</f>
        <v>0</v>
      </c>
      <c r="AB2251" s="65" t="b">
        <f>TRUE()</f>
        <v>1</v>
      </c>
      <c r="AC2251" s="65" t="b">
        <f>FALSE()</f>
        <v>0</v>
      </c>
      <c r="AD2251" s="65" t="b">
        <f>FALSE()</f>
        <v>0</v>
      </c>
      <c r="AE2251" s="65">
        <v>1</v>
      </c>
      <c r="AF2251" s="69">
        <v>14.3</v>
      </c>
      <c r="AG2251" s="65" t="s">
        <v>74</v>
      </c>
      <c r="AH2251" s="65" t="s">
        <v>8349</v>
      </c>
      <c r="AI2251">
        <f>IF(AND(OR(Company_Explorer!$B$5="All Companies",$E2251=Company_Explorer!$B$5),OR(Company_Explorer!$B$6="All Platforms",$B2251=Company_Explorer!$B$6),OR(Company_Explorer!$B$7="All Roles",$D2251=Company_Explorer!$B$7),OR(Company_Explorer!$B$8="All Ghost Labels",$AG2251=Company_Explorer!$B$8)),1,0)</f>
        <v>0</v>
      </c>
    </row>
    <row r="2252" spans="1:35" ht="15" customHeight="1" x14ac:dyDescent="0.3">
      <c r="A2252" s="60" t="s">
        <v>8350</v>
      </c>
      <c r="B2252" s="60" t="s">
        <v>82</v>
      </c>
      <c r="C2252" s="60" t="s">
        <v>8351</v>
      </c>
      <c r="D2252" s="60" t="s">
        <v>128</v>
      </c>
      <c r="E2252" s="60" t="s">
        <v>154</v>
      </c>
      <c r="F2252" s="60" t="b">
        <f>TRUE()</f>
        <v>1</v>
      </c>
      <c r="G2252" s="60" t="s">
        <v>165</v>
      </c>
      <c r="H2252" s="60" t="s">
        <v>165</v>
      </c>
      <c r="I2252" s="61">
        <v>46205</v>
      </c>
      <c r="J2252" s="61">
        <v>46210.2856252083</v>
      </c>
      <c r="K2252" s="60">
        <v>35</v>
      </c>
      <c r="L2252" s="60" t="s">
        <v>192</v>
      </c>
      <c r="M2252" s="60" t="s">
        <v>183</v>
      </c>
      <c r="N2252" s="60" t="b">
        <f>FALSE()</f>
        <v>0</v>
      </c>
      <c r="O2252" s="60"/>
      <c r="P2252" s="60"/>
      <c r="Q2252" s="60" t="s">
        <v>3663</v>
      </c>
      <c r="R2252" s="60" t="s">
        <v>236</v>
      </c>
      <c r="S2252" s="60"/>
      <c r="T2252" s="60" t="b">
        <f>FALSE()</f>
        <v>0</v>
      </c>
      <c r="U2252" s="60" t="b">
        <f>FALSE()</f>
        <v>0</v>
      </c>
      <c r="V2252" s="60">
        <v>357</v>
      </c>
      <c r="W2252" s="62" t="s">
        <v>8352</v>
      </c>
      <c r="X2252" s="60">
        <v>16</v>
      </c>
      <c r="Y2252" s="63">
        <v>3.86</v>
      </c>
      <c r="Z2252" s="60" t="b">
        <f>FALSE()</f>
        <v>0</v>
      </c>
      <c r="AA2252" s="60" t="b">
        <f>TRUE()</f>
        <v>1</v>
      </c>
      <c r="AB2252" s="60" t="b">
        <f>FALSE()</f>
        <v>0</v>
      </c>
      <c r="AC2252" s="60" t="b">
        <f>FALSE()</f>
        <v>0</v>
      </c>
      <c r="AD2252" s="60" t="b">
        <f>TRUE()</f>
        <v>1</v>
      </c>
      <c r="AE2252" s="60">
        <v>3</v>
      </c>
      <c r="AF2252" s="64">
        <v>42.9</v>
      </c>
      <c r="AG2252" s="60" t="s">
        <v>73</v>
      </c>
      <c r="AH2252" s="60" t="s">
        <v>8353</v>
      </c>
      <c r="AI2252">
        <f>IF(AND(OR(Company_Explorer!$B$5="All Companies",$E2252=Company_Explorer!$B$5),OR(Company_Explorer!$B$6="All Platforms",$B2252=Company_Explorer!$B$6),OR(Company_Explorer!$B$7="All Roles",$D2252=Company_Explorer!$B$7),OR(Company_Explorer!$B$8="All Ghost Labels",$AG2252=Company_Explorer!$B$8)),1,0)</f>
        <v>0</v>
      </c>
    </row>
    <row r="2253" spans="1:35" ht="15" customHeight="1" x14ac:dyDescent="0.3">
      <c r="A2253" s="65" t="s">
        <v>8354</v>
      </c>
      <c r="B2253" s="65" t="s">
        <v>82</v>
      </c>
      <c r="C2253" s="65" t="s">
        <v>8355</v>
      </c>
      <c r="D2253" s="65" t="s">
        <v>126</v>
      </c>
      <c r="E2253" s="65" t="s">
        <v>7511</v>
      </c>
      <c r="F2253" s="65" t="b">
        <f>TRUE()</f>
        <v>1</v>
      </c>
      <c r="G2253" s="65" t="s">
        <v>165</v>
      </c>
      <c r="H2253" s="65" t="s">
        <v>165</v>
      </c>
      <c r="I2253" s="66">
        <v>46183</v>
      </c>
      <c r="J2253" s="66">
        <v>46210.285626446799</v>
      </c>
      <c r="K2253" s="65">
        <v>27</v>
      </c>
      <c r="L2253" s="65" t="s">
        <v>192</v>
      </c>
      <c r="M2253" s="65" t="s">
        <v>183</v>
      </c>
      <c r="N2253" s="65" t="b">
        <f>FALSE()</f>
        <v>0</v>
      </c>
      <c r="O2253" s="65"/>
      <c r="P2253" s="65"/>
      <c r="Q2253" s="65" t="s">
        <v>3663</v>
      </c>
      <c r="R2253" s="65" t="s">
        <v>236</v>
      </c>
      <c r="S2253" s="65"/>
      <c r="T2253" s="65" t="b">
        <f>FALSE()</f>
        <v>0</v>
      </c>
      <c r="U2253" s="65" t="b">
        <f>FALSE()</f>
        <v>0</v>
      </c>
      <c r="V2253" s="65">
        <v>922</v>
      </c>
      <c r="W2253" s="67" t="s">
        <v>7512</v>
      </c>
      <c r="X2253" s="65">
        <v>9</v>
      </c>
      <c r="Y2253" s="68">
        <v>2.17</v>
      </c>
      <c r="Z2253" s="65" t="b">
        <f>FALSE()</f>
        <v>0</v>
      </c>
      <c r="AA2253" s="65" t="b">
        <f>TRUE()</f>
        <v>1</v>
      </c>
      <c r="AB2253" s="65" t="b">
        <f>FALSE()</f>
        <v>0</v>
      </c>
      <c r="AC2253" s="65" t="b">
        <f>FALSE()</f>
        <v>0</v>
      </c>
      <c r="AD2253" s="65" t="b">
        <f>FALSE()</f>
        <v>0</v>
      </c>
      <c r="AE2253" s="65">
        <v>1</v>
      </c>
      <c r="AF2253" s="69">
        <v>14.3</v>
      </c>
      <c r="AG2253" s="65" t="s">
        <v>74</v>
      </c>
      <c r="AH2253" s="65" t="s">
        <v>8356</v>
      </c>
      <c r="AI2253">
        <f>IF(AND(OR(Company_Explorer!$B$5="All Companies",$E2253=Company_Explorer!$B$5),OR(Company_Explorer!$B$6="All Platforms",$B2253=Company_Explorer!$B$6),OR(Company_Explorer!$B$7="All Roles",$D2253=Company_Explorer!$B$7),OR(Company_Explorer!$B$8="All Ghost Labels",$AG2253=Company_Explorer!$B$8)),1,0)</f>
        <v>0</v>
      </c>
    </row>
    <row r="2254" spans="1:35" ht="15" customHeight="1" x14ac:dyDescent="0.3">
      <c r="A2254" s="60" t="s">
        <v>8357</v>
      </c>
      <c r="B2254" s="60" t="s">
        <v>82</v>
      </c>
      <c r="C2254" s="60" t="s">
        <v>8358</v>
      </c>
      <c r="D2254" s="60" t="s">
        <v>128</v>
      </c>
      <c r="E2254" s="60" t="s">
        <v>154</v>
      </c>
      <c r="F2254" s="60" t="b">
        <f>TRUE()</f>
        <v>1</v>
      </c>
      <c r="G2254" s="60" t="s">
        <v>165</v>
      </c>
      <c r="H2254" s="60" t="s">
        <v>165</v>
      </c>
      <c r="I2254" s="61">
        <v>46186</v>
      </c>
      <c r="J2254" s="61">
        <v>46210.285626643497</v>
      </c>
      <c r="K2254" s="60">
        <v>24</v>
      </c>
      <c r="L2254" s="60" t="s">
        <v>192</v>
      </c>
      <c r="M2254" s="60" t="s">
        <v>183</v>
      </c>
      <c r="N2254" s="60" t="b">
        <f>FALSE()</f>
        <v>0</v>
      </c>
      <c r="O2254" s="60"/>
      <c r="P2254" s="60"/>
      <c r="Q2254" s="60" t="s">
        <v>3663</v>
      </c>
      <c r="R2254" s="60" t="s">
        <v>236</v>
      </c>
      <c r="S2254" s="60"/>
      <c r="T2254" s="60" t="b">
        <f>FALSE()</f>
        <v>0</v>
      </c>
      <c r="U2254" s="60" t="b">
        <f>FALSE()</f>
        <v>0</v>
      </c>
      <c r="V2254" s="60">
        <v>631</v>
      </c>
      <c r="W2254" s="60" t="s">
        <v>3893</v>
      </c>
      <c r="X2254" s="60">
        <v>16</v>
      </c>
      <c r="Y2254" s="63">
        <v>3.86</v>
      </c>
      <c r="Z2254" s="60" t="b">
        <f>FALSE()</f>
        <v>0</v>
      </c>
      <c r="AA2254" s="60" t="b">
        <f>TRUE()</f>
        <v>1</v>
      </c>
      <c r="AB2254" s="60" t="b">
        <f>FALSE()</f>
        <v>0</v>
      </c>
      <c r="AC2254" s="60" t="b">
        <f>FALSE()</f>
        <v>0</v>
      </c>
      <c r="AD2254" s="60" t="b">
        <f>TRUE()</f>
        <v>1</v>
      </c>
      <c r="AE2254" s="60">
        <v>3</v>
      </c>
      <c r="AF2254" s="64">
        <v>42.9</v>
      </c>
      <c r="AG2254" s="60" t="s">
        <v>73</v>
      </c>
      <c r="AH2254" s="60" t="s">
        <v>8359</v>
      </c>
      <c r="AI2254">
        <f>IF(AND(OR(Company_Explorer!$B$5="All Companies",$E2254=Company_Explorer!$B$5),OR(Company_Explorer!$B$6="All Platforms",$B2254=Company_Explorer!$B$6),OR(Company_Explorer!$B$7="All Roles",$D2254=Company_Explorer!$B$7),OR(Company_Explorer!$B$8="All Ghost Labels",$AG2254=Company_Explorer!$B$8)),1,0)</f>
        <v>0</v>
      </c>
    </row>
    <row r="2255" spans="1:35" ht="15" customHeight="1" x14ac:dyDescent="0.3">
      <c r="A2255" s="65" t="s">
        <v>8360</v>
      </c>
      <c r="B2255" s="65" t="s">
        <v>82</v>
      </c>
      <c r="C2255" s="65" t="s">
        <v>8361</v>
      </c>
      <c r="D2255" s="65" t="s">
        <v>128</v>
      </c>
      <c r="E2255" s="65" t="s">
        <v>8362</v>
      </c>
      <c r="F2255" s="65" t="b">
        <f>TRUE()</f>
        <v>1</v>
      </c>
      <c r="G2255" s="65" t="s">
        <v>165</v>
      </c>
      <c r="H2255" s="65" t="s">
        <v>165</v>
      </c>
      <c r="I2255" s="66">
        <v>46182</v>
      </c>
      <c r="J2255" s="66">
        <v>46210.285627662</v>
      </c>
      <c r="K2255" s="65">
        <v>60</v>
      </c>
      <c r="L2255" s="65" t="s">
        <v>192</v>
      </c>
      <c r="M2255" s="65" t="s">
        <v>183</v>
      </c>
      <c r="N2255" s="65" t="b">
        <f>FALSE()</f>
        <v>0</v>
      </c>
      <c r="O2255" s="65"/>
      <c r="P2255" s="65"/>
      <c r="Q2255" s="65" t="s">
        <v>3663</v>
      </c>
      <c r="R2255" s="65" t="s">
        <v>236</v>
      </c>
      <c r="S2255" s="65"/>
      <c r="T2255" s="65" t="b">
        <f>FALSE()</f>
        <v>0</v>
      </c>
      <c r="U2255" s="65" t="b">
        <f>FALSE()</f>
        <v>0</v>
      </c>
      <c r="V2255" s="65">
        <v>180</v>
      </c>
      <c r="W2255" s="67" t="s">
        <v>8363</v>
      </c>
      <c r="X2255" s="65">
        <v>1</v>
      </c>
      <c r="Y2255" s="68">
        <v>0.24</v>
      </c>
      <c r="Z2255" s="65" t="b">
        <f>FALSE()</f>
        <v>0</v>
      </c>
      <c r="AA2255" s="65" t="b">
        <f>TRUE()</f>
        <v>1</v>
      </c>
      <c r="AB2255" s="65" t="b">
        <f>TRUE()</f>
        <v>1</v>
      </c>
      <c r="AC2255" s="65" t="b">
        <f>FALSE()</f>
        <v>0</v>
      </c>
      <c r="AD2255" s="65" t="b">
        <f>FALSE()</f>
        <v>0</v>
      </c>
      <c r="AE2255" s="65">
        <v>2</v>
      </c>
      <c r="AF2255" s="69">
        <v>28.6</v>
      </c>
      <c r="AG2255" s="65" t="s">
        <v>73</v>
      </c>
      <c r="AH2255" s="65" t="s">
        <v>8364</v>
      </c>
      <c r="AI2255">
        <f>IF(AND(OR(Company_Explorer!$B$5="All Companies",$E2255=Company_Explorer!$B$5),OR(Company_Explorer!$B$6="All Platforms",$B2255=Company_Explorer!$B$6),OR(Company_Explorer!$B$7="All Roles",$D2255=Company_Explorer!$B$7),OR(Company_Explorer!$B$8="All Ghost Labels",$AG2255=Company_Explorer!$B$8)),1,0)</f>
        <v>0</v>
      </c>
    </row>
    <row r="2256" spans="1:35" ht="15" customHeight="1" x14ac:dyDescent="0.3">
      <c r="A2256" s="60" t="s">
        <v>8365</v>
      </c>
      <c r="B2256" s="60" t="s">
        <v>82</v>
      </c>
      <c r="C2256" s="60" t="s">
        <v>8366</v>
      </c>
      <c r="D2256" s="60" t="s">
        <v>128</v>
      </c>
      <c r="E2256" s="60" t="s">
        <v>8367</v>
      </c>
      <c r="F2256" s="60" t="b">
        <f>TRUE()</f>
        <v>1</v>
      </c>
      <c r="G2256" s="60" t="s">
        <v>167</v>
      </c>
      <c r="H2256" s="60" t="s">
        <v>276</v>
      </c>
      <c r="I2256" s="61">
        <v>46205</v>
      </c>
      <c r="J2256" s="61">
        <v>46210.285630740698</v>
      </c>
      <c r="K2256" s="60">
        <v>5</v>
      </c>
      <c r="L2256" s="60" t="s">
        <v>192</v>
      </c>
      <c r="M2256" s="60" t="s">
        <v>183</v>
      </c>
      <c r="N2256" s="60" t="b">
        <f>TRUE()</f>
        <v>1</v>
      </c>
      <c r="O2256" s="70">
        <v>500000</v>
      </c>
      <c r="P2256" s="70">
        <v>900000</v>
      </c>
      <c r="Q2256" s="60" t="s">
        <v>3663</v>
      </c>
      <c r="R2256" s="60" t="s">
        <v>7351</v>
      </c>
      <c r="S2256" s="70">
        <v>700000</v>
      </c>
      <c r="T2256" s="60" t="b">
        <f>TRUE()</f>
        <v>1</v>
      </c>
      <c r="U2256" s="60" t="b">
        <f>FALSE()</f>
        <v>0</v>
      </c>
      <c r="V2256" s="60">
        <v>90</v>
      </c>
      <c r="W2256" s="62" t="s">
        <v>8368</v>
      </c>
      <c r="X2256" s="60">
        <v>1</v>
      </c>
      <c r="Y2256" s="63">
        <v>0.24</v>
      </c>
      <c r="Z2256" s="60" t="b">
        <f>FALSE()</f>
        <v>0</v>
      </c>
      <c r="AA2256" s="60" t="b">
        <f>FALSE()</f>
        <v>0</v>
      </c>
      <c r="AB2256" s="60" t="b">
        <f>TRUE()</f>
        <v>1</v>
      </c>
      <c r="AC2256" s="60" t="b">
        <f>FALSE()</f>
        <v>0</v>
      </c>
      <c r="AD2256" s="60" t="b">
        <f>FALSE()</f>
        <v>0</v>
      </c>
      <c r="AE2256" s="60">
        <v>1</v>
      </c>
      <c r="AF2256" s="64">
        <v>14.3</v>
      </c>
      <c r="AG2256" s="60" t="s">
        <v>74</v>
      </c>
      <c r="AH2256" s="60" t="s">
        <v>8369</v>
      </c>
      <c r="AI2256">
        <f>IF(AND(OR(Company_Explorer!$B$5="All Companies",$E2256=Company_Explorer!$B$5),OR(Company_Explorer!$B$6="All Platforms",$B2256=Company_Explorer!$B$6),OR(Company_Explorer!$B$7="All Roles",$D2256=Company_Explorer!$B$7),OR(Company_Explorer!$B$8="All Ghost Labels",$AG2256=Company_Explorer!$B$8)),1,0)</f>
        <v>0</v>
      </c>
    </row>
    <row r="2257" spans="1:35" ht="15" customHeight="1" x14ac:dyDescent="0.3">
      <c r="A2257" s="65" t="s">
        <v>8370</v>
      </c>
      <c r="B2257" s="65" t="s">
        <v>82</v>
      </c>
      <c r="C2257" s="65" t="s">
        <v>7355</v>
      </c>
      <c r="D2257" s="65" t="s">
        <v>128</v>
      </c>
      <c r="E2257" s="65" t="s">
        <v>8371</v>
      </c>
      <c r="F2257" s="65" t="b">
        <f>TRUE()</f>
        <v>1</v>
      </c>
      <c r="G2257" s="65" t="s">
        <v>165</v>
      </c>
      <c r="H2257" s="65" t="s">
        <v>165</v>
      </c>
      <c r="I2257" s="66">
        <v>46209</v>
      </c>
      <c r="J2257" s="66">
        <v>46210.285632488398</v>
      </c>
      <c r="K2257" s="65">
        <v>62</v>
      </c>
      <c r="L2257" s="65" t="s">
        <v>192</v>
      </c>
      <c r="M2257" s="65" t="s">
        <v>183</v>
      </c>
      <c r="N2257" s="65" t="b">
        <f>FALSE()</f>
        <v>0</v>
      </c>
      <c r="O2257" s="65"/>
      <c r="P2257" s="65"/>
      <c r="Q2257" s="65" t="s">
        <v>3663</v>
      </c>
      <c r="R2257" s="65" t="s">
        <v>236</v>
      </c>
      <c r="S2257" s="65"/>
      <c r="T2257" s="65" t="b">
        <f>FALSE()</f>
        <v>0</v>
      </c>
      <c r="U2257" s="65" t="b">
        <f>FALSE()</f>
        <v>0</v>
      </c>
      <c r="V2257" s="65">
        <v>342</v>
      </c>
      <c r="W2257" s="67" t="s">
        <v>8372</v>
      </c>
      <c r="X2257" s="65">
        <v>1</v>
      </c>
      <c r="Y2257" s="68">
        <v>0.24</v>
      </c>
      <c r="Z2257" s="65" t="b">
        <f>FALSE()</f>
        <v>0</v>
      </c>
      <c r="AA2257" s="65" t="b">
        <f>TRUE()</f>
        <v>1</v>
      </c>
      <c r="AB2257" s="65" t="b">
        <f>FALSE()</f>
        <v>0</v>
      </c>
      <c r="AC2257" s="65" t="b">
        <f>FALSE()</f>
        <v>0</v>
      </c>
      <c r="AD2257" s="65" t="b">
        <f>FALSE()</f>
        <v>0</v>
      </c>
      <c r="AE2257" s="65">
        <v>1</v>
      </c>
      <c r="AF2257" s="69">
        <v>14.3</v>
      </c>
      <c r="AG2257" s="65" t="s">
        <v>74</v>
      </c>
      <c r="AH2257" s="65" t="s">
        <v>8373</v>
      </c>
      <c r="AI2257">
        <f>IF(AND(OR(Company_Explorer!$B$5="All Companies",$E2257=Company_Explorer!$B$5),OR(Company_Explorer!$B$6="All Platforms",$B2257=Company_Explorer!$B$6),OR(Company_Explorer!$B$7="All Roles",$D2257=Company_Explorer!$B$7),OR(Company_Explorer!$B$8="All Ghost Labels",$AG2257=Company_Explorer!$B$8)),1,0)</f>
        <v>0</v>
      </c>
    </row>
    <row r="2258" spans="1:35" ht="15" customHeight="1" x14ac:dyDescent="0.3">
      <c r="A2258" s="60" t="s">
        <v>8374</v>
      </c>
      <c r="B2258" s="60" t="s">
        <v>82</v>
      </c>
      <c r="C2258" s="60" t="s">
        <v>8375</v>
      </c>
      <c r="D2258" s="60" t="s">
        <v>126</v>
      </c>
      <c r="E2258" s="60" t="s">
        <v>8376</v>
      </c>
      <c r="F2258" s="60" t="b">
        <f>TRUE()</f>
        <v>1</v>
      </c>
      <c r="G2258" s="60" t="s">
        <v>165</v>
      </c>
      <c r="H2258" s="60" t="s">
        <v>165</v>
      </c>
      <c r="I2258" s="61">
        <v>46192</v>
      </c>
      <c r="J2258" s="61">
        <v>46210.2856378125</v>
      </c>
      <c r="K2258" s="60">
        <v>18</v>
      </c>
      <c r="L2258" s="60" t="s">
        <v>192</v>
      </c>
      <c r="M2258" s="60" t="s">
        <v>183</v>
      </c>
      <c r="N2258" s="60" t="b">
        <f>TRUE()</f>
        <v>1</v>
      </c>
      <c r="O2258" s="70">
        <v>3476326</v>
      </c>
      <c r="P2258" s="70">
        <v>5562122</v>
      </c>
      <c r="Q2258" s="60" t="s">
        <v>3663</v>
      </c>
      <c r="R2258" s="60" t="s">
        <v>7351</v>
      </c>
      <c r="S2258" s="70">
        <v>4519224</v>
      </c>
      <c r="T2258" s="60" t="b">
        <f>TRUE()</f>
        <v>1</v>
      </c>
      <c r="U2258" s="60" t="b">
        <f>FALSE()</f>
        <v>0</v>
      </c>
      <c r="V2258" s="60">
        <v>1280</v>
      </c>
      <c r="W2258" s="60" t="s">
        <v>8377</v>
      </c>
      <c r="X2258" s="60">
        <v>2</v>
      </c>
      <c r="Y2258" s="63">
        <v>0.48</v>
      </c>
      <c r="Z2258" s="60" t="b">
        <f>FALSE()</f>
        <v>0</v>
      </c>
      <c r="AA2258" s="60" t="b">
        <f>FALSE()</f>
        <v>0</v>
      </c>
      <c r="AB2258" s="60" t="b">
        <f>FALSE()</f>
        <v>0</v>
      </c>
      <c r="AC2258" s="60" t="b">
        <f>FALSE()</f>
        <v>0</v>
      </c>
      <c r="AD2258" s="60" t="b">
        <f>FALSE()</f>
        <v>0</v>
      </c>
      <c r="AE2258" s="60">
        <v>0</v>
      </c>
      <c r="AF2258" s="64">
        <v>0</v>
      </c>
      <c r="AG2258" s="60" t="s">
        <v>74</v>
      </c>
      <c r="AH2258" s="60" t="s">
        <v>8378</v>
      </c>
      <c r="AI2258">
        <f>IF(AND(OR(Company_Explorer!$B$5="All Companies",$E2258=Company_Explorer!$B$5),OR(Company_Explorer!$B$6="All Platforms",$B2258=Company_Explorer!$B$6),OR(Company_Explorer!$B$7="All Roles",$D2258=Company_Explorer!$B$7),OR(Company_Explorer!$B$8="All Ghost Labels",$AG2258=Company_Explorer!$B$8)),1,0)</f>
        <v>0</v>
      </c>
    </row>
    <row r="2259" spans="1:35" ht="15" customHeight="1" x14ac:dyDescent="0.3">
      <c r="A2259" s="65" t="s">
        <v>8379</v>
      </c>
      <c r="B2259" s="65" t="s">
        <v>82</v>
      </c>
      <c r="C2259" s="65" t="s">
        <v>8380</v>
      </c>
      <c r="D2259" s="65" t="s">
        <v>128</v>
      </c>
      <c r="E2259" s="65" t="s">
        <v>8381</v>
      </c>
      <c r="F2259" s="65" t="b">
        <f>TRUE()</f>
        <v>1</v>
      </c>
      <c r="G2259" s="65" t="s">
        <v>165</v>
      </c>
      <c r="H2259" s="65" t="s">
        <v>165</v>
      </c>
      <c r="I2259" s="66">
        <v>46205</v>
      </c>
      <c r="J2259" s="66">
        <v>46210.285642673603</v>
      </c>
      <c r="K2259" s="65">
        <v>5</v>
      </c>
      <c r="L2259" s="65" t="s">
        <v>183</v>
      </c>
      <c r="M2259" s="65" t="s">
        <v>183</v>
      </c>
      <c r="N2259" s="65" t="b">
        <f>FALSE()</f>
        <v>0</v>
      </c>
      <c r="O2259" s="65"/>
      <c r="P2259" s="65"/>
      <c r="Q2259" s="65" t="s">
        <v>3663</v>
      </c>
      <c r="R2259" s="65" t="s">
        <v>236</v>
      </c>
      <c r="S2259" s="65"/>
      <c r="T2259" s="65" t="b">
        <f>FALSE()</f>
        <v>0</v>
      </c>
      <c r="U2259" s="65" t="b">
        <f>FALSE()</f>
        <v>0</v>
      </c>
      <c r="V2259" s="65">
        <v>437</v>
      </c>
      <c r="W2259" s="65" t="s">
        <v>8382</v>
      </c>
      <c r="X2259" s="65">
        <v>1</v>
      </c>
      <c r="Y2259" s="68">
        <v>0.24</v>
      </c>
      <c r="Z2259" s="65" t="b">
        <f>FALSE()</f>
        <v>0</v>
      </c>
      <c r="AA2259" s="65" t="b">
        <f>TRUE()</f>
        <v>1</v>
      </c>
      <c r="AB2259" s="65" t="b">
        <f>FALSE()</f>
        <v>0</v>
      </c>
      <c r="AC2259" s="65" t="b">
        <f>FALSE()</f>
        <v>0</v>
      </c>
      <c r="AD2259" s="65" t="b">
        <f>FALSE()</f>
        <v>0</v>
      </c>
      <c r="AE2259" s="65">
        <v>1</v>
      </c>
      <c r="AF2259" s="69">
        <v>14.3</v>
      </c>
      <c r="AG2259" s="65" t="s">
        <v>74</v>
      </c>
      <c r="AH2259" s="65" t="s">
        <v>8383</v>
      </c>
      <c r="AI2259">
        <f>IF(AND(OR(Company_Explorer!$B$5="All Companies",$E2259=Company_Explorer!$B$5),OR(Company_Explorer!$B$6="All Platforms",$B2259=Company_Explorer!$B$6),OR(Company_Explorer!$B$7="All Roles",$D2259=Company_Explorer!$B$7),OR(Company_Explorer!$B$8="All Ghost Labels",$AG2259=Company_Explorer!$B$8)),1,0)</f>
        <v>0</v>
      </c>
    </row>
    <row r="2260" spans="1:35" ht="15" customHeight="1" x14ac:dyDescent="0.3">
      <c r="A2260" s="60" t="s">
        <v>8384</v>
      </c>
      <c r="B2260" s="60" t="s">
        <v>82</v>
      </c>
      <c r="C2260" s="60" t="s">
        <v>8385</v>
      </c>
      <c r="D2260" s="60" t="s">
        <v>128</v>
      </c>
      <c r="E2260" s="60" t="s">
        <v>3726</v>
      </c>
      <c r="F2260" s="60" t="b">
        <f>FALSE()</f>
        <v>0</v>
      </c>
      <c r="G2260" s="60" t="s">
        <v>165</v>
      </c>
      <c r="H2260" s="60" t="s">
        <v>165</v>
      </c>
      <c r="I2260" s="61">
        <v>46194</v>
      </c>
      <c r="J2260" s="61">
        <v>46210.285642858798</v>
      </c>
      <c r="K2260" s="60">
        <v>16</v>
      </c>
      <c r="L2260" s="60" t="s">
        <v>192</v>
      </c>
      <c r="M2260" s="60" t="s">
        <v>183</v>
      </c>
      <c r="N2260" s="60" t="b">
        <f>TRUE()</f>
        <v>1</v>
      </c>
      <c r="O2260" s="70">
        <v>1400000</v>
      </c>
      <c r="P2260" s="70">
        <v>2000000</v>
      </c>
      <c r="Q2260" s="60" t="s">
        <v>3663</v>
      </c>
      <c r="R2260" s="60" t="s">
        <v>7351</v>
      </c>
      <c r="S2260" s="70">
        <v>1700000</v>
      </c>
      <c r="T2260" s="60" t="b">
        <f>TRUE()</f>
        <v>1</v>
      </c>
      <c r="U2260" s="60" t="b">
        <f>FALSE()</f>
        <v>0</v>
      </c>
      <c r="V2260" s="60">
        <v>370</v>
      </c>
      <c r="W2260" s="62" t="s">
        <v>8386</v>
      </c>
      <c r="X2260" s="60"/>
      <c r="Y2260" s="63"/>
      <c r="Z2260" s="60" t="b">
        <f>TRUE()</f>
        <v>1</v>
      </c>
      <c r="AA2260" s="60" t="b">
        <f>FALSE()</f>
        <v>0</v>
      </c>
      <c r="AB2260" s="60" t="b">
        <f>FALSE()</f>
        <v>0</v>
      </c>
      <c r="AC2260" s="60" t="b">
        <f>FALSE()</f>
        <v>0</v>
      </c>
      <c r="AD2260" s="60" t="b">
        <f>FALSE()</f>
        <v>0</v>
      </c>
      <c r="AE2260" s="60">
        <v>2</v>
      </c>
      <c r="AF2260" s="64">
        <v>28.6</v>
      </c>
      <c r="AG2260" s="60" t="s">
        <v>73</v>
      </c>
      <c r="AH2260" s="60" t="s">
        <v>8387</v>
      </c>
      <c r="AI2260">
        <f>IF(AND(OR(Company_Explorer!$B$5="All Companies",$E2260=Company_Explorer!$B$5),OR(Company_Explorer!$B$6="All Platforms",$B2260=Company_Explorer!$B$6),OR(Company_Explorer!$B$7="All Roles",$D2260=Company_Explorer!$B$7),OR(Company_Explorer!$B$8="All Ghost Labels",$AG2260=Company_Explorer!$B$8)),1,0)</f>
        <v>0</v>
      </c>
    </row>
    <row r="2261" spans="1:35" ht="15" customHeight="1" x14ac:dyDescent="0.3">
      <c r="A2261" s="65" t="s">
        <v>8388</v>
      </c>
      <c r="B2261" s="65" t="s">
        <v>82</v>
      </c>
      <c r="C2261" s="65" t="s">
        <v>8389</v>
      </c>
      <c r="D2261" s="65" t="s">
        <v>126</v>
      </c>
      <c r="E2261" s="65" t="s">
        <v>7346</v>
      </c>
      <c r="F2261" s="65" t="b">
        <f>TRUE()</f>
        <v>1</v>
      </c>
      <c r="G2261" s="65" t="s">
        <v>165</v>
      </c>
      <c r="H2261" s="65" t="s">
        <v>165</v>
      </c>
      <c r="I2261" s="66">
        <v>46207</v>
      </c>
      <c r="J2261" s="66">
        <v>46210.2856437269</v>
      </c>
      <c r="K2261" s="65">
        <v>4</v>
      </c>
      <c r="L2261" s="65" t="s">
        <v>183</v>
      </c>
      <c r="M2261" s="65" t="s">
        <v>183</v>
      </c>
      <c r="N2261" s="65" t="b">
        <f>FALSE()</f>
        <v>0</v>
      </c>
      <c r="O2261" s="65"/>
      <c r="P2261" s="65"/>
      <c r="Q2261" s="65" t="s">
        <v>3663</v>
      </c>
      <c r="R2261" s="65" t="s">
        <v>236</v>
      </c>
      <c r="S2261" s="65"/>
      <c r="T2261" s="65" t="b">
        <f>FALSE()</f>
        <v>0</v>
      </c>
      <c r="U2261" s="65" t="b">
        <f>FALSE()</f>
        <v>0</v>
      </c>
      <c r="V2261" s="65">
        <v>1062</v>
      </c>
      <c r="W2261" s="67" t="s">
        <v>7347</v>
      </c>
      <c r="X2261" s="65">
        <v>10</v>
      </c>
      <c r="Y2261" s="68">
        <v>2.41</v>
      </c>
      <c r="Z2261" s="65" t="b">
        <f>FALSE()</f>
        <v>0</v>
      </c>
      <c r="AA2261" s="65" t="b">
        <f>TRUE()</f>
        <v>1</v>
      </c>
      <c r="AB2261" s="65" t="b">
        <f>FALSE()</f>
        <v>0</v>
      </c>
      <c r="AC2261" s="65" t="b">
        <f>FALSE()</f>
        <v>0</v>
      </c>
      <c r="AD2261" s="65" t="b">
        <f>TRUE()</f>
        <v>1</v>
      </c>
      <c r="AE2261" s="65">
        <v>3</v>
      </c>
      <c r="AF2261" s="69">
        <v>42.9</v>
      </c>
      <c r="AG2261" s="65" t="s">
        <v>73</v>
      </c>
      <c r="AH2261" s="65" t="s">
        <v>8390</v>
      </c>
      <c r="AI2261">
        <f>IF(AND(OR(Company_Explorer!$B$5="All Companies",$E2261=Company_Explorer!$B$5),OR(Company_Explorer!$B$6="All Platforms",$B2261=Company_Explorer!$B$6),OR(Company_Explorer!$B$7="All Roles",$D2261=Company_Explorer!$B$7),OR(Company_Explorer!$B$8="All Ghost Labels",$AG2261=Company_Explorer!$B$8)),1,0)</f>
        <v>0</v>
      </c>
    </row>
    <row r="2262" spans="1:35" ht="15" customHeight="1" x14ac:dyDescent="0.3">
      <c r="A2262" s="60" t="s">
        <v>8391</v>
      </c>
      <c r="B2262" s="60" t="s">
        <v>82</v>
      </c>
      <c r="C2262" s="60" t="s">
        <v>8392</v>
      </c>
      <c r="D2262" s="60" t="s">
        <v>128</v>
      </c>
      <c r="E2262" s="60" t="s">
        <v>8393</v>
      </c>
      <c r="F2262" s="60" t="b">
        <f>TRUE()</f>
        <v>1</v>
      </c>
      <c r="G2262" s="60" t="s">
        <v>165</v>
      </c>
      <c r="H2262" s="60" t="s">
        <v>165</v>
      </c>
      <c r="I2262" s="61">
        <v>46200</v>
      </c>
      <c r="J2262" s="61">
        <v>46210.285645000004</v>
      </c>
      <c r="K2262" s="60">
        <v>11</v>
      </c>
      <c r="L2262" s="60" t="s">
        <v>192</v>
      </c>
      <c r="M2262" s="60" t="s">
        <v>183</v>
      </c>
      <c r="N2262" s="60" t="b">
        <f>TRUE()</f>
        <v>1</v>
      </c>
      <c r="O2262" s="70">
        <v>511175</v>
      </c>
      <c r="P2262" s="70">
        <v>1833312</v>
      </c>
      <c r="Q2262" s="60" t="s">
        <v>3663</v>
      </c>
      <c r="R2262" s="60" t="s">
        <v>7351</v>
      </c>
      <c r="S2262" s="70">
        <v>1172244</v>
      </c>
      <c r="T2262" s="60" t="b">
        <f>TRUE()</f>
        <v>1</v>
      </c>
      <c r="U2262" s="60" t="b">
        <f>FALSE()</f>
        <v>0</v>
      </c>
      <c r="V2262" s="60">
        <v>592</v>
      </c>
      <c r="W2262" s="62" t="s">
        <v>8394</v>
      </c>
      <c r="X2262" s="60">
        <v>1</v>
      </c>
      <c r="Y2262" s="63">
        <v>0.24</v>
      </c>
      <c r="Z2262" s="60" t="b">
        <f>FALSE()</f>
        <v>0</v>
      </c>
      <c r="AA2262" s="60" t="b">
        <f>FALSE()</f>
        <v>0</v>
      </c>
      <c r="AB2262" s="60" t="b">
        <f>FALSE()</f>
        <v>0</v>
      </c>
      <c r="AC2262" s="60" t="b">
        <f>FALSE()</f>
        <v>0</v>
      </c>
      <c r="AD2262" s="60" t="b">
        <f>FALSE()</f>
        <v>0</v>
      </c>
      <c r="AE2262" s="60">
        <v>0</v>
      </c>
      <c r="AF2262" s="64">
        <v>0</v>
      </c>
      <c r="AG2262" s="60" t="s">
        <v>74</v>
      </c>
      <c r="AH2262" s="60" t="s">
        <v>8395</v>
      </c>
      <c r="AI2262">
        <f>IF(AND(OR(Company_Explorer!$B$5="All Companies",$E2262=Company_Explorer!$B$5),OR(Company_Explorer!$B$6="All Platforms",$B2262=Company_Explorer!$B$6),OR(Company_Explorer!$B$7="All Roles",$D2262=Company_Explorer!$B$7),OR(Company_Explorer!$B$8="All Ghost Labels",$AG2262=Company_Explorer!$B$8)),1,0)</f>
        <v>0</v>
      </c>
    </row>
    <row r="2263" spans="1:35" ht="15" customHeight="1" x14ac:dyDescent="0.3">
      <c r="A2263" s="65" t="s">
        <v>8396</v>
      </c>
      <c r="B2263" s="65" t="s">
        <v>82</v>
      </c>
      <c r="C2263" s="65" t="s">
        <v>8397</v>
      </c>
      <c r="D2263" s="65" t="s">
        <v>128</v>
      </c>
      <c r="E2263" s="65" t="s">
        <v>154</v>
      </c>
      <c r="F2263" s="65" t="b">
        <f>TRUE()</f>
        <v>1</v>
      </c>
      <c r="G2263" s="65" t="s">
        <v>176</v>
      </c>
      <c r="H2263" s="65" t="s">
        <v>302</v>
      </c>
      <c r="I2263" s="66">
        <v>46211</v>
      </c>
      <c r="J2263" s="66">
        <v>46210.285646203702</v>
      </c>
      <c r="K2263" s="65">
        <v>60</v>
      </c>
      <c r="L2263" s="65" t="s">
        <v>192</v>
      </c>
      <c r="M2263" s="65" t="s">
        <v>183</v>
      </c>
      <c r="N2263" s="65" t="b">
        <f>TRUE()</f>
        <v>1</v>
      </c>
      <c r="O2263" s="71">
        <v>300000</v>
      </c>
      <c r="P2263" s="71">
        <v>578000</v>
      </c>
      <c r="Q2263" s="65" t="s">
        <v>3663</v>
      </c>
      <c r="R2263" s="65" t="s">
        <v>7351</v>
      </c>
      <c r="S2263" s="71">
        <v>439000</v>
      </c>
      <c r="T2263" s="65" t="b">
        <f>TRUE()</f>
        <v>1</v>
      </c>
      <c r="U2263" s="65" t="b">
        <f>FALSE()</f>
        <v>0</v>
      </c>
      <c r="V2263" s="65">
        <v>640</v>
      </c>
      <c r="W2263" s="65" t="s">
        <v>3893</v>
      </c>
      <c r="X2263" s="65">
        <v>16</v>
      </c>
      <c r="Y2263" s="68">
        <v>3.86</v>
      </c>
      <c r="Z2263" s="65" t="b">
        <f>FALSE()</f>
        <v>0</v>
      </c>
      <c r="AA2263" s="65" t="b">
        <f>FALSE()</f>
        <v>0</v>
      </c>
      <c r="AB2263" s="65" t="b">
        <f>FALSE()</f>
        <v>0</v>
      </c>
      <c r="AC2263" s="65" t="b">
        <f>FALSE()</f>
        <v>0</v>
      </c>
      <c r="AD2263" s="65" t="b">
        <f>TRUE()</f>
        <v>1</v>
      </c>
      <c r="AE2263" s="65">
        <v>2</v>
      </c>
      <c r="AF2263" s="69">
        <v>28.6</v>
      </c>
      <c r="AG2263" s="65" t="s">
        <v>73</v>
      </c>
      <c r="AH2263" s="65" t="s">
        <v>8398</v>
      </c>
      <c r="AI2263">
        <f>IF(AND(OR(Company_Explorer!$B$5="All Companies",$E2263=Company_Explorer!$B$5),OR(Company_Explorer!$B$6="All Platforms",$B2263=Company_Explorer!$B$6),OR(Company_Explorer!$B$7="All Roles",$D2263=Company_Explorer!$B$7),OR(Company_Explorer!$B$8="All Ghost Labels",$AG2263=Company_Explorer!$B$8)),1,0)</f>
        <v>0</v>
      </c>
    </row>
    <row r="2264" spans="1:35" ht="15" customHeight="1" x14ac:dyDescent="0.3">
      <c r="A2264" s="60" t="s">
        <v>8399</v>
      </c>
      <c r="B2264" s="60" t="s">
        <v>82</v>
      </c>
      <c r="C2264" s="60" t="s">
        <v>8400</v>
      </c>
      <c r="D2264" s="60" t="s">
        <v>128</v>
      </c>
      <c r="E2264" s="60" t="s">
        <v>8070</v>
      </c>
      <c r="F2264" s="60" t="b">
        <f>TRUE()</f>
        <v>1</v>
      </c>
      <c r="G2264" s="60" t="s">
        <v>165</v>
      </c>
      <c r="H2264" s="60" t="s">
        <v>165</v>
      </c>
      <c r="I2264" s="61">
        <v>46210</v>
      </c>
      <c r="J2264" s="61">
        <v>46210.285650358797</v>
      </c>
      <c r="K2264" s="60">
        <v>0</v>
      </c>
      <c r="L2264" s="60" t="s">
        <v>183</v>
      </c>
      <c r="M2264" s="60" t="s">
        <v>183</v>
      </c>
      <c r="N2264" s="60" t="b">
        <f>FALSE()</f>
        <v>0</v>
      </c>
      <c r="O2264" s="60"/>
      <c r="P2264" s="60"/>
      <c r="Q2264" s="60" t="s">
        <v>3663</v>
      </c>
      <c r="R2264" s="60" t="s">
        <v>236</v>
      </c>
      <c r="S2264" s="60"/>
      <c r="T2264" s="60" t="b">
        <f>FALSE()</f>
        <v>0</v>
      </c>
      <c r="U2264" s="60" t="b">
        <f>FALSE()</f>
        <v>0</v>
      </c>
      <c r="V2264" s="60">
        <v>93</v>
      </c>
      <c r="W2264" s="60" t="s">
        <v>8401</v>
      </c>
      <c r="X2264" s="60">
        <v>3</v>
      </c>
      <c r="Y2264" s="63">
        <v>0.72</v>
      </c>
      <c r="Z2264" s="60" t="b">
        <f>FALSE()</f>
        <v>0</v>
      </c>
      <c r="AA2264" s="60" t="b">
        <f>TRUE()</f>
        <v>1</v>
      </c>
      <c r="AB2264" s="60" t="b">
        <f>TRUE()</f>
        <v>1</v>
      </c>
      <c r="AC2264" s="60" t="b">
        <f>FALSE()</f>
        <v>0</v>
      </c>
      <c r="AD2264" s="60" t="b">
        <f>FALSE()</f>
        <v>0</v>
      </c>
      <c r="AE2264" s="60">
        <v>2</v>
      </c>
      <c r="AF2264" s="64">
        <v>28.6</v>
      </c>
      <c r="AG2264" s="60" t="s">
        <v>73</v>
      </c>
      <c r="AH2264" s="60" t="s">
        <v>8402</v>
      </c>
      <c r="AI2264">
        <f>IF(AND(OR(Company_Explorer!$B$5="All Companies",$E2264=Company_Explorer!$B$5),OR(Company_Explorer!$B$6="All Platforms",$B2264=Company_Explorer!$B$6),OR(Company_Explorer!$B$7="All Roles",$D2264=Company_Explorer!$B$7),OR(Company_Explorer!$B$8="All Ghost Labels",$AG2264=Company_Explorer!$B$8)),1,0)</f>
        <v>0</v>
      </c>
    </row>
    <row r="2265" spans="1:35" ht="15" customHeight="1" x14ac:dyDescent="0.3">
      <c r="A2265" s="65" t="s">
        <v>8403</v>
      </c>
      <c r="B2265" s="65" t="s">
        <v>82</v>
      </c>
      <c r="C2265" s="65" t="s">
        <v>8389</v>
      </c>
      <c r="D2265" s="65" t="s">
        <v>126</v>
      </c>
      <c r="E2265" s="65" t="s">
        <v>7346</v>
      </c>
      <c r="F2265" s="65" t="b">
        <f>TRUE()</f>
        <v>1</v>
      </c>
      <c r="G2265" s="65" t="s">
        <v>165</v>
      </c>
      <c r="H2265" s="65" t="s">
        <v>165</v>
      </c>
      <c r="I2265" s="66">
        <v>46207</v>
      </c>
      <c r="J2265" s="66">
        <v>46210.285650682898</v>
      </c>
      <c r="K2265" s="65">
        <v>4</v>
      </c>
      <c r="L2265" s="65" t="s">
        <v>183</v>
      </c>
      <c r="M2265" s="65" t="s">
        <v>183</v>
      </c>
      <c r="N2265" s="65" t="b">
        <f>FALSE()</f>
        <v>0</v>
      </c>
      <c r="O2265" s="65"/>
      <c r="P2265" s="65"/>
      <c r="Q2265" s="65" t="s">
        <v>3663</v>
      </c>
      <c r="R2265" s="65" t="s">
        <v>236</v>
      </c>
      <c r="S2265" s="65"/>
      <c r="T2265" s="65" t="b">
        <f>FALSE()</f>
        <v>0</v>
      </c>
      <c r="U2265" s="65" t="b">
        <f>FALSE()</f>
        <v>0</v>
      </c>
      <c r="V2265" s="65">
        <v>983</v>
      </c>
      <c r="W2265" s="67" t="s">
        <v>7347</v>
      </c>
      <c r="X2265" s="65">
        <v>10</v>
      </c>
      <c r="Y2265" s="68">
        <v>2.41</v>
      </c>
      <c r="Z2265" s="65" t="b">
        <f>FALSE()</f>
        <v>0</v>
      </c>
      <c r="AA2265" s="65" t="b">
        <f>TRUE()</f>
        <v>1</v>
      </c>
      <c r="AB2265" s="65" t="b">
        <f>FALSE()</f>
        <v>0</v>
      </c>
      <c r="AC2265" s="65" t="b">
        <f>FALSE()</f>
        <v>0</v>
      </c>
      <c r="AD2265" s="65" t="b">
        <f>TRUE()</f>
        <v>1</v>
      </c>
      <c r="AE2265" s="65">
        <v>3</v>
      </c>
      <c r="AF2265" s="69">
        <v>42.9</v>
      </c>
      <c r="AG2265" s="65" t="s">
        <v>73</v>
      </c>
      <c r="AH2265" s="65" t="s">
        <v>8404</v>
      </c>
      <c r="AI2265">
        <f>IF(AND(OR(Company_Explorer!$B$5="All Companies",$E2265=Company_Explorer!$B$5),OR(Company_Explorer!$B$6="All Platforms",$B2265=Company_Explorer!$B$6),OR(Company_Explorer!$B$7="All Roles",$D2265=Company_Explorer!$B$7),OR(Company_Explorer!$B$8="All Ghost Labels",$AG2265=Company_Explorer!$B$8)),1,0)</f>
        <v>0</v>
      </c>
    </row>
    <row r="2266" spans="1:35" ht="15" customHeight="1" x14ac:dyDescent="0.3">
      <c r="A2266" s="60" t="s">
        <v>8405</v>
      </c>
      <c r="B2266" s="60" t="s">
        <v>82</v>
      </c>
      <c r="C2266" s="60" t="s">
        <v>8406</v>
      </c>
      <c r="D2266" s="60" t="s">
        <v>128</v>
      </c>
      <c r="E2266" s="60" t="s">
        <v>8407</v>
      </c>
      <c r="F2266" s="60" t="b">
        <f>TRUE()</f>
        <v>1</v>
      </c>
      <c r="G2266" s="60" t="s">
        <v>165</v>
      </c>
      <c r="H2266" s="60" t="s">
        <v>165</v>
      </c>
      <c r="I2266" s="61">
        <v>46193</v>
      </c>
      <c r="J2266" s="61">
        <v>46210.285651585698</v>
      </c>
      <c r="K2266" s="60">
        <v>48</v>
      </c>
      <c r="L2266" s="60" t="s">
        <v>192</v>
      </c>
      <c r="M2266" s="60" t="s">
        <v>183</v>
      </c>
      <c r="N2266" s="60" t="b">
        <f>FALSE()</f>
        <v>0</v>
      </c>
      <c r="O2266" s="60"/>
      <c r="P2266" s="60"/>
      <c r="Q2266" s="60" t="s">
        <v>3663</v>
      </c>
      <c r="R2266" s="60" t="s">
        <v>236</v>
      </c>
      <c r="S2266" s="60"/>
      <c r="T2266" s="60" t="b">
        <f>FALSE()</f>
        <v>0</v>
      </c>
      <c r="U2266" s="60" t="b">
        <f>FALSE()</f>
        <v>0</v>
      </c>
      <c r="V2266" s="60">
        <v>431</v>
      </c>
      <c r="W2266" s="60" t="s">
        <v>1489</v>
      </c>
      <c r="X2266" s="60">
        <v>2</v>
      </c>
      <c r="Y2266" s="63">
        <v>0.48</v>
      </c>
      <c r="Z2266" s="60" t="b">
        <f>FALSE()</f>
        <v>0</v>
      </c>
      <c r="AA2266" s="60" t="b">
        <f>TRUE()</f>
        <v>1</v>
      </c>
      <c r="AB2266" s="60" t="b">
        <f>FALSE()</f>
        <v>0</v>
      </c>
      <c r="AC2266" s="60" t="b">
        <f>FALSE()</f>
        <v>0</v>
      </c>
      <c r="AD2266" s="60" t="b">
        <f>FALSE()</f>
        <v>0</v>
      </c>
      <c r="AE2266" s="60">
        <v>1</v>
      </c>
      <c r="AF2266" s="64">
        <v>14.3</v>
      </c>
      <c r="AG2266" s="60" t="s">
        <v>74</v>
      </c>
      <c r="AH2266" s="60" t="s">
        <v>8408</v>
      </c>
      <c r="AI2266">
        <f>IF(AND(OR(Company_Explorer!$B$5="All Companies",$E2266=Company_Explorer!$B$5),OR(Company_Explorer!$B$6="All Platforms",$B2266=Company_Explorer!$B$6),OR(Company_Explorer!$B$7="All Roles",$D2266=Company_Explorer!$B$7),OR(Company_Explorer!$B$8="All Ghost Labels",$AG2266=Company_Explorer!$B$8)),1,0)</f>
        <v>0</v>
      </c>
    </row>
    <row r="2267" spans="1:35" ht="15" customHeight="1" x14ac:dyDescent="0.3">
      <c r="A2267" s="65" t="s">
        <v>8409</v>
      </c>
      <c r="B2267" s="65" t="s">
        <v>82</v>
      </c>
      <c r="C2267" s="65" t="s">
        <v>7355</v>
      </c>
      <c r="D2267" s="65" t="s">
        <v>128</v>
      </c>
      <c r="E2267" s="65" t="s">
        <v>8410</v>
      </c>
      <c r="F2267" s="65" t="b">
        <f>TRUE()</f>
        <v>1</v>
      </c>
      <c r="G2267" s="65" t="s">
        <v>165</v>
      </c>
      <c r="H2267" s="65" t="s">
        <v>165</v>
      </c>
      <c r="I2267" s="66">
        <v>46194</v>
      </c>
      <c r="J2267" s="66">
        <v>46210.2856524421</v>
      </c>
      <c r="K2267" s="65">
        <v>47</v>
      </c>
      <c r="L2267" s="65" t="s">
        <v>183</v>
      </c>
      <c r="M2267" s="65" t="s">
        <v>183</v>
      </c>
      <c r="N2267" s="65" t="b">
        <f>FALSE()</f>
        <v>0</v>
      </c>
      <c r="O2267" s="65"/>
      <c r="P2267" s="65"/>
      <c r="Q2267" s="65" t="s">
        <v>3663</v>
      </c>
      <c r="R2267" s="65" t="s">
        <v>236</v>
      </c>
      <c r="S2267" s="65"/>
      <c r="T2267" s="65" t="b">
        <f>FALSE()</f>
        <v>0</v>
      </c>
      <c r="U2267" s="65" t="b">
        <f>FALSE()</f>
        <v>0</v>
      </c>
      <c r="V2267" s="65">
        <v>212</v>
      </c>
      <c r="W2267" s="67" t="s">
        <v>8411</v>
      </c>
      <c r="X2267" s="65">
        <v>3</v>
      </c>
      <c r="Y2267" s="68">
        <v>0.72</v>
      </c>
      <c r="Z2267" s="65" t="b">
        <f>FALSE()</f>
        <v>0</v>
      </c>
      <c r="AA2267" s="65" t="b">
        <f>TRUE()</f>
        <v>1</v>
      </c>
      <c r="AB2267" s="65" t="b">
        <f>TRUE()</f>
        <v>1</v>
      </c>
      <c r="AC2267" s="65" t="b">
        <f>FALSE()</f>
        <v>0</v>
      </c>
      <c r="AD2267" s="65" t="b">
        <f>FALSE()</f>
        <v>0</v>
      </c>
      <c r="AE2267" s="65">
        <v>2</v>
      </c>
      <c r="AF2267" s="69">
        <v>28.6</v>
      </c>
      <c r="AG2267" s="65" t="s">
        <v>73</v>
      </c>
      <c r="AH2267" s="65" t="s">
        <v>8412</v>
      </c>
      <c r="AI2267">
        <f>IF(AND(OR(Company_Explorer!$B$5="All Companies",$E2267=Company_Explorer!$B$5),OR(Company_Explorer!$B$6="All Platforms",$B2267=Company_Explorer!$B$6),OR(Company_Explorer!$B$7="All Roles",$D2267=Company_Explorer!$B$7),OR(Company_Explorer!$B$8="All Ghost Labels",$AG2267=Company_Explorer!$B$8)),1,0)</f>
        <v>0</v>
      </c>
    </row>
    <row r="2268" spans="1:35" ht="15" customHeight="1" x14ac:dyDescent="0.3">
      <c r="A2268" s="60" t="s">
        <v>8413</v>
      </c>
      <c r="B2268" s="60" t="s">
        <v>82</v>
      </c>
      <c r="C2268" s="60" t="s">
        <v>8414</v>
      </c>
      <c r="D2268" s="60" t="s">
        <v>128</v>
      </c>
      <c r="E2268" s="60" t="s">
        <v>3726</v>
      </c>
      <c r="F2268" s="60" t="b">
        <f>FALSE()</f>
        <v>0</v>
      </c>
      <c r="G2268" s="60" t="s">
        <v>165</v>
      </c>
      <c r="H2268" s="60" t="s">
        <v>165</v>
      </c>
      <c r="I2268" s="61">
        <v>46186</v>
      </c>
      <c r="J2268" s="61">
        <v>46210.285656689797</v>
      </c>
      <c r="K2268" s="60">
        <v>25</v>
      </c>
      <c r="L2268" s="60" t="s">
        <v>193</v>
      </c>
      <c r="M2268" s="60" t="s">
        <v>183</v>
      </c>
      <c r="N2268" s="60" t="b">
        <f>TRUE()</f>
        <v>1</v>
      </c>
      <c r="O2268" s="70">
        <v>70000</v>
      </c>
      <c r="P2268" s="70">
        <v>90000</v>
      </c>
      <c r="Q2268" s="60" t="s">
        <v>3663</v>
      </c>
      <c r="R2268" s="60" t="s">
        <v>7445</v>
      </c>
      <c r="S2268" s="70">
        <v>960000</v>
      </c>
      <c r="T2268" s="60" t="b">
        <f>TRUE()</f>
        <v>1</v>
      </c>
      <c r="U2268" s="60" t="b">
        <f>FALSE()</f>
        <v>0</v>
      </c>
      <c r="V2268" s="60">
        <v>429</v>
      </c>
      <c r="W2268" s="62" t="s">
        <v>8415</v>
      </c>
      <c r="X2268" s="60"/>
      <c r="Y2268" s="63"/>
      <c r="Z2268" s="60" t="b">
        <f>TRUE()</f>
        <v>1</v>
      </c>
      <c r="AA2268" s="60" t="b">
        <f>FALSE()</f>
        <v>0</v>
      </c>
      <c r="AB2268" s="60" t="b">
        <f>FALSE()</f>
        <v>0</v>
      </c>
      <c r="AC2268" s="60" t="b">
        <f>FALSE()</f>
        <v>0</v>
      </c>
      <c r="AD2268" s="60" t="b">
        <f>FALSE()</f>
        <v>0</v>
      </c>
      <c r="AE2268" s="60">
        <v>2</v>
      </c>
      <c r="AF2268" s="64">
        <v>28.6</v>
      </c>
      <c r="AG2268" s="60" t="s">
        <v>73</v>
      </c>
      <c r="AH2268" s="60" t="s">
        <v>8416</v>
      </c>
      <c r="AI2268">
        <f>IF(AND(OR(Company_Explorer!$B$5="All Companies",$E2268=Company_Explorer!$B$5),OR(Company_Explorer!$B$6="All Platforms",$B2268=Company_Explorer!$B$6),OR(Company_Explorer!$B$7="All Roles",$D2268=Company_Explorer!$B$7),OR(Company_Explorer!$B$8="All Ghost Labels",$AG2268=Company_Explorer!$B$8)),1,0)</f>
        <v>0</v>
      </c>
    </row>
    <row r="2269" spans="1:35" ht="15" customHeight="1" x14ac:dyDescent="0.3">
      <c r="A2269" s="65" t="s">
        <v>8417</v>
      </c>
      <c r="B2269" s="65" t="s">
        <v>82</v>
      </c>
      <c r="C2269" s="65" t="s">
        <v>8418</v>
      </c>
      <c r="D2269" s="65" t="s">
        <v>126</v>
      </c>
      <c r="E2269" s="65" t="s">
        <v>7511</v>
      </c>
      <c r="F2269" s="65" t="b">
        <f>TRUE()</f>
        <v>1</v>
      </c>
      <c r="G2269" s="65" t="s">
        <v>165</v>
      </c>
      <c r="H2269" s="65" t="s">
        <v>165</v>
      </c>
      <c r="I2269" s="66">
        <v>46187</v>
      </c>
      <c r="J2269" s="66">
        <v>46210.285657141198</v>
      </c>
      <c r="K2269" s="65">
        <v>84</v>
      </c>
      <c r="L2269" s="65" t="s">
        <v>192</v>
      </c>
      <c r="M2269" s="65" t="s">
        <v>183</v>
      </c>
      <c r="N2269" s="65" t="b">
        <f>FALSE()</f>
        <v>0</v>
      </c>
      <c r="O2269" s="65"/>
      <c r="P2269" s="65"/>
      <c r="Q2269" s="65" t="s">
        <v>3663</v>
      </c>
      <c r="R2269" s="65" t="s">
        <v>236</v>
      </c>
      <c r="S2269" s="65"/>
      <c r="T2269" s="65" t="b">
        <f>FALSE()</f>
        <v>0</v>
      </c>
      <c r="U2269" s="65" t="b">
        <f>FALSE()</f>
        <v>0</v>
      </c>
      <c r="V2269" s="65">
        <v>1171</v>
      </c>
      <c r="W2269" s="67" t="s">
        <v>7512</v>
      </c>
      <c r="X2269" s="65">
        <v>9</v>
      </c>
      <c r="Y2269" s="68">
        <v>2.17</v>
      </c>
      <c r="Z2269" s="65" t="b">
        <f>FALSE()</f>
        <v>0</v>
      </c>
      <c r="AA2269" s="65" t="b">
        <f>TRUE()</f>
        <v>1</v>
      </c>
      <c r="AB2269" s="65" t="b">
        <f>FALSE()</f>
        <v>0</v>
      </c>
      <c r="AC2269" s="65" t="b">
        <f>FALSE()</f>
        <v>0</v>
      </c>
      <c r="AD2269" s="65" t="b">
        <f>FALSE()</f>
        <v>0</v>
      </c>
      <c r="AE2269" s="65">
        <v>1</v>
      </c>
      <c r="AF2269" s="69">
        <v>14.3</v>
      </c>
      <c r="AG2269" s="65" t="s">
        <v>74</v>
      </c>
      <c r="AH2269" s="65" t="s">
        <v>8419</v>
      </c>
      <c r="AI2269">
        <f>IF(AND(OR(Company_Explorer!$B$5="All Companies",$E2269=Company_Explorer!$B$5),OR(Company_Explorer!$B$6="All Platforms",$B2269=Company_Explorer!$B$6),OR(Company_Explorer!$B$7="All Roles",$D2269=Company_Explorer!$B$7),OR(Company_Explorer!$B$8="All Ghost Labels",$AG2269=Company_Explorer!$B$8)),1,0)</f>
        <v>0</v>
      </c>
    </row>
    <row r="2270" spans="1:35" ht="15" customHeight="1" x14ac:dyDescent="0.3">
      <c r="A2270" s="60" t="s">
        <v>8420</v>
      </c>
      <c r="B2270" s="60" t="s">
        <v>82</v>
      </c>
      <c r="C2270" s="60" t="s">
        <v>8421</v>
      </c>
      <c r="D2270" s="60" t="s">
        <v>128</v>
      </c>
      <c r="E2270" s="60" t="s">
        <v>8422</v>
      </c>
      <c r="F2270" s="60" t="b">
        <f>TRUE()</f>
        <v>1</v>
      </c>
      <c r="G2270" s="60" t="s">
        <v>165</v>
      </c>
      <c r="H2270" s="60" t="s">
        <v>165</v>
      </c>
      <c r="I2270" s="61">
        <v>46210</v>
      </c>
      <c r="J2270" s="61">
        <v>46210.285658240697</v>
      </c>
      <c r="K2270" s="60">
        <v>122</v>
      </c>
      <c r="L2270" s="60" t="s">
        <v>183</v>
      </c>
      <c r="M2270" s="60" t="s">
        <v>183</v>
      </c>
      <c r="N2270" s="60" t="b">
        <f>TRUE()</f>
        <v>1</v>
      </c>
      <c r="O2270" s="70">
        <v>400000</v>
      </c>
      <c r="P2270" s="70">
        <v>800000</v>
      </c>
      <c r="Q2270" s="60" t="s">
        <v>3663</v>
      </c>
      <c r="R2270" s="60" t="s">
        <v>7351</v>
      </c>
      <c r="S2270" s="70">
        <v>600000</v>
      </c>
      <c r="T2270" s="60" t="b">
        <f>TRUE()</f>
        <v>1</v>
      </c>
      <c r="U2270" s="60" t="b">
        <f>FALSE()</f>
        <v>0</v>
      </c>
      <c r="V2270" s="60">
        <v>249</v>
      </c>
      <c r="W2270" s="62" t="s">
        <v>8423</v>
      </c>
      <c r="X2270" s="60">
        <v>3</v>
      </c>
      <c r="Y2270" s="63">
        <v>0.72</v>
      </c>
      <c r="Z2270" s="60" t="b">
        <f>FALSE()</f>
        <v>0</v>
      </c>
      <c r="AA2270" s="60" t="b">
        <f>FALSE()</f>
        <v>0</v>
      </c>
      <c r="AB2270" s="60" t="b">
        <f>FALSE()</f>
        <v>0</v>
      </c>
      <c r="AC2270" s="60" t="b">
        <f>TRUE()</f>
        <v>1</v>
      </c>
      <c r="AD2270" s="60" t="b">
        <f>FALSE()</f>
        <v>0</v>
      </c>
      <c r="AE2270" s="60">
        <v>1</v>
      </c>
      <c r="AF2270" s="64">
        <v>14.3</v>
      </c>
      <c r="AG2270" s="60" t="s">
        <v>74</v>
      </c>
      <c r="AH2270" s="60" t="s">
        <v>8424</v>
      </c>
      <c r="AI2270">
        <f>IF(AND(OR(Company_Explorer!$B$5="All Companies",$E2270=Company_Explorer!$B$5),OR(Company_Explorer!$B$6="All Platforms",$B2270=Company_Explorer!$B$6),OR(Company_Explorer!$B$7="All Roles",$D2270=Company_Explorer!$B$7),OR(Company_Explorer!$B$8="All Ghost Labels",$AG2270=Company_Explorer!$B$8)),1,0)</f>
        <v>0</v>
      </c>
    </row>
    <row r="2271" spans="1:35" ht="15" customHeight="1" x14ac:dyDescent="0.3">
      <c r="A2271" s="65" t="s">
        <v>8425</v>
      </c>
      <c r="B2271" s="65" t="s">
        <v>82</v>
      </c>
      <c r="C2271" s="65" t="s">
        <v>7355</v>
      </c>
      <c r="D2271" s="65" t="s">
        <v>128</v>
      </c>
      <c r="E2271" s="65" t="s">
        <v>8426</v>
      </c>
      <c r="F2271" s="65" t="b">
        <f>TRUE()</f>
        <v>1</v>
      </c>
      <c r="G2271" s="65" t="s">
        <v>165</v>
      </c>
      <c r="H2271" s="65" t="s">
        <v>165</v>
      </c>
      <c r="I2271" s="66">
        <v>46200</v>
      </c>
      <c r="J2271" s="66">
        <v>46210.285659386602</v>
      </c>
      <c r="K2271" s="65">
        <v>130</v>
      </c>
      <c r="L2271" s="65" t="s">
        <v>192</v>
      </c>
      <c r="M2271" s="65" t="s">
        <v>183</v>
      </c>
      <c r="N2271" s="65" t="b">
        <f>FALSE()</f>
        <v>0</v>
      </c>
      <c r="O2271" s="65"/>
      <c r="P2271" s="65"/>
      <c r="Q2271" s="65" t="s">
        <v>3663</v>
      </c>
      <c r="R2271" s="65" t="s">
        <v>236</v>
      </c>
      <c r="S2271" s="65"/>
      <c r="T2271" s="65" t="b">
        <f>FALSE()</f>
        <v>0</v>
      </c>
      <c r="U2271" s="65" t="b">
        <f>FALSE()</f>
        <v>0</v>
      </c>
      <c r="V2271" s="65">
        <v>1378</v>
      </c>
      <c r="W2271" s="67" t="s">
        <v>8427</v>
      </c>
      <c r="X2271" s="65">
        <v>3</v>
      </c>
      <c r="Y2271" s="68">
        <v>0.72</v>
      </c>
      <c r="Z2271" s="65" t="b">
        <f>FALSE()</f>
        <v>0</v>
      </c>
      <c r="AA2271" s="65" t="b">
        <f>TRUE()</f>
        <v>1</v>
      </c>
      <c r="AB2271" s="65" t="b">
        <f>FALSE()</f>
        <v>0</v>
      </c>
      <c r="AC2271" s="65" t="b">
        <f>TRUE()</f>
        <v>1</v>
      </c>
      <c r="AD2271" s="65" t="b">
        <f>FALSE()</f>
        <v>0</v>
      </c>
      <c r="AE2271" s="65">
        <v>2</v>
      </c>
      <c r="AF2271" s="69">
        <v>28.6</v>
      </c>
      <c r="AG2271" s="65" t="s">
        <v>73</v>
      </c>
      <c r="AH2271" s="65" t="s">
        <v>8428</v>
      </c>
      <c r="AI2271">
        <f>IF(AND(OR(Company_Explorer!$B$5="All Companies",$E2271=Company_Explorer!$B$5),OR(Company_Explorer!$B$6="All Platforms",$B2271=Company_Explorer!$B$6),OR(Company_Explorer!$B$7="All Roles",$D2271=Company_Explorer!$B$7),OR(Company_Explorer!$B$8="All Ghost Labels",$AG2271=Company_Explorer!$B$8)),1,0)</f>
        <v>0</v>
      </c>
    </row>
    <row r="2272" spans="1:35" ht="15" customHeight="1" x14ac:dyDescent="0.3">
      <c r="A2272" s="60" t="s">
        <v>8429</v>
      </c>
      <c r="B2272" s="60" t="s">
        <v>82</v>
      </c>
      <c r="C2272" s="60" t="s">
        <v>8430</v>
      </c>
      <c r="D2272" s="60" t="s">
        <v>128</v>
      </c>
      <c r="E2272" s="60" t="s">
        <v>8431</v>
      </c>
      <c r="F2272" s="60" t="b">
        <f>TRUE()</f>
        <v>1</v>
      </c>
      <c r="G2272" s="60" t="s">
        <v>172</v>
      </c>
      <c r="H2272" s="60" t="s">
        <v>276</v>
      </c>
      <c r="I2272" s="61">
        <v>46205</v>
      </c>
      <c r="J2272" s="61">
        <v>46210.285662025497</v>
      </c>
      <c r="K2272" s="60">
        <v>127</v>
      </c>
      <c r="L2272" s="60" t="s">
        <v>192</v>
      </c>
      <c r="M2272" s="60" t="s">
        <v>183</v>
      </c>
      <c r="N2272" s="60" t="b">
        <f>TRUE()</f>
        <v>1</v>
      </c>
      <c r="O2272" s="70">
        <v>40000</v>
      </c>
      <c r="P2272" s="70">
        <v>60000</v>
      </c>
      <c r="Q2272" s="60" t="s">
        <v>3663</v>
      </c>
      <c r="R2272" s="60" t="s">
        <v>7445</v>
      </c>
      <c r="S2272" s="70">
        <v>600000</v>
      </c>
      <c r="T2272" s="60" t="b">
        <f>TRUE()</f>
        <v>1</v>
      </c>
      <c r="U2272" s="60" t="b">
        <f>FALSE()</f>
        <v>0</v>
      </c>
      <c r="V2272" s="60">
        <v>313</v>
      </c>
      <c r="W2272" s="62" t="s">
        <v>8432</v>
      </c>
      <c r="X2272" s="60">
        <v>1</v>
      </c>
      <c r="Y2272" s="63">
        <v>0.24</v>
      </c>
      <c r="Z2272" s="60" t="b">
        <f>FALSE()</f>
        <v>0</v>
      </c>
      <c r="AA2272" s="60" t="b">
        <f>FALSE()</f>
        <v>0</v>
      </c>
      <c r="AB2272" s="60" t="b">
        <f>FALSE()</f>
        <v>0</v>
      </c>
      <c r="AC2272" s="60" t="b">
        <f>TRUE()</f>
        <v>1</v>
      </c>
      <c r="AD2272" s="60" t="b">
        <f>FALSE()</f>
        <v>0</v>
      </c>
      <c r="AE2272" s="60">
        <v>1</v>
      </c>
      <c r="AF2272" s="64">
        <v>14.3</v>
      </c>
      <c r="AG2272" s="60" t="s">
        <v>74</v>
      </c>
      <c r="AH2272" s="60" t="s">
        <v>8433</v>
      </c>
      <c r="AI2272">
        <f>IF(AND(OR(Company_Explorer!$B$5="All Companies",$E2272=Company_Explorer!$B$5),OR(Company_Explorer!$B$6="All Platforms",$B2272=Company_Explorer!$B$6),OR(Company_Explorer!$B$7="All Roles",$D2272=Company_Explorer!$B$7),OR(Company_Explorer!$B$8="All Ghost Labels",$AG2272=Company_Explorer!$B$8)),1,0)</f>
        <v>0</v>
      </c>
    </row>
    <row r="2273" spans="1:35" ht="15" customHeight="1" x14ac:dyDescent="0.3">
      <c r="A2273" s="65" t="s">
        <v>8434</v>
      </c>
      <c r="B2273" s="65" t="s">
        <v>82</v>
      </c>
      <c r="C2273" s="65" t="s">
        <v>8435</v>
      </c>
      <c r="D2273" s="65" t="s">
        <v>126</v>
      </c>
      <c r="E2273" s="65" t="s">
        <v>7511</v>
      </c>
      <c r="F2273" s="65" t="b">
        <f>TRUE()</f>
        <v>1</v>
      </c>
      <c r="G2273" s="65" t="s">
        <v>165</v>
      </c>
      <c r="H2273" s="65" t="s">
        <v>165</v>
      </c>
      <c r="I2273" s="66">
        <v>46193</v>
      </c>
      <c r="J2273" s="66">
        <v>46210.285662650502</v>
      </c>
      <c r="K2273" s="65">
        <v>137</v>
      </c>
      <c r="L2273" s="65" t="s">
        <v>192</v>
      </c>
      <c r="M2273" s="65" t="s">
        <v>183</v>
      </c>
      <c r="N2273" s="65" t="b">
        <f>FALSE()</f>
        <v>0</v>
      </c>
      <c r="O2273" s="65"/>
      <c r="P2273" s="65"/>
      <c r="Q2273" s="65" t="s">
        <v>3663</v>
      </c>
      <c r="R2273" s="65" t="s">
        <v>236</v>
      </c>
      <c r="S2273" s="65"/>
      <c r="T2273" s="65" t="b">
        <f>FALSE()</f>
        <v>0</v>
      </c>
      <c r="U2273" s="65" t="b">
        <f>FALSE()</f>
        <v>0</v>
      </c>
      <c r="V2273" s="65">
        <v>1220</v>
      </c>
      <c r="W2273" s="67" t="s">
        <v>7512</v>
      </c>
      <c r="X2273" s="65">
        <v>9</v>
      </c>
      <c r="Y2273" s="68">
        <v>2.17</v>
      </c>
      <c r="Z2273" s="65" t="b">
        <f>FALSE()</f>
        <v>0</v>
      </c>
      <c r="AA2273" s="65" t="b">
        <f>TRUE()</f>
        <v>1</v>
      </c>
      <c r="AB2273" s="65" t="b">
        <f>FALSE()</f>
        <v>0</v>
      </c>
      <c r="AC2273" s="65" t="b">
        <f>TRUE()</f>
        <v>1</v>
      </c>
      <c r="AD2273" s="65" t="b">
        <f>FALSE()</f>
        <v>0</v>
      </c>
      <c r="AE2273" s="65">
        <v>2</v>
      </c>
      <c r="AF2273" s="69">
        <v>28.6</v>
      </c>
      <c r="AG2273" s="65" t="s">
        <v>73</v>
      </c>
      <c r="AH2273" s="65" t="s">
        <v>8436</v>
      </c>
      <c r="AI2273">
        <f>IF(AND(OR(Company_Explorer!$B$5="All Companies",$E2273=Company_Explorer!$B$5),OR(Company_Explorer!$B$6="All Platforms",$B2273=Company_Explorer!$B$6),OR(Company_Explorer!$B$7="All Roles",$D2273=Company_Explorer!$B$7),OR(Company_Explorer!$B$8="All Ghost Labels",$AG2273=Company_Explorer!$B$8)),1,0)</f>
        <v>0</v>
      </c>
    </row>
    <row r="2274" spans="1:35" ht="15" customHeight="1" x14ac:dyDescent="0.3">
      <c r="A2274" s="60" t="s">
        <v>8437</v>
      </c>
      <c r="B2274" s="60" t="s">
        <v>82</v>
      </c>
      <c r="C2274" s="60" t="s">
        <v>8438</v>
      </c>
      <c r="D2274" s="60" t="s">
        <v>126</v>
      </c>
      <c r="E2274" s="60" t="s">
        <v>8439</v>
      </c>
      <c r="F2274" s="60" t="b">
        <f>TRUE()</f>
        <v>1</v>
      </c>
      <c r="G2274" s="60" t="s">
        <v>165</v>
      </c>
      <c r="H2274" s="60" t="s">
        <v>165</v>
      </c>
      <c r="I2274" s="61">
        <v>46207</v>
      </c>
      <c r="J2274" s="61">
        <v>46210.285662997703</v>
      </c>
      <c r="K2274" s="60">
        <v>125</v>
      </c>
      <c r="L2274" s="60" t="s">
        <v>192</v>
      </c>
      <c r="M2274" s="60" t="s">
        <v>183</v>
      </c>
      <c r="N2274" s="60" t="b">
        <f>FALSE()</f>
        <v>0</v>
      </c>
      <c r="O2274" s="60"/>
      <c r="P2274" s="60"/>
      <c r="Q2274" s="60" t="s">
        <v>3663</v>
      </c>
      <c r="R2274" s="60" t="s">
        <v>236</v>
      </c>
      <c r="S2274" s="60"/>
      <c r="T2274" s="60" t="b">
        <f>FALSE()</f>
        <v>0</v>
      </c>
      <c r="U2274" s="60" t="b">
        <f>FALSE()</f>
        <v>0</v>
      </c>
      <c r="V2274" s="60">
        <v>165</v>
      </c>
      <c r="W2274" s="62" t="s">
        <v>8440</v>
      </c>
      <c r="X2274" s="60">
        <v>1</v>
      </c>
      <c r="Y2274" s="63">
        <v>0.24</v>
      </c>
      <c r="Z2274" s="60" t="b">
        <f>FALSE()</f>
        <v>0</v>
      </c>
      <c r="AA2274" s="60" t="b">
        <f>TRUE()</f>
        <v>1</v>
      </c>
      <c r="AB2274" s="60" t="b">
        <f>TRUE()</f>
        <v>1</v>
      </c>
      <c r="AC2274" s="60" t="b">
        <f>TRUE()</f>
        <v>1</v>
      </c>
      <c r="AD2274" s="60" t="b">
        <f>FALSE()</f>
        <v>0</v>
      </c>
      <c r="AE2274" s="60">
        <v>3</v>
      </c>
      <c r="AF2274" s="64">
        <v>42.9</v>
      </c>
      <c r="AG2274" s="60" t="s">
        <v>73</v>
      </c>
      <c r="AH2274" s="60" t="s">
        <v>8441</v>
      </c>
      <c r="AI2274">
        <f>IF(AND(OR(Company_Explorer!$B$5="All Companies",$E2274=Company_Explorer!$B$5),OR(Company_Explorer!$B$6="All Platforms",$B2274=Company_Explorer!$B$6),OR(Company_Explorer!$B$7="All Roles",$D2274=Company_Explorer!$B$7),OR(Company_Explorer!$B$8="All Ghost Labels",$AG2274=Company_Explorer!$B$8)),1,0)</f>
        <v>0</v>
      </c>
    </row>
    <row r="2275" spans="1:35" ht="15" customHeight="1" x14ac:dyDescent="0.3">
      <c r="A2275" s="65" t="s">
        <v>8442</v>
      </c>
      <c r="B2275" s="65" t="s">
        <v>82</v>
      </c>
      <c r="C2275" s="65" t="s">
        <v>8443</v>
      </c>
      <c r="D2275" s="65" t="s">
        <v>127</v>
      </c>
      <c r="E2275" s="65" t="s">
        <v>154</v>
      </c>
      <c r="F2275" s="65" t="b">
        <f>TRUE()</f>
        <v>1</v>
      </c>
      <c r="G2275" s="65" t="s">
        <v>165</v>
      </c>
      <c r="H2275" s="65" t="s">
        <v>165</v>
      </c>
      <c r="I2275" s="66">
        <v>46191</v>
      </c>
      <c r="J2275" s="66">
        <v>46210.285668252298</v>
      </c>
      <c r="K2275" s="65">
        <v>19</v>
      </c>
      <c r="L2275" s="65" t="s">
        <v>192</v>
      </c>
      <c r="M2275" s="65" t="s">
        <v>183</v>
      </c>
      <c r="N2275" s="65" t="b">
        <f>FALSE()</f>
        <v>0</v>
      </c>
      <c r="O2275" s="65"/>
      <c r="P2275" s="65"/>
      <c r="Q2275" s="65" t="s">
        <v>3663</v>
      </c>
      <c r="R2275" s="65" t="s">
        <v>236</v>
      </c>
      <c r="S2275" s="65"/>
      <c r="T2275" s="65" t="b">
        <f>FALSE()</f>
        <v>0</v>
      </c>
      <c r="U2275" s="65" t="b">
        <f>FALSE()</f>
        <v>0</v>
      </c>
      <c r="V2275" s="65">
        <v>836</v>
      </c>
      <c r="W2275" s="65" t="s">
        <v>3893</v>
      </c>
      <c r="X2275" s="65">
        <v>16</v>
      </c>
      <c r="Y2275" s="68">
        <v>3.86</v>
      </c>
      <c r="Z2275" s="65" t="b">
        <f>FALSE()</f>
        <v>0</v>
      </c>
      <c r="AA2275" s="65" t="b">
        <f>TRUE()</f>
        <v>1</v>
      </c>
      <c r="AB2275" s="65" t="b">
        <f>FALSE()</f>
        <v>0</v>
      </c>
      <c r="AC2275" s="65" t="b">
        <f>FALSE()</f>
        <v>0</v>
      </c>
      <c r="AD2275" s="65" t="b">
        <f>TRUE()</f>
        <v>1</v>
      </c>
      <c r="AE2275" s="65">
        <v>3</v>
      </c>
      <c r="AF2275" s="69">
        <v>42.9</v>
      </c>
      <c r="AG2275" s="65" t="s">
        <v>73</v>
      </c>
      <c r="AH2275" s="65" t="s">
        <v>8444</v>
      </c>
      <c r="AI2275">
        <f>IF(AND(OR(Company_Explorer!$B$5="All Companies",$E2275=Company_Explorer!$B$5),OR(Company_Explorer!$B$6="All Platforms",$B2275=Company_Explorer!$B$6),OR(Company_Explorer!$B$7="All Roles",$D2275=Company_Explorer!$B$7),OR(Company_Explorer!$B$8="All Ghost Labels",$AG2275=Company_Explorer!$B$8)),1,0)</f>
        <v>0</v>
      </c>
    </row>
    <row r="2276" spans="1:35" ht="15" customHeight="1" x14ac:dyDescent="0.3">
      <c r="A2276" s="60" t="s">
        <v>8445</v>
      </c>
      <c r="B2276" s="60" t="s">
        <v>82</v>
      </c>
      <c r="C2276" s="60" t="s">
        <v>7355</v>
      </c>
      <c r="D2276" s="60" t="s">
        <v>128</v>
      </c>
      <c r="E2276" s="60" t="s">
        <v>8446</v>
      </c>
      <c r="F2276" s="60" t="b">
        <f>TRUE()</f>
        <v>1</v>
      </c>
      <c r="G2276" s="60" t="s">
        <v>165</v>
      </c>
      <c r="H2276" s="60" t="s">
        <v>165</v>
      </c>
      <c r="I2276" s="61">
        <v>46201</v>
      </c>
      <c r="J2276" s="61">
        <v>46210.285668518503</v>
      </c>
      <c r="K2276" s="60">
        <v>130</v>
      </c>
      <c r="L2276" s="60" t="s">
        <v>192</v>
      </c>
      <c r="M2276" s="60" t="s">
        <v>183</v>
      </c>
      <c r="N2276" s="60" t="b">
        <f>FALSE()</f>
        <v>0</v>
      </c>
      <c r="O2276" s="60"/>
      <c r="P2276" s="60"/>
      <c r="Q2276" s="60" t="s">
        <v>3663</v>
      </c>
      <c r="R2276" s="60" t="s">
        <v>236</v>
      </c>
      <c r="S2276" s="60"/>
      <c r="T2276" s="60" t="b">
        <f>FALSE()</f>
        <v>0</v>
      </c>
      <c r="U2276" s="60" t="b">
        <f>FALSE()</f>
        <v>0</v>
      </c>
      <c r="V2276" s="60">
        <v>13</v>
      </c>
      <c r="W2276" s="62" t="s">
        <v>8447</v>
      </c>
      <c r="X2276" s="60">
        <v>1</v>
      </c>
      <c r="Y2276" s="63">
        <v>0.24</v>
      </c>
      <c r="Z2276" s="60" t="b">
        <f>FALSE()</f>
        <v>0</v>
      </c>
      <c r="AA2276" s="60" t="b">
        <f>TRUE()</f>
        <v>1</v>
      </c>
      <c r="AB2276" s="60" t="b">
        <f>TRUE()</f>
        <v>1</v>
      </c>
      <c r="AC2276" s="60" t="b">
        <f>TRUE()</f>
        <v>1</v>
      </c>
      <c r="AD2276" s="60" t="b">
        <f>FALSE()</f>
        <v>0</v>
      </c>
      <c r="AE2276" s="60">
        <v>3</v>
      </c>
      <c r="AF2276" s="64">
        <v>42.9</v>
      </c>
      <c r="AG2276" s="60" t="s">
        <v>73</v>
      </c>
      <c r="AH2276" s="60" t="s">
        <v>8448</v>
      </c>
      <c r="AI2276">
        <f>IF(AND(OR(Company_Explorer!$B$5="All Companies",$E2276=Company_Explorer!$B$5),OR(Company_Explorer!$B$6="All Platforms",$B2276=Company_Explorer!$B$6),OR(Company_Explorer!$B$7="All Roles",$D2276=Company_Explorer!$B$7),OR(Company_Explorer!$B$8="All Ghost Labels",$AG2276=Company_Explorer!$B$8)),1,0)</f>
        <v>0</v>
      </c>
    </row>
    <row r="2277" spans="1:35" ht="15" customHeight="1" x14ac:dyDescent="0.3">
      <c r="A2277" s="65" t="s">
        <v>8449</v>
      </c>
      <c r="B2277" s="65" t="s">
        <v>82</v>
      </c>
      <c r="C2277" s="65" t="s">
        <v>125</v>
      </c>
      <c r="D2277" s="65" t="s">
        <v>125</v>
      </c>
      <c r="E2277" s="65" t="s">
        <v>7511</v>
      </c>
      <c r="F2277" s="65" t="b">
        <f>TRUE()</f>
        <v>1</v>
      </c>
      <c r="G2277" s="65" t="s">
        <v>165</v>
      </c>
      <c r="H2277" s="65" t="s">
        <v>165</v>
      </c>
      <c r="I2277" s="66">
        <v>46203</v>
      </c>
      <c r="J2277" s="66">
        <v>46210.2856707639</v>
      </c>
      <c r="K2277" s="65">
        <v>68</v>
      </c>
      <c r="L2277" s="65" t="s">
        <v>192</v>
      </c>
      <c r="M2277" s="65" t="s">
        <v>183</v>
      </c>
      <c r="N2277" s="65" t="b">
        <f>FALSE()</f>
        <v>0</v>
      </c>
      <c r="O2277" s="65"/>
      <c r="P2277" s="65"/>
      <c r="Q2277" s="65" t="s">
        <v>3663</v>
      </c>
      <c r="R2277" s="65" t="s">
        <v>236</v>
      </c>
      <c r="S2277" s="65"/>
      <c r="T2277" s="65" t="b">
        <f>FALSE()</f>
        <v>0</v>
      </c>
      <c r="U2277" s="65" t="b">
        <f>FALSE()</f>
        <v>0</v>
      </c>
      <c r="V2277" s="65">
        <v>801</v>
      </c>
      <c r="W2277" s="67" t="s">
        <v>7512</v>
      </c>
      <c r="X2277" s="65">
        <v>9</v>
      </c>
      <c r="Y2277" s="68">
        <v>2.17</v>
      </c>
      <c r="Z2277" s="65" t="b">
        <f>FALSE()</f>
        <v>0</v>
      </c>
      <c r="AA2277" s="65" t="b">
        <f>TRUE()</f>
        <v>1</v>
      </c>
      <c r="AB2277" s="65" t="b">
        <f>FALSE()</f>
        <v>0</v>
      </c>
      <c r="AC2277" s="65" t="b">
        <f>FALSE()</f>
        <v>0</v>
      </c>
      <c r="AD2277" s="65" t="b">
        <f>FALSE()</f>
        <v>0</v>
      </c>
      <c r="AE2277" s="65">
        <v>1</v>
      </c>
      <c r="AF2277" s="69">
        <v>14.3</v>
      </c>
      <c r="AG2277" s="65" t="s">
        <v>74</v>
      </c>
      <c r="AH2277" s="65" t="s">
        <v>8450</v>
      </c>
      <c r="AI2277">
        <f>IF(AND(OR(Company_Explorer!$B$5="All Companies",$E2277=Company_Explorer!$B$5),OR(Company_Explorer!$B$6="All Platforms",$B2277=Company_Explorer!$B$6),OR(Company_Explorer!$B$7="All Roles",$D2277=Company_Explorer!$B$7),OR(Company_Explorer!$B$8="All Ghost Labels",$AG2277=Company_Explorer!$B$8)),1,0)</f>
        <v>0</v>
      </c>
    </row>
    <row r="2278" spans="1:35" ht="15" customHeight="1" x14ac:dyDescent="0.3">
      <c r="A2278" s="60" t="s">
        <v>8451</v>
      </c>
      <c r="B2278" s="60" t="s">
        <v>82</v>
      </c>
      <c r="C2278" s="60" t="s">
        <v>8452</v>
      </c>
      <c r="D2278" s="60" t="s">
        <v>126</v>
      </c>
      <c r="E2278" s="60" t="s">
        <v>8453</v>
      </c>
      <c r="F2278" s="60" t="b">
        <f>TRUE()</f>
        <v>1</v>
      </c>
      <c r="G2278" s="60" t="s">
        <v>165</v>
      </c>
      <c r="H2278" s="60" t="s">
        <v>165</v>
      </c>
      <c r="I2278" s="61">
        <v>46207</v>
      </c>
      <c r="J2278" s="61">
        <v>46210.285679120403</v>
      </c>
      <c r="K2278" s="60">
        <v>33</v>
      </c>
      <c r="L2278" s="60" t="s">
        <v>192</v>
      </c>
      <c r="M2278" s="60" t="s">
        <v>183</v>
      </c>
      <c r="N2278" s="60" t="b">
        <f>FALSE()</f>
        <v>0</v>
      </c>
      <c r="O2278" s="60"/>
      <c r="P2278" s="60"/>
      <c r="Q2278" s="60" t="s">
        <v>3663</v>
      </c>
      <c r="R2278" s="60" t="s">
        <v>236</v>
      </c>
      <c r="S2278" s="60"/>
      <c r="T2278" s="60" t="b">
        <f>FALSE()</f>
        <v>0</v>
      </c>
      <c r="U2278" s="60" t="b">
        <f>FALSE()</f>
        <v>0</v>
      </c>
      <c r="V2278" s="60">
        <v>643</v>
      </c>
      <c r="W2278" s="62" t="s">
        <v>8454</v>
      </c>
      <c r="X2278" s="60">
        <v>1</v>
      </c>
      <c r="Y2278" s="63">
        <v>0.24</v>
      </c>
      <c r="Z2278" s="60" t="b">
        <f>FALSE()</f>
        <v>0</v>
      </c>
      <c r="AA2278" s="60" t="b">
        <f>TRUE()</f>
        <v>1</v>
      </c>
      <c r="AB2278" s="60" t="b">
        <f>FALSE()</f>
        <v>0</v>
      </c>
      <c r="AC2278" s="60" t="b">
        <f>FALSE()</f>
        <v>0</v>
      </c>
      <c r="AD2278" s="60" t="b">
        <f>FALSE()</f>
        <v>0</v>
      </c>
      <c r="AE2278" s="60">
        <v>1</v>
      </c>
      <c r="AF2278" s="64">
        <v>14.3</v>
      </c>
      <c r="AG2278" s="60" t="s">
        <v>74</v>
      </c>
      <c r="AH2278" s="60" t="s">
        <v>8455</v>
      </c>
      <c r="AI2278">
        <f>IF(AND(OR(Company_Explorer!$B$5="All Companies",$E2278=Company_Explorer!$B$5),OR(Company_Explorer!$B$6="All Platforms",$B2278=Company_Explorer!$B$6),OR(Company_Explorer!$B$7="All Roles",$D2278=Company_Explorer!$B$7),OR(Company_Explorer!$B$8="All Ghost Labels",$AG2278=Company_Explorer!$B$8)),1,0)</f>
        <v>0</v>
      </c>
    </row>
    <row r="2279" spans="1:35" ht="15" customHeight="1" x14ac:dyDescent="0.3">
      <c r="A2279" s="65" t="s">
        <v>8456</v>
      </c>
      <c r="B2279" s="65" t="s">
        <v>82</v>
      </c>
      <c r="C2279" s="65" t="s">
        <v>8249</v>
      </c>
      <c r="D2279" s="65" t="s">
        <v>128</v>
      </c>
      <c r="E2279" s="65" t="s">
        <v>8250</v>
      </c>
      <c r="F2279" s="65" t="b">
        <f>TRUE()</f>
        <v>1</v>
      </c>
      <c r="G2279" s="65" t="s">
        <v>165</v>
      </c>
      <c r="H2279" s="65" t="s">
        <v>165</v>
      </c>
      <c r="I2279" s="66">
        <v>46183</v>
      </c>
      <c r="J2279" s="66">
        <v>46210.2856854282</v>
      </c>
      <c r="K2279" s="65">
        <v>27</v>
      </c>
      <c r="L2279" s="65" t="s">
        <v>183</v>
      </c>
      <c r="M2279" s="65" t="s">
        <v>183</v>
      </c>
      <c r="N2279" s="65" t="b">
        <f>FALSE()</f>
        <v>0</v>
      </c>
      <c r="O2279" s="65"/>
      <c r="P2279" s="65"/>
      <c r="Q2279" s="65" t="s">
        <v>3663</v>
      </c>
      <c r="R2279" s="65" t="s">
        <v>236</v>
      </c>
      <c r="S2279" s="65"/>
      <c r="T2279" s="65" t="b">
        <f>FALSE()</f>
        <v>0</v>
      </c>
      <c r="U2279" s="65" t="b">
        <f>FALSE()</f>
        <v>0</v>
      </c>
      <c r="V2279" s="65">
        <v>817</v>
      </c>
      <c r="W2279" s="67" t="s">
        <v>8457</v>
      </c>
      <c r="X2279" s="65">
        <v>4</v>
      </c>
      <c r="Y2279" s="68">
        <v>0.97</v>
      </c>
      <c r="Z2279" s="65" t="b">
        <f>FALSE()</f>
        <v>0</v>
      </c>
      <c r="AA2279" s="65" t="b">
        <f>TRUE()</f>
        <v>1</v>
      </c>
      <c r="AB2279" s="65" t="b">
        <f>FALSE()</f>
        <v>0</v>
      </c>
      <c r="AC2279" s="65" t="b">
        <f>FALSE()</f>
        <v>0</v>
      </c>
      <c r="AD2279" s="65" t="b">
        <f>FALSE()</f>
        <v>0</v>
      </c>
      <c r="AE2279" s="65">
        <v>1</v>
      </c>
      <c r="AF2279" s="69">
        <v>14.3</v>
      </c>
      <c r="AG2279" s="65" t="s">
        <v>74</v>
      </c>
      <c r="AH2279" s="65" t="s">
        <v>8458</v>
      </c>
      <c r="AI2279">
        <f>IF(AND(OR(Company_Explorer!$B$5="All Companies",$E2279=Company_Explorer!$B$5),OR(Company_Explorer!$B$6="All Platforms",$B2279=Company_Explorer!$B$6),OR(Company_Explorer!$B$7="All Roles",$D2279=Company_Explorer!$B$7),OR(Company_Explorer!$B$8="All Ghost Labels",$AG2279=Company_Explorer!$B$8)),1,0)</f>
        <v>0</v>
      </c>
    </row>
    <row r="2280" spans="1:35" ht="15" customHeight="1" x14ac:dyDescent="0.3">
      <c r="A2280" s="60" t="s">
        <v>8459</v>
      </c>
      <c r="B2280" s="60" t="s">
        <v>82</v>
      </c>
      <c r="C2280" s="60" t="s">
        <v>8460</v>
      </c>
      <c r="D2280" s="60" t="s">
        <v>128</v>
      </c>
      <c r="E2280" s="60" t="s">
        <v>8461</v>
      </c>
      <c r="F2280" s="60" t="b">
        <f>TRUE()</f>
        <v>1</v>
      </c>
      <c r="G2280" s="60" t="s">
        <v>165</v>
      </c>
      <c r="H2280" s="60" t="s">
        <v>165</v>
      </c>
      <c r="I2280" s="61">
        <v>46192</v>
      </c>
      <c r="J2280" s="61">
        <v>46210.285688611097</v>
      </c>
      <c r="K2280" s="60">
        <v>49</v>
      </c>
      <c r="L2280" s="60" t="s">
        <v>195</v>
      </c>
      <c r="M2280" s="60" t="s">
        <v>183</v>
      </c>
      <c r="N2280" s="60" t="b">
        <f>FALSE()</f>
        <v>0</v>
      </c>
      <c r="O2280" s="60"/>
      <c r="P2280" s="60"/>
      <c r="Q2280" s="60" t="s">
        <v>3663</v>
      </c>
      <c r="R2280" s="60" t="s">
        <v>236</v>
      </c>
      <c r="S2280" s="60"/>
      <c r="T2280" s="60" t="b">
        <f>FALSE()</f>
        <v>0</v>
      </c>
      <c r="U2280" s="60" t="b">
        <f>FALSE()</f>
        <v>0</v>
      </c>
      <c r="V2280" s="60">
        <v>179</v>
      </c>
      <c r="W2280" s="62" t="s">
        <v>8462</v>
      </c>
      <c r="X2280" s="60">
        <v>1</v>
      </c>
      <c r="Y2280" s="63">
        <v>0.24</v>
      </c>
      <c r="Z2280" s="60" t="b">
        <f>FALSE()</f>
        <v>0</v>
      </c>
      <c r="AA2280" s="60" t="b">
        <f>TRUE()</f>
        <v>1</v>
      </c>
      <c r="AB2280" s="60" t="b">
        <f>TRUE()</f>
        <v>1</v>
      </c>
      <c r="AC2280" s="60" t="b">
        <f>FALSE()</f>
        <v>0</v>
      </c>
      <c r="AD2280" s="60" t="b">
        <f>FALSE()</f>
        <v>0</v>
      </c>
      <c r="AE2280" s="60">
        <v>2</v>
      </c>
      <c r="AF2280" s="64">
        <v>28.6</v>
      </c>
      <c r="AG2280" s="60" t="s">
        <v>73</v>
      </c>
      <c r="AH2280" s="60" t="s">
        <v>8463</v>
      </c>
      <c r="AI2280">
        <f>IF(AND(OR(Company_Explorer!$B$5="All Companies",$E2280=Company_Explorer!$B$5),OR(Company_Explorer!$B$6="All Platforms",$B2280=Company_Explorer!$B$6),OR(Company_Explorer!$B$7="All Roles",$D2280=Company_Explorer!$B$7),OR(Company_Explorer!$B$8="All Ghost Labels",$AG2280=Company_Explorer!$B$8)),1,0)</f>
        <v>0</v>
      </c>
    </row>
    <row r="2281" spans="1:35" ht="15" customHeight="1" x14ac:dyDescent="0.3">
      <c r="A2281" s="65" t="s">
        <v>8464</v>
      </c>
      <c r="B2281" s="65" t="s">
        <v>82</v>
      </c>
      <c r="C2281" s="65" t="s">
        <v>8465</v>
      </c>
      <c r="D2281" s="65" t="s">
        <v>128</v>
      </c>
      <c r="E2281" s="65" t="s">
        <v>8312</v>
      </c>
      <c r="F2281" s="65" t="b">
        <f>TRUE()</f>
        <v>1</v>
      </c>
      <c r="G2281" s="65" t="s">
        <v>167</v>
      </c>
      <c r="H2281" s="65" t="s">
        <v>276</v>
      </c>
      <c r="I2281" s="66">
        <v>46209</v>
      </c>
      <c r="J2281" s="66">
        <v>46210.285691527803</v>
      </c>
      <c r="K2281" s="65">
        <v>123</v>
      </c>
      <c r="L2281" s="65" t="s">
        <v>183</v>
      </c>
      <c r="M2281" s="65" t="s">
        <v>183</v>
      </c>
      <c r="N2281" s="65" t="b">
        <f>TRUE()</f>
        <v>1</v>
      </c>
      <c r="O2281" s="71">
        <v>430000</v>
      </c>
      <c r="P2281" s="71">
        <v>654000</v>
      </c>
      <c r="Q2281" s="65" t="s">
        <v>3663</v>
      </c>
      <c r="R2281" s="65" t="s">
        <v>7351</v>
      </c>
      <c r="S2281" s="71">
        <v>542000</v>
      </c>
      <c r="T2281" s="65" t="b">
        <f>TRUE()</f>
        <v>1</v>
      </c>
      <c r="U2281" s="65" t="b">
        <f>FALSE()</f>
        <v>0</v>
      </c>
      <c r="V2281" s="65">
        <v>207</v>
      </c>
      <c r="W2281" s="67" t="s">
        <v>8466</v>
      </c>
      <c r="X2281" s="65">
        <v>2</v>
      </c>
      <c r="Y2281" s="68">
        <v>0.48</v>
      </c>
      <c r="Z2281" s="65" t="b">
        <f>FALSE()</f>
        <v>0</v>
      </c>
      <c r="AA2281" s="65" t="b">
        <f>FALSE()</f>
        <v>0</v>
      </c>
      <c r="AB2281" s="65" t="b">
        <f>TRUE()</f>
        <v>1</v>
      </c>
      <c r="AC2281" s="65" t="b">
        <f>TRUE()</f>
        <v>1</v>
      </c>
      <c r="AD2281" s="65" t="b">
        <f>FALSE()</f>
        <v>0</v>
      </c>
      <c r="AE2281" s="65">
        <v>2</v>
      </c>
      <c r="AF2281" s="69">
        <v>28.6</v>
      </c>
      <c r="AG2281" s="65" t="s">
        <v>73</v>
      </c>
      <c r="AH2281" s="65" t="s">
        <v>8467</v>
      </c>
      <c r="AI2281">
        <f>IF(AND(OR(Company_Explorer!$B$5="All Companies",$E2281=Company_Explorer!$B$5),OR(Company_Explorer!$B$6="All Platforms",$B2281=Company_Explorer!$B$6),OR(Company_Explorer!$B$7="All Roles",$D2281=Company_Explorer!$B$7),OR(Company_Explorer!$B$8="All Ghost Labels",$AG2281=Company_Explorer!$B$8)),1,0)</f>
        <v>0</v>
      </c>
    </row>
    <row r="2282" spans="1:35" ht="15" customHeight="1" x14ac:dyDescent="0.3">
      <c r="A2282" s="60" t="s">
        <v>8468</v>
      </c>
      <c r="B2282" s="60" t="s">
        <v>82</v>
      </c>
      <c r="C2282" s="60" t="s">
        <v>8469</v>
      </c>
      <c r="D2282" s="60" t="s">
        <v>128</v>
      </c>
      <c r="E2282" s="60" t="s">
        <v>8470</v>
      </c>
      <c r="F2282" s="60" t="b">
        <f>TRUE()</f>
        <v>1</v>
      </c>
      <c r="G2282" s="60" t="s">
        <v>166</v>
      </c>
      <c r="H2282" s="60" t="s">
        <v>235</v>
      </c>
      <c r="I2282" s="61">
        <v>46207</v>
      </c>
      <c r="J2282" s="61">
        <v>46210.285694328697</v>
      </c>
      <c r="K2282" s="60">
        <v>3</v>
      </c>
      <c r="L2282" s="60" t="s">
        <v>183</v>
      </c>
      <c r="M2282" s="60" t="s">
        <v>183</v>
      </c>
      <c r="N2282" s="60" t="b">
        <f>TRUE()</f>
        <v>1</v>
      </c>
      <c r="O2282" s="70">
        <v>443304</v>
      </c>
      <c r="P2282" s="70">
        <v>733304</v>
      </c>
      <c r="Q2282" s="60" t="s">
        <v>3663</v>
      </c>
      <c r="R2282" s="60" t="s">
        <v>7351</v>
      </c>
      <c r="S2282" s="70">
        <v>588304</v>
      </c>
      <c r="T2282" s="60" t="b">
        <f>TRUE()</f>
        <v>1</v>
      </c>
      <c r="U2282" s="60" t="b">
        <f>FALSE()</f>
        <v>0</v>
      </c>
      <c r="V2282" s="60">
        <v>761</v>
      </c>
      <c r="W2282" s="62" t="s">
        <v>8471</v>
      </c>
      <c r="X2282" s="60">
        <v>3</v>
      </c>
      <c r="Y2282" s="63">
        <v>0.72</v>
      </c>
      <c r="Z2282" s="60" t="b">
        <f>FALSE()</f>
        <v>0</v>
      </c>
      <c r="AA2282" s="60" t="b">
        <f>FALSE()</f>
        <v>0</v>
      </c>
      <c r="AB2282" s="60" t="b">
        <f>FALSE()</f>
        <v>0</v>
      </c>
      <c r="AC2282" s="60" t="b">
        <f>FALSE()</f>
        <v>0</v>
      </c>
      <c r="AD2282" s="60" t="b">
        <f>FALSE()</f>
        <v>0</v>
      </c>
      <c r="AE2282" s="60">
        <v>0</v>
      </c>
      <c r="AF2282" s="64">
        <v>0</v>
      </c>
      <c r="AG2282" s="60" t="s">
        <v>74</v>
      </c>
      <c r="AH2282" s="60" t="s">
        <v>8472</v>
      </c>
      <c r="AI2282">
        <f>IF(AND(OR(Company_Explorer!$B$5="All Companies",$E2282=Company_Explorer!$B$5),OR(Company_Explorer!$B$6="All Platforms",$B2282=Company_Explorer!$B$6),OR(Company_Explorer!$B$7="All Roles",$D2282=Company_Explorer!$B$7),OR(Company_Explorer!$B$8="All Ghost Labels",$AG2282=Company_Explorer!$B$8)),1,0)</f>
        <v>0</v>
      </c>
    </row>
    <row r="2283" spans="1:35" ht="15" customHeight="1" x14ac:dyDescent="0.3">
      <c r="A2283" s="65" t="s">
        <v>8473</v>
      </c>
      <c r="B2283" s="65" t="s">
        <v>82</v>
      </c>
      <c r="C2283" s="65" t="s">
        <v>8474</v>
      </c>
      <c r="D2283" s="65" t="s">
        <v>128</v>
      </c>
      <c r="E2283" s="65" t="s">
        <v>8475</v>
      </c>
      <c r="F2283" s="65" t="b">
        <f>TRUE()</f>
        <v>1</v>
      </c>
      <c r="G2283" s="65" t="s">
        <v>165</v>
      </c>
      <c r="H2283" s="65" t="s">
        <v>165</v>
      </c>
      <c r="I2283" s="66">
        <v>46209</v>
      </c>
      <c r="J2283" s="66">
        <v>46210.285695705999</v>
      </c>
      <c r="K2283" s="65">
        <v>31</v>
      </c>
      <c r="L2283" s="65" t="s">
        <v>192</v>
      </c>
      <c r="M2283" s="65" t="s">
        <v>183</v>
      </c>
      <c r="N2283" s="65" t="b">
        <f>FALSE()</f>
        <v>0</v>
      </c>
      <c r="O2283" s="65"/>
      <c r="P2283" s="65"/>
      <c r="Q2283" s="65" t="s">
        <v>3663</v>
      </c>
      <c r="R2283" s="65" t="s">
        <v>236</v>
      </c>
      <c r="S2283" s="65"/>
      <c r="T2283" s="65" t="b">
        <f>FALSE()</f>
        <v>0</v>
      </c>
      <c r="U2283" s="65" t="b">
        <f>FALSE()</f>
        <v>0</v>
      </c>
      <c r="V2283" s="65">
        <v>559</v>
      </c>
      <c r="W2283" s="65" t="s">
        <v>8476</v>
      </c>
      <c r="X2283" s="65">
        <v>2</v>
      </c>
      <c r="Y2283" s="68">
        <v>0.48</v>
      </c>
      <c r="Z2283" s="65" t="b">
        <f>FALSE()</f>
        <v>0</v>
      </c>
      <c r="AA2283" s="65" t="b">
        <f>TRUE()</f>
        <v>1</v>
      </c>
      <c r="AB2283" s="65" t="b">
        <f>FALSE()</f>
        <v>0</v>
      </c>
      <c r="AC2283" s="65" t="b">
        <f>FALSE()</f>
        <v>0</v>
      </c>
      <c r="AD2283" s="65" t="b">
        <f>FALSE()</f>
        <v>0</v>
      </c>
      <c r="AE2283" s="65">
        <v>1</v>
      </c>
      <c r="AF2283" s="69">
        <v>14.3</v>
      </c>
      <c r="AG2283" s="65" t="s">
        <v>74</v>
      </c>
      <c r="AH2283" s="65" t="s">
        <v>8477</v>
      </c>
      <c r="AI2283">
        <f>IF(AND(OR(Company_Explorer!$B$5="All Companies",$E2283=Company_Explorer!$B$5),OR(Company_Explorer!$B$6="All Platforms",$B2283=Company_Explorer!$B$6),OR(Company_Explorer!$B$7="All Roles",$D2283=Company_Explorer!$B$7),OR(Company_Explorer!$B$8="All Ghost Labels",$AG2283=Company_Explorer!$B$8)),1,0)</f>
        <v>0</v>
      </c>
    </row>
    <row r="2284" spans="1:35" ht="15" customHeight="1" x14ac:dyDescent="0.3">
      <c r="A2284" s="60" t="s">
        <v>8478</v>
      </c>
      <c r="B2284" s="60" t="s">
        <v>82</v>
      </c>
      <c r="C2284" s="60" t="s">
        <v>132</v>
      </c>
      <c r="D2284" s="60" t="s">
        <v>132</v>
      </c>
      <c r="E2284" s="60" t="s">
        <v>7559</v>
      </c>
      <c r="F2284" s="60" t="b">
        <f>TRUE()</f>
        <v>1</v>
      </c>
      <c r="G2284" s="60" t="s">
        <v>165</v>
      </c>
      <c r="H2284" s="60" t="s">
        <v>165</v>
      </c>
      <c r="I2284" s="61">
        <v>46205</v>
      </c>
      <c r="J2284" s="61">
        <v>46210.2856962847</v>
      </c>
      <c r="K2284" s="60">
        <v>66</v>
      </c>
      <c r="L2284" s="60" t="s">
        <v>183</v>
      </c>
      <c r="M2284" s="60" t="s">
        <v>183</v>
      </c>
      <c r="N2284" s="60" t="b">
        <f>FALSE()</f>
        <v>0</v>
      </c>
      <c r="O2284" s="60"/>
      <c r="P2284" s="60"/>
      <c r="Q2284" s="60" t="s">
        <v>3663</v>
      </c>
      <c r="R2284" s="60" t="s">
        <v>236</v>
      </c>
      <c r="S2284" s="60"/>
      <c r="T2284" s="60" t="b">
        <f>FALSE()</f>
        <v>0</v>
      </c>
      <c r="U2284" s="60" t="b">
        <f>FALSE()</f>
        <v>0</v>
      </c>
      <c r="V2284" s="60">
        <v>80</v>
      </c>
      <c r="W2284" s="62" t="s">
        <v>8479</v>
      </c>
      <c r="X2284" s="60">
        <v>10</v>
      </c>
      <c r="Y2284" s="63">
        <v>2.41</v>
      </c>
      <c r="Z2284" s="60" t="b">
        <f>FALSE()</f>
        <v>0</v>
      </c>
      <c r="AA2284" s="60" t="b">
        <f>TRUE()</f>
        <v>1</v>
      </c>
      <c r="AB2284" s="60" t="b">
        <f>TRUE()</f>
        <v>1</v>
      </c>
      <c r="AC2284" s="60" t="b">
        <f>FALSE()</f>
        <v>0</v>
      </c>
      <c r="AD2284" s="60" t="b">
        <f>TRUE()</f>
        <v>1</v>
      </c>
      <c r="AE2284" s="60">
        <v>4</v>
      </c>
      <c r="AF2284" s="64">
        <v>57.1</v>
      </c>
      <c r="AG2284" s="60" t="s">
        <v>72</v>
      </c>
      <c r="AH2284" s="60" t="s">
        <v>8480</v>
      </c>
      <c r="AI2284">
        <f>IF(AND(OR(Company_Explorer!$B$5="All Companies",$E2284=Company_Explorer!$B$5),OR(Company_Explorer!$B$6="All Platforms",$B2284=Company_Explorer!$B$6),OR(Company_Explorer!$B$7="All Roles",$D2284=Company_Explorer!$B$7),OR(Company_Explorer!$B$8="All Ghost Labels",$AG2284=Company_Explorer!$B$8)),1,0)</f>
        <v>0</v>
      </c>
    </row>
    <row r="2285" spans="1:35" ht="15" customHeight="1" x14ac:dyDescent="0.3">
      <c r="A2285" s="65" t="s">
        <v>8481</v>
      </c>
      <c r="B2285" s="65" t="s">
        <v>82</v>
      </c>
      <c r="C2285" s="65" t="s">
        <v>8482</v>
      </c>
      <c r="D2285" s="65" t="s">
        <v>129</v>
      </c>
      <c r="E2285" s="65" t="s">
        <v>3726</v>
      </c>
      <c r="F2285" s="65" t="b">
        <f>FALSE()</f>
        <v>0</v>
      </c>
      <c r="G2285" s="65" t="s">
        <v>2302</v>
      </c>
      <c r="H2285" s="65" t="s">
        <v>270</v>
      </c>
      <c r="I2285" s="66">
        <v>46201</v>
      </c>
      <c r="J2285" s="66">
        <v>46210.285699351902</v>
      </c>
      <c r="K2285" s="65">
        <v>129</v>
      </c>
      <c r="L2285" s="65" t="s">
        <v>183</v>
      </c>
      <c r="M2285" s="65" t="s">
        <v>183</v>
      </c>
      <c r="N2285" s="65" t="b">
        <f>FALSE()</f>
        <v>0</v>
      </c>
      <c r="O2285" s="65"/>
      <c r="P2285" s="65"/>
      <c r="Q2285" s="65" t="s">
        <v>3663</v>
      </c>
      <c r="R2285" s="65" t="s">
        <v>236</v>
      </c>
      <c r="S2285" s="65"/>
      <c r="T2285" s="65" t="b">
        <f>FALSE()</f>
        <v>0</v>
      </c>
      <c r="U2285" s="65" t="b">
        <f>FALSE()</f>
        <v>0</v>
      </c>
      <c r="V2285" s="65">
        <v>24</v>
      </c>
      <c r="W2285" s="67" t="s">
        <v>8483</v>
      </c>
      <c r="X2285" s="65"/>
      <c r="Y2285" s="68"/>
      <c r="Z2285" s="65" t="b">
        <f>TRUE()</f>
        <v>1</v>
      </c>
      <c r="AA2285" s="65" t="b">
        <f>TRUE()</f>
        <v>1</v>
      </c>
      <c r="AB2285" s="65" t="b">
        <f>TRUE()</f>
        <v>1</v>
      </c>
      <c r="AC2285" s="65" t="b">
        <f>TRUE()</f>
        <v>1</v>
      </c>
      <c r="AD2285" s="65" t="b">
        <f>FALSE()</f>
        <v>0</v>
      </c>
      <c r="AE2285" s="65">
        <v>5</v>
      </c>
      <c r="AF2285" s="69">
        <v>71.400000000000006</v>
      </c>
      <c r="AG2285" s="65" t="s">
        <v>72</v>
      </c>
      <c r="AH2285" s="65" t="s">
        <v>8484</v>
      </c>
      <c r="AI2285">
        <f>IF(AND(OR(Company_Explorer!$B$5="All Companies",$E2285=Company_Explorer!$B$5),OR(Company_Explorer!$B$6="All Platforms",$B2285=Company_Explorer!$B$6),OR(Company_Explorer!$B$7="All Roles",$D2285=Company_Explorer!$B$7),OR(Company_Explorer!$B$8="All Ghost Labels",$AG2285=Company_Explorer!$B$8)),1,0)</f>
        <v>0</v>
      </c>
    </row>
    <row r="2286" spans="1:35" ht="15" customHeight="1" x14ac:dyDescent="0.3">
      <c r="A2286" s="60" t="s">
        <v>8485</v>
      </c>
      <c r="B2286" s="60" t="s">
        <v>82</v>
      </c>
      <c r="C2286" s="60" t="s">
        <v>8486</v>
      </c>
      <c r="D2286" s="60" t="s">
        <v>128</v>
      </c>
      <c r="E2286" s="60" t="s">
        <v>8487</v>
      </c>
      <c r="F2286" s="60" t="b">
        <f>TRUE()</f>
        <v>1</v>
      </c>
      <c r="G2286" s="60" t="s">
        <v>165</v>
      </c>
      <c r="H2286" s="60" t="s">
        <v>165</v>
      </c>
      <c r="I2286" s="61">
        <v>46201</v>
      </c>
      <c r="J2286" s="61">
        <v>46210.285700451401</v>
      </c>
      <c r="K2286" s="60">
        <v>130</v>
      </c>
      <c r="L2286" s="60" t="s">
        <v>183</v>
      </c>
      <c r="M2286" s="60" t="s">
        <v>183</v>
      </c>
      <c r="N2286" s="60" t="b">
        <f>FALSE()</f>
        <v>0</v>
      </c>
      <c r="O2286" s="60"/>
      <c r="P2286" s="60"/>
      <c r="Q2286" s="60" t="s">
        <v>3663</v>
      </c>
      <c r="R2286" s="60" t="s">
        <v>236</v>
      </c>
      <c r="S2286" s="60"/>
      <c r="T2286" s="60" t="b">
        <f>FALSE()</f>
        <v>0</v>
      </c>
      <c r="U2286" s="60" t="b">
        <f>FALSE()</f>
        <v>0</v>
      </c>
      <c r="V2286" s="60">
        <v>295</v>
      </c>
      <c r="W2286" s="62" t="s">
        <v>8488</v>
      </c>
      <c r="X2286" s="60">
        <v>1</v>
      </c>
      <c r="Y2286" s="63">
        <v>0.24</v>
      </c>
      <c r="Z2286" s="60" t="b">
        <f>FALSE()</f>
        <v>0</v>
      </c>
      <c r="AA2286" s="60" t="b">
        <f>TRUE()</f>
        <v>1</v>
      </c>
      <c r="AB2286" s="60" t="b">
        <f>FALSE()</f>
        <v>0</v>
      </c>
      <c r="AC2286" s="60" t="b">
        <f>TRUE()</f>
        <v>1</v>
      </c>
      <c r="AD2286" s="60" t="b">
        <f>FALSE()</f>
        <v>0</v>
      </c>
      <c r="AE2286" s="60">
        <v>2</v>
      </c>
      <c r="AF2286" s="64">
        <v>28.6</v>
      </c>
      <c r="AG2286" s="60" t="s">
        <v>73</v>
      </c>
      <c r="AH2286" s="60" t="s">
        <v>8489</v>
      </c>
      <c r="AI2286">
        <f>IF(AND(OR(Company_Explorer!$B$5="All Companies",$E2286=Company_Explorer!$B$5),OR(Company_Explorer!$B$6="All Platforms",$B2286=Company_Explorer!$B$6),OR(Company_Explorer!$B$7="All Roles",$D2286=Company_Explorer!$B$7),OR(Company_Explorer!$B$8="All Ghost Labels",$AG2286=Company_Explorer!$B$8)),1,0)</f>
        <v>0</v>
      </c>
    </row>
    <row r="2287" spans="1:35" ht="15" customHeight="1" x14ac:dyDescent="0.3">
      <c r="A2287" s="65" t="s">
        <v>8490</v>
      </c>
      <c r="B2287" s="65" t="s">
        <v>82</v>
      </c>
      <c r="C2287" s="65" t="s">
        <v>8491</v>
      </c>
      <c r="D2287" s="65" t="s">
        <v>126</v>
      </c>
      <c r="E2287" s="65" t="s">
        <v>8410</v>
      </c>
      <c r="F2287" s="65" t="b">
        <f>TRUE()</f>
        <v>1</v>
      </c>
      <c r="G2287" s="65" t="s">
        <v>165</v>
      </c>
      <c r="H2287" s="65" t="s">
        <v>165</v>
      </c>
      <c r="I2287" s="66">
        <v>46210</v>
      </c>
      <c r="J2287" s="66">
        <v>46210.285702546302</v>
      </c>
      <c r="K2287" s="65">
        <v>122</v>
      </c>
      <c r="L2287" s="65" t="s">
        <v>183</v>
      </c>
      <c r="M2287" s="65" t="s">
        <v>183</v>
      </c>
      <c r="N2287" s="65" t="b">
        <f>FALSE()</f>
        <v>0</v>
      </c>
      <c r="O2287" s="65"/>
      <c r="P2287" s="65"/>
      <c r="Q2287" s="65" t="s">
        <v>3663</v>
      </c>
      <c r="R2287" s="65" t="s">
        <v>236</v>
      </c>
      <c r="S2287" s="65"/>
      <c r="T2287" s="65" t="b">
        <f>FALSE()</f>
        <v>0</v>
      </c>
      <c r="U2287" s="65" t="b">
        <f>FALSE()</f>
        <v>0</v>
      </c>
      <c r="V2287" s="65">
        <v>187</v>
      </c>
      <c r="W2287" s="67" t="s">
        <v>8492</v>
      </c>
      <c r="X2287" s="65">
        <v>3</v>
      </c>
      <c r="Y2287" s="68">
        <v>0.72</v>
      </c>
      <c r="Z2287" s="65" t="b">
        <f>FALSE()</f>
        <v>0</v>
      </c>
      <c r="AA2287" s="65" t="b">
        <f>TRUE()</f>
        <v>1</v>
      </c>
      <c r="AB2287" s="65" t="b">
        <f>TRUE()</f>
        <v>1</v>
      </c>
      <c r="AC2287" s="65" t="b">
        <f>TRUE()</f>
        <v>1</v>
      </c>
      <c r="AD2287" s="65" t="b">
        <f>FALSE()</f>
        <v>0</v>
      </c>
      <c r="AE2287" s="65">
        <v>3</v>
      </c>
      <c r="AF2287" s="69">
        <v>42.9</v>
      </c>
      <c r="AG2287" s="65" t="s">
        <v>73</v>
      </c>
      <c r="AH2287" s="65" t="s">
        <v>8493</v>
      </c>
      <c r="AI2287">
        <f>IF(AND(OR(Company_Explorer!$B$5="All Companies",$E2287=Company_Explorer!$B$5),OR(Company_Explorer!$B$6="All Platforms",$B2287=Company_Explorer!$B$6),OR(Company_Explorer!$B$7="All Roles",$D2287=Company_Explorer!$B$7),OR(Company_Explorer!$B$8="All Ghost Labels",$AG2287=Company_Explorer!$B$8)),1,0)</f>
        <v>0</v>
      </c>
    </row>
    <row r="2288" spans="1:35" ht="15" customHeight="1" x14ac:dyDescent="0.3">
      <c r="A2288" s="60" t="s">
        <v>8494</v>
      </c>
      <c r="B2288" s="60" t="s">
        <v>82</v>
      </c>
      <c r="C2288" s="60" t="s">
        <v>8495</v>
      </c>
      <c r="D2288" s="60" t="s">
        <v>128</v>
      </c>
      <c r="E2288" s="60" t="s">
        <v>8496</v>
      </c>
      <c r="F2288" s="60" t="b">
        <f>TRUE()</f>
        <v>1</v>
      </c>
      <c r="G2288" s="60" t="s">
        <v>167</v>
      </c>
      <c r="H2288" s="60" t="s">
        <v>276</v>
      </c>
      <c r="I2288" s="61">
        <v>46206</v>
      </c>
      <c r="J2288" s="61">
        <v>46210.285703159701</v>
      </c>
      <c r="K2288" s="60">
        <v>34</v>
      </c>
      <c r="L2288" s="60" t="s">
        <v>192</v>
      </c>
      <c r="M2288" s="60" t="s">
        <v>183</v>
      </c>
      <c r="N2288" s="60" t="b">
        <f>TRUE()</f>
        <v>1</v>
      </c>
      <c r="O2288" s="70">
        <v>300000</v>
      </c>
      <c r="P2288" s="70">
        <v>515000</v>
      </c>
      <c r="Q2288" s="60" t="s">
        <v>3663</v>
      </c>
      <c r="R2288" s="60" t="s">
        <v>7351</v>
      </c>
      <c r="S2288" s="70">
        <v>407500</v>
      </c>
      <c r="T2288" s="60" t="b">
        <f>TRUE()</f>
        <v>1</v>
      </c>
      <c r="U2288" s="60" t="b">
        <f>FALSE()</f>
        <v>0</v>
      </c>
      <c r="V2288" s="60">
        <v>1336</v>
      </c>
      <c r="W2288" s="62" t="s">
        <v>8497</v>
      </c>
      <c r="X2288" s="60">
        <v>1</v>
      </c>
      <c r="Y2288" s="63">
        <v>0.24</v>
      </c>
      <c r="Z2288" s="60" t="b">
        <f>FALSE()</f>
        <v>0</v>
      </c>
      <c r="AA2288" s="60" t="b">
        <f>FALSE()</f>
        <v>0</v>
      </c>
      <c r="AB2288" s="60" t="b">
        <f>FALSE()</f>
        <v>0</v>
      </c>
      <c r="AC2288" s="60" t="b">
        <f>FALSE()</f>
        <v>0</v>
      </c>
      <c r="AD2288" s="60" t="b">
        <f>FALSE()</f>
        <v>0</v>
      </c>
      <c r="AE2288" s="60">
        <v>0</v>
      </c>
      <c r="AF2288" s="64">
        <v>0</v>
      </c>
      <c r="AG2288" s="60" t="s">
        <v>74</v>
      </c>
      <c r="AH2288" s="60" t="s">
        <v>8498</v>
      </c>
      <c r="AI2288">
        <f>IF(AND(OR(Company_Explorer!$B$5="All Companies",$E2288=Company_Explorer!$B$5),OR(Company_Explorer!$B$6="All Platforms",$B2288=Company_Explorer!$B$6),OR(Company_Explorer!$B$7="All Roles",$D2288=Company_Explorer!$B$7),OR(Company_Explorer!$B$8="All Ghost Labels",$AG2288=Company_Explorer!$B$8)),1,0)</f>
        <v>0</v>
      </c>
    </row>
    <row r="2289" spans="1:35" ht="15" customHeight="1" x14ac:dyDescent="0.3">
      <c r="A2289" s="65" t="s">
        <v>8499</v>
      </c>
      <c r="B2289" s="65" t="s">
        <v>82</v>
      </c>
      <c r="C2289" s="65" t="s">
        <v>8500</v>
      </c>
      <c r="D2289" s="65" t="s">
        <v>126</v>
      </c>
      <c r="E2289" s="65" t="s">
        <v>8501</v>
      </c>
      <c r="F2289" s="65" t="b">
        <f>TRUE()</f>
        <v>1</v>
      </c>
      <c r="G2289" s="65" t="s">
        <v>165</v>
      </c>
      <c r="H2289" s="65" t="s">
        <v>165</v>
      </c>
      <c r="I2289" s="66">
        <v>46207</v>
      </c>
      <c r="J2289" s="66">
        <v>46210.285705300899</v>
      </c>
      <c r="K2289" s="65">
        <v>4</v>
      </c>
      <c r="L2289" s="65" t="s">
        <v>183</v>
      </c>
      <c r="M2289" s="65" t="s">
        <v>183</v>
      </c>
      <c r="N2289" s="65" t="b">
        <f>TRUE()</f>
        <v>1</v>
      </c>
      <c r="O2289" s="71">
        <v>145000</v>
      </c>
      <c r="P2289" s="71">
        <v>195000</v>
      </c>
      <c r="Q2289" s="65" t="s">
        <v>3663</v>
      </c>
      <c r="R2289" s="65" t="s">
        <v>7351</v>
      </c>
      <c r="S2289" s="71">
        <v>170000</v>
      </c>
      <c r="T2289" s="65" t="b">
        <f>TRUE()</f>
        <v>1</v>
      </c>
      <c r="U2289" s="65" t="b">
        <f>FALSE()</f>
        <v>0</v>
      </c>
      <c r="V2289" s="65">
        <v>1082</v>
      </c>
      <c r="W2289" s="67" t="s">
        <v>8502</v>
      </c>
      <c r="X2289" s="65">
        <v>2</v>
      </c>
      <c r="Y2289" s="68">
        <v>0.48</v>
      </c>
      <c r="Z2289" s="65" t="b">
        <f>FALSE()</f>
        <v>0</v>
      </c>
      <c r="AA2289" s="65" t="b">
        <f>FALSE()</f>
        <v>0</v>
      </c>
      <c r="AB2289" s="65" t="b">
        <f>FALSE()</f>
        <v>0</v>
      </c>
      <c r="AC2289" s="65" t="b">
        <f>FALSE()</f>
        <v>0</v>
      </c>
      <c r="AD2289" s="65" t="b">
        <f>FALSE()</f>
        <v>0</v>
      </c>
      <c r="AE2289" s="65">
        <v>0</v>
      </c>
      <c r="AF2289" s="69">
        <v>0</v>
      </c>
      <c r="AG2289" s="65" t="s">
        <v>74</v>
      </c>
      <c r="AH2289" s="65" t="s">
        <v>8503</v>
      </c>
      <c r="AI2289">
        <f>IF(AND(OR(Company_Explorer!$B$5="All Companies",$E2289=Company_Explorer!$B$5),OR(Company_Explorer!$B$6="All Platforms",$B2289=Company_Explorer!$B$6),OR(Company_Explorer!$B$7="All Roles",$D2289=Company_Explorer!$B$7),OR(Company_Explorer!$B$8="All Ghost Labels",$AG2289=Company_Explorer!$B$8)),1,0)</f>
        <v>0</v>
      </c>
    </row>
    <row r="2290" spans="1:35" ht="15" customHeight="1" x14ac:dyDescent="0.3">
      <c r="A2290" s="60" t="s">
        <v>8504</v>
      </c>
      <c r="B2290" s="60" t="s">
        <v>82</v>
      </c>
      <c r="C2290" s="60" t="s">
        <v>2553</v>
      </c>
      <c r="D2290" s="60" t="s">
        <v>125</v>
      </c>
      <c r="E2290" s="60" t="s">
        <v>8505</v>
      </c>
      <c r="F2290" s="60" t="b">
        <f>TRUE()</f>
        <v>1</v>
      </c>
      <c r="G2290" s="60" t="s">
        <v>171</v>
      </c>
      <c r="H2290" s="60" t="s">
        <v>254</v>
      </c>
      <c r="I2290" s="61">
        <v>46194</v>
      </c>
      <c r="J2290" s="61">
        <v>46210.285705902803</v>
      </c>
      <c r="K2290" s="60">
        <v>137</v>
      </c>
      <c r="L2290" s="60" t="s">
        <v>183</v>
      </c>
      <c r="M2290" s="60" t="s">
        <v>183</v>
      </c>
      <c r="N2290" s="60" t="b">
        <f>FALSE()</f>
        <v>0</v>
      </c>
      <c r="O2290" s="60"/>
      <c r="P2290" s="60"/>
      <c r="Q2290" s="60" t="s">
        <v>3663</v>
      </c>
      <c r="R2290" s="60" t="s">
        <v>236</v>
      </c>
      <c r="S2290" s="60"/>
      <c r="T2290" s="60" t="b">
        <f>FALSE()</f>
        <v>0</v>
      </c>
      <c r="U2290" s="60" t="b">
        <f>FALSE()</f>
        <v>0</v>
      </c>
      <c r="V2290" s="60">
        <v>139</v>
      </c>
      <c r="W2290" s="62" t="s">
        <v>8506</v>
      </c>
      <c r="X2290" s="60">
        <v>1</v>
      </c>
      <c r="Y2290" s="63">
        <v>0.24</v>
      </c>
      <c r="Z2290" s="60" t="b">
        <f>FALSE()</f>
        <v>0</v>
      </c>
      <c r="AA2290" s="60" t="b">
        <f>TRUE()</f>
        <v>1</v>
      </c>
      <c r="AB2290" s="60" t="b">
        <f>TRUE()</f>
        <v>1</v>
      </c>
      <c r="AC2290" s="60" t="b">
        <f>TRUE()</f>
        <v>1</v>
      </c>
      <c r="AD2290" s="60" t="b">
        <f>FALSE()</f>
        <v>0</v>
      </c>
      <c r="AE2290" s="60">
        <v>3</v>
      </c>
      <c r="AF2290" s="64">
        <v>42.9</v>
      </c>
      <c r="AG2290" s="60" t="s">
        <v>73</v>
      </c>
      <c r="AH2290" s="60" t="s">
        <v>8507</v>
      </c>
      <c r="AI2290">
        <f>IF(AND(OR(Company_Explorer!$B$5="All Companies",$E2290=Company_Explorer!$B$5),OR(Company_Explorer!$B$6="All Platforms",$B2290=Company_Explorer!$B$6),OR(Company_Explorer!$B$7="All Roles",$D2290=Company_Explorer!$B$7),OR(Company_Explorer!$B$8="All Ghost Labels",$AG2290=Company_Explorer!$B$8)),1,0)</f>
        <v>0</v>
      </c>
    </row>
    <row r="2291" spans="1:35" ht="15" customHeight="1" x14ac:dyDescent="0.3">
      <c r="A2291" s="65" t="s">
        <v>8508</v>
      </c>
      <c r="B2291" s="65" t="s">
        <v>82</v>
      </c>
      <c r="C2291" s="65" t="s">
        <v>8509</v>
      </c>
      <c r="D2291" s="65" t="s">
        <v>128</v>
      </c>
      <c r="E2291" s="65" t="s">
        <v>154</v>
      </c>
      <c r="F2291" s="65" t="b">
        <f>TRUE()</f>
        <v>1</v>
      </c>
      <c r="G2291" s="65" t="s">
        <v>166</v>
      </c>
      <c r="H2291" s="65" t="s">
        <v>235</v>
      </c>
      <c r="I2291" s="66">
        <v>46206</v>
      </c>
      <c r="J2291" s="66">
        <v>46210.285707476898</v>
      </c>
      <c r="K2291" s="65">
        <v>5</v>
      </c>
      <c r="L2291" s="65" t="s">
        <v>192</v>
      </c>
      <c r="M2291" s="65" t="s">
        <v>183</v>
      </c>
      <c r="N2291" s="65" t="b">
        <f>TRUE()</f>
        <v>1</v>
      </c>
      <c r="O2291" s="71">
        <v>360000</v>
      </c>
      <c r="P2291" s="71">
        <v>685000</v>
      </c>
      <c r="Q2291" s="65" t="s">
        <v>3663</v>
      </c>
      <c r="R2291" s="65" t="s">
        <v>7351</v>
      </c>
      <c r="S2291" s="71">
        <v>522500</v>
      </c>
      <c r="T2291" s="65" t="b">
        <f>TRUE()</f>
        <v>1</v>
      </c>
      <c r="U2291" s="65" t="b">
        <f>FALSE()</f>
        <v>0</v>
      </c>
      <c r="V2291" s="65">
        <v>440</v>
      </c>
      <c r="W2291" s="65" t="s">
        <v>3893</v>
      </c>
      <c r="X2291" s="65">
        <v>16</v>
      </c>
      <c r="Y2291" s="68">
        <v>3.86</v>
      </c>
      <c r="Z2291" s="65" t="b">
        <f>FALSE()</f>
        <v>0</v>
      </c>
      <c r="AA2291" s="65" t="b">
        <f>FALSE()</f>
        <v>0</v>
      </c>
      <c r="AB2291" s="65" t="b">
        <f>FALSE()</f>
        <v>0</v>
      </c>
      <c r="AC2291" s="65" t="b">
        <f>FALSE()</f>
        <v>0</v>
      </c>
      <c r="AD2291" s="65" t="b">
        <f>TRUE()</f>
        <v>1</v>
      </c>
      <c r="AE2291" s="65">
        <v>2</v>
      </c>
      <c r="AF2291" s="69">
        <v>28.6</v>
      </c>
      <c r="AG2291" s="65" t="s">
        <v>73</v>
      </c>
      <c r="AH2291" s="65" t="s">
        <v>8510</v>
      </c>
      <c r="AI2291">
        <f>IF(AND(OR(Company_Explorer!$B$5="All Companies",$E2291=Company_Explorer!$B$5),OR(Company_Explorer!$B$6="All Platforms",$B2291=Company_Explorer!$B$6),OR(Company_Explorer!$B$7="All Roles",$D2291=Company_Explorer!$B$7),OR(Company_Explorer!$B$8="All Ghost Labels",$AG2291=Company_Explorer!$B$8)),1,0)</f>
        <v>0</v>
      </c>
    </row>
    <row r="2292" spans="1:35" ht="15" customHeight="1" x14ac:dyDescent="0.3">
      <c r="A2292" s="60" t="s">
        <v>8511</v>
      </c>
      <c r="B2292" s="60" t="s">
        <v>82</v>
      </c>
      <c r="C2292" s="60" t="s">
        <v>7355</v>
      </c>
      <c r="D2292" s="60" t="s">
        <v>128</v>
      </c>
      <c r="E2292" s="60" t="s">
        <v>8512</v>
      </c>
      <c r="F2292" s="60" t="b">
        <f>TRUE()</f>
        <v>1</v>
      </c>
      <c r="G2292" s="60" t="s">
        <v>176</v>
      </c>
      <c r="H2292" s="60" t="s">
        <v>302</v>
      </c>
      <c r="I2292" s="61">
        <v>46203</v>
      </c>
      <c r="J2292" s="61">
        <v>46210.2857088889</v>
      </c>
      <c r="K2292" s="60">
        <v>7</v>
      </c>
      <c r="L2292" s="60" t="s">
        <v>192</v>
      </c>
      <c r="M2292" s="60" t="s">
        <v>183</v>
      </c>
      <c r="N2292" s="60" t="b">
        <f>TRUE()</f>
        <v>1</v>
      </c>
      <c r="O2292" s="70">
        <v>600000</v>
      </c>
      <c r="P2292" s="70">
        <v>1000000</v>
      </c>
      <c r="Q2292" s="60" t="s">
        <v>3663</v>
      </c>
      <c r="R2292" s="60" t="s">
        <v>7351</v>
      </c>
      <c r="S2292" s="70">
        <v>800000</v>
      </c>
      <c r="T2292" s="60" t="b">
        <f>TRUE()</f>
        <v>1</v>
      </c>
      <c r="U2292" s="60" t="b">
        <f>FALSE()</f>
        <v>0</v>
      </c>
      <c r="V2292" s="60">
        <v>722</v>
      </c>
      <c r="W2292" s="62" t="s">
        <v>8513</v>
      </c>
      <c r="X2292" s="60">
        <v>1</v>
      </c>
      <c r="Y2292" s="63">
        <v>0.24</v>
      </c>
      <c r="Z2292" s="60" t="b">
        <f>FALSE()</f>
        <v>0</v>
      </c>
      <c r="AA2292" s="60" t="b">
        <f>FALSE()</f>
        <v>0</v>
      </c>
      <c r="AB2292" s="60" t="b">
        <f>FALSE()</f>
        <v>0</v>
      </c>
      <c r="AC2292" s="60" t="b">
        <f>FALSE()</f>
        <v>0</v>
      </c>
      <c r="AD2292" s="60" t="b">
        <f>FALSE()</f>
        <v>0</v>
      </c>
      <c r="AE2292" s="60">
        <v>0</v>
      </c>
      <c r="AF2292" s="64">
        <v>0</v>
      </c>
      <c r="AG2292" s="60" t="s">
        <v>74</v>
      </c>
      <c r="AH2292" s="60" t="s">
        <v>8514</v>
      </c>
      <c r="AI2292">
        <f>IF(AND(OR(Company_Explorer!$B$5="All Companies",$E2292=Company_Explorer!$B$5),OR(Company_Explorer!$B$6="All Platforms",$B2292=Company_Explorer!$B$6),OR(Company_Explorer!$B$7="All Roles",$D2292=Company_Explorer!$B$7),OR(Company_Explorer!$B$8="All Ghost Labels",$AG2292=Company_Explorer!$B$8)),1,0)</f>
        <v>0</v>
      </c>
    </row>
    <row r="2293" spans="1:35" ht="15" customHeight="1" x14ac:dyDescent="0.3">
      <c r="A2293" s="65" t="s">
        <v>8515</v>
      </c>
      <c r="B2293" s="65" t="s">
        <v>82</v>
      </c>
      <c r="C2293" s="65" t="s">
        <v>7285</v>
      </c>
      <c r="D2293" s="65" t="s">
        <v>128</v>
      </c>
      <c r="E2293" s="65" t="s">
        <v>3726</v>
      </c>
      <c r="F2293" s="65" t="b">
        <f>FALSE()</f>
        <v>0</v>
      </c>
      <c r="G2293" s="65" t="s">
        <v>165</v>
      </c>
      <c r="H2293" s="65" t="s">
        <v>165</v>
      </c>
      <c r="I2293" s="66">
        <v>46201</v>
      </c>
      <c r="J2293" s="66">
        <v>46210.2857107292</v>
      </c>
      <c r="K2293" s="65">
        <v>9</v>
      </c>
      <c r="L2293" s="65" t="s">
        <v>192</v>
      </c>
      <c r="M2293" s="65" t="s">
        <v>183</v>
      </c>
      <c r="N2293" s="65" t="b">
        <f>TRUE()</f>
        <v>1</v>
      </c>
      <c r="O2293" s="71">
        <v>473091</v>
      </c>
      <c r="P2293" s="71">
        <v>1776495</v>
      </c>
      <c r="Q2293" s="65" t="s">
        <v>3663</v>
      </c>
      <c r="R2293" s="65" t="s">
        <v>7351</v>
      </c>
      <c r="S2293" s="71">
        <v>1124793</v>
      </c>
      <c r="T2293" s="65" t="b">
        <f>TRUE()</f>
        <v>1</v>
      </c>
      <c r="U2293" s="65" t="b">
        <f>FALSE()</f>
        <v>0</v>
      </c>
      <c r="V2293" s="65">
        <v>232</v>
      </c>
      <c r="W2293" s="67" t="s">
        <v>8516</v>
      </c>
      <c r="X2293" s="65"/>
      <c r="Y2293" s="68"/>
      <c r="Z2293" s="65" t="b">
        <f>TRUE()</f>
        <v>1</v>
      </c>
      <c r="AA2293" s="65" t="b">
        <f>FALSE()</f>
        <v>0</v>
      </c>
      <c r="AB2293" s="65" t="b">
        <f>FALSE()</f>
        <v>0</v>
      </c>
      <c r="AC2293" s="65" t="b">
        <f>FALSE()</f>
        <v>0</v>
      </c>
      <c r="AD2293" s="65" t="b">
        <f>FALSE()</f>
        <v>0</v>
      </c>
      <c r="AE2293" s="65">
        <v>2</v>
      </c>
      <c r="AF2293" s="69">
        <v>28.6</v>
      </c>
      <c r="AG2293" s="65" t="s">
        <v>73</v>
      </c>
      <c r="AH2293" s="65" t="s">
        <v>8517</v>
      </c>
      <c r="AI2293">
        <f>IF(AND(OR(Company_Explorer!$B$5="All Companies",$E2293=Company_Explorer!$B$5),OR(Company_Explorer!$B$6="All Platforms",$B2293=Company_Explorer!$B$6),OR(Company_Explorer!$B$7="All Roles",$D2293=Company_Explorer!$B$7),OR(Company_Explorer!$B$8="All Ghost Labels",$AG2293=Company_Explorer!$B$8)),1,0)</f>
        <v>0</v>
      </c>
    </row>
    <row r="2294" spans="1:35" ht="15" customHeight="1" x14ac:dyDescent="0.3">
      <c r="A2294" s="60" t="s">
        <v>8518</v>
      </c>
      <c r="B2294" s="60" t="s">
        <v>82</v>
      </c>
      <c r="C2294" s="60" t="s">
        <v>8519</v>
      </c>
      <c r="D2294" s="60" t="s">
        <v>128</v>
      </c>
      <c r="E2294" s="60" t="s">
        <v>8520</v>
      </c>
      <c r="F2294" s="60" t="b">
        <f>TRUE()</f>
        <v>1</v>
      </c>
      <c r="G2294" s="60" t="s">
        <v>167</v>
      </c>
      <c r="H2294" s="60" t="s">
        <v>276</v>
      </c>
      <c r="I2294" s="61">
        <v>46207</v>
      </c>
      <c r="J2294" s="61">
        <v>46210.285718159699</v>
      </c>
      <c r="K2294" s="60">
        <v>216</v>
      </c>
      <c r="L2294" s="60" t="s">
        <v>192</v>
      </c>
      <c r="M2294" s="60" t="s">
        <v>183</v>
      </c>
      <c r="N2294" s="60" t="b">
        <f>TRUE()</f>
        <v>1</v>
      </c>
      <c r="O2294" s="70">
        <v>250000</v>
      </c>
      <c r="P2294" s="70">
        <v>650000</v>
      </c>
      <c r="Q2294" s="60" t="s">
        <v>3663</v>
      </c>
      <c r="R2294" s="60" t="s">
        <v>7351</v>
      </c>
      <c r="S2294" s="70">
        <v>450000</v>
      </c>
      <c r="T2294" s="60" t="b">
        <f>TRUE()</f>
        <v>1</v>
      </c>
      <c r="U2294" s="60" t="b">
        <f>FALSE()</f>
        <v>0</v>
      </c>
      <c r="V2294" s="60">
        <v>329</v>
      </c>
      <c r="W2294" s="62" t="s">
        <v>8521</v>
      </c>
      <c r="X2294" s="60">
        <v>2</v>
      </c>
      <c r="Y2294" s="63">
        <v>0.48</v>
      </c>
      <c r="Z2294" s="60" t="b">
        <f>FALSE()</f>
        <v>0</v>
      </c>
      <c r="AA2294" s="60" t="b">
        <f>FALSE()</f>
        <v>0</v>
      </c>
      <c r="AB2294" s="60" t="b">
        <f>FALSE()</f>
        <v>0</v>
      </c>
      <c r="AC2294" s="60" t="b">
        <f>TRUE()</f>
        <v>1</v>
      </c>
      <c r="AD2294" s="60" t="b">
        <f>FALSE()</f>
        <v>0</v>
      </c>
      <c r="AE2294" s="60">
        <v>1</v>
      </c>
      <c r="AF2294" s="64">
        <v>14.3</v>
      </c>
      <c r="AG2294" s="60" t="s">
        <v>74</v>
      </c>
      <c r="AH2294" s="60" t="s">
        <v>8522</v>
      </c>
      <c r="AI2294">
        <f>IF(AND(OR(Company_Explorer!$B$5="All Companies",$E2294=Company_Explorer!$B$5),OR(Company_Explorer!$B$6="All Platforms",$B2294=Company_Explorer!$B$6),OR(Company_Explorer!$B$7="All Roles",$D2294=Company_Explorer!$B$7),OR(Company_Explorer!$B$8="All Ghost Labels",$AG2294=Company_Explorer!$B$8)),1,0)</f>
        <v>0</v>
      </c>
    </row>
    <row r="2295" spans="1:35" ht="15" customHeight="1" x14ac:dyDescent="0.3">
      <c r="A2295" s="65" t="s">
        <v>8523</v>
      </c>
      <c r="B2295" s="65" t="s">
        <v>82</v>
      </c>
      <c r="C2295" s="65" t="s">
        <v>8524</v>
      </c>
      <c r="D2295" s="65" t="s">
        <v>128</v>
      </c>
      <c r="E2295" s="65" t="s">
        <v>8525</v>
      </c>
      <c r="F2295" s="65" t="b">
        <f>TRUE()</f>
        <v>1</v>
      </c>
      <c r="G2295" s="65" t="s">
        <v>166</v>
      </c>
      <c r="H2295" s="65" t="s">
        <v>235</v>
      </c>
      <c r="I2295" s="66">
        <v>46210</v>
      </c>
      <c r="J2295" s="66">
        <v>46210.285718333304</v>
      </c>
      <c r="K2295" s="65">
        <v>122</v>
      </c>
      <c r="L2295" s="65" t="s">
        <v>192</v>
      </c>
      <c r="M2295" s="65" t="s">
        <v>183</v>
      </c>
      <c r="N2295" s="65" t="b">
        <f>TRUE()</f>
        <v>1</v>
      </c>
      <c r="O2295" s="71">
        <v>395000</v>
      </c>
      <c r="P2295" s="71">
        <v>625000</v>
      </c>
      <c r="Q2295" s="65" t="s">
        <v>3663</v>
      </c>
      <c r="R2295" s="65" t="s">
        <v>7351</v>
      </c>
      <c r="S2295" s="71">
        <v>510000</v>
      </c>
      <c r="T2295" s="65" t="b">
        <f>TRUE()</f>
        <v>1</v>
      </c>
      <c r="U2295" s="65" t="b">
        <f>FALSE()</f>
        <v>0</v>
      </c>
      <c r="V2295" s="65">
        <v>359</v>
      </c>
      <c r="W2295" s="67" t="s">
        <v>8526</v>
      </c>
      <c r="X2295" s="65">
        <v>1</v>
      </c>
      <c r="Y2295" s="68">
        <v>0.24</v>
      </c>
      <c r="Z2295" s="65" t="b">
        <f>FALSE()</f>
        <v>0</v>
      </c>
      <c r="AA2295" s="65" t="b">
        <f>FALSE()</f>
        <v>0</v>
      </c>
      <c r="AB2295" s="65" t="b">
        <f>FALSE()</f>
        <v>0</v>
      </c>
      <c r="AC2295" s="65" t="b">
        <f>TRUE()</f>
        <v>1</v>
      </c>
      <c r="AD2295" s="65" t="b">
        <f>FALSE()</f>
        <v>0</v>
      </c>
      <c r="AE2295" s="65">
        <v>1</v>
      </c>
      <c r="AF2295" s="69">
        <v>14.3</v>
      </c>
      <c r="AG2295" s="65" t="s">
        <v>74</v>
      </c>
      <c r="AH2295" s="65" t="s">
        <v>8527</v>
      </c>
      <c r="AI2295">
        <f>IF(AND(OR(Company_Explorer!$B$5="All Companies",$E2295=Company_Explorer!$B$5),OR(Company_Explorer!$B$6="All Platforms",$B2295=Company_Explorer!$B$6),OR(Company_Explorer!$B$7="All Roles",$D2295=Company_Explorer!$B$7),OR(Company_Explorer!$B$8="All Ghost Labels",$AG2295=Company_Explorer!$B$8)),1,0)</f>
        <v>0</v>
      </c>
    </row>
    <row r="2296" spans="1:35" ht="15" customHeight="1" x14ac:dyDescent="0.3">
      <c r="A2296" s="60" t="s">
        <v>8528</v>
      </c>
      <c r="B2296" s="60" t="s">
        <v>82</v>
      </c>
      <c r="C2296" s="60" t="s">
        <v>8474</v>
      </c>
      <c r="D2296" s="60" t="s">
        <v>128</v>
      </c>
      <c r="E2296" s="60" t="s">
        <v>8529</v>
      </c>
      <c r="F2296" s="60" t="b">
        <f>TRUE()</f>
        <v>1</v>
      </c>
      <c r="G2296" s="60" t="s">
        <v>165</v>
      </c>
      <c r="H2296" s="60" t="s">
        <v>165</v>
      </c>
      <c r="I2296" s="61">
        <v>46183</v>
      </c>
      <c r="J2296" s="61">
        <v>46210.285718842599</v>
      </c>
      <c r="K2296" s="60">
        <v>28</v>
      </c>
      <c r="L2296" s="60" t="s">
        <v>192</v>
      </c>
      <c r="M2296" s="60" t="s">
        <v>183</v>
      </c>
      <c r="N2296" s="60" t="b">
        <f>FALSE()</f>
        <v>0</v>
      </c>
      <c r="O2296" s="60"/>
      <c r="P2296" s="60"/>
      <c r="Q2296" s="60" t="s">
        <v>3663</v>
      </c>
      <c r="R2296" s="60" t="s">
        <v>236</v>
      </c>
      <c r="S2296" s="60"/>
      <c r="T2296" s="60" t="b">
        <f>FALSE()</f>
        <v>0</v>
      </c>
      <c r="U2296" s="60" t="b">
        <f>FALSE()</f>
        <v>0</v>
      </c>
      <c r="V2296" s="60">
        <v>463</v>
      </c>
      <c r="W2296" s="62" t="s">
        <v>8530</v>
      </c>
      <c r="X2296" s="60">
        <v>2</v>
      </c>
      <c r="Y2296" s="63">
        <v>0.48</v>
      </c>
      <c r="Z2296" s="60" t="b">
        <f>FALSE()</f>
        <v>0</v>
      </c>
      <c r="AA2296" s="60" t="b">
        <f>TRUE()</f>
        <v>1</v>
      </c>
      <c r="AB2296" s="60" t="b">
        <f>FALSE()</f>
        <v>0</v>
      </c>
      <c r="AC2296" s="60" t="b">
        <f>FALSE()</f>
        <v>0</v>
      </c>
      <c r="AD2296" s="60" t="b">
        <f>FALSE()</f>
        <v>0</v>
      </c>
      <c r="AE2296" s="60">
        <v>1</v>
      </c>
      <c r="AF2296" s="64">
        <v>14.3</v>
      </c>
      <c r="AG2296" s="60" t="s">
        <v>74</v>
      </c>
      <c r="AH2296" s="60" t="s">
        <v>8531</v>
      </c>
      <c r="AI2296">
        <f>IF(AND(OR(Company_Explorer!$B$5="All Companies",$E2296=Company_Explorer!$B$5),OR(Company_Explorer!$B$6="All Platforms",$B2296=Company_Explorer!$B$6),OR(Company_Explorer!$B$7="All Roles",$D2296=Company_Explorer!$B$7),OR(Company_Explorer!$B$8="All Ghost Labels",$AG2296=Company_Explorer!$B$8)),1,0)</f>
        <v>0</v>
      </c>
    </row>
    <row r="2297" spans="1:35" ht="15" customHeight="1" x14ac:dyDescent="0.3">
      <c r="A2297" s="65" t="s">
        <v>8532</v>
      </c>
      <c r="B2297" s="65" t="s">
        <v>82</v>
      </c>
      <c r="C2297" s="65" t="s">
        <v>8533</v>
      </c>
      <c r="D2297" s="65" t="s">
        <v>128</v>
      </c>
      <c r="E2297" s="65" t="s">
        <v>8534</v>
      </c>
      <c r="F2297" s="65" t="b">
        <f>TRUE()</f>
        <v>1</v>
      </c>
      <c r="G2297" s="65" t="s">
        <v>1403</v>
      </c>
      <c r="H2297" s="65" t="s">
        <v>754</v>
      </c>
      <c r="I2297" s="66">
        <v>46201</v>
      </c>
      <c r="J2297" s="66">
        <v>46210.285720671302</v>
      </c>
      <c r="K2297" s="65">
        <v>129</v>
      </c>
      <c r="L2297" s="65" t="s">
        <v>192</v>
      </c>
      <c r="M2297" s="65" t="s">
        <v>183</v>
      </c>
      <c r="N2297" s="65" t="b">
        <f>TRUE()</f>
        <v>1</v>
      </c>
      <c r="O2297" s="71">
        <v>127500</v>
      </c>
      <c r="P2297" s="71">
        <v>579000</v>
      </c>
      <c r="Q2297" s="65" t="s">
        <v>3663</v>
      </c>
      <c r="R2297" s="65" t="s">
        <v>7351</v>
      </c>
      <c r="S2297" s="71">
        <v>353250</v>
      </c>
      <c r="T2297" s="65" t="b">
        <f>TRUE()</f>
        <v>1</v>
      </c>
      <c r="U2297" s="65" t="b">
        <f>FALSE()</f>
        <v>0</v>
      </c>
      <c r="V2297" s="65">
        <v>328</v>
      </c>
      <c r="W2297" s="67" t="s">
        <v>8535</v>
      </c>
      <c r="X2297" s="65">
        <v>2</v>
      </c>
      <c r="Y2297" s="68">
        <v>0.48</v>
      </c>
      <c r="Z2297" s="65" t="b">
        <f>FALSE()</f>
        <v>0</v>
      </c>
      <c r="AA2297" s="65" t="b">
        <f>FALSE()</f>
        <v>0</v>
      </c>
      <c r="AB2297" s="65" t="b">
        <f>FALSE()</f>
        <v>0</v>
      </c>
      <c r="AC2297" s="65" t="b">
        <f>TRUE()</f>
        <v>1</v>
      </c>
      <c r="AD2297" s="65" t="b">
        <f>FALSE()</f>
        <v>0</v>
      </c>
      <c r="AE2297" s="65">
        <v>1</v>
      </c>
      <c r="AF2297" s="69">
        <v>14.3</v>
      </c>
      <c r="AG2297" s="65" t="s">
        <v>74</v>
      </c>
      <c r="AH2297" s="65" t="s">
        <v>8536</v>
      </c>
      <c r="AI2297">
        <f>IF(AND(OR(Company_Explorer!$B$5="All Companies",$E2297=Company_Explorer!$B$5),OR(Company_Explorer!$B$6="All Platforms",$B2297=Company_Explorer!$B$6),OR(Company_Explorer!$B$7="All Roles",$D2297=Company_Explorer!$B$7),OR(Company_Explorer!$B$8="All Ghost Labels",$AG2297=Company_Explorer!$B$8)),1,0)</f>
        <v>0</v>
      </c>
    </row>
    <row r="2298" spans="1:35" ht="15" customHeight="1" x14ac:dyDescent="0.3">
      <c r="A2298" s="60" t="s">
        <v>8537</v>
      </c>
      <c r="B2298" s="60" t="s">
        <v>82</v>
      </c>
      <c r="C2298" s="60" t="s">
        <v>8538</v>
      </c>
      <c r="D2298" s="60" t="s">
        <v>126</v>
      </c>
      <c r="E2298" s="60" t="s">
        <v>7559</v>
      </c>
      <c r="F2298" s="60" t="b">
        <f>TRUE()</f>
        <v>1</v>
      </c>
      <c r="G2298" s="60" t="s">
        <v>167</v>
      </c>
      <c r="H2298" s="60" t="s">
        <v>276</v>
      </c>
      <c r="I2298" s="61">
        <v>46198</v>
      </c>
      <c r="J2298" s="61">
        <v>46210.285720879598</v>
      </c>
      <c r="K2298" s="60">
        <v>132</v>
      </c>
      <c r="L2298" s="60" t="s">
        <v>183</v>
      </c>
      <c r="M2298" s="60" t="s">
        <v>183</v>
      </c>
      <c r="N2298" s="60" t="b">
        <f>TRUE()</f>
        <v>1</v>
      </c>
      <c r="O2298" s="70">
        <v>450000</v>
      </c>
      <c r="P2298" s="70">
        <v>784000</v>
      </c>
      <c r="Q2298" s="60" t="s">
        <v>3663</v>
      </c>
      <c r="R2298" s="60" t="s">
        <v>7351</v>
      </c>
      <c r="S2298" s="70">
        <v>617000</v>
      </c>
      <c r="T2298" s="60" t="b">
        <f>TRUE()</f>
        <v>1</v>
      </c>
      <c r="U2298" s="60" t="b">
        <f>FALSE()</f>
        <v>0</v>
      </c>
      <c r="V2298" s="60">
        <v>28</v>
      </c>
      <c r="W2298" s="62" t="s">
        <v>8539</v>
      </c>
      <c r="X2298" s="60">
        <v>10</v>
      </c>
      <c r="Y2298" s="63">
        <v>2.41</v>
      </c>
      <c r="Z2298" s="60" t="b">
        <f>FALSE()</f>
        <v>0</v>
      </c>
      <c r="AA2298" s="60" t="b">
        <f>FALSE()</f>
        <v>0</v>
      </c>
      <c r="AB2298" s="60" t="b">
        <f>TRUE()</f>
        <v>1</v>
      </c>
      <c r="AC2298" s="60" t="b">
        <f>TRUE()</f>
        <v>1</v>
      </c>
      <c r="AD2298" s="60" t="b">
        <f>TRUE()</f>
        <v>1</v>
      </c>
      <c r="AE2298" s="60">
        <v>4</v>
      </c>
      <c r="AF2298" s="64">
        <v>57.1</v>
      </c>
      <c r="AG2298" s="60" t="s">
        <v>72</v>
      </c>
      <c r="AH2298" s="60" t="s">
        <v>8540</v>
      </c>
      <c r="AI2298">
        <f>IF(AND(OR(Company_Explorer!$B$5="All Companies",$E2298=Company_Explorer!$B$5),OR(Company_Explorer!$B$6="All Platforms",$B2298=Company_Explorer!$B$6),OR(Company_Explorer!$B$7="All Roles",$D2298=Company_Explorer!$B$7),OR(Company_Explorer!$B$8="All Ghost Labels",$AG2298=Company_Explorer!$B$8)),1,0)</f>
        <v>0</v>
      </c>
    </row>
    <row r="2299" spans="1:35" ht="15" customHeight="1" x14ac:dyDescent="0.3">
      <c r="A2299" s="65" t="s">
        <v>8541</v>
      </c>
      <c r="B2299" s="65" t="s">
        <v>82</v>
      </c>
      <c r="C2299" s="65" t="s">
        <v>7285</v>
      </c>
      <c r="D2299" s="65" t="s">
        <v>128</v>
      </c>
      <c r="E2299" s="65" t="s">
        <v>8542</v>
      </c>
      <c r="F2299" s="65" t="b">
        <f>TRUE()</f>
        <v>1</v>
      </c>
      <c r="G2299" s="65" t="s">
        <v>176</v>
      </c>
      <c r="H2299" s="65" t="s">
        <v>302</v>
      </c>
      <c r="I2299" s="66">
        <v>46210</v>
      </c>
      <c r="J2299" s="66">
        <v>46210.285722870402</v>
      </c>
      <c r="K2299" s="65">
        <v>0</v>
      </c>
      <c r="L2299" s="65" t="s">
        <v>192</v>
      </c>
      <c r="M2299" s="65" t="s">
        <v>183</v>
      </c>
      <c r="N2299" s="65" t="b">
        <f>FALSE()</f>
        <v>0</v>
      </c>
      <c r="O2299" s="65"/>
      <c r="P2299" s="65"/>
      <c r="Q2299" s="65" t="s">
        <v>3663</v>
      </c>
      <c r="R2299" s="65" t="s">
        <v>236</v>
      </c>
      <c r="S2299" s="65"/>
      <c r="T2299" s="65" t="b">
        <f>FALSE()</f>
        <v>0</v>
      </c>
      <c r="U2299" s="65" t="b">
        <f>FALSE()</f>
        <v>0</v>
      </c>
      <c r="V2299" s="65">
        <v>835</v>
      </c>
      <c r="W2299" s="67" t="s">
        <v>8543</v>
      </c>
      <c r="X2299" s="65">
        <v>1</v>
      </c>
      <c r="Y2299" s="68">
        <v>0.24</v>
      </c>
      <c r="Z2299" s="65" t="b">
        <f>FALSE()</f>
        <v>0</v>
      </c>
      <c r="AA2299" s="65" t="b">
        <f>TRUE()</f>
        <v>1</v>
      </c>
      <c r="AB2299" s="65" t="b">
        <f>FALSE()</f>
        <v>0</v>
      </c>
      <c r="AC2299" s="65" t="b">
        <f>FALSE()</f>
        <v>0</v>
      </c>
      <c r="AD2299" s="65" t="b">
        <f>FALSE()</f>
        <v>0</v>
      </c>
      <c r="AE2299" s="65">
        <v>1</v>
      </c>
      <c r="AF2299" s="69">
        <v>14.3</v>
      </c>
      <c r="AG2299" s="65" t="s">
        <v>74</v>
      </c>
      <c r="AH2299" s="65" t="s">
        <v>8544</v>
      </c>
      <c r="AI2299">
        <f>IF(AND(OR(Company_Explorer!$B$5="All Companies",$E2299=Company_Explorer!$B$5),OR(Company_Explorer!$B$6="All Platforms",$B2299=Company_Explorer!$B$6),OR(Company_Explorer!$B$7="All Roles",$D2299=Company_Explorer!$B$7),OR(Company_Explorer!$B$8="All Ghost Labels",$AG2299=Company_Explorer!$B$8)),1,0)</f>
        <v>0</v>
      </c>
    </row>
    <row r="2300" spans="1:35" ht="15" customHeight="1" x14ac:dyDescent="0.3">
      <c r="A2300" s="60" t="s">
        <v>8545</v>
      </c>
      <c r="B2300" s="60" t="s">
        <v>82</v>
      </c>
      <c r="C2300" s="60" t="s">
        <v>8546</v>
      </c>
      <c r="D2300" s="60" t="s">
        <v>128</v>
      </c>
      <c r="E2300" s="60" t="s">
        <v>8547</v>
      </c>
      <c r="F2300" s="60" t="b">
        <f>TRUE()</f>
        <v>1</v>
      </c>
      <c r="G2300" s="60" t="s">
        <v>165</v>
      </c>
      <c r="H2300" s="60" t="s">
        <v>165</v>
      </c>
      <c r="I2300" s="61">
        <v>46192</v>
      </c>
      <c r="J2300" s="61">
        <v>46210.285724351903</v>
      </c>
      <c r="K2300" s="60">
        <v>19</v>
      </c>
      <c r="L2300" s="60" t="s">
        <v>183</v>
      </c>
      <c r="M2300" s="60" t="s">
        <v>183</v>
      </c>
      <c r="N2300" s="60" t="b">
        <f>FALSE()</f>
        <v>0</v>
      </c>
      <c r="O2300" s="60"/>
      <c r="P2300" s="60"/>
      <c r="Q2300" s="60" t="s">
        <v>3663</v>
      </c>
      <c r="R2300" s="60" t="s">
        <v>236</v>
      </c>
      <c r="S2300" s="60"/>
      <c r="T2300" s="60" t="b">
        <f>FALSE()</f>
        <v>0</v>
      </c>
      <c r="U2300" s="60" t="b">
        <f>FALSE()</f>
        <v>0</v>
      </c>
      <c r="V2300" s="60">
        <v>742</v>
      </c>
      <c r="W2300" s="62" t="s">
        <v>8548</v>
      </c>
      <c r="X2300" s="60">
        <v>1</v>
      </c>
      <c r="Y2300" s="63">
        <v>0.24</v>
      </c>
      <c r="Z2300" s="60" t="b">
        <f>FALSE()</f>
        <v>0</v>
      </c>
      <c r="AA2300" s="60" t="b">
        <f>TRUE()</f>
        <v>1</v>
      </c>
      <c r="AB2300" s="60" t="b">
        <f>FALSE()</f>
        <v>0</v>
      </c>
      <c r="AC2300" s="60" t="b">
        <f>FALSE()</f>
        <v>0</v>
      </c>
      <c r="AD2300" s="60" t="b">
        <f>FALSE()</f>
        <v>0</v>
      </c>
      <c r="AE2300" s="60">
        <v>1</v>
      </c>
      <c r="AF2300" s="64">
        <v>14.3</v>
      </c>
      <c r="AG2300" s="60" t="s">
        <v>74</v>
      </c>
      <c r="AH2300" s="60" t="s">
        <v>8549</v>
      </c>
      <c r="AI2300">
        <f>IF(AND(OR(Company_Explorer!$B$5="All Companies",$E2300=Company_Explorer!$B$5),OR(Company_Explorer!$B$6="All Platforms",$B2300=Company_Explorer!$B$6),OR(Company_Explorer!$B$7="All Roles",$D2300=Company_Explorer!$B$7),OR(Company_Explorer!$B$8="All Ghost Labels",$AG2300=Company_Explorer!$B$8)),1,0)</f>
        <v>0</v>
      </c>
    </row>
    <row r="2301" spans="1:35" ht="15" customHeight="1" x14ac:dyDescent="0.3">
      <c r="A2301" s="65" t="s">
        <v>8550</v>
      </c>
      <c r="B2301" s="65" t="s">
        <v>82</v>
      </c>
      <c r="C2301" s="65" t="s">
        <v>8551</v>
      </c>
      <c r="D2301" s="65" t="s">
        <v>128</v>
      </c>
      <c r="E2301" s="65" t="s">
        <v>3726</v>
      </c>
      <c r="F2301" s="65" t="b">
        <f>FALSE()</f>
        <v>0</v>
      </c>
      <c r="G2301" s="65" t="s">
        <v>165</v>
      </c>
      <c r="H2301" s="65" t="s">
        <v>165</v>
      </c>
      <c r="I2301" s="66">
        <v>46206</v>
      </c>
      <c r="J2301" s="66">
        <v>46210.285725300899</v>
      </c>
      <c r="K2301" s="65">
        <v>34</v>
      </c>
      <c r="L2301" s="65" t="s">
        <v>183</v>
      </c>
      <c r="M2301" s="65" t="s">
        <v>183</v>
      </c>
      <c r="N2301" s="65" t="b">
        <f>FALSE()</f>
        <v>0</v>
      </c>
      <c r="O2301" s="65"/>
      <c r="P2301" s="65"/>
      <c r="Q2301" s="65" t="s">
        <v>3663</v>
      </c>
      <c r="R2301" s="65" t="s">
        <v>236</v>
      </c>
      <c r="S2301" s="65"/>
      <c r="T2301" s="65" t="b">
        <f>FALSE()</f>
        <v>0</v>
      </c>
      <c r="U2301" s="65" t="b">
        <f>FALSE()</f>
        <v>0</v>
      </c>
      <c r="V2301" s="65">
        <v>314</v>
      </c>
      <c r="W2301" s="67" t="s">
        <v>8552</v>
      </c>
      <c r="X2301" s="65"/>
      <c r="Y2301" s="68"/>
      <c r="Z2301" s="65" t="b">
        <f>TRUE()</f>
        <v>1</v>
      </c>
      <c r="AA2301" s="65" t="b">
        <f>TRUE()</f>
        <v>1</v>
      </c>
      <c r="AB2301" s="65" t="b">
        <f>FALSE()</f>
        <v>0</v>
      </c>
      <c r="AC2301" s="65" t="b">
        <f>FALSE()</f>
        <v>0</v>
      </c>
      <c r="AD2301" s="65" t="b">
        <f>FALSE()</f>
        <v>0</v>
      </c>
      <c r="AE2301" s="65">
        <v>3</v>
      </c>
      <c r="AF2301" s="69">
        <v>42.9</v>
      </c>
      <c r="AG2301" s="65" t="s">
        <v>73</v>
      </c>
      <c r="AH2301" s="65" t="s">
        <v>8553</v>
      </c>
      <c r="AI2301">
        <f>IF(AND(OR(Company_Explorer!$B$5="All Companies",$E2301=Company_Explorer!$B$5),OR(Company_Explorer!$B$6="All Platforms",$B2301=Company_Explorer!$B$6),OR(Company_Explorer!$B$7="All Roles",$D2301=Company_Explorer!$B$7),OR(Company_Explorer!$B$8="All Ghost Labels",$AG2301=Company_Explorer!$B$8)),1,0)</f>
        <v>0</v>
      </c>
    </row>
    <row r="2302" spans="1:35" ht="15" customHeight="1" x14ac:dyDescent="0.3">
      <c r="A2302" s="60" t="s">
        <v>8554</v>
      </c>
      <c r="B2302" s="60" t="s">
        <v>82</v>
      </c>
      <c r="C2302" s="60" t="s">
        <v>8555</v>
      </c>
      <c r="D2302" s="60" t="s">
        <v>125</v>
      </c>
      <c r="E2302" s="60" t="s">
        <v>8556</v>
      </c>
      <c r="F2302" s="60" t="b">
        <f>TRUE()</f>
        <v>1</v>
      </c>
      <c r="G2302" s="60" t="s">
        <v>269</v>
      </c>
      <c r="H2302" s="60" t="s">
        <v>270</v>
      </c>
      <c r="I2302" s="61">
        <v>46193</v>
      </c>
      <c r="J2302" s="61">
        <v>46210.2857312384</v>
      </c>
      <c r="K2302" s="60">
        <v>137</v>
      </c>
      <c r="L2302" s="60" t="s">
        <v>195</v>
      </c>
      <c r="M2302" s="60" t="s">
        <v>183</v>
      </c>
      <c r="N2302" s="60" t="b">
        <f>TRUE()</f>
        <v>1</v>
      </c>
      <c r="O2302" s="70">
        <v>233400</v>
      </c>
      <c r="P2302" s="70">
        <v>406000</v>
      </c>
      <c r="Q2302" s="60" t="s">
        <v>3663</v>
      </c>
      <c r="R2302" s="60" t="s">
        <v>7351</v>
      </c>
      <c r="S2302" s="70">
        <v>319700</v>
      </c>
      <c r="T2302" s="60" t="b">
        <f>TRUE()</f>
        <v>1</v>
      </c>
      <c r="U2302" s="60" t="b">
        <f>FALSE()</f>
        <v>0</v>
      </c>
      <c r="V2302" s="60">
        <v>452</v>
      </c>
      <c r="W2302" s="62" t="s">
        <v>8557</v>
      </c>
      <c r="X2302" s="60">
        <v>1</v>
      </c>
      <c r="Y2302" s="63">
        <v>0.24</v>
      </c>
      <c r="Z2302" s="60" t="b">
        <f>FALSE()</f>
        <v>0</v>
      </c>
      <c r="AA2302" s="60" t="b">
        <f>FALSE()</f>
        <v>0</v>
      </c>
      <c r="AB2302" s="60" t="b">
        <f>FALSE()</f>
        <v>0</v>
      </c>
      <c r="AC2302" s="60" t="b">
        <f>TRUE()</f>
        <v>1</v>
      </c>
      <c r="AD2302" s="60" t="b">
        <f>FALSE()</f>
        <v>0</v>
      </c>
      <c r="AE2302" s="60">
        <v>1</v>
      </c>
      <c r="AF2302" s="64">
        <v>14.3</v>
      </c>
      <c r="AG2302" s="60" t="s">
        <v>74</v>
      </c>
      <c r="AH2302" s="60" t="s">
        <v>8558</v>
      </c>
      <c r="AI2302">
        <f>IF(AND(OR(Company_Explorer!$B$5="All Companies",$E2302=Company_Explorer!$B$5),OR(Company_Explorer!$B$6="All Platforms",$B2302=Company_Explorer!$B$6),OR(Company_Explorer!$B$7="All Roles",$D2302=Company_Explorer!$B$7),OR(Company_Explorer!$B$8="All Ghost Labels",$AG2302=Company_Explorer!$B$8)),1,0)</f>
        <v>0</v>
      </c>
    </row>
    <row r="2303" spans="1:35" ht="15" customHeight="1" x14ac:dyDescent="0.3">
      <c r="A2303" s="65" t="s">
        <v>8559</v>
      </c>
      <c r="B2303" s="65" t="s">
        <v>82</v>
      </c>
      <c r="C2303" s="65" t="s">
        <v>8560</v>
      </c>
      <c r="D2303" s="65" t="s">
        <v>125</v>
      </c>
      <c r="E2303" s="65" t="s">
        <v>150</v>
      </c>
      <c r="F2303" s="65" t="b">
        <f>TRUE()</f>
        <v>1</v>
      </c>
      <c r="G2303" s="65" t="s">
        <v>165</v>
      </c>
      <c r="H2303" s="65" t="s">
        <v>165</v>
      </c>
      <c r="I2303" s="66">
        <v>46182</v>
      </c>
      <c r="J2303" s="66">
        <v>46210.2857350579</v>
      </c>
      <c r="K2303" s="65">
        <v>29</v>
      </c>
      <c r="L2303" s="65" t="s">
        <v>192</v>
      </c>
      <c r="M2303" s="65" t="s">
        <v>183</v>
      </c>
      <c r="N2303" s="65" t="b">
        <f>FALSE()</f>
        <v>0</v>
      </c>
      <c r="O2303" s="65"/>
      <c r="P2303" s="65"/>
      <c r="Q2303" s="65" t="s">
        <v>3663</v>
      </c>
      <c r="R2303" s="65" t="s">
        <v>236</v>
      </c>
      <c r="S2303" s="65"/>
      <c r="T2303" s="65" t="b">
        <f>FALSE()</f>
        <v>0</v>
      </c>
      <c r="U2303" s="65" t="b">
        <f>FALSE()</f>
        <v>0</v>
      </c>
      <c r="V2303" s="65">
        <v>359</v>
      </c>
      <c r="W2303" s="67" t="s">
        <v>3698</v>
      </c>
      <c r="X2303" s="65">
        <v>18</v>
      </c>
      <c r="Y2303" s="68">
        <v>4.34</v>
      </c>
      <c r="Z2303" s="65" t="b">
        <f>FALSE()</f>
        <v>0</v>
      </c>
      <c r="AA2303" s="65" t="b">
        <f>TRUE()</f>
        <v>1</v>
      </c>
      <c r="AB2303" s="65" t="b">
        <f>FALSE()</f>
        <v>0</v>
      </c>
      <c r="AC2303" s="65" t="b">
        <f>FALSE()</f>
        <v>0</v>
      </c>
      <c r="AD2303" s="65" t="b">
        <f>TRUE()</f>
        <v>1</v>
      </c>
      <c r="AE2303" s="65">
        <v>3</v>
      </c>
      <c r="AF2303" s="69">
        <v>42.9</v>
      </c>
      <c r="AG2303" s="65" t="s">
        <v>73</v>
      </c>
      <c r="AH2303" s="65" t="s">
        <v>8561</v>
      </c>
      <c r="AI2303">
        <f>IF(AND(OR(Company_Explorer!$B$5="All Companies",$E2303=Company_Explorer!$B$5),OR(Company_Explorer!$B$6="All Platforms",$B2303=Company_Explorer!$B$6),OR(Company_Explorer!$B$7="All Roles",$D2303=Company_Explorer!$B$7),OR(Company_Explorer!$B$8="All Ghost Labels",$AG2303=Company_Explorer!$B$8)),1,0)</f>
        <v>0</v>
      </c>
    </row>
    <row r="2304" spans="1:35" ht="15" customHeight="1" x14ac:dyDescent="0.3">
      <c r="A2304" s="60" t="s">
        <v>8562</v>
      </c>
      <c r="B2304" s="60" t="s">
        <v>82</v>
      </c>
      <c r="C2304" s="60" t="s">
        <v>8474</v>
      </c>
      <c r="D2304" s="60" t="s">
        <v>128</v>
      </c>
      <c r="E2304" s="60" t="s">
        <v>7473</v>
      </c>
      <c r="F2304" s="60" t="b">
        <f>TRUE()</f>
        <v>1</v>
      </c>
      <c r="G2304" s="60" t="s">
        <v>167</v>
      </c>
      <c r="H2304" s="60" t="s">
        <v>276</v>
      </c>
      <c r="I2304" s="61">
        <v>46189</v>
      </c>
      <c r="J2304" s="61">
        <v>46210.285735463003</v>
      </c>
      <c r="K2304" s="60">
        <v>21</v>
      </c>
      <c r="L2304" s="60" t="s">
        <v>192</v>
      </c>
      <c r="M2304" s="60" t="s">
        <v>183</v>
      </c>
      <c r="N2304" s="60" t="b">
        <f>FALSE()</f>
        <v>0</v>
      </c>
      <c r="O2304" s="60"/>
      <c r="P2304" s="60"/>
      <c r="Q2304" s="60" t="s">
        <v>3663</v>
      </c>
      <c r="R2304" s="60" t="s">
        <v>236</v>
      </c>
      <c r="S2304" s="60"/>
      <c r="T2304" s="60" t="b">
        <f>FALSE()</f>
        <v>0</v>
      </c>
      <c r="U2304" s="60" t="b">
        <f>FALSE()</f>
        <v>0</v>
      </c>
      <c r="V2304" s="60">
        <v>592</v>
      </c>
      <c r="W2304" s="62" t="s">
        <v>8563</v>
      </c>
      <c r="X2304" s="60">
        <v>4</v>
      </c>
      <c r="Y2304" s="63">
        <v>0.97</v>
      </c>
      <c r="Z2304" s="60" t="b">
        <f>FALSE()</f>
        <v>0</v>
      </c>
      <c r="AA2304" s="60" t="b">
        <f>TRUE()</f>
        <v>1</v>
      </c>
      <c r="AB2304" s="60" t="b">
        <f>FALSE()</f>
        <v>0</v>
      </c>
      <c r="AC2304" s="60" t="b">
        <f>FALSE()</f>
        <v>0</v>
      </c>
      <c r="AD2304" s="60" t="b">
        <f>FALSE()</f>
        <v>0</v>
      </c>
      <c r="AE2304" s="60">
        <v>1</v>
      </c>
      <c r="AF2304" s="64">
        <v>14.3</v>
      </c>
      <c r="AG2304" s="60" t="s">
        <v>74</v>
      </c>
      <c r="AH2304" s="60" t="s">
        <v>8564</v>
      </c>
      <c r="AI2304">
        <f>IF(AND(OR(Company_Explorer!$B$5="All Companies",$E2304=Company_Explorer!$B$5),OR(Company_Explorer!$B$6="All Platforms",$B2304=Company_Explorer!$B$6),OR(Company_Explorer!$B$7="All Roles",$D2304=Company_Explorer!$B$7),OR(Company_Explorer!$B$8="All Ghost Labels",$AG2304=Company_Explorer!$B$8)),1,0)</f>
        <v>0</v>
      </c>
    </row>
    <row r="2305" spans="1:35" ht="15" customHeight="1" x14ac:dyDescent="0.3">
      <c r="A2305" s="65" t="s">
        <v>8565</v>
      </c>
      <c r="B2305" s="65" t="s">
        <v>82</v>
      </c>
      <c r="C2305" s="65" t="s">
        <v>133</v>
      </c>
      <c r="D2305" s="65" t="s">
        <v>133</v>
      </c>
      <c r="E2305" s="65" t="s">
        <v>3726</v>
      </c>
      <c r="F2305" s="65" t="b">
        <f>FALSE()</f>
        <v>0</v>
      </c>
      <c r="G2305" s="65" t="s">
        <v>165</v>
      </c>
      <c r="H2305" s="65" t="s">
        <v>165</v>
      </c>
      <c r="I2305" s="66">
        <v>46193</v>
      </c>
      <c r="J2305" s="66">
        <v>46210.285735497702</v>
      </c>
      <c r="K2305" s="65">
        <v>17</v>
      </c>
      <c r="L2305" s="65" t="s">
        <v>193</v>
      </c>
      <c r="M2305" s="65" t="s">
        <v>183</v>
      </c>
      <c r="N2305" s="65" t="b">
        <f>TRUE()</f>
        <v>1</v>
      </c>
      <c r="O2305" s="71">
        <v>75000</v>
      </c>
      <c r="P2305" s="71">
        <v>110000</v>
      </c>
      <c r="Q2305" s="65" t="s">
        <v>3663</v>
      </c>
      <c r="R2305" s="65" t="s">
        <v>7445</v>
      </c>
      <c r="S2305" s="71">
        <v>1110000</v>
      </c>
      <c r="T2305" s="65" t="b">
        <f>TRUE()</f>
        <v>1</v>
      </c>
      <c r="U2305" s="65" t="b">
        <f>FALSE()</f>
        <v>0</v>
      </c>
      <c r="V2305" s="65">
        <v>375</v>
      </c>
      <c r="W2305" s="67" t="s">
        <v>8566</v>
      </c>
      <c r="X2305" s="65"/>
      <c r="Y2305" s="68"/>
      <c r="Z2305" s="65" t="b">
        <f>TRUE()</f>
        <v>1</v>
      </c>
      <c r="AA2305" s="65" t="b">
        <f>FALSE()</f>
        <v>0</v>
      </c>
      <c r="AB2305" s="65" t="b">
        <f>FALSE()</f>
        <v>0</v>
      </c>
      <c r="AC2305" s="65" t="b">
        <f>FALSE()</f>
        <v>0</v>
      </c>
      <c r="AD2305" s="65" t="b">
        <f>FALSE()</f>
        <v>0</v>
      </c>
      <c r="AE2305" s="65">
        <v>2</v>
      </c>
      <c r="AF2305" s="69">
        <v>28.6</v>
      </c>
      <c r="AG2305" s="65" t="s">
        <v>73</v>
      </c>
      <c r="AH2305" s="65" t="s">
        <v>8567</v>
      </c>
      <c r="AI2305">
        <f>IF(AND(OR(Company_Explorer!$B$5="All Companies",$E2305=Company_Explorer!$B$5),OR(Company_Explorer!$B$6="All Platforms",$B2305=Company_Explorer!$B$6),OR(Company_Explorer!$B$7="All Roles",$D2305=Company_Explorer!$B$7),OR(Company_Explorer!$B$8="All Ghost Labels",$AG2305=Company_Explorer!$B$8)),1,0)</f>
        <v>0</v>
      </c>
    </row>
    <row r="2306" spans="1:35" ht="15" customHeight="1" x14ac:dyDescent="0.3">
      <c r="A2306" s="60" t="s">
        <v>8568</v>
      </c>
      <c r="B2306" s="60" t="s">
        <v>82</v>
      </c>
      <c r="C2306" s="60" t="s">
        <v>8569</v>
      </c>
      <c r="D2306" s="60" t="s">
        <v>128</v>
      </c>
      <c r="E2306" s="60" t="s">
        <v>8570</v>
      </c>
      <c r="F2306" s="60" t="b">
        <f>TRUE()</f>
        <v>1</v>
      </c>
      <c r="G2306" s="60" t="s">
        <v>165</v>
      </c>
      <c r="H2306" s="60" t="s">
        <v>165</v>
      </c>
      <c r="I2306" s="61">
        <v>46203</v>
      </c>
      <c r="J2306" s="61">
        <v>46210.285735798599</v>
      </c>
      <c r="K2306" s="60">
        <v>190</v>
      </c>
      <c r="L2306" s="60" t="s">
        <v>192</v>
      </c>
      <c r="M2306" s="60" t="s">
        <v>183</v>
      </c>
      <c r="N2306" s="60" t="b">
        <f>FALSE()</f>
        <v>0</v>
      </c>
      <c r="O2306" s="60"/>
      <c r="P2306" s="60"/>
      <c r="Q2306" s="60" t="s">
        <v>3663</v>
      </c>
      <c r="R2306" s="60" t="s">
        <v>236</v>
      </c>
      <c r="S2306" s="60"/>
      <c r="T2306" s="60" t="b">
        <f>FALSE()</f>
        <v>0</v>
      </c>
      <c r="U2306" s="60" t="b">
        <f>FALSE()</f>
        <v>0</v>
      </c>
      <c r="V2306" s="60">
        <v>937</v>
      </c>
      <c r="W2306" s="62" t="s">
        <v>8571</v>
      </c>
      <c r="X2306" s="60">
        <v>1</v>
      </c>
      <c r="Y2306" s="63">
        <v>0.24</v>
      </c>
      <c r="Z2306" s="60" t="b">
        <f>FALSE()</f>
        <v>0</v>
      </c>
      <c r="AA2306" s="60" t="b">
        <f>TRUE()</f>
        <v>1</v>
      </c>
      <c r="AB2306" s="60" t="b">
        <f>FALSE()</f>
        <v>0</v>
      </c>
      <c r="AC2306" s="60" t="b">
        <f>TRUE()</f>
        <v>1</v>
      </c>
      <c r="AD2306" s="60" t="b">
        <f>FALSE()</f>
        <v>0</v>
      </c>
      <c r="AE2306" s="60">
        <v>2</v>
      </c>
      <c r="AF2306" s="64">
        <v>28.6</v>
      </c>
      <c r="AG2306" s="60" t="s">
        <v>73</v>
      </c>
      <c r="AH2306" s="60" t="s">
        <v>8572</v>
      </c>
      <c r="AI2306">
        <f>IF(AND(OR(Company_Explorer!$B$5="All Companies",$E2306=Company_Explorer!$B$5),OR(Company_Explorer!$B$6="All Platforms",$B2306=Company_Explorer!$B$6),OR(Company_Explorer!$B$7="All Roles",$D2306=Company_Explorer!$B$7),OR(Company_Explorer!$B$8="All Ghost Labels",$AG2306=Company_Explorer!$B$8)),1,0)</f>
        <v>0</v>
      </c>
    </row>
    <row r="2307" spans="1:35" ht="15" customHeight="1" x14ac:dyDescent="0.3">
      <c r="A2307" s="65" t="s">
        <v>8573</v>
      </c>
      <c r="B2307" s="65" t="s">
        <v>82</v>
      </c>
      <c r="C2307" s="65" t="s">
        <v>8574</v>
      </c>
      <c r="D2307" s="65" t="s">
        <v>128</v>
      </c>
      <c r="E2307" s="65" t="s">
        <v>8575</v>
      </c>
      <c r="F2307" s="65" t="b">
        <f>TRUE()</f>
        <v>1</v>
      </c>
      <c r="G2307" s="65" t="s">
        <v>165</v>
      </c>
      <c r="H2307" s="65" t="s">
        <v>165</v>
      </c>
      <c r="I2307" s="66">
        <v>46201</v>
      </c>
      <c r="J2307" s="66">
        <v>46210.285739479201</v>
      </c>
      <c r="K2307" s="65">
        <v>101</v>
      </c>
      <c r="L2307" s="65" t="s">
        <v>192</v>
      </c>
      <c r="M2307" s="65" t="s">
        <v>183</v>
      </c>
      <c r="N2307" s="65" t="b">
        <f>FALSE()</f>
        <v>0</v>
      </c>
      <c r="O2307" s="65"/>
      <c r="P2307" s="65"/>
      <c r="Q2307" s="65" t="s">
        <v>3663</v>
      </c>
      <c r="R2307" s="65" t="s">
        <v>236</v>
      </c>
      <c r="S2307" s="65"/>
      <c r="T2307" s="65" t="b">
        <f>FALSE()</f>
        <v>0</v>
      </c>
      <c r="U2307" s="65" t="b">
        <f>FALSE()</f>
        <v>0</v>
      </c>
      <c r="V2307" s="65">
        <v>456</v>
      </c>
      <c r="W2307" s="67" t="s">
        <v>8576</v>
      </c>
      <c r="X2307" s="65">
        <v>1</v>
      </c>
      <c r="Y2307" s="68">
        <v>0.24</v>
      </c>
      <c r="Z2307" s="65" t="b">
        <f>FALSE()</f>
        <v>0</v>
      </c>
      <c r="AA2307" s="65" t="b">
        <f>TRUE()</f>
        <v>1</v>
      </c>
      <c r="AB2307" s="65" t="b">
        <f>FALSE()</f>
        <v>0</v>
      </c>
      <c r="AC2307" s="65" t="b">
        <f>FALSE()</f>
        <v>0</v>
      </c>
      <c r="AD2307" s="65" t="b">
        <f>FALSE()</f>
        <v>0</v>
      </c>
      <c r="AE2307" s="65">
        <v>1</v>
      </c>
      <c r="AF2307" s="69">
        <v>14.3</v>
      </c>
      <c r="AG2307" s="65" t="s">
        <v>74</v>
      </c>
      <c r="AH2307" s="65" t="s">
        <v>8577</v>
      </c>
      <c r="AI2307">
        <f>IF(AND(OR(Company_Explorer!$B$5="All Companies",$E2307=Company_Explorer!$B$5),OR(Company_Explorer!$B$6="All Platforms",$B2307=Company_Explorer!$B$6),OR(Company_Explorer!$B$7="All Roles",$D2307=Company_Explorer!$B$7),OR(Company_Explorer!$B$8="All Ghost Labels",$AG2307=Company_Explorer!$B$8)),1,0)</f>
        <v>0</v>
      </c>
    </row>
    <row r="2308" spans="1:35" ht="15" customHeight="1" x14ac:dyDescent="0.3">
      <c r="A2308" s="60" t="s">
        <v>8578</v>
      </c>
      <c r="B2308" s="60" t="s">
        <v>82</v>
      </c>
      <c r="C2308" s="60" t="s">
        <v>132</v>
      </c>
      <c r="D2308" s="60" t="s">
        <v>132</v>
      </c>
      <c r="E2308" s="60" t="s">
        <v>8579</v>
      </c>
      <c r="F2308" s="60" t="b">
        <f>TRUE()</f>
        <v>1</v>
      </c>
      <c r="G2308" s="60" t="s">
        <v>167</v>
      </c>
      <c r="H2308" s="60" t="s">
        <v>276</v>
      </c>
      <c r="I2308" s="61">
        <v>46209</v>
      </c>
      <c r="J2308" s="61">
        <v>46210.285739838</v>
      </c>
      <c r="K2308" s="60">
        <v>31</v>
      </c>
      <c r="L2308" s="60" t="s">
        <v>192</v>
      </c>
      <c r="M2308" s="60" t="s">
        <v>183</v>
      </c>
      <c r="N2308" s="60" t="b">
        <f>FALSE()</f>
        <v>0</v>
      </c>
      <c r="O2308" s="60"/>
      <c r="P2308" s="60"/>
      <c r="Q2308" s="60" t="s">
        <v>3663</v>
      </c>
      <c r="R2308" s="60" t="s">
        <v>236</v>
      </c>
      <c r="S2308" s="60"/>
      <c r="T2308" s="60" t="b">
        <f>FALSE()</f>
        <v>0</v>
      </c>
      <c r="U2308" s="60" t="b">
        <f>FALSE()</f>
        <v>0</v>
      </c>
      <c r="V2308" s="60">
        <v>1584</v>
      </c>
      <c r="W2308" s="62" t="s">
        <v>8580</v>
      </c>
      <c r="X2308" s="60">
        <v>2</v>
      </c>
      <c r="Y2308" s="63">
        <v>0.48</v>
      </c>
      <c r="Z2308" s="60" t="b">
        <f>FALSE()</f>
        <v>0</v>
      </c>
      <c r="AA2308" s="60" t="b">
        <f>TRUE()</f>
        <v>1</v>
      </c>
      <c r="AB2308" s="60" t="b">
        <f>FALSE()</f>
        <v>0</v>
      </c>
      <c r="AC2308" s="60" t="b">
        <f>FALSE()</f>
        <v>0</v>
      </c>
      <c r="AD2308" s="60" t="b">
        <f>FALSE()</f>
        <v>0</v>
      </c>
      <c r="AE2308" s="60">
        <v>1</v>
      </c>
      <c r="AF2308" s="64">
        <v>14.3</v>
      </c>
      <c r="AG2308" s="60" t="s">
        <v>74</v>
      </c>
      <c r="AH2308" s="60" t="s">
        <v>8581</v>
      </c>
      <c r="AI2308">
        <f>IF(AND(OR(Company_Explorer!$B$5="All Companies",$E2308=Company_Explorer!$B$5),OR(Company_Explorer!$B$6="All Platforms",$B2308=Company_Explorer!$B$6),OR(Company_Explorer!$B$7="All Roles",$D2308=Company_Explorer!$B$7),OR(Company_Explorer!$B$8="All Ghost Labels",$AG2308=Company_Explorer!$B$8)),1,0)</f>
        <v>0</v>
      </c>
    </row>
    <row r="2309" spans="1:35" ht="15" customHeight="1" x14ac:dyDescent="0.3">
      <c r="A2309" s="65" t="s">
        <v>8582</v>
      </c>
      <c r="B2309" s="65" t="s">
        <v>82</v>
      </c>
      <c r="C2309" s="65" t="s">
        <v>8583</v>
      </c>
      <c r="D2309" s="65" t="s">
        <v>126</v>
      </c>
      <c r="E2309" s="65" t="s">
        <v>8584</v>
      </c>
      <c r="F2309" s="65" t="b">
        <f>TRUE()</f>
        <v>1</v>
      </c>
      <c r="G2309" s="65" t="s">
        <v>165</v>
      </c>
      <c r="H2309" s="65" t="s">
        <v>165</v>
      </c>
      <c r="I2309" s="66">
        <v>46191</v>
      </c>
      <c r="J2309" s="66">
        <v>46210.285742789398</v>
      </c>
      <c r="K2309" s="65">
        <v>19</v>
      </c>
      <c r="L2309" s="65" t="s">
        <v>192</v>
      </c>
      <c r="M2309" s="65" t="s">
        <v>183</v>
      </c>
      <c r="N2309" s="65" t="b">
        <f>TRUE()</f>
        <v>1</v>
      </c>
      <c r="O2309" s="71">
        <v>700000</v>
      </c>
      <c r="P2309" s="71">
        <v>2000000</v>
      </c>
      <c r="Q2309" s="65" t="s">
        <v>3663</v>
      </c>
      <c r="R2309" s="65" t="s">
        <v>7351</v>
      </c>
      <c r="S2309" s="71">
        <v>1350000</v>
      </c>
      <c r="T2309" s="65" t="b">
        <f>TRUE()</f>
        <v>1</v>
      </c>
      <c r="U2309" s="65" t="b">
        <f>FALSE()</f>
        <v>0</v>
      </c>
      <c r="V2309" s="65">
        <v>82</v>
      </c>
      <c r="W2309" s="67" t="s">
        <v>8585</v>
      </c>
      <c r="X2309" s="65">
        <v>1</v>
      </c>
      <c r="Y2309" s="68">
        <v>0.24</v>
      </c>
      <c r="Z2309" s="65" t="b">
        <f>FALSE()</f>
        <v>0</v>
      </c>
      <c r="AA2309" s="65" t="b">
        <f>FALSE()</f>
        <v>0</v>
      </c>
      <c r="AB2309" s="65" t="b">
        <f>TRUE()</f>
        <v>1</v>
      </c>
      <c r="AC2309" s="65" t="b">
        <f>FALSE()</f>
        <v>0</v>
      </c>
      <c r="AD2309" s="65" t="b">
        <f>FALSE()</f>
        <v>0</v>
      </c>
      <c r="AE2309" s="65">
        <v>1</v>
      </c>
      <c r="AF2309" s="69">
        <v>14.3</v>
      </c>
      <c r="AG2309" s="65" t="s">
        <v>74</v>
      </c>
      <c r="AH2309" s="65" t="s">
        <v>8586</v>
      </c>
      <c r="AI2309">
        <f>IF(AND(OR(Company_Explorer!$B$5="All Companies",$E2309=Company_Explorer!$B$5),OR(Company_Explorer!$B$6="All Platforms",$B2309=Company_Explorer!$B$6),OR(Company_Explorer!$B$7="All Roles",$D2309=Company_Explorer!$B$7),OR(Company_Explorer!$B$8="All Ghost Labels",$AG2309=Company_Explorer!$B$8)),1,0)</f>
        <v>0</v>
      </c>
    </row>
    <row r="2310" spans="1:35" ht="15" customHeight="1" x14ac:dyDescent="0.3">
      <c r="A2310" s="60" t="s">
        <v>8587</v>
      </c>
      <c r="B2310" s="60" t="s">
        <v>82</v>
      </c>
      <c r="C2310" s="60" t="s">
        <v>8588</v>
      </c>
      <c r="D2310" s="60" t="s">
        <v>126</v>
      </c>
      <c r="E2310" s="60" t="s">
        <v>3726</v>
      </c>
      <c r="F2310" s="60" t="b">
        <f>FALSE()</f>
        <v>0</v>
      </c>
      <c r="G2310" s="60" t="s">
        <v>8589</v>
      </c>
      <c r="H2310" s="60" t="s">
        <v>2385</v>
      </c>
      <c r="I2310" s="61">
        <v>46210</v>
      </c>
      <c r="J2310" s="61">
        <v>46210.2857427083</v>
      </c>
      <c r="K2310" s="60">
        <v>1</v>
      </c>
      <c r="L2310" s="60" t="s">
        <v>192</v>
      </c>
      <c r="M2310" s="60" t="s">
        <v>183</v>
      </c>
      <c r="N2310" s="60" t="b">
        <f>TRUE()</f>
        <v>1</v>
      </c>
      <c r="O2310" s="70">
        <v>20000</v>
      </c>
      <c r="P2310" s="70">
        <v>53833.167999999998</v>
      </c>
      <c r="Q2310" s="60" t="s">
        <v>3663</v>
      </c>
      <c r="R2310" s="60" t="s">
        <v>7445</v>
      </c>
      <c r="S2310" s="70">
        <v>442999</v>
      </c>
      <c r="T2310" s="60" t="b">
        <f>TRUE()</f>
        <v>1</v>
      </c>
      <c r="U2310" s="60" t="b">
        <f>FALSE()</f>
        <v>0</v>
      </c>
      <c r="V2310" s="60">
        <v>432</v>
      </c>
      <c r="W2310" s="62" t="s">
        <v>8590</v>
      </c>
      <c r="X2310" s="60"/>
      <c r="Y2310" s="63"/>
      <c r="Z2310" s="60" t="b">
        <f>TRUE()</f>
        <v>1</v>
      </c>
      <c r="AA2310" s="60" t="b">
        <f>FALSE()</f>
        <v>0</v>
      </c>
      <c r="AB2310" s="60" t="b">
        <f>FALSE()</f>
        <v>0</v>
      </c>
      <c r="AC2310" s="60" t="b">
        <f>FALSE()</f>
        <v>0</v>
      </c>
      <c r="AD2310" s="60" t="b">
        <f>FALSE()</f>
        <v>0</v>
      </c>
      <c r="AE2310" s="60">
        <v>2</v>
      </c>
      <c r="AF2310" s="64">
        <v>28.6</v>
      </c>
      <c r="AG2310" s="60" t="s">
        <v>73</v>
      </c>
      <c r="AH2310" s="60" t="s">
        <v>8591</v>
      </c>
      <c r="AI2310">
        <f>IF(AND(OR(Company_Explorer!$B$5="All Companies",$E2310=Company_Explorer!$B$5),OR(Company_Explorer!$B$6="All Platforms",$B2310=Company_Explorer!$B$6),OR(Company_Explorer!$B$7="All Roles",$D2310=Company_Explorer!$B$7),OR(Company_Explorer!$B$8="All Ghost Labels",$AG2310=Company_Explorer!$B$8)),1,0)</f>
        <v>0</v>
      </c>
    </row>
    <row r="2311" spans="1:35" ht="15" customHeight="1" x14ac:dyDescent="0.3">
      <c r="A2311" s="65" t="s">
        <v>8592</v>
      </c>
      <c r="B2311" s="65" t="s">
        <v>82</v>
      </c>
      <c r="C2311" s="65" t="s">
        <v>8593</v>
      </c>
      <c r="D2311" s="65" t="s">
        <v>128</v>
      </c>
      <c r="E2311" s="65" t="s">
        <v>8594</v>
      </c>
      <c r="F2311" s="65" t="b">
        <f>TRUE()</f>
        <v>1</v>
      </c>
      <c r="G2311" s="65" t="s">
        <v>165</v>
      </c>
      <c r="H2311" s="65" t="s">
        <v>165</v>
      </c>
      <c r="I2311" s="66">
        <v>46205</v>
      </c>
      <c r="J2311" s="66">
        <v>46210.285743078697</v>
      </c>
      <c r="K2311" s="65">
        <v>127</v>
      </c>
      <c r="L2311" s="65" t="s">
        <v>192</v>
      </c>
      <c r="M2311" s="65" t="s">
        <v>183</v>
      </c>
      <c r="N2311" s="65" t="b">
        <f>FALSE()</f>
        <v>0</v>
      </c>
      <c r="O2311" s="65"/>
      <c r="P2311" s="65"/>
      <c r="Q2311" s="65" t="s">
        <v>3663</v>
      </c>
      <c r="R2311" s="65" t="s">
        <v>236</v>
      </c>
      <c r="S2311" s="65"/>
      <c r="T2311" s="65" t="b">
        <f>FALSE()</f>
        <v>0</v>
      </c>
      <c r="U2311" s="65" t="b">
        <f>FALSE()</f>
        <v>0</v>
      </c>
      <c r="V2311" s="65">
        <v>458</v>
      </c>
      <c r="W2311" s="67" t="s">
        <v>8595</v>
      </c>
      <c r="X2311" s="65">
        <v>1</v>
      </c>
      <c r="Y2311" s="68">
        <v>0.24</v>
      </c>
      <c r="Z2311" s="65" t="b">
        <f>FALSE()</f>
        <v>0</v>
      </c>
      <c r="AA2311" s="65" t="b">
        <f>TRUE()</f>
        <v>1</v>
      </c>
      <c r="AB2311" s="65" t="b">
        <f>FALSE()</f>
        <v>0</v>
      </c>
      <c r="AC2311" s="65" t="b">
        <f>TRUE()</f>
        <v>1</v>
      </c>
      <c r="AD2311" s="65" t="b">
        <f>FALSE()</f>
        <v>0</v>
      </c>
      <c r="AE2311" s="65">
        <v>2</v>
      </c>
      <c r="AF2311" s="69">
        <v>28.6</v>
      </c>
      <c r="AG2311" s="65" t="s">
        <v>73</v>
      </c>
      <c r="AH2311" s="65" t="s">
        <v>8596</v>
      </c>
      <c r="AI2311">
        <f>IF(AND(OR(Company_Explorer!$B$5="All Companies",$E2311=Company_Explorer!$B$5),OR(Company_Explorer!$B$6="All Platforms",$B2311=Company_Explorer!$B$6),OR(Company_Explorer!$B$7="All Roles",$D2311=Company_Explorer!$B$7),OR(Company_Explorer!$B$8="All Ghost Labels",$AG2311=Company_Explorer!$B$8)),1,0)</f>
        <v>0</v>
      </c>
    </row>
    <row r="2312" spans="1:35" ht="15" customHeight="1" x14ac:dyDescent="0.3">
      <c r="A2312" s="60" t="s">
        <v>8597</v>
      </c>
      <c r="B2312" s="60" t="s">
        <v>82</v>
      </c>
      <c r="C2312" s="60" t="s">
        <v>8598</v>
      </c>
      <c r="D2312" s="60" t="s">
        <v>133</v>
      </c>
      <c r="E2312" s="60" t="s">
        <v>7730</v>
      </c>
      <c r="F2312" s="60" t="b">
        <f>TRUE()</f>
        <v>1</v>
      </c>
      <c r="G2312" s="60" t="s">
        <v>165</v>
      </c>
      <c r="H2312" s="60" t="s">
        <v>165</v>
      </c>
      <c r="I2312" s="61">
        <v>46197</v>
      </c>
      <c r="J2312" s="61">
        <v>46210.285744768502</v>
      </c>
      <c r="K2312" s="60">
        <v>105</v>
      </c>
      <c r="L2312" s="60" t="s">
        <v>192</v>
      </c>
      <c r="M2312" s="60" t="s">
        <v>183</v>
      </c>
      <c r="N2312" s="60" t="b">
        <f>FALSE()</f>
        <v>0</v>
      </c>
      <c r="O2312" s="60"/>
      <c r="P2312" s="60"/>
      <c r="Q2312" s="60" t="s">
        <v>3663</v>
      </c>
      <c r="R2312" s="60" t="s">
        <v>236</v>
      </c>
      <c r="S2312" s="60"/>
      <c r="T2312" s="60" t="b">
        <f>FALSE()</f>
        <v>0</v>
      </c>
      <c r="U2312" s="60" t="b">
        <f>FALSE()</f>
        <v>0</v>
      </c>
      <c r="V2312" s="60">
        <v>337</v>
      </c>
      <c r="W2312" s="62" t="s">
        <v>8599</v>
      </c>
      <c r="X2312" s="60">
        <v>7</v>
      </c>
      <c r="Y2312" s="63">
        <v>1.69</v>
      </c>
      <c r="Z2312" s="60" t="b">
        <f>FALSE()</f>
        <v>0</v>
      </c>
      <c r="AA2312" s="60" t="b">
        <f>TRUE()</f>
        <v>1</v>
      </c>
      <c r="AB2312" s="60" t="b">
        <f>FALSE()</f>
        <v>0</v>
      </c>
      <c r="AC2312" s="60" t="b">
        <f>FALSE()</f>
        <v>0</v>
      </c>
      <c r="AD2312" s="60" t="b">
        <f>FALSE()</f>
        <v>0</v>
      </c>
      <c r="AE2312" s="60">
        <v>1</v>
      </c>
      <c r="AF2312" s="64">
        <v>14.3</v>
      </c>
      <c r="AG2312" s="60" t="s">
        <v>74</v>
      </c>
      <c r="AH2312" s="60" t="s">
        <v>8600</v>
      </c>
      <c r="AI2312">
        <f>IF(AND(OR(Company_Explorer!$B$5="All Companies",$E2312=Company_Explorer!$B$5),OR(Company_Explorer!$B$6="All Platforms",$B2312=Company_Explorer!$B$6),OR(Company_Explorer!$B$7="All Roles",$D2312=Company_Explorer!$B$7),OR(Company_Explorer!$B$8="All Ghost Labels",$AG2312=Company_Explorer!$B$8)),1,0)</f>
        <v>0</v>
      </c>
    </row>
    <row r="2313" spans="1:35" ht="15" customHeight="1" x14ac:dyDescent="0.3">
      <c r="A2313" s="65" t="s">
        <v>8601</v>
      </c>
      <c r="B2313" s="65" t="s">
        <v>82</v>
      </c>
      <c r="C2313" s="65" t="s">
        <v>8602</v>
      </c>
      <c r="D2313" s="65" t="s">
        <v>128</v>
      </c>
      <c r="E2313" s="65" t="s">
        <v>7369</v>
      </c>
      <c r="F2313" s="65" t="b">
        <f>TRUE()</f>
        <v>1</v>
      </c>
      <c r="G2313" s="65" t="s">
        <v>165</v>
      </c>
      <c r="H2313" s="65" t="s">
        <v>165</v>
      </c>
      <c r="I2313" s="66">
        <v>46196</v>
      </c>
      <c r="J2313" s="66">
        <v>46210.2857475579</v>
      </c>
      <c r="K2313" s="65">
        <v>45</v>
      </c>
      <c r="L2313" s="65" t="s">
        <v>192</v>
      </c>
      <c r="M2313" s="65" t="s">
        <v>183</v>
      </c>
      <c r="N2313" s="65" t="b">
        <f>FALSE()</f>
        <v>0</v>
      </c>
      <c r="O2313" s="65"/>
      <c r="P2313" s="65"/>
      <c r="Q2313" s="65" t="s">
        <v>3663</v>
      </c>
      <c r="R2313" s="65" t="s">
        <v>236</v>
      </c>
      <c r="S2313" s="65"/>
      <c r="T2313" s="65" t="b">
        <f>FALSE()</f>
        <v>0</v>
      </c>
      <c r="U2313" s="65" t="b">
        <f>FALSE()</f>
        <v>0</v>
      </c>
      <c r="V2313" s="65">
        <v>494</v>
      </c>
      <c r="W2313" s="67" t="s">
        <v>8603</v>
      </c>
      <c r="X2313" s="65">
        <v>6</v>
      </c>
      <c r="Y2313" s="68">
        <v>1.45</v>
      </c>
      <c r="Z2313" s="65" t="b">
        <f>FALSE()</f>
        <v>0</v>
      </c>
      <c r="AA2313" s="65" t="b">
        <f>TRUE()</f>
        <v>1</v>
      </c>
      <c r="AB2313" s="65" t="b">
        <f>FALSE()</f>
        <v>0</v>
      </c>
      <c r="AC2313" s="65" t="b">
        <f>FALSE()</f>
        <v>0</v>
      </c>
      <c r="AD2313" s="65" t="b">
        <f>FALSE()</f>
        <v>0</v>
      </c>
      <c r="AE2313" s="65">
        <v>1</v>
      </c>
      <c r="AF2313" s="69">
        <v>14.3</v>
      </c>
      <c r="AG2313" s="65" t="s">
        <v>74</v>
      </c>
      <c r="AH2313" s="65" t="s">
        <v>8604</v>
      </c>
      <c r="AI2313">
        <f>IF(AND(OR(Company_Explorer!$B$5="All Companies",$E2313=Company_Explorer!$B$5),OR(Company_Explorer!$B$6="All Platforms",$B2313=Company_Explorer!$B$6),OR(Company_Explorer!$B$7="All Roles",$D2313=Company_Explorer!$B$7),OR(Company_Explorer!$B$8="All Ghost Labels",$AG2313=Company_Explorer!$B$8)),1,0)</f>
        <v>0</v>
      </c>
    </row>
    <row r="2314" spans="1:35" ht="15" customHeight="1" x14ac:dyDescent="0.3">
      <c r="A2314" s="60" t="s">
        <v>8605</v>
      </c>
      <c r="B2314" s="60" t="s">
        <v>82</v>
      </c>
      <c r="C2314" s="60" t="s">
        <v>7355</v>
      </c>
      <c r="D2314" s="60" t="s">
        <v>128</v>
      </c>
      <c r="E2314" s="60" t="s">
        <v>8606</v>
      </c>
      <c r="F2314" s="60" t="b">
        <f>TRUE()</f>
        <v>1</v>
      </c>
      <c r="G2314" s="60" t="s">
        <v>8607</v>
      </c>
      <c r="H2314" s="60" t="s">
        <v>263</v>
      </c>
      <c r="I2314" s="61">
        <v>46184</v>
      </c>
      <c r="J2314" s="61">
        <v>46210.285754814802</v>
      </c>
      <c r="K2314" s="60">
        <v>118</v>
      </c>
      <c r="L2314" s="60" t="s">
        <v>192</v>
      </c>
      <c r="M2314" s="60" t="s">
        <v>183</v>
      </c>
      <c r="N2314" s="60" t="b">
        <f>TRUE()</f>
        <v>1</v>
      </c>
      <c r="O2314" s="70">
        <v>350000</v>
      </c>
      <c r="P2314" s="70">
        <v>700000</v>
      </c>
      <c r="Q2314" s="60" t="s">
        <v>3663</v>
      </c>
      <c r="R2314" s="60" t="s">
        <v>7351</v>
      </c>
      <c r="S2314" s="70">
        <v>525000</v>
      </c>
      <c r="T2314" s="60" t="b">
        <f>TRUE()</f>
        <v>1</v>
      </c>
      <c r="U2314" s="60" t="b">
        <f>FALSE()</f>
        <v>0</v>
      </c>
      <c r="V2314" s="60">
        <v>605</v>
      </c>
      <c r="W2314" s="62" t="s">
        <v>8608</v>
      </c>
      <c r="X2314" s="60">
        <v>2</v>
      </c>
      <c r="Y2314" s="63">
        <v>0.48</v>
      </c>
      <c r="Z2314" s="60" t="b">
        <f>FALSE()</f>
        <v>0</v>
      </c>
      <c r="AA2314" s="60" t="b">
        <f>FALSE()</f>
        <v>0</v>
      </c>
      <c r="AB2314" s="60" t="b">
        <f>FALSE()</f>
        <v>0</v>
      </c>
      <c r="AC2314" s="60" t="b">
        <f>FALSE()</f>
        <v>0</v>
      </c>
      <c r="AD2314" s="60" t="b">
        <f>FALSE()</f>
        <v>0</v>
      </c>
      <c r="AE2314" s="60">
        <v>0</v>
      </c>
      <c r="AF2314" s="64">
        <v>0</v>
      </c>
      <c r="AG2314" s="60" t="s">
        <v>74</v>
      </c>
      <c r="AH2314" s="60" t="s">
        <v>8609</v>
      </c>
      <c r="AI2314">
        <f>IF(AND(OR(Company_Explorer!$B$5="All Companies",$E2314=Company_Explorer!$B$5),OR(Company_Explorer!$B$6="All Platforms",$B2314=Company_Explorer!$B$6),OR(Company_Explorer!$B$7="All Roles",$D2314=Company_Explorer!$B$7),OR(Company_Explorer!$B$8="All Ghost Labels",$AG2314=Company_Explorer!$B$8)),1,0)</f>
        <v>0</v>
      </c>
    </row>
    <row r="2315" spans="1:35" ht="15" customHeight="1" x14ac:dyDescent="0.3">
      <c r="A2315" s="65" t="s">
        <v>8610</v>
      </c>
      <c r="B2315" s="65" t="s">
        <v>82</v>
      </c>
      <c r="C2315" s="65" t="s">
        <v>8611</v>
      </c>
      <c r="D2315" s="65" t="s">
        <v>126</v>
      </c>
      <c r="E2315" s="65" t="s">
        <v>7346</v>
      </c>
      <c r="F2315" s="65" t="b">
        <f>TRUE()</f>
        <v>1</v>
      </c>
      <c r="G2315" s="65" t="s">
        <v>165</v>
      </c>
      <c r="H2315" s="65" t="s">
        <v>165</v>
      </c>
      <c r="I2315" s="66">
        <v>46207</v>
      </c>
      <c r="J2315" s="66">
        <v>46210.2857556366</v>
      </c>
      <c r="K2315" s="65">
        <v>4</v>
      </c>
      <c r="L2315" s="65" t="s">
        <v>183</v>
      </c>
      <c r="M2315" s="65" t="s">
        <v>183</v>
      </c>
      <c r="N2315" s="65" t="b">
        <f>FALSE()</f>
        <v>0</v>
      </c>
      <c r="O2315" s="65"/>
      <c r="P2315" s="65"/>
      <c r="Q2315" s="65" t="s">
        <v>3663</v>
      </c>
      <c r="R2315" s="65" t="s">
        <v>236</v>
      </c>
      <c r="S2315" s="65"/>
      <c r="T2315" s="65" t="b">
        <f>FALSE()</f>
        <v>0</v>
      </c>
      <c r="U2315" s="65" t="b">
        <f>FALSE()</f>
        <v>0</v>
      </c>
      <c r="V2315" s="65">
        <v>1040</v>
      </c>
      <c r="W2315" s="67" t="s">
        <v>7347</v>
      </c>
      <c r="X2315" s="65">
        <v>10</v>
      </c>
      <c r="Y2315" s="68">
        <v>2.41</v>
      </c>
      <c r="Z2315" s="65" t="b">
        <f>FALSE()</f>
        <v>0</v>
      </c>
      <c r="AA2315" s="65" t="b">
        <f>TRUE()</f>
        <v>1</v>
      </c>
      <c r="AB2315" s="65" t="b">
        <f>FALSE()</f>
        <v>0</v>
      </c>
      <c r="AC2315" s="65" t="b">
        <f>FALSE()</f>
        <v>0</v>
      </c>
      <c r="AD2315" s="65" t="b">
        <f>TRUE()</f>
        <v>1</v>
      </c>
      <c r="AE2315" s="65">
        <v>3</v>
      </c>
      <c r="AF2315" s="69">
        <v>42.9</v>
      </c>
      <c r="AG2315" s="65" t="s">
        <v>73</v>
      </c>
      <c r="AH2315" s="65" t="s">
        <v>8612</v>
      </c>
      <c r="AI2315">
        <f>IF(AND(OR(Company_Explorer!$B$5="All Companies",$E2315=Company_Explorer!$B$5),OR(Company_Explorer!$B$6="All Platforms",$B2315=Company_Explorer!$B$6),OR(Company_Explorer!$B$7="All Roles",$D2315=Company_Explorer!$B$7),OR(Company_Explorer!$B$8="All Ghost Labels",$AG2315=Company_Explorer!$B$8)),1,0)</f>
        <v>0</v>
      </c>
    </row>
    <row r="2316" spans="1:35" ht="15" customHeight="1" x14ac:dyDescent="0.3">
      <c r="A2316" s="60" t="s">
        <v>8613</v>
      </c>
      <c r="B2316" s="60" t="s">
        <v>82</v>
      </c>
      <c r="C2316" s="60" t="s">
        <v>7355</v>
      </c>
      <c r="D2316" s="60" t="s">
        <v>128</v>
      </c>
      <c r="E2316" s="60" t="s">
        <v>8614</v>
      </c>
      <c r="F2316" s="60" t="b">
        <f>TRUE()</f>
        <v>1</v>
      </c>
      <c r="G2316" s="60" t="s">
        <v>165</v>
      </c>
      <c r="H2316" s="60" t="s">
        <v>165</v>
      </c>
      <c r="I2316" s="61">
        <v>46201</v>
      </c>
      <c r="J2316" s="61">
        <v>46210.2857576389</v>
      </c>
      <c r="K2316" s="60">
        <v>129</v>
      </c>
      <c r="L2316" s="60" t="s">
        <v>183</v>
      </c>
      <c r="M2316" s="60" t="s">
        <v>183</v>
      </c>
      <c r="N2316" s="60" t="b">
        <f>FALSE()</f>
        <v>0</v>
      </c>
      <c r="O2316" s="60"/>
      <c r="P2316" s="60"/>
      <c r="Q2316" s="60" t="s">
        <v>3663</v>
      </c>
      <c r="R2316" s="60" t="s">
        <v>236</v>
      </c>
      <c r="S2316" s="60"/>
      <c r="T2316" s="60" t="b">
        <f>FALSE()</f>
        <v>0</v>
      </c>
      <c r="U2316" s="60" t="b">
        <f>FALSE()</f>
        <v>0</v>
      </c>
      <c r="V2316" s="60">
        <v>179</v>
      </c>
      <c r="W2316" s="60" t="s">
        <v>8615</v>
      </c>
      <c r="X2316" s="60">
        <v>1</v>
      </c>
      <c r="Y2316" s="63">
        <v>0.24</v>
      </c>
      <c r="Z2316" s="60" t="b">
        <f>FALSE()</f>
        <v>0</v>
      </c>
      <c r="AA2316" s="60" t="b">
        <f>TRUE()</f>
        <v>1</v>
      </c>
      <c r="AB2316" s="60" t="b">
        <f>TRUE()</f>
        <v>1</v>
      </c>
      <c r="AC2316" s="60" t="b">
        <f>TRUE()</f>
        <v>1</v>
      </c>
      <c r="AD2316" s="60" t="b">
        <f>FALSE()</f>
        <v>0</v>
      </c>
      <c r="AE2316" s="60">
        <v>3</v>
      </c>
      <c r="AF2316" s="64">
        <v>42.9</v>
      </c>
      <c r="AG2316" s="60" t="s">
        <v>73</v>
      </c>
      <c r="AH2316" s="60" t="s">
        <v>8616</v>
      </c>
      <c r="AI2316">
        <f>IF(AND(OR(Company_Explorer!$B$5="All Companies",$E2316=Company_Explorer!$B$5),OR(Company_Explorer!$B$6="All Platforms",$B2316=Company_Explorer!$B$6),OR(Company_Explorer!$B$7="All Roles",$D2316=Company_Explorer!$B$7),OR(Company_Explorer!$B$8="All Ghost Labels",$AG2316=Company_Explorer!$B$8)),1,0)</f>
        <v>0</v>
      </c>
    </row>
    <row r="2317" spans="1:35" ht="15" customHeight="1" x14ac:dyDescent="0.3">
      <c r="A2317" s="65" t="s">
        <v>8617</v>
      </c>
      <c r="B2317" s="65" t="s">
        <v>82</v>
      </c>
      <c r="C2317" s="65" t="s">
        <v>8618</v>
      </c>
      <c r="D2317" s="65" t="s">
        <v>128</v>
      </c>
      <c r="E2317" s="65" t="s">
        <v>7607</v>
      </c>
      <c r="F2317" s="65" t="b">
        <f>TRUE()</f>
        <v>1</v>
      </c>
      <c r="G2317" s="65" t="s">
        <v>165</v>
      </c>
      <c r="H2317" s="65" t="s">
        <v>165</v>
      </c>
      <c r="I2317" s="66">
        <v>46207</v>
      </c>
      <c r="J2317" s="66">
        <v>46210.2857589005</v>
      </c>
      <c r="K2317" s="65">
        <v>3</v>
      </c>
      <c r="L2317" s="65" t="s">
        <v>192</v>
      </c>
      <c r="M2317" s="65" t="s">
        <v>183</v>
      </c>
      <c r="N2317" s="65" t="b">
        <f>FALSE()</f>
        <v>0</v>
      </c>
      <c r="O2317" s="65"/>
      <c r="P2317" s="65"/>
      <c r="Q2317" s="65" t="s">
        <v>3663</v>
      </c>
      <c r="R2317" s="65" t="s">
        <v>236</v>
      </c>
      <c r="S2317" s="65"/>
      <c r="T2317" s="65" t="b">
        <f>FALSE()</f>
        <v>0</v>
      </c>
      <c r="U2317" s="65" t="b">
        <f>FALSE()</f>
        <v>0</v>
      </c>
      <c r="V2317" s="65">
        <v>970</v>
      </c>
      <c r="W2317" s="67" t="s">
        <v>8619</v>
      </c>
      <c r="X2317" s="65">
        <v>4</v>
      </c>
      <c r="Y2317" s="68">
        <v>0.97</v>
      </c>
      <c r="Z2317" s="65" t="b">
        <f>FALSE()</f>
        <v>0</v>
      </c>
      <c r="AA2317" s="65" t="b">
        <f>TRUE()</f>
        <v>1</v>
      </c>
      <c r="AB2317" s="65" t="b">
        <f>FALSE()</f>
        <v>0</v>
      </c>
      <c r="AC2317" s="65" t="b">
        <f>FALSE()</f>
        <v>0</v>
      </c>
      <c r="AD2317" s="65" t="b">
        <f>FALSE()</f>
        <v>0</v>
      </c>
      <c r="AE2317" s="65">
        <v>1</v>
      </c>
      <c r="AF2317" s="69">
        <v>14.3</v>
      </c>
      <c r="AG2317" s="65" t="s">
        <v>74</v>
      </c>
      <c r="AH2317" s="65" t="s">
        <v>8620</v>
      </c>
      <c r="AI2317">
        <f>IF(AND(OR(Company_Explorer!$B$5="All Companies",$E2317=Company_Explorer!$B$5),OR(Company_Explorer!$B$6="All Platforms",$B2317=Company_Explorer!$B$6),OR(Company_Explorer!$B$7="All Roles",$D2317=Company_Explorer!$B$7),OR(Company_Explorer!$B$8="All Ghost Labels",$AG2317=Company_Explorer!$B$8)),1,0)</f>
        <v>0</v>
      </c>
    </row>
    <row r="2318" spans="1:35" ht="15" customHeight="1" x14ac:dyDescent="0.3">
      <c r="A2318" s="60" t="s">
        <v>8621</v>
      </c>
      <c r="B2318" s="60" t="s">
        <v>82</v>
      </c>
      <c r="C2318" s="60" t="s">
        <v>8622</v>
      </c>
      <c r="D2318" s="60" t="s">
        <v>126</v>
      </c>
      <c r="E2318" s="60" t="s">
        <v>8070</v>
      </c>
      <c r="F2318" s="60" t="b">
        <f>TRUE()</f>
        <v>1</v>
      </c>
      <c r="G2318" s="60" t="s">
        <v>165</v>
      </c>
      <c r="H2318" s="60" t="s">
        <v>165</v>
      </c>
      <c r="I2318" s="61">
        <v>46199</v>
      </c>
      <c r="J2318" s="61">
        <v>46210.285760451399</v>
      </c>
      <c r="K2318" s="60">
        <v>11</v>
      </c>
      <c r="L2318" s="60" t="s">
        <v>183</v>
      </c>
      <c r="M2318" s="60" t="s">
        <v>183</v>
      </c>
      <c r="N2318" s="60" t="b">
        <f>FALSE()</f>
        <v>0</v>
      </c>
      <c r="O2318" s="60"/>
      <c r="P2318" s="60"/>
      <c r="Q2318" s="60" t="s">
        <v>3663</v>
      </c>
      <c r="R2318" s="60" t="s">
        <v>236</v>
      </c>
      <c r="S2318" s="60"/>
      <c r="T2318" s="60" t="b">
        <f>FALSE()</f>
        <v>0</v>
      </c>
      <c r="U2318" s="60" t="b">
        <f>FALSE()</f>
        <v>0</v>
      </c>
      <c r="V2318" s="60">
        <v>52</v>
      </c>
      <c r="W2318" s="60" t="s">
        <v>8623</v>
      </c>
      <c r="X2318" s="60">
        <v>3</v>
      </c>
      <c r="Y2318" s="63">
        <v>0.72</v>
      </c>
      <c r="Z2318" s="60" t="b">
        <f>FALSE()</f>
        <v>0</v>
      </c>
      <c r="AA2318" s="60" t="b">
        <f>TRUE()</f>
        <v>1</v>
      </c>
      <c r="AB2318" s="60" t="b">
        <f>TRUE()</f>
        <v>1</v>
      </c>
      <c r="AC2318" s="60" t="b">
        <f>FALSE()</f>
        <v>0</v>
      </c>
      <c r="AD2318" s="60" t="b">
        <f>FALSE()</f>
        <v>0</v>
      </c>
      <c r="AE2318" s="60">
        <v>2</v>
      </c>
      <c r="AF2318" s="64">
        <v>28.6</v>
      </c>
      <c r="AG2318" s="60" t="s">
        <v>73</v>
      </c>
      <c r="AH2318" s="60" t="s">
        <v>8624</v>
      </c>
      <c r="AI2318">
        <f>IF(AND(OR(Company_Explorer!$B$5="All Companies",$E2318=Company_Explorer!$B$5),OR(Company_Explorer!$B$6="All Platforms",$B2318=Company_Explorer!$B$6),OR(Company_Explorer!$B$7="All Roles",$D2318=Company_Explorer!$B$7),OR(Company_Explorer!$B$8="All Ghost Labels",$AG2318=Company_Explorer!$B$8)),1,0)</f>
        <v>0</v>
      </c>
    </row>
    <row r="2319" spans="1:35" ht="15" customHeight="1" x14ac:dyDescent="0.3">
      <c r="A2319" s="65" t="s">
        <v>8625</v>
      </c>
      <c r="B2319" s="65" t="s">
        <v>82</v>
      </c>
      <c r="C2319" s="65" t="s">
        <v>8626</v>
      </c>
      <c r="D2319" s="65" t="s">
        <v>132</v>
      </c>
      <c r="E2319" s="65" t="s">
        <v>8627</v>
      </c>
      <c r="F2319" s="65" t="b">
        <f>TRUE()</f>
        <v>1</v>
      </c>
      <c r="G2319" s="65" t="s">
        <v>165</v>
      </c>
      <c r="H2319" s="65" t="s">
        <v>165</v>
      </c>
      <c r="I2319" s="66">
        <v>46210</v>
      </c>
      <c r="J2319" s="66">
        <v>46210.285762060201</v>
      </c>
      <c r="K2319" s="65">
        <v>0</v>
      </c>
      <c r="L2319" s="65" t="s">
        <v>188</v>
      </c>
      <c r="M2319" s="65" t="s">
        <v>183</v>
      </c>
      <c r="N2319" s="65" t="b">
        <f>FALSE()</f>
        <v>0</v>
      </c>
      <c r="O2319" s="65"/>
      <c r="P2319" s="65"/>
      <c r="Q2319" s="65" t="s">
        <v>3663</v>
      </c>
      <c r="R2319" s="65" t="s">
        <v>236</v>
      </c>
      <c r="S2319" s="65"/>
      <c r="T2319" s="65" t="b">
        <f>FALSE()</f>
        <v>0</v>
      </c>
      <c r="U2319" s="65" t="b">
        <f>FALSE()</f>
        <v>0</v>
      </c>
      <c r="V2319" s="65">
        <v>774</v>
      </c>
      <c r="W2319" s="65" t="s">
        <v>8628</v>
      </c>
      <c r="X2319" s="65">
        <v>2</v>
      </c>
      <c r="Y2319" s="68">
        <v>0.48</v>
      </c>
      <c r="Z2319" s="65" t="b">
        <f>FALSE()</f>
        <v>0</v>
      </c>
      <c r="AA2319" s="65" t="b">
        <f>TRUE()</f>
        <v>1</v>
      </c>
      <c r="AB2319" s="65" t="b">
        <f>FALSE()</f>
        <v>0</v>
      </c>
      <c r="AC2319" s="65" t="b">
        <f>FALSE()</f>
        <v>0</v>
      </c>
      <c r="AD2319" s="65" t="b">
        <f>FALSE()</f>
        <v>0</v>
      </c>
      <c r="AE2319" s="65">
        <v>1</v>
      </c>
      <c r="AF2319" s="69">
        <v>14.3</v>
      </c>
      <c r="AG2319" s="65" t="s">
        <v>74</v>
      </c>
      <c r="AH2319" s="65" t="s">
        <v>8629</v>
      </c>
      <c r="AI2319">
        <f>IF(AND(OR(Company_Explorer!$B$5="All Companies",$E2319=Company_Explorer!$B$5),OR(Company_Explorer!$B$6="All Platforms",$B2319=Company_Explorer!$B$6),OR(Company_Explorer!$B$7="All Roles",$D2319=Company_Explorer!$B$7),OR(Company_Explorer!$B$8="All Ghost Labels",$AG2319=Company_Explorer!$B$8)),1,0)</f>
        <v>0</v>
      </c>
    </row>
    <row r="2320" spans="1:35" ht="15" customHeight="1" x14ac:dyDescent="0.3">
      <c r="A2320" s="60" t="s">
        <v>8630</v>
      </c>
      <c r="B2320" s="60" t="s">
        <v>82</v>
      </c>
      <c r="C2320" s="60" t="s">
        <v>8631</v>
      </c>
      <c r="D2320" s="60" t="s">
        <v>126</v>
      </c>
      <c r="E2320" s="60" t="s">
        <v>8632</v>
      </c>
      <c r="F2320" s="60" t="b">
        <f>TRUE()</f>
        <v>1</v>
      </c>
      <c r="G2320" s="60" t="s">
        <v>165</v>
      </c>
      <c r="H2320" s="60" t="s">
        <v>165</v>
      </c>
      <c r="I2320" s="61">
        <v>46200</v>
      </c>
      <c r="J2320" s="61">
        <v>46210.285763252301</v>
      </c>
      <c r="K2320" s="60">
        <v>41</v>
      </c>
      <c r="L2320" s="60" t="s">
        <v>192</v>
      </c>
      <c r="M2320" s="60" t="s">
        <v>183</v>
      </c>
      <c r="N2320" s="60" t="b">
        <f>FALSE()</f>
        <v>0</v>
      </c>
      <c r="O2320" s="60"/>
      <c r="P2320" s="60"/>
      <c r="Q2320" s="60" t="s">
        <v>3663</v>
      </c>
      <c r="R2320" s="60" t="s">
        <v>236</v>
      </c>
      <c r="S2320" s="60"/>
      <c r="T2320" s="60" t="b">
        <f>FALSE()</f>
        <v>0</v>
      </c>
      <c r="U2320" s="60" t="b">
        <f>FALSE()</f>
        <v>0</v>
      </c>
      <c r="V2320" s="60">
        <v>548</v>
      </c>
      <c r="W2320" s="62" t="s">
        <v>8633</v>
      </c>
      <c r="X2320" s="60">
        <v>2</v>
      </c>
      <c r="Y2320" s="63">
        <v>0.48</v>
      </c>
      <c r="Z2320" s="60" t="b">
        <f>FALSE()</f>
        <v>0</v>
      </c>
      <c r="AA2320" s="60" t="b">
        <f>TRUE()</f>
        <v>1</v>
      </c>
      <c r="AB2320" s="60" t="b">
        <f>FALSE()</f>
        <v>0</v>
      </c>
      <c r="AC2320" s="60" t="b">
        <f>FALSE()</f>
        <v>0</v>
      </c>
      <c r="AD2320" s="60" t="b">
        <f>FALSE()</f>
        <v>0</v>
      </c>
      <c r="AE2320" s="60">
        <v>1</v>
      </c>
      <c r="AF2320" s="64">
        <v>14.3</v>
      </c>
      <c r="AG2320" s="60" t="s">
        <v>74</v>
      </c>
      <c r="AH2320" s="60" t="s">
        <v>8634</v>
      </c>
      <c r="AI2320">
        <f>IF(AND(OR(Company_Explorer!$B$5="All Companies",$E2320=Company_Explorer!$B$5),OR(Company_Explorer!$B$6="All Platforms",$B2320=Company_Explorer!$B$6),OR(Company_Explorer!$B$7="All Roles",$D2320=Company_Explorer!$B$7),OR(Company_Explorer!$B$8="All Ghost Labels",$AG2320=Company_Explorer!$B$8)),1,0)</f>
        <v>0</v>
      </c>
    </row>
    <row r="2321" spans="1:35" ht="15" customHeight="1" x14ac:dyDescent="0.3">
      <c r="A2321" s="65" t="s">
        <v>8635</v>
      </c>
      <c r="B2321" s="65" t="s">
        <v>82</v>
      </c>
      <c r="C2321" s="65" t="s">
        <v>8636</v>
      </c>
      <c r="D2321" s="65" t="s">
        <v>128</v>
      </c>
      <c r="E2321" s="65" t="s">
        <v>7369</v>
      </c>
      <c r="F2321" s="65" t="b">
        <f>TRUE()</f>
        <v>1</v>
      </c>
      <c r="G2321" s="65" t="s">
        <v>165</v>
      </c>
      <c r="H2321" s="65" t="s">
        <v>165</v>
      </c>
      <c r="I2321" s="66">
        <v>46196</v>
      </c>
      <c r="J2321" s="66">
        <v>46210.285764502303</v>
      </c>
      <c r="K2321" s="65">
        <v>45</v>
      </c>
      <c r="L2321" s="65" t="s">
        <v>192</v>
      </c>
      <c r="M2321" s="65" t="s">
        <v>183</v>
      </c>
      <c r="N2321" s="65" t="b">
        <f>FALSE()</f>
        <v>0</v>
      </c>
      <c r="O2321" s="65"/>
      <c r="P2321" s="65"/>
      <c r="Q2321" s="65" t="s">
        <v>3663</v>
      </c>
      <c r="R2321" s="65" t="s">
        <v>236</v>
      </c>
      <c r="S2321" s="65"/>
      <c r="T2321" s="65" t="b">
        <f>FALSE()</f>
        <v>0</v>
      </c>
      <c r="U2321" s="65" t="b">
        <f>FALSE()</f>
        <v>0</v>
      </c>
      <c r="V2321" s="65">
        <v>500</v>
      </c>
      <c r="W2321" s="67" t="s">
        <v>8637</v>
      </c>
      <c r="X2321" s="65">
        <v>6</v>
      </c>
      <c r="Y2321" s="68">
        <v>1.45</v>
      </c>
      <c r="Z2321" s="65" t="b">
        <f>FALSE()</f>
        <v>0</v>
      </c>
      <c r="AA2321" s="65" t="b">
        <f>TRUE()</f>
        <v>1</v>
      </c>
      <c r="AB2321" s="65" t="b">
        <f>FALSE()</f>
        <v>0</v>
      </c>
      <c r="AC2321" s="65" t="b">
        <f>FALSE()</f>
        <v>0</v>
      </c>
      <c r="AD2321" s="65" t="b">
        <f>FALSE()</f>
        <v>0</v>
      </c>
      <c r="AE2321" s="65">
        <v>1</v>
      </c>
      <c r="AF2321" s="69">
        <v>14.3</v>
      </c>
      <c r="AG2321" s="65" t="s">
        <v>74</v>
      </c>
      <c r="AH2321" s="65" t="s">
        <v>8638</v>
      </c>
      <c r="AI2321">
        <f>IF(AND(OR(Company_Explorer!$B$5="All Companies",$E2321=Company_Explorer!$B$5),OR(Company_Explorer!$B$6="All Platforms",$B2321=Company_Explorer!$B$6),OR(Company_Explorer!$B$7="All Roles",$D2321=Company_Explorer!$B$7),OR(Company_Explorer!$B$8="All Ghost Labels",$AG2321=Company_Explorer!$B$8)),1,0)</f>
        <v>0</v>
      </c>
    </row>
    <row r="2322" spans="1:35" ht="15" customHeight="1" x14ac:dyDescent="0.3">
      <c r="A2322" s="60" t="s">
        <v>8639</v>
      </c>
      <c r="B2322" s="60" t="s">
        <v>82</v>
      </c>
      <c r="C2322" s="60" t="s">
        <v>8640</v>
      </c>
      <c r="D2322" s="60" t="s">
        <v>126</v>
      </c>
      <c r="E2322" s="60" t="s">
        <v>8641</v>
      </c>
      <c r="F2322" s="60" t="b">
        <f>TRUE()</f>
        <v>1</v>
      </c>
      <c r="G2322" s="60" t="s">
        <v>165</v>
      </c>
      <c r="H2322" s="60" t="s">
        <v>165</v>
      </c>
      <c r="I2322" s="61">
        <v>46202</v>
      </c>
      <c r="J2322" s="61">
        <v>46210.2857658102</v>
      </c>
      <c r="K2322" s="60">
        <v>100</v>
      </c>
      <c r="L2322" s="60" t="s">
        <v>192</v>
      </c>
      <c r="M2322" s="60" t="s">
        <v>183</v>
      </c>
      <c r="N2322" s="60" t="b">
        <f>FALSE()</f>
        <v>0</v>
      </c>
      <c r="O2322" s="60"/>
      <c r="P2322" s="60"/>
      <c r="Q2322" s="60" t="s">
        <v>3663</v>
      </c>
      <c r="R2322" s="60" t="s">
        <v>236</v>
      </c>
      <c r="S2322" s="60"/>
      <c r="T2322" s="60" t="b">
        <f>FALSE()</f>
        <v>0</v>
      </c>
      <c r="U2322" s="60" t="b">
        <f>FALSE()</f>
        <v>0</v>
      </c>
      <c r="V2322" s="60">
        <v>124</v>
      </c>
      <c r="W2322" s="62" t="s">
        <v>8642</v>
      </c>
      <c r="X2322" s="60">
        <v>1</v>
      </c>
      <c r="Y2322" s="63">
        <v>0.24</v>
      </c>
      <c r="Z2322" s="60" t="b">
        <f>FALSE()</f>
        <v>0</v>
      </c>
      <c r="AA2322" s="60" t="b">
        <f>TRUE()</f>
        <v>1</v>
      </c>
      <c r="AB2322" s="60" t="b">
        <f>TRUE()</f>
        <v>1</v>
      </c>
      <c r="AC2322" s="60" t="b">
        <f>FALSE()</f>
        <v>0</v>
      </c>
      <c r="AD2322" s="60" t="b">
        <f>FALSE()</f>
        <v>0</v>
      </c>
      <c r="AE2322" s="60">
        <v>2</v>
      </c>
      <c r="AF2322" s="64">
        <v>28.6</v>
      </c>
      <c r="AG2322" s="60" t="s">
        <v>73</v>
      </c>
      <c r="AH2322" s="60" t="s">
        <v>8643</v>
      </c>
      <c r="AI2322">
        <f>IF(AND(OR(Company_Explorer!$B$5="All Companies",$E2322=Company_Explorer!$B$5),OR(Company_Explorer!$B$6="All Platforms",$B2322=Company_Explorer!$B$6),OR(Company_Explorer!$B$7="All Roles",$D2322=Company_Explorer!$B$7),OR(Company_Explorer!$B$8="All Ghost Labels",$AG2322=Company_Explorer!$B$8)),1,0)</f>
        <v>0</v>
      </c>
    </row>
    <row r="2323" spans="1:35" ht="15" customHeight="1" x14ac:dyDescent="0.3">
      <c r="A2323" s="65" t="s">
        <v>8644</v>
      </c>
      <c r="B2323" s="65" t="s">
        <v>82</v>
      </c>
      <c r="C2323" s="65" t="s">
        <v>132</v>
      </c>
      <c r="D2323" s="65" t="s">
        <v>132</v>
      </c>
      <c r="E2323" s="65" t="s">
        <v>3726</v>
      </c>
      <c r="F2323" s="65" t="b">
        <f>FALSE()</f>
        <v>0</v>
      </c>
      <c r="G2323" s="65" t="s">
        <v>167</v>
      </c>
      <c r="H2323" s="65" t="s">
        <v>276</v>
      </c>
      <c r="I2323" s="66">
        <v>46191</v>
      </c>
      <c r="J2323" s="66">
        <v>46210.285768692098</v>
      </c>
      <c r="K2323" s="65">
        <v>19</v>
      </c>
      <c r="L2323" s="65" t="s">
        <v>192</v>
      </c>
      <c r="M2323" s="65" t="s">
        <v>183</v>
      </c>
      <c r="N2323" s="65" t="b">
        <f>TRUE()</f>
        <v>1</v>
      </c>
      <c r="O2323" s="71">
        <v>300000</v>
      </c>
      <c r="P2323" s="71">
        <v>600000</v>
      </c>
      <c r="Q2323" s="65" t="s">
        <v>3663</v>
      </c>
      <c r="R2323" s="65" t="s">
        <v>7351</v>
      </c>
      <c r="S2323" s="71">
        <v>450000</v>
      </c>
      <c r="T2323" s="65" t="b">
        <f>TRUE()</f>
        <v>1</v>
      </c>
      <c r="U2323" s="65" t="b">
        <f>FALSE()</f>
        <v>0</v>
      </c>
      <c r="V2323" s="65">
        <v>116</v>
      </c>
      <c r="W2323" s="67" t="s">
        <v>8645</v>
      </c>
      <c r="X2323" s="65"/>
      <c r="Y2323" s="68"/>
      <c r="Z2323" s="65" t="b">
        <f>TRUE()</f>
        <v>1</v>
      </c>
      <c r="AA2323" s="65" t="b">
        <f>FALSE()</f>
        <v>0</v>
      </c>
      <c r="AB2323" s="65" t="b">
        <f>TRUE()</f>
        <v>1</v>
      </c>
      <c r="AC2323" s="65" t="b">
        <f>FALSE()</f>
        <v>0</v>
      </c>
      <c r="AD2323" s="65" t="b">
        <f>FALSE()</f>
        <v>0</v>
      </c>
      <c r="AE2323" s="65">
        <v>3</v>
      </c>
      <c r="AF2323" s="69">
        <v>42.9</v>
      </c>
      <c r="AG2323" s="65" t="s">
        <v>73</v>
      </c>
      <c r="AH2323" s="65" t="s">
        <v>8646</v>
      </c>
      <c r="AI2323">
        <f>IF(AND(OR(Company_Explorer!$B$5="All Companies",$E2323=Company_Explorer!$B$5),OR(Company_Explorer!$B$6="All Platforms",$B2323=Company_Explorer!$B$6),OR(Company_Explorer!$B$7="All Roles",$D2323=Company_Explorer!$B$7),OR(Company_Explorer!$B$8="All Ghost Labels",$AG2323=Company_Explorer!$B$8)),1,0)</f>
        <v>0</v>
      </c>
    </row>
    <row r="2324" spans="1:35" ht="15" customHeight="1" x14ac:dyDescent="0.3">
      <c r="A2324" s="60" t="s">
        <v>8647</v>
      </c>
      <c r="B2324" s="60" t="s">
        <v>82</v>
      </c>
      <c r="C2324" s="60" t="s">
        <v>8231</v>
      </c>
      <c r="D2324" s="60" t="s">
        <v>128</v>
      </c>
      <c r="E2324" s="60" t="s">
        <v>7559</v>
      </c>
      <c r="F2324" s="60" t="b">
        <f>TRUE()</f>
        <v>1</v>
      </c>
      <c r="G2324" s="60" t="s">
        <v>8648</v>
      </c>
      <c r="H2324" s="60" t="s">
        <v>2066</v>
      </c>
      <c r="I2324" s="61">
        <v>46197</v>
      </c>
      <c r="J2324" s="61">
        <v>46210.285772419003</v>
      </c>
      <c r="K2324" s="60">
        <v>13</v>
      </c>
      <c r="L2324" s="60" t="s">
        <v>183</v>
      </c>
      <c r="M2324" s="60" t="s">
        <v>183</v>
      </c>
      <c r="N2324" s="60" t="b">
        <f>TRUE()</f>
        <v>1</v>
      </c>
      <c r="O2324" s="70">
        <v>196000</v>
      </c>
      <c r="P2324" s="70">
        <v>780000</v>
      </c>
      <c r="Q2324" s="60" t="s">
        <v>3663</v>
      </c>
      <c r="R2324" s="60" t="s">
        <v>7351</v>
      </c>
      <c r="S2324" s="70">
        <v>488000</v>
      </c>
      <c r="T2324" s="60" t="b">
        <f>TRUE()</f>
        <v>1</v>
      </c>
      <c r="U2324" s="60" t="b">
        <f>FALSE()</f>
        <v>0</v>
      </c>
      <c r="V2324" s="60">
        <v>376</v>
      </c>
      <c r="W2324" s="62" t="s">
        <v>8649</v>
      </c>
      <c r="X2324" s="60">
        <v>10</v>
      </c>
      <c r="Y2324" s="63">
        <v>2.41</v>
      </c>
      <c r="Z2324" s="60" t="b">
        <f>FALSE()</f>
        <v>0</v>
      </c>
      <c r="AA2324" s="60" t="b">
        <f>FALSE()</f>
        <v>0</v>
      </c>
      <c r="AB2324" s="60" t="b">
        <f>FALSE()</f>
        <v>0</v>
      </c>
      <c r="AC2324" s="60" t="b">
        <f>FALSE()</f>
        <v>0</v>
      </c>
      <c r="AD2324" s="60" t="b">
        <f>TRUE()</f>
        <v>1</v>
      </c>
      <c r="AE2324" s="60">
        <v>2</v>
      </c>
      <c r="AF2324" s="64">
        <v>28.6</v>
      </c>
      <c r="AG2324" s="60" t="s">
        <v>73</v>
      </c>
      <c r="AH2324" s="60" t="s">
        <v>8650</v>
      </c>
      <c r="AI2324">
        <f>IF(AND(OR(Company_Explorer!$B$5="All Companies",$E2324=Company_Explorer!$B$5),OR(Company_Explorer!$B$6="All Platforms",$B2324=Company_Explorer!$B$6),OR(Company_Explorer!$B$7="All Roles",$D2324=Company_Explorer!$B$7),OR(Company_Explorer!$B$8="All Ghost Labels",$AG2324=Company_Explorer!$B$8)),1,0)</f>
        <v>0</v>
      </c>
    </row>
    <row r="2325" spans="1:35" ht="15" customHeight="1" x14ac:dyDescent="0.3">
      <c r="A2325" s="65" t="s">
        <v>8651</v>
      </c>
      <c r="B2325" s="65" t="s">
        <v>82</v>
      </c>
      <c r="C2325" s="65" t="s">
        <v>8652</v>
      </c>
      <c r="D2325" s="65" t="s">
        <v>128</v>
      </c>
      <c r="E2325" s="65" t="s">
        <v>8653</v>
      </c>
      <c r="F2325" s="65" t="b">
        <f>TRUE()</f>
        <v>1</v>
      </c>
      <c r="G2325" s="65" t="s">
        <v>166</v>
      </c>
      <c r="H2325" s="65" t="s">
        <v>235</v>
      </c>
      <c r="I2325" s="66">
        <v>46206</v>
      </c>
      <c r="J2325" s="66">
        <v>46210.285774942102</v>
      </c>
      <c r="K2325" s="65">
        <v>34</v>
      </c>
      <c r="L2325" s="65" t="s">
        <v>183</v>
      </c>
      <c r="M2325" s="65" t="s">
        <v>183</v>
      </c>
      <c r="N2325" s="65" t="b">
        <f>TRUE()</f>
        <v>1</v>
      </c>
      <c r="O2325" s="71">
        <v>400000</v>
      </c>
      <c r="P2325" s="71">
        <v>700000</v>
      </c>
      <c r="Q2325" s="65" t="s">
        <v>3663</v>
      </c>
      <c r="R2325" s="65" t="s">
        <v>7351</v>
      </c>
      <c r="S2325" s="71">
        <v>550000</v>
      </c>
      <c r="T2325" s="65" t="b">
        <f>TRUE()</f>
        <v>1</v>
      </c>
      <c r="U2325" s="65" t="b">
        <f>FALSE()</f>
        <v>0</v>
      </c>
      <c r="V2325" s="65">
        <v>234</v>
      </c>
      <c r="W2325" s="67" t="s">
        <v>8654</v>
      </c>
      <c r="X2325" s="65">
        <v>1</v>
      </c>
      <c r="Y2325" s="68">
        <v>0.24</v>
      </c>
      <c r="Z2325" s="65" t="b">
        <f>FALSE()</f>
        <v>0</v>
      </c>
      <c r="AA2325" s="65" t="b">
        <f>FALSE()</f>
        <v>0</v>
      </c>
      <c r="AB2325" s="65" t="b">
        <f>FALSE()</f>
        <v>0</v>
      </c>
      <c r="AC2325" s="65" t="b">
        <f>FALSE()</f>
        <v>0</v>
      </c>
      <c r="AD2325" s="65" t="b">
        <f>FALSE()</f>
        <v>0</v>
      </c>
      <c r="AE2325" s="65">
        <v>0</v>
      </c>
      <c r="AF2325" s="69">
        <v>0</v>
      </c>
      <c r="AG2325" s="65" t="s">
        <v>74</v>
      </c>
      <c r="AH2325" s="65" t="s">
        <v>8655</v>
      </c>
      <c r="AI2325">
        <f>IF(AND(OR(Company_Explorer!$B$5="All Companies",$E2325=Company_Explorer!$B$5),OR(Company_Explorer!$B$6="All Platforms",$B2325=Company_Explorer!$B$6),OR(Company_Explorer!$B$7="All Roles",$D2325=Company_Explorer!$B$7),OR(Company_Explorer!$B$8="All Ghost Labels",$AG2325=Company_Explorer!$B$8)),1,0)</f>
        <v>0</v>
      </c>
    </row>
    <row r="2326" spans="1:35" ht="15" customHeight="1" x14ac:dyDescent="0.3">
      <c r="A2326" s="60" t="s">
        <v>8656</v>
      </c>
      <c r="B2326" s="60" t="s">
        <v>82</v>
      </c>
      <c r="C2326" s="60" t="s">
        <v>8657</v>
      </c>
      <c r="D2326" s="60" t="s">
        <v>126</v>
      </c>
      <c r="E2326" s="60" t="s">
        <v>3013</v>
      </c>
      <c r="F2326" s="60" t="b">
        <f>TRUE()</f>
        <v>1</v>
      </c>
      <c r="G2326" s="60" t="s">
        <v>165</v>
      </c>
      <c r="H2326" s="60" t="s">
        <v>165</v>
      </c>
      <c r="I2326" s="61">
        <v>46207</v>
      </c>
      <c r="J2326" s="61">
        <v>46210.285779386599</v>
      </c>
      <c r="K2326" s="60">
        <v>125</v>
      </c>
      <c r="L2326" s="60" t="s">
        <v>192</v>
      </c>
      <c r="M2326" s="60" t="s">
        <v>183</v>
      </c>
      <c r="N2326" s="60" t="b">
        <f>FALSE()</f>
        <v>0</v>
      </c>
      <c r="O2326" s="60"/>
      <c r="P2326" s="60"/>
      <c r="Q2326" s="60" t="s">
        <v>3663</v>
      </c>
      <c r="R2326" s="60" t="s">
        <v>236</v>
      </c>
      <c r="S2326" s="60"/>
      <c r="T2326" s="60" t="b">
        <f>FALSE()</f>
        <v>0</v>
      </c>
      <c r="U2326" s="60" t="b">
        <f>FALSE()</f>
        <v>0</v>
      </c>
      <c r="V2326" s="60">
        <v>760</v>
      </c>
      <c r="W2326" s="60" t="s">
        <v>3014</v>
      </c>
      <c r="X2326" s="60">
        <v>5</v>
      </c>
      <c r="Y2326" s="63">
        <v>1.21</v>
      </c>
      <c r="Z2326" s="60" t="b">
        <f>FALSE()</f>
        <v>0</v>
      </c>
      <c r="AA2326" s="60" t="b">
        <f>TRUE()</f>
        <v>1</v>
      </c>
      <c r="AB2326" s="60" t="b">
        <f>FALSE()</f>
        <v>0</v>
      </c>
      <c r="AC2326" s="60" t="b">
        <f>TRUE()</f>
        <v>1</v>
      </c>
      <c r="AD2326" s="60" t="b">
        <f>FALSE()</f>
        <v>0</v>
      </c>
      <c r="AE2326" s="60">
        <v>2</v>
      </c>
      <c r="AF2326" s="64">
        <v>28.6</v>
      </c>
      <c r="AG2326" s="60" t="s">
        <v>73</v>
      </c>
      <c r="AH2326" s="60" t="s">
        <v>8658</v>
      </c>
      <c r="AI2326">
        <f>IF(AND(OR(Company_Explorer!$B$5="All Companies",$E2326=Company_Explorer!$B$5),OR(Company_Explorer!$B$6="All Platforms",$B2326=Company_Explorer!$B$6),OR(Company_Explorer!$B$7="All Roles",$D2326=Company_Explorer!$B$7),OR(Company_Explorer!$B$8="All Ghost Labels",$AG2326=Company_Explorer!$B$8)),1,0)</f>
        <v>0</v>
      </c>
    </row>
    <row r="2327" spans="1:35" ht="15" customHeight="1" x14ac:dyDescent="0.3">
      <c r="A2327" s="65" t="s">
        <v>8659</v>
      </c>
      <c r="B2327" s="65" t="s">
        <v>82</v>
      </c>
      <c r="C2327" s="65" t="s">
        <v>8660</v>
      </c>
      <c r="D2327" s="65" t="s">
        <v>128</v>
      </c>
      <c r="E2327" s="65" t="s">
        <v>8661</v>
      </c>
      <c r="F2327" s="65" t="b">
        <f>TRUE()</f>
        <v>1</v>
      </c>
      <c r="G2327" s="65" t="s">
        <v>269</v>
      </c>
      <c r="H2327" s="65" t="s">
        <v>270</v>
      </c>
      <c r="I2327" s="66">
        <v>46200</v>
      </c>
      <c r="J2327" s="66">
        <v>46210.285782557898</v>
      </c>
      <c r="K2327" s="65">
        <v>41</v>
      </c>
      <c r="L2327" s="65" t="s">
        <v>183</v>
      </c>
      <c r="M2327" s="65" t="s">
        <v>183</v>
      </c>
      <c r="N2327" s="65" t="b">
        <f>TRUE()</f>
        <v>1</v>
      </c>
      <c r="O2327" s="71">
        <v>240000</v>
      </c>
      <c r="P2327" s="71">
        <v>725000</v>
      </c>
      <c r="Q2327" s="65" t="s">
        <v>3663</v>
      </c>
      <c r="R2327" s="65" t="s">
        <v>7351</v>
      </c>
      <c r="S2327" s="71">
        <v>482500</v>
      </c>
      <c r="T2327" s="65" t="b">
        <f>TRUE()</f>
        <v>1</v>
      </c>
      <c r="U2327" s="65" t="b">
        <f>FALSE()</f>
        <v>0</v>
      </c>
      <c r="V2327" s="65">
        <v>464</v>
      </c>
      <c r="W2327" s="67" t="s">
        <v>8662</v>
      </c>
      <c r="X2327" s="65">
        <v>1</v>
      </c>
      <c r="Y2327" s="68">
        <v>0.24</v>
      </c>
      <c r="Z2327" s="65" t="b">
        <f>FALSE()</f>
        <v>0</v>
      </c>
      <c r="AA2327" s="65" t="b">
        <f>FALSE()</f>
        <v>0</v>
      </c>
      <c r="AB2327" s="65" t="b">
        <f>FALSE()</f>
        <v>0</v>
      </c>
      <c r="AC2327" s="65" t="b">
        <f>FALSE()</f>
        <v>0</v>
      </c>
      <c r="AD2327" s="65" t="b">
        <f>FALSE()</f>
        <v>0</v>
      </c>
      <c r="AE2327" s="65">
        <v>0</v>
      </c>
      <c r="AF2327" s="69">
        <v>0</v>
      </c>
      <c r="AG2327" s="65" t="s">
        <v>74</v>
      </c>
      <c r="AH2327" s="65" t="s">
        <v>8663</v>
      </c>
      <c r="AI2327">
        <f>IF(AND(OR(Company_Explorer!$B$5="All Companies",$E2327=Company_Explorer!$B$5),OR(Company_Explorer!$B$6="All Platforms",$B2327=Company_Explorer!$B$6),OR(Company_Explorer!$B$7="All Roles",$D2327=Company_Explorer!$B$7),OR(Company_Explorer!$B$8="All Ghost Labels",$AG2327=Company_Explorer!$B$8)),1,0)</f>
        <v>0</v>
      </c>
    </row>
    <row r="2328" spans="1:35" ht="15" customHeight="1" x14ac:dyDescent="0.3">
      <c r="A2328" s="60" t="s">
        <v>8664</v>
      </c>
      <c r="B2328" s="60" t="s">
        <v>82</v>
      </c>
      <c r="C2328" s="60" t="s">
        <v>8665</v>
      </c>
      <c r="D2328" s="60" t="s">
        <v>128</v>
      </c>
      <c r="E2328" s="60" t="s">
        <v>8666</v>
      </c>
      <c r="F2328" s="60" t="b">
        <f>TRUE()</f>
        <v>1</v>
      </c>
      <c r="G2328" s="60" t="s">
        <v>165</v>
      </c>
      <c r="H2328" s="60" t="s">
        <v>165</v>
      </c>
      <c r="I2328" s="61">
        <v>46210</v>
      </c>
      <c r="J2328" s="61">
        <v>46210.285783113402</v>
      </c>
      <c r="K2328" s="60">
        <v>0</v>
      </c>
      <c r="L2328" s="60" t="s">
        <v>183</v>
      </c>
      <c r="M2328" s="60" t="s">
        <v>183</v>
      </c>
      <c r="N2328" s="60" t="b">
        <f>FALSE()</f>
        <v>0</v>
      </c>
      <c r="O2328" s="60"/>
      <c r="P2328" s="60"/>
      <c r="Q2328" s="60" t="s">
        <v>3663</v>
      </c>
      <c r="R2328" s="60" t="s">
        <v>236</v>
      </c>
      <c r="S2328" s="60"/>
      <c r="T2328" s="60" t="b">
        <f>FALSE()</f>
        <v>0</v>
      </c>
      <c r="U2328" s="60" t="b">
        <f>FALSE()</f>
        <v>0</v>
      </c>
      <c r="V2328" s="60">
        <v>481</v>
      </c>
      <c r="W2328" s="62" t="s">
        <v>8667</v>
      </c>
      <c r="X2328" s="60">
        <v>1</v>
      </c>
      <c r="Y2328" s="63">
        <v>0.24</v>
      </c>
      <c r="Z2328" s="60" t="b">
        <f>FALSE()</f>
        <v>0</v>
      </c>
      <c r="AA2328" s="60" t="b">
        <f>TRUE()</f>
        <v>1</v>
      </c>
      <c r="AB2328" s="60" t="b">
        <f>FALSE()</f>
        <v>0</v>
      </c>
      <c r="AC2328" s="60" t="b">
        <f>FALSE()</f>
        <v>0</v>
      </c>
      <c r="AD2328" s="60" t="b">
        <f>FALSE()</f>
        <v>0</v>
      </c>
      <c r="AE2328" s="60">
        <v>1</v>
      </c>
      <c r="AF2328" s="64">
        <v>14.3</v>
      </c>
      <c r="AG2328" s="60" t="s">
        <v>74</v>
      </c>
      <c r="AH2328" s="60" t="s">
        <v>8668</v>
      </c>
      <c r="AI2328">
        <f>IF(AND(OR(Company_Explorer!$B$5="All Companies",$E2328=Company_Explorer!$B$5),OR(Company_Explorer!$B$6="All Platforms",$B2328=Company_Explorer!$B$6),OR(Company_Explorer!$B$7="All Roles",$D2328=Company_Explorer!$B$7),OR(Company_Explorer!$B$8="All Ghost Labels",$AG2328=Company_Explorer!$B$8)),1,0)</f>
        <v>0</v>
      </c>
    </row>
    <row r="2329" spans="1:35" ht="15" customHeight="1" x14ac:dyDescent="0.3">
      <c r="A2329" s="65" t="s">
        <v>8669</v>
      </c>
      <c r="B2329" s="65" t="s">
        <v>82</v>
      </c>
      <c r="C2329" s="65" t="s">
        <v>8670</v>
      </c>
      <c r="D2329" s="65" t="s">
        <v>128</v>
      </c>
      <c r="E2329" s="65" t="s">
        <v>8671</v>
      </c>
      <c r="F2329" s="65" t="b">
        <f>TRUE()</f>
        <v>1</v>
      </c>
      <c r="G2329" s="65" t="s">
        <v>325</v>
      </c>
      <c r="H2329" s="65" t="s">
        <v>326</v>
      </c>
      <c r="I2329" s="66">
        <v>46191</v>
      </c>
      <c r="J2329" s="66">
        <v>46210.285783449101</v>
      </c>
      <c r="K2329" s="65">
        <v>111</v>
      </c>
      <c r="L2329" s="65" t="s">
        <v>192</v>
      </c>
      <c r="M2329" s="65" t="s">
        <v>183</v>
      </c>
      <c r="N2329" s="65" t="b">
        <f>TRUE()</f>
        <v>1</v>
      </c>
      <c r="O2329" s="71">
        <v>300000</v>
      </c>
      <c r="P2329" s="71">
        <v>700000</v>
      </c>
      <c r="Q2329" s="65" t="s">
        <v>3663</v>
      </c>
      <c r="R2329" s="65" t="s">
        <v>7351</v>
      </c>
      <c r="S2329" s="71">
        <v>500000</v>
      </c>
      <c r="T2329" s="65" t="b">
        <f>TRUE()</f>
        <v>1</v>
      </c>
      <c r="U2329" s="65" t="b">
        <f>FALSE()</f>
        <v>0</v>
      </c>
      <c r="V2329" s="65">
        <v>482</v>
      </c>
      <c r="W2329" s="67" t="s">
        <v>8672</v>
      </c>
      <c r="X2329" s="65">
        <v>1</v>
      </c>
      <c r="Y2329" s="68">
        <v>0.24</v>
      </c>
      <c r="Z2329" s="65" t="b">
        <f>FALSE()</f>
        <v>0</v>
      </c>
      <c r="AA2329" s="65" t="b">
        <f>FALSE()</f>
        <v>0</v>
      </c>
      <c r="AB2329" s="65" t="b">
        <f>FALSE()</f>
        <v>0</v>
      </c>
      <c r="AC2329" s="65" t="b">
        <f>FALSE()</f>
        <v>0</v>
      </c>
      <c r="AD2329" s="65" t="b">
        <f>FALSE()</f>
        <v>0</v>
      </c>
      <c r="AE2329" s="65">
        <v>0</v>
      </c>
      <c r="AF2329" s="69">
        <v>0</v>
      </c>
      <c r="AG2329" s="65" t="s">
        <v>74</v>
      </c>
      <c r="AH2329" s="65" t="s">
        <v>8673</v>
      </c>
      <c r="AI2329">
        <f>IF(AND(OR(Company_Explorer!$B$5="All Companies",$E2329=Company_Explorer!$B$5),OR(Company_Explorer!$B$6="All Platforms",$B2329=Company_Explorer!$B$6),OR(Company_Explorer!$B$7="All Roles",$D2329=Company_Explorer!$B$7),OR(Company_Explorer!$B$8="All Ghost Labels",$AG2329=Company_Explorer!$B$8)),1,0)</f>
        <v>0</v>
      </c>
    </row>
    <row r="2330" spans="1:35" ht="15" customHeight="1" x14ac:dyDescent="0.3">
      <c r="A2330" s="60" t="s">
        <v>8674</v>
      </c>
      <c r="B2330" s="60" t="s">
        <v>82</v>
      </c>
      <c r="C2330" s="60" t="s">
        <v>8675</v>
      </c>
      <c r="D2330" s="60" t="s">
        <v>125</v>
      </c>
      <c r="E2330" s="60" t="s">
        <v>7501</v>
      </c>
      <c r="F2330" s="60" t="b">
        <f>TRUE()</f>
        <v>1</v>
      </c>
      <c r="G2330" s="60" t="s">
        <v>165</v>
      </c>
      <c r="H2330" s="60" t="s">
        <v>165</v>
      </c>
      <c r="I2330" s="61">
        <v>46206</v>
      </c>
      <c r="J2330" s="61">
        <v>46210.285784976899</v>
      </c>
      <c r="K2330" s="60">
        <v>34</v>
      </c>
      <c r="L2330" s="60" t="s">
        <v>192</v>
      </c>
      <c r="M2330" s="60" t="s">
        <v>183</v>
      </c>
      <c r="N2330" s="60" t="b">
        <f>FALSE()</f>
        <v>0</v>
      </c>
      <c r="O2330" s="60"/>
      <c r="P2330" s="60"/>
      <c r="Q2330" s="60" t="s">
        <v>3663</v>
      </c>
      <c r="R2330" s="60" t="s">
        <v>236</v>
      </c>
      <c r="S2330" s="60"/>
      <c r="T2330" s="60" t="b">
        <f>FALSE()</f>
        <v>0</v>
      </c>
      <c r="U2330" s="60" t="b">
        <f>FALSE()</f>
        <v>0</v>
      </c>
      <c r="V2330" s="60">
        <v>979</v>
      </c>
      <c r="W2330" s="62" t="s">
        <v>7008</v>
      </c>
      <c r="X2330" s="60">
        <v>4</v>
      </c>
      <c r="Y2330" s="63">
        <v>0.97</v>
      </c>
      <c r="Z2330" s="60" t="b">
        <f>FALSE()</f>
        <v>0</v>
      </c>
      <c r="AA2330" s="60" t="b">
        <f>TRUE()</f>
        <v>1</v>
      </c>
      <c r="AB2330" s="60" t="b">
        <f>FALSE()</f>
        <v>0</v>
      </c>
      <c r="AC2330" s="60" t="b">
        <f>FALSE()</f>
        <v>0</v>
      </c>
      <c r="AD2330" s="60" t="b">
        <f>FALSE()</f>
        <v>0</v>
      </c>
      <c r="AE2330" s="60">
        <v>1</v>
      </c>
      <c r="AF2330" s="64">
        <v>14.3</v>
      </c>
      <c r="AG2330" s="60" t="s">
        <v>74</v>
      </c>
      <c r="AH2330" s="60" t="s">
        <v>8676</v>
      </c>
      <c r="AI2330">
        <f>IF(AND(OR(Company_Explorer!$B$5="All Companies",$E2330=Company_Explorer!$B$5),OR(Company_Explorer!$B$6="All Platforms",$B2330=Company_Explorer!$B$6),OR(Company_Explorer!$B$7="All Roles",$D2330=Company_Explorer!$B$7),OR(Company_Explorer!$B$8="All Ghost Labels",$AG2330=Company_Explorer!$B$8)),1,0)</f>
        <v>0</v>
      </c>
    </row>
    <row r="2331" spans="1:35" ht="15" customHeight="1" x14ac:dyDescent="0.3">
      <c r="A2331" s="65" t="s">
        <v>8677</v>
      </c>
      <c r="B2331" s="65" t="s">
        <v>82</v>
      </c>
      <c r="C2331" s="65" t="s">
        <v>8678</v>
      </c>
      <c r="D2331" s="65" t="s">
        <v>128</v>
      </c>
      <c r="E2331" s="65" t="s">
        <v>7413</v>
      </c>
      <c r="F2331" s="65" t="b">
        <f>TRUE()</f>
        <v>1</v>
      </c>
      <c r="G2331" s="65" t="s">
        <v>165</v>
      </c>
      <c r="H2331" s="65" t="s">
        <v>165</v>
      </c>
      <c r="I2331" s="66">
        <v>46207</v>
      </c>
      <c r="J2331" s="66">
        <v>46210.285785023101</v>
      </c>
      <c r="K2331" s="65">
        <v>33</v>
      </c>
      <c r="L2331" s="65" t="s">
        <v>192</v>
      </c>
      <c r="M2331" s="65" t="s">
        <v>183</v>
      </c>
      <c r="N2331" s="65" t="b">
        <f>FALSE()</f>
        <v>0</v>
      </c>
      <c r="O2331" s="65"/>
      <c r="P2331" s="65"/>
      <c r="Q2331" s="65" t="s">
        <v>3663</v>
      </c>
      <c r="R2331" s="65" t="s">
        <v>236</v>
      </c>
      <c r="S2331" s="65"/>
      <c r="T2331" s="65" t="b">
        <f>FALSE()</f>
        <v>0</v>
      </c>
      <c r="U2331" s="65" t="b">
        <f>FALSE()</f>
        <v>0</v>
      </c>
      <c r="V2331" s="65">
        <v>900</v>
      </c>
      <c r="W2331" s="67" t="s">
        <v>8679</v>
      </c>
      <c r="X2331" s="65">
        <v>7</v>
      </c>
      <c r="Y2331" s="68">
        <v>1.69</v>
      </c>
      <c r="Z2331" s="65" t="b">
        <f>FALSE()</f>
        <v>0</v>
      </c>
      <c r="AA2331" s="65" t="b">
        <f>TRUE()</f>
        <v>1</v>
      </c>
      <c r="AB2331" s="65" t="b">
        <f>FALSE()</f>
        <v>0</v>
      </c>
      <c r="AC2331" s="65" t="b">
        <f>FALSE()</f>
        <v>0</v>
      </c>
      <c r="AD2331" s="65" t="b">
        <f>FALSE()</f>
        <v>0</v>
      </c>
      <c r="AE2331" s="65">
        <v>1</v>
      </c>
      <c r="AF2331" s="69">
        <v>14.3</v>
      </c>
      <c r="AG2331" s="65" t="s">
        <v>74</v>
      </c>
      <c r="AH2331" s="65" t="s">
        <v>8680</v>
      </c>
      <c r="AI2331">
        <f>IF(AND(OR(Company_Explorer!$B$5="All Companies",$E2331=Company_Explorer!$B$5),OR(Company_Explorer!$B$6="All Platforms",$B2331=Company_Explorer!$B$6),OR(Company_Explorer!$B$7="All Roles",$D2331=Company_Explorer!$B$7),OR(Company_Explorer!$B$8="All Ghost Labels",$AG2331=Company_Explorer!$B$8)),1,0)</f>
        <v>0</v>
      </c>
    </row>
    <row r="2332" spans="1:35" ht="15" customHeight="1" x14ac:dyDescent="0.3">
      <c r="A2332" s="60" t="s">
        <v>8681</v>
      </c>
      <c r="B2332" s="60" t="s">
        <v>82</v>
      </c>
      <c r="C2332" s="60" t="s">
        <v>5151</v>
      </c>
      <c r="D2332" s="60" t="s">
        <v>126</v>
      </c>
      <c r="E2332" s="60" t="s">
        <v>8682</v>
      </c>
      <c r="F2332" s="60" t="b">
        <f>TRUE()</f>
        <v>1</v>
      </c>
      <c r="G2332" s="60" t="s">
        <v>165</v>
      </c>
      <c r="H2332" s="60" t="s">
        <v>165</v>
      </c>
      <c r="I2332" s="61">
        <v>46211</v>
      </c>
      <c r="J2332" s="61">
        <v>46210.285786435197</v>
      </c>
      <c r="K2332" s="60">
        <v>0</v>
      </c>
      <c r="L2332" s="60" t="s">
        <v>183</v>
      </c>
      <c r="M2332" s="60" t="s">
        <v>183</v>
      </c>
      <c r="N2332" s="60" t="b">
        <f>FALSE()</f>
        <v>0</v>
      </c>
      <c r="O2332" s="60"/>
      <c r="P2332" s="60"/>
      <c r="Q2332" s="60" t="s">
        <v>3663</v>
      </c>
      <c r="R2332" s="60" t="s">
        <v>236</v>
      </c>
      <c r="S2332" s="60"/>
      <c r="T2332" s="60" t="b">
        <f>FALSE()</f>
        <v>0</v>
      </c>
      <c r="U2332" s="60" t="b">
        <f>FALSE()</f>
        <v>0</v>
      </c>
      <c r="V2332" s="60">
        <v>309</v>
      </c>
      <c r="W2332" s="62" t="s">
        <v>5152</v>
      </c>
      <c r="X2332" s="60">
        <v>7</v>
      </c>
      <c r="Y2332" s="63">
        <v>1.69</v>
      </c>
      <c r="Z2332" s="60" t="b">
        <f>FALSE()</f>
        <v>0</v>
      </c>
      <c r="AA2332" s="60" t="b">
        <f>TRUE()</f>
        <v>1</v>
      </c>
      <c r="AB2332" s="60" t="b">
        <f>FALSE()</f>
        <v>0</v>
      </c>
      <c r="AC2332" s="60" t="b">
        <f>FALSE()</f>
        <v>0</v>
      </c>
      <c r="AD2332" s="60" t="b">
        <f>FALSE()</f>
        <v>0</v>
      </c>
      <c r="AE2332" s="60">
        <v>1</v>
      </c>
      <c r="AF2332" s="64">
        <v>14.3</v>
      </c>
      <c r="AG2332" s="60" t="s">
        <v>74</v>
      </c>
      <c r="AH2332" s="60" t="s">
        <v>8683</v>
      </c>
      <c r="AI2332">
        <f>IF(AND(OR(Company_Explorer!$B$5="All Companies",$E2332=Company_Explorer!$B$5),OR(Company_Explorer!$B$6="All Platforms",$B2332=Company_Explorer!$B$6),OR(Company_Explorer!$B$7="All Roles",$D2332=Company_Explorer!$B$7),OR(Company_Explorer!$B$8="All Ghost Labels",$AG2332=Company_Explorer!$B$8)),1,0)</f>
        <v>0</v>
      </c>
    </row>
    <row r="2333" spans="1:35" ht="15" customHeight="1" x14ac:dyDescent="0.3">
      <c r="A2333" s="65" t="s">
        <v>8684</v>
      </c>
      <c r="B2333" s="65" t="s">
        <v>82</v>
      </c>
      <c r="C2333" s="65" t="s">
        <v>128</v>
      </c>
      <c r="D2333" s="65" t="s">
        <v>128</v>
      </c>
      <c r="E2333" s="65" t="s">
        <v>3445</v>
      </c>
      <c r="F2333" s="65" t="b">
        <f>TRUE()</f>
        <v>1</v>
      </c>
      <c r="G2333" s="65" t="s">
        <v>165</v>
      </c>
      <c r="H2333" s="65" t="s">
        <v>165</v>
      </c>
      <c r="I2333" s="66">
        <v>46202</v>
      </c>
      <c r="J2333" s="66">
        <v>46210.285787349501</v>
      </c>
      <c r="K2333" s="65">
        <v>69</v>
      </c>
      <c r="L2333" s="65" t="s">
        <v>183</v>
      </c>
      <c r="M2333" s="65" t="s">
        <v>183</v>
      </c>
      <c r="N2333" s="65" t="b">
        <f>FALSE()</f>
        <v>0</v>
      </c>
      <c r="O2333" s="65"/>
      <c r="P2333" s="65"/>
      <c r="Q2333" s="65" t="s">
        <v>3663</v>
      </c>
      <c r="R2333" s="65" t="s">
        <v>236</v>
      </c>
      <c r="S2333" s="65"/>
      <c r="T2333" s="65" t="b">
        <f>FALSE()</f>
        <v>0</v>
      </c>
      <c r="U2333" s="65" t="b">
        <f>FALSE()</f>
        <v>0</v>
      </c>
      <c r="V2333" s="65">
        <v>318</v>
      </c>
      <c r="W2333" s="67" t="s">
        <v>8685</v>
      </c>
      <c r="X2333" s="65">
        <v>4</v>
      </c>
      <c r="Y2333" s="68">
        <v>0.97</v>
      </c>
      <c r="Z2333" s="65" t="b">
        <f>FALSE()</f>
        <v>0</v>
      </c>
      <c r="AA2333" s="65" t="b">
        <f>TRUE()</f>
        <v>1</v>
      </c>
      <c r="AB2333" s="65" t="b">
        <f>FALSE()</f>
        <v>0</v>
      </c>
      <c r="AC2333" s="65" t="b">
        <f>FALSE()</f>
        <v>0</v>
      </c>
      <c r="AD2333" s="65" t="b">
        <f>FALSE()</f>
        <v>0</v>
      </c>
      <c r="AE2333" s="65">
        <v>1</v>
      </c>
      <c r="AF2333" s="69">
        <v>14.3</v>
      </c>
      <c r="AG2333" s="65" t="s">
        <v>74</v>
      </c>
      <c r="AH2333" s="65" t="s">
        <v>8686</v>
      </c>
      <c r="AI2333">
        <f>IF(AND(OR(Company_Explorer!$B$5="All Companies",$E2333=Company_Explorer!$B$5),OR(Company_Explorer!$B$6="All Platforms",$B2333=Company_Explorer!$B$6),OR(Company_Explorer!$B$7="All Roles",$D2333=Company_Explorer!$B$7),OR(Company_Explorer!$B$8="All Ghost Labels",$AG2333=Company_Explorer!$B$8)),1,0)</f>
        <v>0</v>
      </c>
    </row>
    <row r="2334" spans="1:35" ht="15" customHeight="1" x14ac:dyDescent="0.3">
      <c r="A2334" s="60" t="s">
        <v>8687</v>
      </c>
      <c r="B2334" s="60" t="s">
        <v>82</v>
      </c>
      <c r="C2334" s="60" t="s">
        <v>8688</v>
      </c>
      <c r="D2334" s="60" t="s">
        <v>126</v>
      </c>
      <c r="E2334" s="60" t="s">
        <v>3013</v>
      </c>
      <c r="F2334" s="60" t="b">
        <f>TRUE()</f>
        <v>1</v>
      </c>
      <c r="G2334" s="60" t="s">
        <v>165</v>
      </c>
      <c r="H2334" s="60" t="s">
        <v>165</v>
      </c>
      <c r="I2334" s="61">
        <v>46209</v>
      </c>
      <c r="J2334" s="61">
        <v>46210.285787372697</v>
      </c>
      <c r="K2334" s="60">
        <v>31</v>
      </c>
      <c r="L2334" s="60" t="s">
        <v>192</v>
      </c>
      <c r="M2334" s="60" t="s">
        <v>183</v>
      </c>
      <c r="N2334" s="60" t="b">
        <f>FALSE()</f>
        <v>0</v>
      </c>
      <c r="O2334" s="60"/>
      <c r="P2334" s="60"/>
      <c r="Q2334" s="60" t="s">
        <v>3663</v>
      </c>
      <c r="R2334" s="60" t="s">
        <v>236</v>
      </c>
      <c r="S2334" s="60"/>
      <c r="T2334" s="60" t="b">
        <f>FALSE()</f>
        <v>0</v>
      </c>
      <c r="U2334" s="60" t="b">
        <f>FALSE()</f>
        <v>0</v>
      </c>
      <c r="V2334" s="60">
        <v>868</v>
      </c>
      <c r="W2334" s="60" t="s">
        <v>3014</v>
      </c>
      <c r="X2334" s="60">
        <v>5</v>
      </c>
      <c r="Y2334" s="63">
        <v>1.21</v>
      </c>
      <c r="Z2334" s="60" t="b">
        <f>FALSE()</f>
        <v>0</v>
      </c>
      <c r="AA2334" s="60" t="b">
        <f>TRUE()</f>
        <v>1</v>
      </c>
      <c r="AB2334" s="60" t="b">
        <f>FALSE()</f>
        <v>0</v>
      </c>
      <c r="AC2334" s="60" t="b">
        <f>FALSE()</f>
        <v>0</v>
      </c>
      <c r="AD2334" s="60" t="b">
        <f>FALSE()</f>
        <v>0</v>
      </c>
      <c r="AE2334" s="60">
        <v>1</v>
      </c>
      <c r="AF2334" s="64">
        <v>14.3</v>
      </c>
      <c r="AG2334" s="60" t="s">
        <v>74</v>
      </c>
      <c r="AH2334" s="60" t="s">
        <v>8689</v>
      </c>
      <c r="AI2334">
        <f>IF(AND(OR(Company_Explorer!$B$5="All Companies",$E2334=Company_Explorer!$B$5),OR(Company_Explorer!$B$6="All Platforms",$B2334=Company_Explorer!$B$6),OR(Company_Explorer!$B$7="All Roles",$D2334=Company_Explorer!$B$7),OR(Company_Explorer!$B$8="All Ghost Labels",$AG2334=Company_Explorer!$B$8)),1,0)</f>
        <v>0</v>
      </c>
    </row>
    <row r="2335" spans="1:35" ht="15" customHeight="1" x14ac:dyDescent="0.3">
      <c r="A2335" s="65" t="s">
        <v>8690</v>
      </c>
      <c r="B2335" s="65" t="s">
        <v>82</v>
      </c>
      <c r="C2335" s="65" t="s">
        <v>128</v>
      </c>
      <c r="D2335" s="65" t="s">
        <v>128</v>
      </c>
      <c r="E2335" s="65" t="s">
        <v>3726</v>
      </c>
      <c r="F2335" s="65" t="b">
        <f>FALSE()</f>
        <v>0</v>
      </c>
      <c r="G2335" s="65" t="s">
        <v>166</v>
      </c>
      <c r="H2335" s="65" t="s">
        <v>235</v>
      </c>
      <c r="I2335" s="66">
        <v>46210</v>
      </c>
      <c r="J2335" s="66">
        <v>46210.285789953698</v>
      </c>
      <c r="K2335" s="65">
        <v>0</v>
      </c>
      <c r="L2335" s="65" t="s">
        <v>192</v>
      </c>
      <c r="M2335" s="65" t="s">
        <v>183</v>
      </c>
      <c r="N2335" s="65" t="b">
        <f>TRUE()</f>
        <v>1</v>
      </c>
      <c r="O2335" s="71">
        <v>23000</v>
      </c>
      <c r="P2335" s="71">
        <v>38000</v>
      </c>
      <c r="Q2335" s="65" t="s">
        <v>3663</v>
      </c>
      <c r="R2335" s="65" t="s">
        <v>7445</v>
      </c>
      <c r="S2335" s="71">
        <v>366000</v>
      </c>
      <c r="T2335" s="65" t="b">
        <f>TRUE()</f>
        <v>1</v>
      </c>
      <c r="U2335" s="65" t="b">
        <f>FALSE()</f>
        <v>0</v>
      </c>
      <c r="V2335" s="65">
        <v>890</v>
      </c>
      <c r="W2335" s="67" t="s">
        <v>8228</v>
      </c>
      <c r="X2335" s="65"/>
      <c r="Y2335" s="68"/>
      <c r="Z2335" s="65" t="b">
        <f>TRUE()</f>
        <v>1</v>
      </c>
      <c r="AA2335" s="65" t="b">
        <f>FALSE()</f>
        <v>0</v>
      </c>
      <c r="AB2335" s="65" t="b">
        <f>FALSE()</f>
        <v>0</v>
      </c>
      <c r="AC2335" s="65" t="b">
        <f>FALSE()</f>
        <v>0</v>
      </c>
      <c r="AD2335" s="65" t="b">
        <f>FALSE()</f>
        <v>0</v>
      </c>
      <c r="AE2335" s="65">
        <v>2</v>
      </c>
      <c r="AF2335" s="69">
        <v>28.6</v>
      </c>
      <c r="AG2335" s="65" t="s">
        <v>73</v>
      </c>
      <c r="AH2335" s="65" t="s">
        <v>8691</v>
      </c>
      <c r="AI2335">
        <f>IF(AND(OR(Company_Explorer!$B$5="All Companies",$E2335=Company_Explorer!$B$5),OR(Company_Explorer!$B$6="All Platforms",$B2335=Company_Explorer!$B$6),OR(Company_Explorer!$B$7="All Roles",$D2335=Company_Explorer!$B$7),OR(Company_Explorer!$B$8="All Ghost Labels",$AG2335=Company_Explorer!$B$8)),1,0)</f>
        <v>0</v>
      </c>
    </row>
    <row r="2336" spans="1:35" ht="15" customHeight="1" x14ac:dyDescent="0.3">
      <c r="A2336" s="60" t="s">
        <v>8692</v>
      </c>
      <c r="B2336" s="60" t="s">
        <v>82</v>
      </c>
      <c r="C2336" s="60" t="s">
        <v>8693</v>
      </c>
      <c r="D2336" s="60" t="s">
        <v>126</v>
      </c>
      <c r="E2336" s="60" t="s">
        <v>8694</v>
      </c>
      <c r="F2336" s="60" t="b">
        <f>TRUE()</f>
        <v>1</v>
      </c>
      <c r="G2336" s="60" t="s">
        <v>166</v>
      </c>
      <c r="H2336" s="60" t="s">
        <v>235</v>
      </c>
      <c r="I2336" s="61">
        <v>46185</v>
      </c>
      <c r="J2336" s="61">
        <v>46210.285794942101</v>
      </c>
      <c r="K2336" s="60">
        <v>25</v>
      </c>
      <c r="L2336" s="60" t="s">
        <v>192</v>
      </c>
      <c r="M2336" s="60" t="s">
        <v>183</v>
      </c>
      <c r="N2336" s="60" t="b">
        <f>TRUE()</f>
        <v>1</v>
      </c>
      <c r="O2336" s="70">
        <v>480000</v>
      </c>
      <c r="P2336" s="70">
        <v>900000</v>
      </c>
      <c r="Q2336" s="60" t="s">
        <v>3663</v>
      </c>
      <c r="R2336" s="60" t="s">
        <v>7351</v>
      </c>
      <c r="S2336" s="70">
        <v>690000</v>
      </c>
      <c r="T2336" s="60" t="b">
        <f>TRUE()</f>
        <v>1</v>
      </c>
      <c r="U2336" s="60" t="b">
        <f>FALSE()</f>
        <v>0</v>
      </c>
      <c r="V2336" s="60">
        <v>910</v>
      </c>
      <c r="W2336" s="60" t="s">
        <v>8695</v>
      </c>
      <c r="X2336" s="60">
        <v>1</v>
      </c>
      <c r="Y2336" s="63">
        <v>0.24</v>
      </c>
      <c r="Z2336" s="60" t="b">
        <f>FALSE()</f>
        <v>0</v>
      </c>
      <c r="AA2336" s="60" t="b">
        <f>FALSE()</f>
        <v>0</v>
      </c>
      <c r="AB2336" s="60" t="b">
        <f>FALSE()</f>
        <v>0</v>
      </c>
      <c r="AC2336" s="60" t="b">
        <f>FALSE()</f>
        <v>0</v>
      </c>
      <c r="AD2336" s="60" t="b">
        <f>FALSE()</f>
        <v>0</v>
      </c>
      <c r="AE2336" s="60">
        <v>0</v>
      </c>
      <c r="AF2336" s="64">
        <v>0</v>
      </c>
      <c r="AG2336" s="60" t="s">
        <v>74</v>
      </c>
      <c r="AH2336" s="60" t="s">
        <v>8696</v>
      </c>
      <c r="AI2336">
        <f>IF(AND(OR(Company_Explorer!$B$5="All Companies",$E2336=Company_Explorer!$B$5),OR(Company_Explorer!$B$6="All Platforms",$B2336=Company_Explorer!$B$6),OR(Company_Explorer!$B$7="All Roles",$D2336=Company_Explorer!$B$7),OR(Company_Explorer!$B$8="All Ghost Labels",$AG2336=Company_Explorer!$B$8)),1,0)</f>
        <v>0</v>
      </c>
    </row>
    <row r="2337" spans="1:35" ht="15" customHeight="1" x14ac:dyDescent="0.3">
      <c r="A2337" s="65" t="s">
        <v>8697</v>
      </c>
      <c r="B2337" s="65" t="s">
        <v>82</v>
      </c>
      <c r="C2337" s="65" t="s">
        <v>8698</v>
      </c>
      <c r="D2337" s="65" t="s">
        <v>128</v>
      </c>
      <c r="E2337" s="65" t="s">
        <v>152</v>
      </c>
      <c r="F2337" s="65" t="b">
        <f>TRUE()</f>
        <v>1</v>
      </c>
      <c r="G2337" s="65" t="s">
        <v>165</v>
      </c>
      <c r="H2337" s="65" t="s">
        <v>165</v>
      </c>
      <c r="I2337" s="66">
        <v>46206</v>
      </c>
      <c r="J2337" s="66">
        <v>46210.285800034697</v>
      </c>
      <c r="K2337" s="65">
        <v>4</v>
      </c>
      <c r="L2337" s="65" t="s">
        <v>192</v>
      </c>
      <c r="M2337" s="65" t="s">
        <v>183</v>
      </c>
      <c r="N2337" s="65" t="b">
        <f>FALSE()</f>
        <v>0</v>
      </c>
      <c r="O2337" s="65"/>
      <c r="P2337" s="65"/>
      <c r="Q2337" s="65" t="s">
        <v>3663</v>
      </c>
      <c r="R2337" s="65" t="s">
        <v>236</v>
      </c>
      <c r="S2337" s="65"/>
      <c r="T2337" s="65" t="b">
        <f>FALSE()</f>
        <v>0</v>
      </c>
      <c r="U2337" s="65" t="b">
        <f>FALSE()</f>
        <v>0</v>
      </c>
      <c r="V2337" s="65">
        <v>309</v>
      </c>
      <c r="W2337" s="67" t="s">
        <v>8699</v>
      </c>
      <c r="X2337" s="65">
        <v>17</v>
      </c>
      <c r="Y2337" s="68">
        <v>4.0999999999999996</v>
      </c>
      <c r="Z2337" s="65" t="b">
        <f>FALSE()</f>
        <v>0</v>
      </c>
      <c r="AA2337" s="65" t="b">
        <f>TRUE()</f>
        <v>1</v>
      </c>
      <c r="AB2337" s="65" t="b">
        <f>FALSE()</f>
        <v>0</v>
      </c>
      <c r="AC2337" s="65" t="b">
        <f>FALSE()</f>
        <v>0</v>
      </c>
      <c r="AD2337" s="65" t="b">
        <f>TRUE()</f>
        <v>1</v>
      </c>
      <c r="AE2337" s="65">
        <v>3</v>
      </c>
      <c r="AF2337" s="69">
        <v>42.9</v>
      </c>
      <c r="AG2337" s="65" t="s">
        <v>73</v>
      </c>
      <c r="AH2337" s="65" t="s">
        <v>8700</v>
      </c>
      <c r="AI2337">
        <f>IF(AND(OR(Company_Explorer!$B$5="All Companies",$E2337=Company_Explorer!$B$5),OR(Company_Explorer!$B$6="All Platforms",$B2337=Company_Explorer!$B$6),OR(Company_Explorer!$B$7="All Roles",$D2337=Company_Explorer!$B$7),OR(Company_Explorer!$B$8="All Ghost Labels",$AG2337=Company_Explorer!$B$8)),1,0)</f>
        <v>0</v>
      </c>
    </row>
    <row r="2338" spans="1:35" ht="15" customHeight="1" x14ac:dyDescent="0.3">
      <c r="A2338" s="60" t="s">
        <v>8701</v>
      </c>
      <c r="B2338" s="60" t="s">
        <v>82</v>
      </c>
      <c r="C2338" s="60" t="s">
        <v>8574</v>
      </c>
      <c r="D2338" s="60" t="s">
        <v>128</v>
      </c>
      <c r="E2338" s="60" t="s">
        <v>8702</v>
      </c>
      <c r="F2338" s="60" t="b">
        <f>TRUE()</f>
        <v>1</v>
      </c>
      <c r="G2338" s="60" t="s">
        <v>166</v>
      </c>
      <c r="H2338" s="60" t="s">
        <v>235</v>
      </c>
      <c r="I2338" s="61">
        <v>46186</v>
      </c>
      <c r="J2338" s="61">
        <v>46210.285802164399</v>
      </c>
      <c r="K2338" s="60">
        <v>24</v>
      </c>
      <c r="L2338" s="60" t="s">
        <v>192</v>
      </c>
      <c r="M2338" s="60" t="s">
        <v>183</v>
      </c>
      <c r="N2338" s="60" t="b">
        <f>TRUE()</f>
        <v>1</v>
      </c>
      <c r="O2338" s="70">
        <v>362000</v>
      </c>
      <c r="P2338" s="70">
        <v>444000</v>
      </c>
      <c r="Q2338" s="60" t="s">
        <v>3663</v>
      </c>
      <c r="R2338" s="60" t="s">
        <v>7351</v>
      </c>
      <c r="S2338" s="70">
        <v>403000</v>
      </c>
      <c r="T2338" s="60" t="b">
        <f>TRUE()</f>
        <v>1</v>
      </c>
      <c r="U2338" s="60" t="b">
        <f>FALSE()</f>
        <v>0</v>
      </c>
      <c r="V2338" s="60">
        <v>153</v>
      </c>
      <c r="W2338" s="60" t="s">
        <v>8703</v>
      </c>
      <c r="X2338" s="60">
        <v>7</v>
      </c>
      <c r="Y2338" s="63">
        <v>1.69</v>
      </c>
      <c r="Z2338" s="60" t="b">
        <f>FALSE()</f>
        <v>0</v>
      </c>
      <c r="AA2338" s="60" t="b">
        <f>FALSE()</f>
        <v>0</v>
      </c>
      <c r="AB2338" s="60" t="b">
        <f>TRUE()</f>
        <v>1</v>
      </c>
      <c r="AC2338" s="60" t="b">
        <f>FALSE()</f>
        <v>0</v>
      </c>
      <c r="AD2338" s="60" t="b">
        <f>FALSE()</f>
        <v>0</v>
      </c>
      <c r="AE2338" s="60">
        <v>1</v>
      </c>
      <c r="AF2338" s="64">
        <v>14.3</v>
      </c>
      <c r="AG2338" s="60" t="s">
        <v>74</v>
      </c>
      <c r="AH2338" s="60" t="s">
        <v>8704</v>
      </c>
      <c r="AI2338">
        <f>IF(AND(OR(Company_Explorer!$B$5="All Companies",$E2338=Company_Explorer!$B$5),OR(Company_Explorer!$B$6="All Platforms",$B2338=Company_Explorer!$B$6),OR(Company_Explorer!$B$7="All Roles",$D2338=Company_Explorer!$B$7),OR(Company_Explorer!$B$8="All Ghost Labels",$AG2338=Company_Explorer!$B$8)),1,0)</f>
        <v>0</v>
      </c>
    </row>
    <row r="2339" spans="1:35" ht="15" customHeight="1" x14ac:dyDescent="0.3">
      <c r="A2339" s="65" t="s">
        <v>8705</v>
      </c>
      <c r="B2339" s="65" t="s">
        <v>82</v>
      </c>
      <c r="C2339" s="65" t="s">
        <v>8706</v>
      </c>
      <c r="D2339" s="65" t="s">
        <v>133</v>
      </c>
      <c r="E2339" s="65" t="s">
        <v>3013</v>
      </c>
      <c r="F2339" s="65" t="b">
        <f>TRUE()</f>
        <v>1</v>
      </c>
      <c r="G2339" s="65" t="s">
        <v>165</v>
      </c>
      <c r="H2339" s="65" t="s">
        <v>165</v>
      </c>
      <c r="I2339" s="66">
        <v>46201</v>
      </c>
      <c r="J2339" s="66">
        <v>46210.285803831001</v>
      </c>
      <c r="K2339" s="65">
        <v>101</v>
      </c>
      <c r="L2339" s="65" t="s">
        <v>192</v>
      </c>
      <c r="M2339" s="65" t="s">
        <v>183</v>
      </c>
      <c r="N2339" s="65" t="b">
        <f>FALSE()</f>
        <v>0</v>
      </c>
      <c r="O2339" s="65"/>
      <c r="P2339" s="65"/>
      <c r="Q2339" s="65" t="s">
        <v>3663</v>
      </c>
      <c r="R2339" s="65" t="s">
        <v>236</v>
      </c>
      <c r="S2339" s="65"/>
      <c r="T2339" s="65" t="b">
        <f>FALSE()</f>
        <v>0</v>
      </c>
      <c r="U2339" s="65" t="b">
        <f>FALSE()</f>
        <v>0</v>
      </c>
      <c r="V2339" s="65">
        <v>841</v>
      </c>
      <c r="W2339" s="65" t="s">
        <v>3014</v>
      </c>
      <c r="X2339" s="65">
        <v>5</v>
      </c>
      <c r="Y2339" s="68">
        <v>1.21</v>
      </c>
      <c r="Z2339" s="65" t="b">
        <f>FALSE()</f>
        <v>0</v>
      </c>
      <c r="AA2339" s="65" t="b">
        <f>TRUE()</f>
        <v>1</v>
      </c>
      <c r="AB2339" s="65" t="b">
        <f>FALSE()</f>
        <v>0</v>
      </c>
      <c r="AC2339" s="65" t="b">
        <f>FALSE()</f>
        <v>0</v>
      </c>
      <c r="AD2339" s="65" t="b">
        <f>FALSE()</f>
        <v>0</v>
      </c>
      <c r="AE2339" s="65">
        <v>1</v>
      </c>
      <c r="AF2339" s="69">
        <v>14.3</v>
      </c>
      <c r="AG2339" s="65" t="s">
        <v>74</v>
      </c>
      <c r="AH2339" s="65" t="s">
        <v>8707</v>
      </c>
      <c r="AI2339">
        <f>IF(AND(OR(Company_Explorer!$B$5="All Companies",$E2339=Company_Explorer!$B$5),OR(Company_Explorer!$B$6="All Platforms",$B2339=Company_Explorer!$B$6),OR(Company_Explorer!$B$7="All Roles",$D2339=Company_Explorer!$B$7),OR(Company_Explorer!$B$8="All Ghost Labels",$AG2339=Company_Explorer!$B$8)),1,0)</f>
        <v>0</v>
      </c>
    </row>
    <row r="2340" spans="1:35" ht="15" customHeight="1" x14ac:dyDescent="0.3">
      <c r="A2340" s="60" t="s">
        <v>8708</v>
      </c>
      <c r="B2340" s="60" t="s">
        <v>82</v>
      </c>
      <c r="C2340" s="60" t="s">
        <v>8709</v>
      </c>
      <c r="D2340" s="60" t="s">
        <v>128</v>
      </c>
      <c r="E2340" s="60" t="s">
        <v>7361</v>
      </c>
      <c r="F2340" s="60" t="b">
        <f>TRUE()</f>
        <v>1</v>
      </c>
      <c r="G2340" s="60" t="s">
        <v>165</v>
      </c>
      <c r="H2340" s="60" t="s">
        <v>165</v>
      </c>
      <c r="I2340" s="61">
        <v>46192</v>
      </c>
      <c r="J2340" s="61">
        <v>46210.285805474501</v>
      </c>
      <c r="K2340" s="60">
        <v>49</v>
      </c>
      <c r="L2340" s="60" t="s">
        <v>183</v>
      </c>
      <c r="M2340" s="60" t="s">
        <v>183</v>
      </c>
      <c r="N2340" s="60" t="b">
        <f>FALSE()</f>
        <v>0</v>
      </c>
      <c r="O2340" s="60"/>
      <c r="P2340" s="60"/>
      <c r="Q2340" s="60" t="s">
        <v>3663</v>
      </c>
      <c r="R2340" s="60" t="s">
        <v>236</v>
      </c>
      <c r="S2340" s="60"/>
      <c r="T2340" s="60" t="b">
        <f>FALSE()</f>
        <v>0</v>
      </c>
      <c r="U2340" s="60" t="b">
        <f>FALSE()</f>
        <v>0</v>
      </c>
      <c r="V2340" s="60">
        <v>633</v>
      </c>
      <c r="W2340" s="62" t="s">
        <v>8710</v>
      </c>
      <c r="X2340" s="60">
        <v>5</v>
      </c>
      <c r="Y2340" s="63">
        <v>1.21</v>
      </c>
      <c r="Z2340" s="60" t="b">
        <f>FALSE()</f>
        <v>0</v>
      </c>
      <c r="AA2340" s="60" t="b">
        <f>TRUE()</f>
        <v>1</v>
      </c>
      <c r="AB2340" s="60" t="b">
        <f>FALSE()</f>
        <v>0</v>
      </c>
      <c r="AC2340" s="60" t="b">
        <f>FALSE()</f>
        <v>0</v>
      </c>
      <c r="AD2340" s="60" t="b">
        <f>FALSE()</f>
        <v>0</v>
      </c>
      <c r="AE2340" s="60">
        <v>1</v>
      </c>
      <c r="AF2340" s="64">
        <v>14.3</v>
      </c>
      <c r="AG2340" s="60" t="s">
        <v>74</v>
      </c>
      <c r="AH2340" s="60" t="s">
        <v>8711</v>
      </c>
      <c r="AI2340">
        <f>IF(AND(OR(Company_Explorer!$B$5="All Companies",$E2340=Company_Explorer!$B$5),OR(Company_Explorer!$B$6="All Platforms",$B2340=Company_Explorer!$B$6),OR(Company_Explorer!$B$7="All Roles",$D2340=Company_Explorer!$B$7),OR(Company_Explorer!$B$8="All Ghost Labels",$AG2340=Company_Explorer!$B$8)),1,0)</f>
        <v>0</v>
      </c>
    </row>
    <row r="2341" spans="1:35" ht="15" customHeight="1" x14ac:dyDescent="0.3">
      <c r="A2341" s="65" t="s">
        <v>8712</v>
      </c>
      <c r="B2341" s="65" t="s">
        <v>82</v>
      </c>
      <c r="C2341" s="65" t="s">
        <v>8238</v>
      </c>
      <c r="D2341" s="65" t="s">
        <v>128</v>
      </c>
      <c r="E2341" s="65" t="s">
        <v>7559</v>
      </c>
      <c r="F2341" s="65" t="b">
        <f>TRUE()</f>
        <v>1</v>
      </c>
      <c r="G2341" s="65" t="s">
        <v>165</v>
      </c>
      <c r="H2341" s="65" t="s">
        <v>165</v>
      </c>
      <c r="I2341" s="66">
        <v>46198</v>
      </c>
      <c r="J2341" s="66">
        <v>46210.285806180596</v>
      </c>
      <c r="K2341" s="65">
        <v>73</v>
      </c>
      <c r="L2341" s="65" t="s">
        <v>183</v>
      </c>
      <c r="M2341" s="65" t="s">
        <v>183</v>
      </c>
      <c r="N2341" s="65" t="b">
        <f>FALSE()</f>
        <v>0</v>
      </c>
      <c r="O2341" s="65"/>
      <c r="P2341" s="65"/>
      <c r="Q2341" s="65" t="s">
        <v>3663</v>
      </c>
      <c r="R2341" s="65" t="s">
        <v>236</v>
      </c>
      <c r="S2341" s="65"/>
      <c r="T2341" s="65" t="b">
        <f>FALSE()</f>
        <v>0</v>
      </c>
      <c r="U2341" s="65" t="b">
        <f>FALSE()</f>
        <v>0</v>
      </c>
      <c r="V2341" s="65">
        <v>152</v>
      </c>
      <c r="W2341" s="67" t="s">
        <v>8713</v>
      </c>
      <c r="X2341" s="65">
        <v>10</v>
      </c>
      <c r="Y2341" s="68">
        <v>2.41</v>
      </c>
      <c r="Z2341" s="65" t="b">
        <f>FALSE()</f>
        <v>0</v>
      </c>
      <c r="AA2341" s="65" t="b">
        <f>TRUE()</f>
        <v>1</v>
      </c>
      <c r="AB2341" s="65" t="b">
        <f>TRUE()</f>
        <v>1</v>
      </c>
      <c r="AC2341" s="65" t="b">
        <f>FALSE()</f>
        <v>0</v>
      </c>
      <c r="AD2341" s="65" t="b">
        <f>TRUE()</f>
        <v>1</v>
      </c>
      <c r="AE2341" s="65">
        <v>4</v>
      </c>
      <c r="AF2341" s="69">
        <v>57.1</v>
      </c>
      <c r="AG2341" s="65" t="s">
        <v>72</v>
      </c>
      <c r="AH2341" s="65" t="s">
        <v>8714</v>
      </c>
      <c r="AI2341">
        <f>IF(AND(OR(Company_Explorer!$B$5="All Companies",$E2341=Company_Explorer!$B$5),OR(Company_Explorer!$B$6="All Platforms",$B2341=Company_Explorer!$B$6),OR(Company_Explorer!$B$7="All Roles",$D2341=Company_Explorer!$B$7),OR(Company_Explorer!$B$8="All Ghost Labels",$AG2341=Company_Explorer!$B$8)),1,0)</f>
        <v>0</v>
      </c>
    </row>
    <row r="2342" spans="1:35" ht="15" customHeight="1" x14ac:dyDescent="0.3">
      <c r="A2342" s="60" t="s">
        <v>8715</v>
      </c>
      <c r="B2342" s="60" t="s">
        <v>82</v>
      </c>
      <c r="C2342" s="60" t="s">
        <v>8716</v>
      </c>
      <c r="D2342" s="60" t="s">
        <v>126</v>
      </c>
      <c r="E2342" s="60" t="s">
        <v>8717</v>
      </c>
      <c r="F2342" s="60" t="b">
        <f>TRUE()</f>
        <v>1</v>
      </c>
      <c r="G2342" s="60" t="s">
        <v>165</v>
      </c>
      <c r="H2342" s="60" t="s">
        <v>165</v>
      </c>
      <c r="I2342" s="61">
        <v>46208</v>
      </c>
      <c r="J2342" s="61">
        <v>46210.285811689799</v>
      </c>
      <c r="K2342" s="60">
        <v>124</v>
      </c>
      <c r="L2342" s="60" t="s">
        <v>183</v>
      </c>
      <c r="M2342" s="60" t="s">
        <v>183</v>
      </c>
      <c r="N2342" s="60" t="b">
        <f>FALSE()</f>
        <v>0</v>
      </c>
      <c r="O2342" s="60"/>
      <c r="P2342" s="60"/>
      <c r="Q2342" s="60" t="s">
        <v>3663</v>
      </c>
      <c r="R2342" s="60" t="s">
        <v>236</v>
      </c>
      <c r="S2342" s="60"/>
      <c r="T2342" s="60" t="b">
        <f>FALSE()</f>
        <v>0</v>
      </c>
      <c r="U2342" s="60" t="b">
        <f>FALSE()</f>
        <v>0</v>
      </c>
      <c r="V2342" s="60">
        <v>673</v>
      </c>
      <c r="W2342" s="62" t="s">
        <v>8718</v>
      </c>
      <c r="X2342" s="60">
        <v>2</v>
      </c>
      <c r="Y2342" s="63">
        <v>0.48</v>
      </c>
      <c r="Z2342" s="60" t="b">
        <f>FALSE()</f>
        <v>0</v>
      </c>
      <c r="AA2342" s="60" t="b">
        <f>TRUE()</f>
        <v>1</v>
      </c>
      <c r="AB2342" s="60" t="b">
        <f>FALSE()</f>
        <v>0</v>
      </c>
      <c r="AC2342" s="60" t="b">
        <f>TRUE()</f>
        <v>1</v>
      </c>
      <c r="AD2342" s="60" t="b">
        <f>FALSE()</f>
        <v>0</v>
      </c>
      <c r="AE2342" s="60">
        <v>2</v>
      </c>
      <c r="AF2342" s="64">
        <v>28.6</v>
      </c>
      <c r="AG2342" s="60" t="s">
        <v>73</v>
      </c>
      <c r="AH2342" s="60" t="s">
        <v>8719</v>
      </c>
      <c r="AI2342">
        <f>IF(AND(OR(Company_Explorer!$B$5="All Companies",$E2342=Company_Explorer!$B$5),OR(Company_Explorer!$B$6="All Platforms",$B2342=Company_Explorer!$B$6),OR(Company_Explorer!$B$7="All Roles",$D2342=Company_Explorer!$B$7),OR(Company_Explorer!$B$8="All Ghost Labels",$AG2342=Company_Explorer!$B$8)),1,0)</f>
        <v>0</v>
      </c>
    </row>
    <row r="2343" spans="1:35" ht="15" customHeight="1" x14ac:dyDescent="0.3">
      <c r="A2343" s="65" t="s">
        <v>8720</v>
      </c>
      <c r="B2343" s="65" t="s">
        <v>82</v>
      </c>
      <c r="C2343" s="65" t="s">
        <v>8721</v>
      </c>
      <c r="D2343" s="65" t="s">
        <v>125</v>
      </c>
      <c r="E2343" s="65" t="s">
        <v>8722</v>
      </c>
      <c r="F2343" s="65" t="b">
        <f>TRUE()</f>
        <v>1</v>
      </c>
      <c r="G2343" s="65" t="s">
        <v>165</v>
      </c>
      <c r="H2343" s="65" t="s">
        <v>165</v>
      </c>
      <c r="I2343" s="66">
        <v>46187</v>
      </c>
      <c r="J2343" s="66">
        <v>46210.285814803203</v>
      </c>
      <c r="K2343" s="65">
        <v>54</v>
      </c>
      <c r="L2343" s="65" t="s">
        <v>183</v>
      </c>
      <c r="M2343" s="65" t="s">
        <v>183</v>
      </c>
      <c r="N2343" s="65" t="b">
        <f>FALSE()</f>
        <v>0</v>
      </c>
      <c r="O2343" s="65"/>
      <c r="P2343" s="65"/>
      <c r="Q2343" s="65" t="s">
        <v>3663</v>
      </c>
      <c r="R2343" s="65" t="s">
        <v>236</v>
      </c>
      <c r="S2343" s="65"/>
      <c r="T2343" s="65" t="b">
        <f>FALSE()</f>
        <v>0</v>
      </c>
      <c r="U2343" s="65" t="b">
        <f>FALSE()</f>
        <v>0</v>
      </c>
      <c r="V2343" s="65">
        <v>590</v>
      </c>
      <c r="W2343" s="67" t="s">
        <v>8723</v>
      </c>
      <c r="X2343" s="65">
        <v>1</v>
      </c>
      <c r="Y2343" s="68">
        <v>0.24</v>
      </c>
      <c r="Z2343" s="65" t="b">
        <f>FALSE()</f>
        <v>0</v>
      </c>
      <c r="AA2343" s="65" t="b">
        <f>TRUE()</f>
        <v>1</v>
      </c>
      <c r="AB2343" s="65" t="b">
        <f>FALSE()</f>
        <v>0</v>
      </c>
      <c r="AC2343" s="65" t="b">
        <f>FALSE()</f>
        <v>0</v>
      </c>
      <c r="AD2343" s="65" t="b">
        <f>FALSE()</f>
        <v>0</v>
      </c>
      <c r="AE2343" s="65">
        <v>1</v>
      </c>
      <c r="AF2343" s="69">
        <v>14.3</v>
      </c>
      <c r="AG2343" s="65" t="s">
        <v>74</v>
      </c>
      <c r="AH2343" s="65" t="s">
        <v>8724</v>
      </c>
      <c r="AI2343">
        <f>IF(AND(OR(Company_Explorer!$B$5="All Companies",$E2343=Company_Explorer!$B$5),OR(Company_Explorer!$B$6="All Platforms",$B2343=Company_Explorer!$B$6),OR(Company_Explorer!$B$7="All Roles",$D2343=Company_Explorer!$B$7),OR(Company_Explorer!$B$8="All Ghost Labels",$AG2343=Company_Explorer!$B$8)),1,0)</f>
        <v>0</v>
      </c>
    </row>
    <row r="2344" spans="1:35" ht="15" customHeight="1" x14ac:dyDescent="0.3">
      <c r="A2344" s="60" t="s">
        <v>8725</v>
      </c>
      <c r="B2344" s="60" t="s">
        <v>82</v>
      </c>
      <c r="C2344" s="60" t="s">
        <v>8726</v>
      </c>
      <c r="D2344" s="60" t="s">
        <v>125</v>
      </c>
      <c r="E2344" s="60" t="s">
        <v>7877</v>
      </c>
      <c r="F2344" s="60" t="b">
        <f>TRUE()</f>
        <v>1</v>
      </c>
      <c r="G2344" s="60" t="s">
        <v>165</v>
      </c>
      <c r="H2344" s="60" t="s">
        <v>165</v>
      </c>
      <c r="I2344" s="61">
        <v>46206</v>
      </c>
      <c r="J2344" s="61">
        <v>46210.2858163657</v>
      </c>
      <c r="K2344" s="60">
        <v>95</v>
      </c>
      <c r="L2344" s="60" t="s">
        <v>192</v>
      </c>
      <c r="M2344" s="60" t="s">
        <v>183</v>
      </c>
      <c r="N2344" s="60" t="b">
        <f>FALSE()</f>
        <v>0</v>
      </c>
      <c r="O2344" s="60"/>
      <c r="P2344" s="60"/>
      <c r="Q2344" s="60" t="s">
        <v>3663</v>
      </c>
      <c r="R2344" s="60" t="s">
        <v>236</v>
      </c>
      <c r="S2344" s="60"/>
      <c r="T2344" s="60" t="b">
        <f>FALSE()</f>
        <v>0</v>
      </c>
      <c r="U2344" s="60" t="b">
        <f>FALSE()</f>
        <v>0</v>
      </c>
      <c r="V2344" s="60">
        <v>773</v>
      </c>
      <c r="W2344" s="62" t="s">
        <v>7878</v>
      </c>
      <c r="X2344" s="60">
        <v>8</v>
      </c>
      <c r="Y2344" s="63">
        <v>1.93</v>
      </c>
      <c r="Z2344" s="60" t="b">
        <f>FALSE()</f>
        <v>0</v>
      </c>
      <c r="AA2344" s="60" t="b">
        <f>TRUE()</f>
        <v>1</v>
      </c>
      <c r="AB2344" s="60" t="b">
        <f>FALSE()</f>
        <v>0</v>
      </c>
      <c r="AC2344" s="60" t="b">
        <f>FALSE()</f>
        <v>0</v>
      </c>
      <c r="AD2344" s="60" t="b">
        <f>FALSE()</f>
        <v>0</v>
      </c>
      <c r="AE2344" s="60">
        <v>1</v>
      </c>
      <c r="AF2344" s="64">
        <v>14.3</v>
      </c>
      <c r="AG2344" s="60" t="s">
        <v>74</v>
      </c>
      <c r="AH2344" s="60" t="s">
        <v>8727</v>
      </c>
      <c r="AI2344">
        <f>IF(AND(OR(Company_Explorer!$B$5="All Companies",$E2344=Company_Explorer!$B$5),OR(Company_Explorer!$B$6="All Platforms",$B2344=Company_Explorer!$B$6),OR(Company_Explorer!$B$7="All Roles",$D2344=Company_Explorer!$B$7),OR(Company_Explorer!$B$8="All Ghost Labels",$AG2344=Company_Explorer!$B$8)),1,0)</f>
        <v>0</v>
      </c>
    </row>
    <row r="2345" spans="1:35" ht="15" customHeight="1" x14ac:dyDescent="0.3">
      <c r="A2345" s="65" t="s">
        <v>8728</v>
      </c>
      <c r="B2345" s="65" t="s">
        <v>82</v>
      </c>
      <c r="C2345" s="65" t="s">
        <v>8729</v>
      </c>
      <c r="D2345" s="65" t="s">
        <v>128</v>
      </c>
      <c r="E2345" s="65" t="s">
        <v>8730</v>
      </c>
      <c r="F2345" s="65" t="b">
        <f>TRUE()</f>
        <v>1</v>
      </c>
      <c r="G2345" s="65" t="s">
        <v>175</v>
      </c>
      <c r="H2345" s="65" t="s">
        <v>254</v>
      </c>
      <c r="I2345" s="66">
        <v>46191</v>
      </c>
      <c r="J2345" s="66">
        <v>46210.285816863397</v>
      </c>
      <c r="K2345" s="65">
        <v>80</v>
      </c>
      <c r="L2345" s="65" t="s">
        <v>192</v>
      </c>
      <c r="M2345" s="65" t="s">
        <v>183</v>
      </c>
      <c r="N2345" s="65" t="b">
        <f>TRUE()</f>
        <v>1</v>
      </c>
      <c r="O2345" s="71">
        <v>340000</v>
      </c>
      <c r="P2345" s="71">
        <v>880000</v>
      </c>
      <c r="Q2345" s="65" t="s">
        <v>3663</v>
      </c>
      <c r="R2345" s="65" t="s">
        <v>7351</v>
      </c>
      <c r="S2345" s="71">
        <v>610000</v>
      </c>
      <c r="T2345" s="65" t="b">
        <f>TRUE()</f>
        <v>1</v>
      </c>
      <c r="U2345" s="65" t="b">
        <f>FALSE()</f>
        <v>0</v>
      </c>
      <c r="V2345" s="65">
        <v>951</v>
      </c>
      <c r="W2345" s="67" t="s">
        <v>8731</v>
      </c>
      <c r="X2345" s="65">
        <v>2</v>
      </c>
      <c r="Y2345" s="68">
        <v>0.48</v>
      </c>
      <c r="Z2345" s="65" t="b">
        <f>FALSE()</f>
        <v>0</v>
      </c>
      <c r="AA2345" s="65" t="b">
        <f>FALSE()</f>
        <v>0</v>
      </c>
      <c r="AB2345" s="65" t="b">
        <f>FALSE()</f>
        <v>0</v>
      </c>
      <c r="AC2345" s="65" t="b">
        <f>FALSE()</f>
        <v>0</v>
      </c>
      <c r="AD2345" s="65" t="b">
        <f>FALSE()</f>
        <v>0</v>
      </c>
      <c r="AE2345" s="65">
        <v>0</v>
      </c>
      <c r="AF2345" s="69">
        <v>0</v>
      </c>
      <c r="AG2345" s="65" t="s">
        <v>74</v>
      </c>
      <c r="AH2345" s="65" t="s">
        <v>8732</v>
      </c>
      <c r="AI2345">
        <f>IF(AND(OR(Company_Explorer!$B$5="All Companies",$E2345=Company_Explorer!$B$5),OR(Company_Explorer!$B$6="All Platforms",$B2345=Company_Explorer!$B$6),OR(Company_Explorer!$B$7="All Roles",$D2345=Company_Explorer!$B$7),OR(Company_Explorer!$B$8="All Ghost Labels",$AG2345=Company_Explorer!$B$8)),1,0)</f>
        <v>0</v>
      </c>
    </row>
    <row r="2346" spans="1:35" ht="15" customHeight="1" x14ac:dyDescent="0.3">
      <c r="A2346" s="60" t="s">
        <v>8733</v>
      </c>
      <c r="B2346" s="60" t="s">
        <v>82</v>
      </c>
      <c r="C2346" s="60" t="s">
        <v>7285</v>
      </c>
      <c r="D2346" s="60" t="s">
        <v>128</v>
      </c>
      <c r="E2346" s="60" t="s">
        <v>8734</v>
      </c>
      <c r="F2346" s="60" t="b">
        <f>TRUE()</f>
        <v>1</v>
      </c>
      <c r="G2346" s="60" t="s">
        <v>165</v>
      </c>
      <c r="H2346" s="60" t="s">
        <v>165</v>
      </c>
      <c r="I2346" s="61">
        <v>46208</v>
      </c>
      <c r="J2346" s="61">
        <v>46210.285817581003</v>
      </c>
      <c r="K2346" s="60">
        <v>32</v>
      </c>
      <c r="L2346" s="60" t="s">
        <v>183</v>
      </c>
      <c r="M2346" s="60" t="s">
        <v>183</v>
      </c>
      <c r="N2346" s="60" t="b">
        <f>FALSE()</f>
        <v>0</v>
      </c>
      <c r="O2346" s="60"/>
      <c r="P2346" s="60"/>
      <c r="Q2346" s="60" t="s">
        <v>3663</v>
      </c>
      <c r="R2346" s="60" t="s">
        <v>236</v>
      </c>
      <c r="S2346" s="60"/>
      <c r="T2346" s="60" t="b">
        <f>FALSE()</f>
        <v>0</v>
      </c>
      <c r="U2346" s="60" t="b">
        <f>FALSE()</f>
        <v>0</v>
      </c>
      <c r="V2346" s="60">
        <v>224</v>
      </c>
      <c r="W2346" s="60" t="s">
        <v>8735</v>
      </c>
      <c r="X2346" s="60">
        <v>1</v>
      </c>
      <c r="Y2346" s="63">
        <v>0.24</v>
      </c>
      <c r="Z2346" s="60" t="b">
        <f>FALSE()</f>
        <v>0</v>
      </c>
      <c r="AA2346" s="60" t="b">
        <f>TRUE()</f>
        <v>1</v>
      </c>
      <c r="AB2346" s="60" t="b">
        <f>FALSE()</f>
        <v>0</v>
      </c>
      <c r="AC2346" s="60" t="b">
        <f>FALSE()</f>
        <v>0</v>
      </c>
      <c r="AD2346" s="60" t="b">
        <f>FALSE()</f>
        <v>0</v>
      </c>
      <c r="AE2346" s="60">
        <v>1</v>
      </c>
      <c r="AF2346" s="64">
        <v>14.3</v>
      </c>
      <c r="AG2346" s="60" t="s">
        <v>74</v>
      </c>
      <c r="AH2346" s="60" t="s">
        <v>8736</v>
      </c>
      <c r="AI2346">
        <f>IF(AND(OR(Company_Explorer!$B$5="All Companies",$E2346=Company_Explorer!$B$5),OR(Company_Explorer!$B$6="All Platforms",$B2346=Company_Explorer!$B$6),OR(Company_Explorer!$B$7="All Roles",$D2346=Company_Explorer!$B$7),OR(Company_Explorer!$B$8="All Ghost Labels",$AG2346=Company_Explorer!$B$8)),1,0)</f>
        <v>0</v>
      </c>
    </row>
    <row r="2347" spans="1:35" ht="15" customHeight="1" x14ac:dyDescent="0.3">
      <c r="A2347" s="65" t="s">
        <v>8737</v>
      </c>
      <c r="B2347" s="65" t="s">
        <v>82</v>
      </c>
      <c r="C2347" s="65" t="s">
        <v>8738</v>
      </c>
      <c r="D2347" s="65" t="s">
        <v>133</v>
      </c>
      <c r="E2347" s="65" t="s">
        <v>7346</v>
      </c>
      <c r="F2347" s="65" t="b">
        <f>TRUE()</f>
        <v>1</v>
      </c>
      <c r="G2347" s="65" t="s">
        <v>165</v>
      </c>
      <c r="H2347" s="65" t="s">
        <v>165</v>
      </c>
      <c r="I2347" s="66">
        <v>46208</v>
      </c>
      <c r="J2347" s="66">
        <v>46210.285818472199</v>
      </c>
      <c r="K2347" s="65">
        <v>3</v>
      </c>
      <c r="L2347" s="65" t="s">
        <v>183</v>
      </c>
      <c r="M2347" s="65" t="s">
        <v>183</v>
      </c>
      <c r="N2347" s="65" t="b">
        <f>FALSE()</f>
        <v>0</v>
      </c>
      <c r="O2347" s="65"/>
      <c r="P2347" s="65"/>
      <c r="Q2347" s="65" t="s">
        <v>3663</v>
      </c>
      <c r="R2347" s="65" t="s">
        <v>236</v>
      </c>
      <c r="S2347" s="65"/>
      <c r="T2347" s="65" t="b">
        <f>FALSE()</f>
        <v>0</v>
      </c>
      <c r="U2347" s="65" t="b">
        <f>FALSE()</f>
        <v>0</v>
      </c>
      <c r="V2347" s="65">
        <v>1173</v>
      </c>
      <c r="W2347" s="67" t="s">
        <v>8045</v>
      </c>
      <c r="X2347" s="65">
        <v>10</v>
      </c>
      <c r="Y2347" s="68">
        <v>2.41</v>
      </c>
      <c r="Z2347" s="65" t="b">
        <f>FALSE()</f>
        <v>0</v>
      </c>
      <c r="AA2347" s="65" t="b">
        <f>TRUE()</f>
        <v>1</v>
      </c>
      <c r="AB2347" s="65" t="b">
        <f>FALSE()</f>
        <v>0</v>
      </c>
      <c r="AC2347" s="65" t="b">
        <f>FALSE()</f>
        <v>0</v>
      </c>
      <c r="AD2347" s="65" t="b">
        <f>TRUE()</f>
        <v>1</v>
      </c>
      <c r="AE2347" s="65">
        <v>3</v>
      </c>
      <c r="AF2347" s="69">
        <v>42.9</v>
      </c>
      <c r="AG2347" s="65" t="s">
        <v>73</v>
      </c>
      <c r="AH2347" s="65" t="s">
        <v>8739</v>
      </c>
      <c r="AI2347">
        <f>IF(AND(OR(Company_Explorer!$B$5="All Companies",$E2347=Company_Explorer!$B$5),OR(Company_Explorer!$B$6="All Platforms",$B2347=Company_Explorer!$B$6),OR(Company_Explorer!$B$7="All Roles",$D2347=Company_Explorer!$B$7),OR(Company_Explorer!$B$8="All Ghost Labels",$AG2347=Company_Explorer!$B$8)),1,0)</f>
        <v>0</v>
      </c>
    </row>
    <row r="2348" spans="1:35" ht="15" customHeight="1" x14ac:dyDescent="0.3">
      <c r="A2348" s="60" t="s">
        <v>8740</v>
      </c>
      <c r="B2348" s="60" t="s">
        <v>82</v>
      </c>
      <c r="C2348" s="60" t="s">
        <v>8741</v>
      </c>
      <c r="D2348" s="60" t="s">
        <v>128</v>
      </c>
      <c r="E2348" s="60" t="s">
        <v>8742</v>
      </c>
      <c r="F2348" s="60" t="b">
        <f>TRUE()</f>
        <v>1</v>
      </c>
      <c r="G2348" s="60" t="s">
        <v>176</v>
      </c>
      <c r="H2348" s="60" t="s">
        <v>302</v>
      </c>
      <c r="I2348" s="61">
        <v>46196</v>
      </c>
      <c r="J2348" s="61">
        <v>46210.285818773198</v>
      </c>
      <c r="K2348" s="60">
        <v>45</v>
      </c>
      <c r="L2348" s="60" t="s">
        <v>192</v>
      </c>
      <c r="M2348" s="60" t="s">
        <v>183</v>
      </c>
      <c r="N2348" s="60" t="b">
        <f>TRUE()</f>
        <v>1</v>
      </c>
      <c r="O2348" s="70">
        <v>350000</v>
      </c>
      <c r="P2348" s="70">
        <v>830000</v>
      </c>
      <c r="Q2348" s="60" t="s">
        <v>3663</v>
      </c>
      <c r="R2348" s="60" t="s">
        <v>7351</v>
      </c>
      <c r="S2348" s="70">
        <v>590000</v>
      </c>
      <c r="T2348" s="60" t="b">
        <f>TRUE()</f>
        <v>1</v>
      </c>
      <c r="U2348" s="60" t="b">
        <f>FALSE()</f>
        <v>0</v>
      </c>
      <c r="V2348" s="60">
        <v>437</v>
      </c>
      <c r="W2348" s="62" t="s">
        <v>8743</v>
      </c>
      <c r="X2348" s="60">
        <v>2</v>
      </c>
      <c r="Y2348" s="63">
        <v>0.48</v>
      </c>
      <c r="Z2348" s="60" t="b">
        <f>FALSE()</f>
        <v>0</v>
      </c>
      <c r="AA2348" s="60" t="b">
        <f>FALSE()</f>
        <v>0</v>
      </c>
      <c r="AB2348" s="60" t="b">
        <f>FALSE()</f>
        <v>0</v>
      </c>
      <c r="AC2348" s="60" t="b">
        <f>FALSE()</f>
        <v>0</v>
      </c>
      <c r="AD2348" s="60" t="b">
        <f>FALSE()</f>
        <v>0</v>
      </c>
      <c r="AE2348" s="60">
        <v>0</v>
      </c>
      <c r="AF2348" s="64">
        <v>0</v>
      </c>
      <c r="AG2348" s="60" t="s">
        <v>74</v>
      </c>
      <c r="AH2348" s="60" t="s">
        <v>8744</v>
      </c>
      <c r="AI2348">
        <f>IF(AND(OR(Company_Explorer!$B$5="All Companies",$E2348=Company_Explorer!$B$5),OR(Company_Explorer!$B$6="All Platforms",$B2348=Company_Explorer!$B$6),OR(Company_Explorer!$B$7="All Roles",$D2348=Company_Explorer!$B$7),OR(Company_Explorer!$B$8="All Ghost Labels",$AG2348=Company_Explorer!$B$8)),1,0)</f>
        <v>0</v>
      </c>
    </row>
    <row r="2349" spans="1:35" ht="15" customHeight="1" x14ac:dyDescent="0.3">
      <c r="A2349" s="65" t="s">
        <v>8745</v>
      </c>
      <c r="B2349" s="65" t="s">
        <v>82</v>
      </c>
      <c r="C2349" s="65" t="s">
        <v>8746</v>
      </c>
      <c r="D2349" s="65" t="s">
        <v>128</v>
      </c>
      <c r="E2349" s="65" t="s">
        <v>8747</v>
      </c>
      <c r="F2349" s="65" t="b">
        <f>TRUE()</f>
        <v>1</v>
      </c>
      <c r="G2349" s="65" t="s">
        <v>167</v>
      </c>
      <c r="H2349" s="65" t="s">
        <v>276</v>
      </c>
      <c r="I2349" s="66">
        <v>46206</v>
      </c>
      <c r="J2349" s="66">
        <v>46210.285818993099</v>
      </c>
      <c r="K2349" s="65">
        <v>34</v>
      </c>
      <c r="L2349" s="65" t="s">
        <v>183</v>
      </c>
      <c r="M2349" s="65" t="s">
        <v>183</v>
      </c>
      <c r="N2349" s="65" t="b">
        <f>TRUE()</f>
        <v>1</v>
      </c>
      <c r="O2349" s="71">
        <v>276000</v>
      </c>
      <c r="P2349" s="71">
        <v>350000</v>
      </c>
      <c r="Q2349" s="65" t="s">
        <v>3663</v>
      </c>
      <c r="R2349" s="65" t="s">
        <v>7351</v>
      </c>
      <c r="S2349" s="71">
        <v>313000</v>
      </c>
      <c r="T2349" s="65" t="b">
        <f>TRUE()</f>
        <v>1</v>
      </c>
      <c r="U2349" s="65" t="b">
        <f>FALSE()</f>
        <v>0</v>
      </c>
      <c r="V2349" s="65">
        <v>318</v>
      </c>
      <c r="W2349" s="67" t="s">
        <v>8748</v>
      </c>
      <c r="X2349" s="65">
        <v>1</v>
      </c>
      <c r="Y2349" s="68">
        <v>0.24</v>
      </c>
      <c r="Z2349" s="65" t="b">
        <f>FALSE()</f>
        <v>0</v>
      </c>
      <c r="AA2349" s="65" t="b">
        <f>FALSE()</f>
        <v>0</v>
      </c>
      <c r="AB2349" s="65" t="b">
        <f>FALSE()</f>
        <v>0</v>
      </c>
      <c r="AC2349" s="65" t="b">
        <f>FALSE()</f>
        <v>0</v>
      </c>
      <c r="AD2349" s="65" t="b">
        <f>FALSE()</f>
        <v>0</v>
      </c>
      <c r="AE2349" s="65">
        <v>0</v>
      </c>
      <c r="AF2349" s="69">
        <v>0</v>
      </c>
      <c r="AG2349" s="65" t="s">
        <v>74</v>
      </c>
      <c r="AH2349" s="65" t="s">
        <v>8749</v>
      </c>
      <c r="AI2349">
        <f>IF(AND(OR(Company_Explorer!$B$5="All Companies",$E2349=Company_Explorer!$B$5),OR(Company_Explorer!$B$6="All Platforms",$B2349=Company_Explorer!$B$6),OR(Company_Explorer!$B$7="All Roles",$D2349=Company_Explorer!$B$7),OR(Company_Explorer!$B$8="All Ghost Labels",$AG2349=Company_Explorer!$B$8)),1,0)</f>
        <v>0</v>
      </c>
    </row>
    <row r="2350" spans="1:35" ht="15" customHeight="1" x14ac:dyDescent="0.3">
      <c r="A2350" s="60" t="s">
        <v>8750</v>
      </c>
      <c r="B2350" s="60" t="s">
        <v>82</v>
      </c>
      <c r="C2350" s="60" t="s">
        <v>8751</v>
      </c>
      <c r="D2350" s="60" t="s">
        <v>128</v>
      </c>
      <c r="E2350" s="60" t="s">
        <v>8752</v>
      </c>
      <c r="F2350" s="60" t="b">
        <f>TRUE()</f>
        <v>1</v>
      </c>
      <c r="G2350" s="60" t="s">
        <v>167</v>
      </c>
      <c r="H2350" s="60" t="s">
        <v>276</v>
      </c>
      <c r="I2350" s="61">
        <v>46190</v>
      </c>
      <c r="J2350" s="61">
        <v>46210.285819386598</v>
      </c>
      <c r="K2350" s="60">
        <v>20</v>
      </c>
      <c r="L2350" s="60" t="s">
        <v>192</v>
      </c>
      <c r="M2350" s="60" t="s">
        <v>183</v>
      </c>
      <c r="N2350" s="60" t="b">
        <f>FALSE()</f>
        <v>0</v>
      </c>
      <c r="O2350" s="60"/>
      <c r="P2350" s="60"/>
      <c r="Q2350" s="60" t="s">
        <v>3663</v>
      </c>
      <c r="R2350" s="60" t="s">
        <v>236</v>
      </c>
      <c r="S2350" s="60"/>
      <c r="T2350" s="60" t="b">
        <f>FALSE()</f>
        <v>0</v>
      </c>
      <c r="U2350" s="60" t="b">
        <f>FALSE()</f>
        <v>0</v>
      </c>
      <c r="V2350" s="60">
        <v>235</v>
      </c>
      <c r="W2350" s="62" t="s">
        <v>8753</v>
      </c>
      <c r="X2350" s="60">
        <v>1</v>
      </c>
      <c r="Y2350" s="63">
        <v>0.24</v>
      </c>
      <c r="Z2350" s="60" t="b">
        <f>FALSE()</f>
        <v>0</v>
      </c>
      <c r="AA2350" s="60" t="b">
        <f>TRUE()</f>
        <v>1</v>
      </c>
      <c r="AB2350" s="60" t="b">
        <f>FALSE()</f>
        <v>0</v>
      </c>
      <c r="AC2350" s="60" t="b">
        <f>FALSE()</f>
        <v>0</v>
      </c>
      <c r="AD2350" s="60" t="b">
        <f>FALSE()</f>
        <v>0</v>
      </c>
      <c r="AE2350" s="60">
        <v>1</v>
      </c>
      <c r="AF2350" s="64">
        <v>14.3</v>
      </c>
      <c r="AG2350" s="60" t="s">
        <v>74</v>
      </c>
      <c r="AH2350" s="60" t="s">
        <v>8754</v>
      </c>
      <c r="AI2350">
        <f>IF(AND(OR(Company_Explorer!$B$5="All Companies",$E2350=Company_Explorer!$B$5),OR(Company_Explorer!$B$6="All Platforms",$B2350=Company_Explorer!$B$6),OR(Company_Explorer!$B$7="All Roles",$D2350=Company_Explorer!$B$7),OR(Company_Explorer!$B$8="All Ghost Labels",$AG2350=Company_Explorer!$B$8)),1,0)</f>
        <v>0</v>
      </c>
    </row>
    <row r="2351" spans="1:35" ht="15" customHeight="1" x14ac:dyDescent="0.3">
      <c r="A2351" s="65" t="s">
        <v>8755</v>
      </c>
      <c r="B2351" s="65" t="s">
        <v>82</v>
      </c>
      <c r="C2351" s="65" t="s">
        <v>7355</v>
      </c>
      <c r="D2351" s="65" t="s">
        <v>128</v>
      </c>
      <c r="E2351" s="65" t="s">
        <v>8756</v>
      </c>
      <c r="F2351" s="65" t="b">
        <f>TRUE()</f>
        <v>1</v>
      </c>
      <c r="G2351" s="65" t="s">
        <v>166</v>
      </c>
      <c r="H2351" s="65" t="s">
        <v>235</v>
      </c>
      <c r="I2351" s="66">
        <v>46201</v>
      </c>
      <c r="J2351" s="66">
        <v>46210.285827002299</v>
      </c>
      <c r="K2351" s="65">
        <v>130</v>
      </c>
      <c r="L2351" s="65" t="s">
        <v>192</v>
      </c>
      <c r="M2351" s="65" t="s">
        <v>183</v>
      </c>
      <c r="N2351" s="65" t="b">
        <f>TRUE()</f>
        <v>1</v>
      </c>
      <c r="O2351" s="71">
        <v>490000</v>
      </c>
      <c r="P2351" s="71">
        <v>800000</v>
      </c>
      <c r="Q2351" s="65" t="s">
        <v>3663</v>
      </c>
      <c r="R2351" s="65" t="s">
        <v>7351</v>
      </c>
      <c r="S2351" s="71">
        <v>645000</v>
      </c>
      <c r="T2351" s="65" t="b">
        <f>TRUE()</f>
        <v>1</v>
      </c>
      <c r="U2351" s="65" t="b">
        <f>FALSE()</f>
        <v>0</v>
      </c>
      <c r="V2351" s="65">
        <v>403</v>
      </c>
      <c r="W2351" s="67" t="s">
        <v>8757</v>
      </c>
      <c r="X2351" s="65">
        <v>1</v>
      </c>
      <c r="Y2351" s="68">
        <v>0.24</v>
      </c>
      <c r="Z2351" s="65" t="b">
        <f>FALSE()</f>
        <v>0</v>
      </c>
      <c r="AA2351" s="65" t="b">
        <f>FALSE()</f>
        <v>0</v>
      </c>
      <c r="AB2351" s="65" t="b">
        <f>FALSE()</f>
        <v>0</v>
      </c>
      <c r="AC2351" s="65" t="b">
        <f>TRUE()</f>
        <v>1</v>
      </c>
      <c r="AD2351" s="65" t="b">
        <f>FALSE()</f>
        <v>0</v>
      </c>
      <c r="AE2351" s="65">
        <v>1</v>
      </c>
      <c r="AF2351" s="69">
        <v>14.3</v>
      </c>
      <c r="AG2351" s="65" t="s">
        <v>74</v>
      </c>
      <c r="AH2351" s="65" t="s">
        <v>8758</v>
      </c>
      <c r="AI2351">
        <f>IF(AND(OR(Company_Explorer!$B$5="All Companies",$E2351=Company_Explorer!$B$5),OR(Company_Explorer!$B$6="All Platforms",$B2351=Company_Explorer!$B$6),OR(Company_Explorer!$B$7="All Roles",$D2351=Company_Explorer!$B$7),OR(Company_Explorer!$B$8="All Ghost Labels",$AG2351=Company_Explorer!$B$8)),1,0)</f>
        <v>0</v>
      </c>
    </row>
    <row r="2352" spans="1:35" ht="15" customHeight="1" x14ac:dyDescent="0.3">
      <c r="A2352" s="60" t="s">
        <v>8759</v>
      </c>
      <c r="B2352" s="60" t="s">
        <v>82</v>
      </c>
      <c r="C2352" s="60" t="s">
        <v>8760</v>
      </c>
      <c r="D2352" s="60" t="s">
        <v>126</v>
      </c>
      <c r="E2352" s="60" t="s">
        <v>152</v>
      </c>
      <c r="F2352" s="60" t="b">
        <f>TRUE()</f>
        <v>1</v>
      </c>
      <c r="G2352" s="60" t="s">
        <v>165</v>
      </c>
      <c r="H2352" s="60" t="s">
        <v>165</v>
      </c>
      <c r="I2352" s="61">
        <v>46192</v>
      </c>
      <c r="J2352" s="61">
        <v>46210.285831087996</v>
      </c>
      <c r="K2352" s="60">
        <v>19</v>
      </c>
      <c r="L2352" s="60" t="s">
        <v>192</v>
      </c>
      <c r="M2352" s="60" t="s">
        <v>183</v>
      </c>
      <c r="N2352" s="60" t="b">
        <f>FALSE()</f>
        <v>0</v>
      </c>
      <c r="O2352" s="60"/>
      <c r="P2352" s="60"/>
      <c r="Q2352" s="60" t="s">
        <v>3663</v>
      </c>
      <c r="R2352" s="60" t="s">
        <v>236</v>
      </c>
      <c r="S2352" s="60"/>
      <c r="T2352" s="60" t="b">
        <f>FALSE()</f>
        <v>0</v>
      </c>
      <c r="U2352" s="60" t="b">
        <f>FALSE()</f>
        <v>0</v>
      </c>
      <c r="V2352" s="60">
        <v>408</v>
      </c>
      <c r="W2352" s="62" t="s">
        <v>8761</v>
      </c>
      <c r="X2352" s="60">
        <v>17</v>
      </c>
      <c r="Y2352" s="63">
        <v>4.0999999999999996</v>
      </c>
      <c r="Z2352" s="60" t="b">
        <f>FALSE()</f>
        <v>0</v>
      </c>
      <c r="AA2352" s="60" t="b">
        <f>TRUE()</f>
        <v>1</v>
      </c>
      <c r="AB2352" s="60" t="b">
        <f>FALSE()</f>
        <v>0</v>
      </c>
      <c r="AC2352" s="60" t="b">
        <f>FALSE()</f>
        <v>0</v>
      </c>
      <c r="AD2352" s="60" t="b">
        <f>TRUE()</f>
        <v>1</v>
      </c>
      <c r="AE2352" s="60">
        <v>3</v>
      </c>
      <c r="AF2352" s="64">
        <v>42.9</v>
      </c>
      <c r="AG2352" s="60" t="s">
        <v>73</v>
      </c>
      <c r="AH2352" s="60" t="s">
        <v>8762</v>
      </c>
      <c r="AI2352">
        <f>IF(AND(OR(Company_Explorer!$B$5="All Companies",$E2352=Company_Explorer!$B$5),OR(Company_Explorer!$B$6="All Platforms",$B2352=Company_Explorer!$B$6),OR(Company_Explorer!$B$7="All Roles",$D2352=Company_Explorer!$B$7),OR(Company_Explorer!$B$8="All Ghost Labels",$AG2352=Company_Explorer!$B$8)),1,0)</f>
        <v>0</v>
      </c>
    </row>
    <row r="2353" spans="1:35" ht="15" customHeight="1" x14ac:dyDescent="0.3">
      <c r="A2353" s="65" t="s">
        <v>8763</v>
      </c>
      <c r="B2353" s="65" t="s">
        <v>82</v>
      </c>
      <c r="C2353" s="65" t="s">
        <v>8474</v>
      </c>
      <c r="D2353" s="65" t="s">
        <v>128</v>
      </c>
      <c r="E2353" s="65" t="s">
        <v>3445</v>
      </c>
      <c r="F2353" s="65" t="b">
        <f>TRUE()</f>
        <v>1</v>
      </c>
      <c r="G2353" s="65" t="s">
        <v>167</v>
      </c>
      <c r="H2353" s="65" t="s">
        <v>276</v>
      </c>
      <c r="I2353" s="66">
        <v>46209</v>
      </c>
      <c r="J2353" s="66">
        <v>46210.285831909699</v>
      </c>
      <c r="K2353" s="65">
        <v>63</v>
      </c>
      <c r="L2353" s="65" t="s">
        <v>183</v>
      </c>
      <c r="M2353" s="65" t="s">
        <v>183</v>
      </c>
      <c r="N2353" s="65" t="b">
        <f>TRUE()</f>
        <v>1</v>
      </c>
      <c r="O2353" s="71">
        <v>148800</v>
      </c>
      <c r="P2353" s="71">
        <v>504000</v>
      </c>
      <c r="Q2353" s="65" t="s">
        <v>3663</v>
      </c>
      <c r="R2353" s="65" t="s">
        <v>7351</v>
      </c>
      <c r="S2353" s="71">
        <v>326400</v>
      </c>
      <c r="T2353" s="65" t="b">
        <f>TRUE()</f>
        <v>1</v>
      </c>
      <c r="U2353" s="65" t="b">
        <f>FALSE()</f>
        <v>0</v>
      </c>
      <c r="V2353" s="65">
        <v>229</v>
      </c>
      <c r="W2353" s="67" t="s">
        <v>8764</v>
      </c>
      <c r="X2353" s="65">
        <v>4</v>
      </c>
      <c r="Y2353" s="68">
        <v>0.97</v>
      </c>
      <c r="Z2353" s="65" t="b">
        <f>FALSE()</f>
        <v>0</v>
      </c>
      <c r="AA2353" s="65" t="b">
        <f>FALSE()</f>
        <v>0</v>
      </c>
      <c r="AB2353" s="65" t="b">
        <f>FALSE()</f>
        <v>0</v>
      </c>
      <c r="AC2353" s="65" t="b">
        <f>FALSE()</f>
        <v>0</v>
      </c>
      <c r="AD2353" s="65" t="b">
        <f>FALSE()</f>
        <v>0</v>
      </c>
      <c r="AE2353" s="65">
        <v>0</v>
      </c>
      <c r="AF2353" s="69">
        <v>0</v>
      </c>
      <c r="AG2353" s="65" t="s">
        <v>74</v>
      </c>
      <c r="AH2353" s="65" t="s">
        <v>8765</v>
      </c>
      <c r="AI2353">
        <f>IF(AND(OR(Company_Explorer!$B$5="All Companies",$E2353=Company_Explorer!$B$5),OR(Company_Explorer!$B$6="All Platforms",$B2353=Company_Explorer!$B$6),OR(Company_Explorer!$B$7="All Roles",$D2353=Company_Explorer!$B$7),OR(Company_Explorer!$B$8="All Ghost Labels",$AG2353=Company_Explorer!$B$8)),1,0)</f>
        <v>0</v>
      </c>
    </row>
    <row r="2354" spans="1:35" ht="15" customHeight="1" x14ac:dyDescent="0.3">
      <c r="A2354" s="60" t="s">
        <v>8766</v>
      </c>
      <c r="B2354" s="60" t="s">
        <v>82</v>
      </c>
      <c r="C2354" s="60" t="s">
        <v>7285</v>
      </c>
      <c r="D2354" s="60" t="s">
        <v>128</v>
      </c>
      <c r="E2354" s="60" t="s">
        <v>8702</v>
      </c>
      <c r="F2354" s="60" t="b">
        <f>TRUE()</f>
        <v>1</v>
      </c>
      <c r="G2354" s="60" t="s">
        <v>165</v>
      </c>
      <c r="H2354" s="60" t="s">
        <v>165</v>
      </c>
      <c r="I2354" s="61">
        <v>46209</v>
      </c>
      <c r="J2354" s="61">
        <v>46210.285835023198</v>
      </c>
      <c r="K2354" s="60">
        <v>31</v>
      </c>
      <c r="L2354" s="60" t="s">
        <v>192</v>
      </c>
      <c r="M2354" s="60" t="s">
        <v>183</v>
      </c>
      <c r="N2354" s="60" t="b">
        <f>FALSE()</f>
        <v>0</v>
      </c>
      <c r="O2354" s="60"/>
      <c r="P2354" s="60"/>
      <c r="Q2354" s="60" t="s">
        <v>3663</v>
      </c>
      <c r="R2354" s="60" t="s">
        <v>236</v>
      </c>
      <c r="S2354" s="60"/>
      <c r="T2354" s="60" t="b">
        <f>FALSE()</f>
        <v>0</v>
      </c>
      <c r="U2354" s="60" t="b">
        <f>FALSE()</f>
        <v>0</v>
      </c>
      <c r="V2354" s="60">
        <v>153</v>
      </c>
      <c r="W2354" s="60" t="s">
        <v>8767</v>
      </c>
      <c r="X2354" s="60">
        <v>7</v>
      </c>
      <c r="Y2354" s="63">
        <v>1.69</v>
      </c>
      <c r="Z2354" s="60" t="b">
        <f>FALSE()</f>
        <v>0</v>
      </c>
      <c r="AA2354" s="60" t="b">
        <f>TRUE()</f>
        <v>1</v>
      </c>
      <c r="AB2354" s="60" t="b">
        <f>TRUE()</f>
        <v>1</v>
      </c>
      <c r="AC2354" s="60" t="b">
        <f>FALSE()</f>
        <v>0</v>
      </c>
      <c r="AD2354" s="60" t="b">
        <f>FALSE()</f>
        <v>0</v>
      </c>
      <c r="AE2354" s="60">
        <v>2</v>
      </c>
      <c r="AF2354" s="64">
        <v>28.6</v>
      </c>
      <c r="AG2354" s="60" t="s">
        <v>73</v>
      </c>
      <c r="AH2354" s="60" t="s">
        <v>8768</v>
      </c>
      <c r="AI2354">
        <f>IF(AND(OR(Company_Explorer!$B$5="All Companies",$E2354=Company_Explorer!$B$5),OR(Company_Explorer!$B$6="All Platforms",$B2354=Company_Explorer!$B$6),OR(Company_Explorer!$B$7="All Roles",$D2354=Company_Explorer!$B$7),OR(Company_Explorer!$B$8="All Ghost Labels",$AG2354=Company_Explorer!$B$8)),1,0)</f>
        <v>0</v>
      </c>
    </row>
    <row r="2355" spans="1:35" ht="15" customHeight="1" x14ac:dyDescent="0.3">
      <c r="A2355" s="65" t="s">
        <v>8769</v>
      </c>
      <c r="B2355" s="65" t="s">
        <v>82</v>
      </c>
      <c r="C2355" s="65" t="s">
        <v>7285</v>
      </c>
      <c r="D2355" s="65" t="s">
        <v>128</v>
      </c>
      <c r="E2355" s="65" t="s">
        <v>8770</v>
      </c>
      <c r="F2355" s="65" t="b">
        <f>TRUE()</f>
        <v>1</v>
      </c>
      <c r="G2355" s="65" t="s">
        <v>165</v>
      </c>
      <c r="H2355" s="65" t="s">
        <v>165</v>
      </c>
      <c r="I2355" s="66">
        <v>46189</v>
      </c>
      <c r="J2355" s="66">
        <v>46210.285835092604</v>
      </c>
      <c r="K2355" s="65">
        <v>52</v>
      </c>
      <c r="L2355" s="65" t="s">
        <v>192</v>
      </c>
      <c r="M2355" s="65" t="s">
        <v>183</v>
      </c>
      <c r="N2355" s="65" t="b">
        <f>FALSE()</f>
        <v>0</v>
      </c>
      <c r="O2355" s="65"/>
      <c r="P2355" s="65"/>
      <c r="Q2355" s="65" t="s">
        <v>3663</v>
      </c>
      <c r="R2355" s="65" t="s">
        <v>236</v>
      </c>
      <c r="S2355" s="65"/>
      <c r="T2355" s="65" t="b">
        <f>FALSE()</f>
        <v>0</v>
      </c>
      <c r="U2355" s="65" t="b">
        <f>FALSE()</f>
        <v>0</v>
      </c>
      <c r="V2355" s="65">
        <v>94</v>
      </c>
      <c r="W2355" s="67" t="s">
        <v>8771</v>
      </c>
      <c r="X2355" s="65">
        <v>1</v>
      </c>
      <c r="Y2355" s="68">
        <v>0.24</v>
      </c>
      <c r="Z2355" s="65" t="b">
        <f>FALSE()</f>
        <v>0</v>
      </c>
      <c r="AA2355" s="65" t="b">
        <f>TRUE()</f>
        <v>1</v>
      </c>
      <c r="AB2355" s="65" t="b">
        <f>TRUE()</f>
        <v>1</v>
      </c>
      <c r="AC2355" s="65" t="b">
        <f>FALSE()</f>
        <v>0</v>
      </c>
      <c r="AD2355" s="65" t="b">
        <f>FALSE()</f>
        <v>0</v>
      </c>
      <c r="AE2355" s="65">
        <v>2</v>
      </c>
      <c r="AF2355" s="69">
        <v>28.6</v>
      </c>
      <c r="AG2355" s="65" t="s">
        <v>73</v>
      </c>
      <c r="AH2355" s="65" t="s">
        <v>8772</v>
      </c>
      <c r="AI2355">
        <f>IF(AND(OR(Company_Explorer!$B$5="All Companies",$E2355=Company_Explorer!$B$5),OR(Company_Explorer!$B$6="All Platforms",$B2355=Company_Explorer!$B$6),OR(Company_Explorer!$B$7="All Roles",$D2355=Company_Explorer!$B$7),OR(Company_Explorer!$B$8="All Ghost Labels",$AG2355=Company_Explorer!$B$8)),1,0)</f>
        <v>0</v>
      </c>
    </row>
    <row r="2356" spans="1:35" ht="15" customHeight="1" x14ac:dyDescent="0.3">
      <c r="A2356" s="60" t="s">
        <v>8773</v>
      </c>
      <c r="B2356" s="60" t="s">
        <v>82</v>
      </c>
      <c r="C2356" s="60" t="s">
        <v>7378</v>
      </c>
      <c r="D2356" s="60" t="s">
        <v>128</v>
      </c>
      <c r="E2356" s="60" t="s">
        <v>7522</v>
      </c>
      <c r="F2356" s="60" t="b">
        <f>TRUE()</f>
        <v>1</v>
      </c>
      <c r="G2356" s="60" t="s">
        <v>165</v>
      </c>
      <c r="H2356" s="60" t="s">
        <v>165</v>
      </c>
      <c r="I2356" s="61">
        <v>46209</v>
      </c>
      <c r="J2356" s="61">
        <v>46210.2858358218</v>
      </c>
      <c r="K2356" s="60">
        <v>31</v>
      </c>
      <c r="L2356" s="60" t="s">
        <v>192</v>
      </c>
      <c r="M2356" s="60" t="s">
        <v>183</v>
      </c>
      <c r="N2356" s="60" t="b">
        <f>FALSE()</f>
        <v>0</v>
      </c>
      <c r="O2356" s="60"/>
      <c r="P2356" s="60"/>
      <c r="Q2356" s="60" t="s">
        <v>3663</v>
      </c>
      <c r="R2356" s="60" t="s">
        <v>236</v>
      </c>
      <c r="S2356" s="60"/>
      <c r="T2356" s="60" t="b">
        <f>FALSE()</f>
        <v>0</v>
      </c>
      <c r="U2356" s="60" t="b">
        <f>FALSE()</f>
        <v>0</v>
      </c>
      <c r="V2356" s="60">
        <v>936</v>
      </c>
      <c r="W2356" s="62" t="s">
        <v>7523</v>
      </c>
      <c r="X2356" s="60">
        <v>2</v>
      </c>
      <c r="Y2356" s="63">
        <v>0.48</v>
      </c>
      <c r="Z2356" s="60" t="b">
        <f>FALSE()</f>
        <v>0</v>
      </c>
      <c r="AA2356" s="60" t="b">
        <f>TRUE()</f>
        <v>1</v>
      </c>
      <c r="AB2356" s="60" t="b">
        <f>FALSE()</f>
        <v>0</v>
      </c>
      <c r="AC2356" s="60" t="b">
        <f>FALSE()</f>
        <v>0</v>
      </c>
      <c r="AD2356" s="60" t="b">
        <f>FALSE()</f>
        <v>0</v>
      </c>
      <c r="AE2356" s="60">
        <v>1</v>
      </c>
      <c r="AF2356" s="64">
        <v>14.3</v>
      </c>
      <c r="AG2356" s="60" t="s">
        <v>74</v>
      </c>
      <c r="AH2356" s="60" t="s">
        <v>8774</v>
      </c>
      <c r="AI2356">
        <f>IF(AND(OR(Company_Explorer!$B$5="All Companies",$E2356=Company_Explorer!$B$5),OR(Company_Explorer!$B$6="All Platforms",$B2356=Company_Explorer!$B$6),OR(Company_Explorer!$B$7="All Roles",$D2356=Company_Explorer!$B$7),OR(Company_Explorer!$B$8="All Ghost Labels",$AG2356=Company_Explorer!$B$8)),1,0)</f>
        <v>0</v>
      </c>
    </row>
    <row r="2357" spans="1:35" ht="15" customHeight="1" x14ac:dyDescent="0.3">
      <c r="A2357" s="65" t="s">
        <v>8775</v>
      </c>
      <c r="B2357" s="65" t="s">
        <v>82</v>
      </c>
      <c r="C2357" s="65" t="s">
        <v>5225</v>
      </c>
      <c r="D2357" s="65" t="s">
        <v>128</v>
      </c>
      <c r="E2357" s="65" t="s">
        <v>152</v>
      </c>
      <c r="F2357" s="65" t="b">
        <f>TRUE()</f>
        <v>1</v>
      </c>
      <c r="G2357" s="65" t="s">
        <v>165</v>
      </c>
      <c r="H2357" s="65" t="s">
        <v>165</v>
      </c>
      <c r="I2357" s="66">
        <v>46192</v>
      </c>
      <c r="J2357" s="66">
        <v>46210.285836851901</v>
      </c>
      <c r="K2357" s="65">
        <v>80</v>
      </c>
      <c r="L2357" s="65" t="s">
        <v>192</v>
      </c>
      <c r="M2357" s="65" t="s">
        <v>183</v>
      </c>
      <c r="N2357" s="65" t="b">
        <f>FALSE()</f>
        <v>0</v>
      </c>
      <c r="O2357" s="65"/>
      <c r="P2357" s="65"/>
      <c r="Q2357" s="65" t="s">
        <v>3663</v>
      </c>
      <c r="R2357" s="65" t="s">
        <v>236</v>
      </c>
      <c r="S2357" s="65"/>
      <c r="T2357" s="65" t="b">
        <f>FALSE()</f>
        <v>0</v>
      </c>
      <c r="U2357" s="65" t="b">
        <f>FALSE()</f>
        <v>0</v>
      </c>
      <c r="V2357" s="65">
        <v>409</v>
      </c>
      <c r="W2357" s="67" t="s">
        <v>5226</v>
      </c>
      <c r="X2357" s="65">
        <v>17</v>
      </c>
      <c r="Y2357" s="68">
        <v>4.0999999999999996</v>
      </c>
      <c r="Z2357" s="65" t="b">
        <f>FALSE()</f>
        <v>0</v>
      </c>
      <c r="AA2357" s="65" t="b">
        <f>TRUE()</f>
        <v>1</v>
      </c>
      <c r="AB2357" s="65" t="b">
        <f>FALSE()</f>
        <v>0</v>
      </c>
      <c r="AC2357" s="65" t="b">
        <f>FALSE()</f>
        <v>0</v>
      </c>
      <c r="AD2357" s="65" t="b">
        <f>TRUE()</f>
        <v>1</v>
      </c>
      <c r="AE2357" s="65">
        <v>3</v>
      </c>
      <c r="AF2357" s="69">
        <v>42.9</v>
      </c>
      <c r="AG2357" s="65" t="s">
        <v>73</v>
      </c>
      <c r="AH2357" s="65" t="s">
        <v>8776</v>
      </c>
      <c r="AI2357">
        <f>IF(AND(OR(Company_Explorer!$B$5="All Companies",$E2357=Company_Explorer!$B$5),OR(Company_Explorer!$B$6="All Platforms",$B2357=Company_Explorer!$B$6),OR(Company_Explorer!$B$7="All Roles",$D2357=Company_Explorer!$B$7),OR(Company_Explorer!$B$8="All Ghost Labels",$AG2357=Company_Explorer!$B$8)),1,0)</f>
        <v>0</v>
      </c>
    </row>
    <row r="2358" spans="1:35" ht="15" customHeight="1" x14ac:dyDescent="0.3">
      <c r="A2358" s="60" t="s">
        <v>8777</v>
      </c>
      <c r="B2358" s="60" t="s">
        <v>82</v>
      </c>
      <c r="C2358" s="60" t="s">
        <v>8778</v>
      </c>
      <c r="D2358" s="60" t="s">
        <v>126</v>
      </c>
      <c r="E2358" s="60" t="s">
        <v>3726</v>
      </c>
      <c r="F2358" s="60" t="b">
        <f>FALSE()</f>
        <v>0</v>
      </c>
      <c r="G2358" s="60" t="s">
        <v>165</v>
      </c>
      <c r="H2358" s="60" t="s">
        <v>165</v>
      </c>
      <c r="I2358" s="61">
        <v>46207</v>
      </c>
      <c r="J2358" s="61">
        <v>46210.2858376273</v>
      </c>
      <c r="K2358" s="60">
        <v>33</v>
      </c>
      <c r="L2358" s="60" t="s">
        <v>192</v>
      </c>
      <c r="M2358" s="60" t="s">
        <v>183</v>
      </c>
      <c r="N2358" s="60" t="b">
        <f>TRUE()</f>
        <v>1</v>
      </c>
      <c r="O2358" s="70">
        <v>25000</v>
      </c>
      <c r="P2358" s="70">
        <v>75000</v>
      </c>
      <c r="Q2358" s="60" t="s">
        <v>3663</v>
      </c>
      <c r="R2358" s="60" t="s">
        <v>7445</v>
      </c>
      <c r="S2358" s="70">
        <v>600000</v>
      </c>
      <c r="T2358" s="60" t="b">
        <f>TRUE()</f>
        <v>1</v>
      </c>
      <c r="U2358" s="60" t="b">
        <f>FALSE()</f>
        <v>0</v>
      </c>
      <c r="V2358" s="60">
        <v>325</v>
      </c>
      <c r="W2358" s="62" t="s">
        <v>8779</v>
      </c>
      <c r="X2358" s="60"/>
      <c r="Y2358" s="63"/>
      <c r="Z2358" s="60" t="b">
        <f>TRUE()</f>
        <v>1</v>
      </c>
      <c r="AA2358" s="60" t="b">
        <f>FALSE()</f>
        <v>0</v>
      </c>
      <c r="AB2358" s="60" t="b">
        <f>FALSE()</f>
        <v>0</v>
      </c>
      <c r="AC2358" s="60" t="b">
        <f>FALSE()</f>
        <v>0</v>
      </c>
      <c r="AD2358" s="60" t="b">
        <f>FALSE()</f>
        <v>0</v>
      </c>
      <c r="AE2358" s="60">
        <v>2</v>
      </c>
      <c r="AF2358" s="64">
        <v>28.6</v>
      </c>
      <c r="AG2358" s="60" t="s">
        <v>73</v>
      </c>
      <c r="AH2358" s="60" t="s">
        <v>8780</v>
      </c>
      <c r="AI2358">
        <f>IF(AND(OR(Company_Explorer!$B$5="All Companies",$E2358=Company_Explorer!$B$5),OR(Company_Explorer!$B$6="All Platforms",$B2358=Company_Explorer!$B$6),OR(Company_Explorer!$B$7="All Roles",$D2358=Company_Explorer!$B$7),OR(Company_Explorer!$B$8="All Ghost Labels",$AG2358=Company_Explorer!$B$8)),1,0)</f>
        <v>0</v>
      </c>
    </row>
    <row r="2359" spans="1:35" ht="15" customHeight="1" x14ac:dyDescent="0.3">
      <c r="A2359" s="65" t="s">
        <v>8781</v>
      </c>
      <c r="B2359" s="65" t="s">
        <v>82</v>
      </c>
      <c r="C2359" s="65" t="s">
        <v>7285</v>
      </c>
      <c r="D2359" s="65" t="s">
        <v>128</v>
      </c>
      <c r="E2359" s="65" t="s">
        <v>3726</v>
      </c>
      <c r="F2359" s="65" t="b">
        <f>FALSE()</f>
        <v>0</v>
      </c>
      <c r="G2359" s="65" t="s">
        <v>165</v>
      </c>
      <c r="H2359" s="65" t="s">
        <v>165</v>
      </c>
      <c r="I2359" s="66">
        <v>46210</v>
      </c>
      <c r="J2359" s="66">
        <v>46210.2858412153</v>
      </c>
      <c r="K2359" s="65">
        <v>0</v>
      </c>
      <c r="L2359" s="65" t="s">
        <v>192</v>
      </c>
      <c r="M2359" s="65" t="s">
        <v>183</v>
      </c>
      <c r="N2359" s="65" t="b">
        <f>TRUE()</f>
        <v>1</v>
      </c>
      <c r="O2359" s="71">
        <v>500000</v>
      </c>
      <c r="P2359" s="71">
        <v>500000</v>
      </c>
      <c r="Q2359" s="65" t="s">
        <v>3663</v>
      </c>
      <c r="R2359" s="65" t="s">
        <v>7351</v>
      </c>
      <c r="S2359" s="71">
        <v>500000</v>
      </c>
      <c r="T2359" s="65" t="b">
        <f>TRUE()</f>
        <v>1</v>
      </c>
      <c r="U2359" s="65" t="b">
        <f>FALSE()</f>
        <v>0</v>
      </c>
      <c r="V2359" s="65">
        <v>441</v>
      </c>
      <c r="W2359" s="65" t="s">
        <v>8782</v>
      </c>
      <c r="X2359" s="65"/>
      <c r="Y2359" s="68"/>
      <c r="Z2359" s="65" t="b">
        <f>TRUE()</f>
        <v>1</v>
      </c>
      <c r="AA2359" s="65" t="b">
        <f>FALSE()</f>
        <v>0</v>
      </c>
      <c r="AB2359" s="65" t="b">
        <f>FALSE()</f>
        <v>0</v>
      </c>
      <c r="AC2359" s="65" t="b">
        <f>FALSE()</f>
        <v>0</v>
      </c>
      <c r="AD2359" s="65" t="b">
        <f>FALSE()</f>
        <v>0</v>
      </c>
      <c r="AE2359" s="65">
        <v>2</v>
      </c>
      <c r="AF2359" s="69">
        <v>28.6</v>
      </c>
      <c r="AG2359" s="65" t="s">
        <v>73</v>
      </c>
      <c r="AH2359" s="65" t="s">
        <v>8783</v>
      </c>
      <c r="AI2359">
        <f>IF(AND(OR(Company_Explorer!$B$5="All Companies",$E2359=Company_Explorer!$B$5),OR(Company_Explorer!$B$6="All Platforms",$B2359=Company_Explorer!$B$6),OR(Company_Explorer!$B$7="All Roles",$D2359=Company_Explorer!$B$7),OR(Company_Explorer!$B$8="All Ghost Labels",$AG2359=Company_Explorer!$B$8)),1,0)</f>
        <v>0</v>
      </c>
    </row>
    <row r="2360" spans="1:35" ht="15" customHeight="1" x14ac:dyDescent="0.3">
      <c r="A2360" s="60" t="s">
        <v>8784</v>
      </c>
      <c r="B2360" s="60" t="s">
        <v>82</v>
      </c>
      <c r="C2360" s="60" t="s">
        <v>8670</v>
      </c>
      <c r="D2360" s="60" t="s">
        <v>128</v>
      </c>
      <c r="E2360" s="60" t="s">
        <v>8785</v>
      </c>
      <c r="F2360" s="60" t="b">
        <f>TRUE()</f>
        <v>1</v>
      </c>
      <c r="G2360" s="60" t="s">
        <v>165</v>
      </c>
      <c r="H2360" s="60" t="s">
        <v>165</v>
      </c>
      <c r="I2360" s="61">
        <v>46208</v>
      </c>
      <c r="J2360" s="61">
        <v>46210.285847465297</v>
      </c>
      <c r="K2360" s="60">
        <v>125</v>
      </c>
      <c r="L2360" s="60" t="s">
        <v>183</v>
      </c>
      <c r="M2360" s="60" t="s">
        <v>183</v>
      </c>
      <c r="N2360" s="60" t="b">
        <f>FALSE()</f>
        <v>0</v>
      </c>
      <c r="O2360" s="60"/>
      <c r="P2360" s="60"/>
      <c r="Q2360" s="60" t="s">
        <v>3663</v>
      </c>
      <c r="R2360" s="60" t="s">
        <v>236</v>
      </c>
      <c r="S2360" s="60"/>
      <c r="T2360" s="60" t="b">
        <f>FALSE()</f>
        <v>0</v>
      </c>
      <c r="U2360" s="60" t="b">
        <f>FALSE()</f>
        <v>0</v>
      </c>
      <c r="V2360" s="60">
        <v>239</v>
      </c>
      <c r="W2360" s="62" t="s">
        <v>8786</v>
      </c>
      <c r="X2360" s="60">
        <v>2</v>
      </c>
      <c r="Y2360" s="63">
        <v>0.48</v>
      </c>
      <c r="Z2360" s="60" t="b">
        <f>FALSE()</f>
        <v>0</v>
      </c>
      <c r="AA2360" s="60" t="b">
        <f>TRUE()</f>
        <v>1</v>
      </c>
      <c r="AB2360" s="60" t="b">
        <f>FALSE()</f>
        <v>0</v>
      </c>
      <c r="AC2360" s="60" t="b">
        <f>TRUE()</f>
        <v>1</v>
      </c>
      <c r="AD2360" s="60" t="b">
        <f>FALSE()</f>
        <v>0</v>
      </c>
      <c r="AE2360" s="60">
        <v>2</v>
      </c>
      <c r="AF2360" s="64">
        <v>28.6</v>
      </c>
      <c r="AG2360" s="60" t="s">
        <v>73</v>
      </c>
      <c r="AH2360" s="60" t="s">
        <v>8787</v>
      </c>
      <c r="AI2360">
        <f>IF(AND(OR(Company_Explorer!$B$5="All Companies",$E2360=Company_Explorer!$B$5),OR(Company_Explorer!$B$6="All Platforms",$B2360=Company_Explorer!$B$6),OR(Company_Explorer!$B$7="All Roles",$D2360=Company_Explorer!$B$7),OR(Company_Explorer!$B$8="All Ghost Labels",$AG2360=Company_Explorer!$B$8)),1,0)</f>
        <v>0</v>
      </c>
    </row>
    <row r="2361" spans="1:35" ht="15" customHeight="1" x14ac:dyDescent="0.3">
      <c r="A2361" s="65" t="s">
        <v>8788</v>
      </c>
      <c r="B2361" s="65" t="s">
        <v>82</v>
      </c>
      <c r="C2361" s="65" t="s">
        <v>8238</v>
      </c>
      <c r="D2361" s="65" t="s">
        <v>128</v>
      </c>
      <c r="E2361" s="65" t="s">
        <v>8789</v>
      </c>
      <c r="F2361" s="65" t="b">
        <f>TRUE()</f>
        <v>1</v>
      </c>
      <c r="G2361" s="65" t="s">
        <v>165</v>
      </c>
      <c r="H2361" s="65" t="s">
        <v>165</v>
      </c>
      <c r="I2361" s="66">
        <v>46200</v>
      </c>
      <c r="J2361" s="66">
        <v>46210.285851284701</v>
      </c>
      <c r="K2361" s="65">
        <v>41</v>
      </c>
      <c r="L2361" s="65" t="s">
        <v>192</v>
      </c>
      <c r="M2361" s="65" t="s">
        <v>183</v>
      </c>
      <c r="N2361" s="65" t="b">
        <f>FALSE()</f>
        <v>0</v>
      </c>
      <c r="O2361" s="65"/>
      <c r="P2361" s="65"/>
      <c r="Q2361" s="65" t="s">
        <v>3663</v>
      </c>
      <c r="R2361" s="65" t="s">
        <v>236</v>
      </c>
      <c r="S2361" s="65"/>
      <c r="T2361" s="65" t="b">
        <f>FALSE()</f>
        <v>0</v>
      </c>
      <c r="U2361" s="65" t="b">
        <f>FALSE()</f>
        <v>0</v>
      </c>
      <c r="V2361" s="65">
        <v>280</v>
      </c>
      <c r="W2361" s="67" t="s">
        <v>8790</v>
      </c>
      <c r="X2361" s="65">
        <v>1</v>
      </c>
      <c r="Y2361" s="68">
        <v>0.24</v>
      </c>
      <c r="Z2361" s="65" t="b">
        <f>FALSE()</f>
        <v>0</v>
      </c>
      <c r="AA2361" s="65" t="b">
        <f>TRUE()</f>
        <v>1</v>
      </c>
      <c r="AB2361" s="65" t="b">
        <f>FALSE()</f>
        <v>0</v>
      </c>
      <c r="AC2361" s="65" t="b">
        <f>FALSE()</f>
        <v>0</v>
      </c>
      <c r="AD2361" s="65" t="b">
        <f>FALSE()</f>
        <v>0</v>
      </c>
      <c r="AE2361" s="65">
        <v>1</v>
      </c>
      <c r="AF2361" s="69">
        <v>14.3</v>
      </c>
      <c r="AG2361" s="65" t="s">
        <v>74</v>
      </c>
      <c r="AH2361" s="65" t="s">
        <v>8791</v>
      </c>
      <c r="AI2361">
        <f>IF(AND(OR(Company_Explorer!$B$5="All Companies",$E2361=Company_Explorer!$B$5),OR(Company_Explorer!$B$6="All Platforms",$B2361=Company_Explorer!$B$6),OR(Company_Explorer!$B$7="All Roles",$D2361=Company_Explorer!$B$7),OR(Company_Explorer!$B$8="All Ghost Labels",$AG2361=Company_Explorer!$B$8)),1,0)</f>
        <v>0</v>
      </c>
    </row>
    <row r="2362" spans="1:35" ht="15" customHeight="1" x14ac:dyDescent="0.3">
      <c r="A2362" s="60" t="s">
        <v>8792</v>
      </c>
      <c r="B2362" s="60" t="s">
        <v>82</v>
      </c>
      <c r="C2362" s="60" t="s">
        <v>8793</v>
      </c>
      <c r="D2362" s="60" t="s">
        <v>128</v>
      </c>
      <c r="E2362" s="60" t="s">
        <v>8410</v>
      </c>
      <c r="F2362" s="60" t="b">
        <f>TRUE()</f>
        <v>1</v>
      </c>
      <c r="G2362" s="60" t="s">
        <v>165</v>
      </c>
      <c r="H2362" s="60" t="s">
        <v>165</v>
      </c>
      <c r="I2362" s="61">
        <v>46202</v>
      </c>
      <c r="J2362" s="61">
        <v>46210.285851597197</v>
      </c>
      <c r="K2362" s="60">
        <v>128</v>
      </c>
      <c r="L2362" s="60" t="s">
        <v>183</v>
      </c>
      <c r="M2362" s="60" t="s">
        <v>183</v>
      </c>
      <c r="N2362" s="60" t="b">
        <f>FALSE()</f>
        <v>0</v>
      </c>
      <c r="O2362" s="60"/>
      <c r="P2362" s="60"/>
      <c r="Q2362" s="60" t="s">
        <v>3663</v>
      </c>
      <c r="R2362" s="60" t="s">
        <v>236</v>
      </c>
      <c r="S2362" s="60"/>
      <c r="T2362" s="60" t="b">
        <f>FALSE()</f>
        <v>0</v>
      </c>
      <c r="U2362" s="60" t="b">
        <f>FALSE()</f>
        <v>0</v>
      </c>
      <c r="V2362" s="60">
        <v>384</v>
      </c>
      <c r="W2362" s="62" t="s">
        <v>8794</v>
      </c>
      <c r="X2362" s="60">
        <v>3</v>
      </c>
      <c r="Y2362" s="63">
        <v>0.72</v>
      </c>
      <c r="Z2362" s="60" t="b">
        <f>FALSE()</f>
        <v>0</v>
      </c>
      <c r="AA2362" s="60" t="b">
        <f>TRUE()</f>
        <v>1</v>
      </c>
      <c r="AB2362" s="60" t="b">
        <f>FALSE()</f>
        <v>0</v>
      </c>
      <c r="AC2362" s="60" t="b">
        <f>TRUE()</f>
        <v>1</v>
      </c>
      <c r="AD2362" s="60" t="b">
        <f>FALSE()</f>
        <v>0</v>
      </c>
      <c r="AE2362" s="60">
        <v>2</v>
      </c>
      <c r="AF2362" s="64">
        <v>28.6</v>
      </c>
      <c r="AG2362" s="60" t="s">
        <v>73</v>
      </c>
      <c r="AH2362" s="60" t="s">
        <v>8795</v>
      </c>
      <c r="AI2362">
        <f>IF(AND(OR(Company_Explorer!$B$5="All Companies",$E2362=Company_Explorer!$B$5),OR(Company_Explorer!$B$6="All Platforms",$B2362=Company_Explorer!$B$6),OR(Company_Explorer!$B$7="All Roles",$D2362=Company_Explorer!$B$7),OR(Company_Explorer!$B$8="All Ghost Labels",$AG2362=Company_Explorer!$B$8)),1,0)</f>
        <v>0</v>
      </c>
    </row>
    <row r="2363" spans="1:35" ht="15" customHeight="1" x14ac:dyDescent="0.3">
      <c r="A2363" s="65" t="s">
        <v>8796</v>
      </c>
      <c r="B2363" s="65" t="s">
        <v>82</v>
      </c>
      <c r="C2363" s="65" t="s">
        <v>8797</v>
      </c>
      <c r="D2363" s="65" t="s">
        <v>126</v>
      </c>
      <c r="E2363" s="65" t="s">
        <v>8798</v>
      </c>
      <c r="F2363" s="65" t="b">
        <f>TRUE()</f>
        <v>1</v>
      </c>
      <c r="G2363" s="65" t="s">
        <v>165</v>
      </c>
      <c r="H2363" s="65" t="s">
        <v>165</v>
      </c>
      <c r="I2363" s="66">
        <v>46199</v>
      </c>
      <c r="J2363" s="66">
        <v>46210.285853495399</v>
      </c>
      <c r="K2363" s="65">
        <v>42</v>
      </c>
      <c r="L2363" s="65" t="s">
        <v>183</v>
      </c>
      <c r="M2363" s="65" t="s">
        <v>183</v>
      </c>
      <c r="N2363" s="65" t="b">
        <f>FALSE()</f>
        <v>0</v>
      </c>
      <c r="O2363" s="65"/>
      <c r="P2363" s="65"/>
      <c r="Q2363" s="65" t="s">
        <v>3663</v>
      </c>
      <c r="R2363" s="65" t="s">
        <v>236</v>
      </c>
      <c r="S2363" s="65"/>
      <c r="T2363" s="65" t="b">
        <f>FALSE()</f>
        <v>0</v>
      </c>
      <c r="U2363" s="65" t="b">
        <f>FALSE()</f>
        <v>0</v>
      </c>
      <c r="V2363" s="65">
        <v>245</v>
      </c>
      <c r="W2363" s="67" t="s">
        <v>8799</v>
      </c>
      <c r="X2363" s="65">
        <v>4</v>
      </c>
      <c r="Y2363" s="68">
        <v>0.97</v>
      </c>
      <c r="Z2363" s="65" t="b">
        <f>FALSE()</f>
        <v>0</v>
      </c>
      <c r="AA2363" s="65" t="b">
        <f>TRUE()</f>
        <v>1</v>
      </c>
      <c r="AB2363" s="65" t="b">
        <f>FALSE()</f>
        <v>0</v>
      </c>
      <c r="AC2363" s="65" t="b">
        <f>FALSE()</f>
        <v>0</v>
      </c>
      <c r="AD2363" s="65" t="b">
        <f>FALSE()</f>
        <v>0</v>
      </c>
      <c r="AE2363" s="65">
        <v>1</v>
      </c>
      <c r="AF2363" s="69">
        <v>14.3</v>
      </c>
      <c r="AG2363" s="65" t="s">
        <v>74</v>
      </c>
      <c r="AH2363" s="65" t="s">
        <v>8800</v>
      </c>
      <c r="AI2363">
        <f>IF(AND(OR(Company_Explorer!$B$5="All Companies",$E2363=Company_Explorer!$B$5),OR(Company_Explorer!$B$6="All Platforms",$B2363=Company_Explorer!$B$6),OR(Company_Explorer!$B$7="All Roles",$D2363=Company_Explorer!$B$7),OR(Company_Explorer!$B$8="All Ghost Labels",$AG2363=Company_Explorer!$B$8)),1,0)</f>
        <v>0</v>
      </c>
    </row>
    <row r="2364" spans="1:35" ht="15" customHeight="1" x14ac:dyDescent="0.3">
      <c r="A2364" s="60" t="s">
        <v>8801</v>
      </c>
      <c r="B2364" s="60" t="s">
        <v>82</v>
      </c>
      <c r="C2364" s="60" t="s">
        <v>8802</v>
      </c>
      <c r="D2364" s="60" t="s">
        <v>125</v>
      </c>
      <c r="E2364" s="60" t="s">
        <v>8803</v>
      </c>
      <c r="F2364" s="60" t="b">
        <f>TRUE()</f>
        <v>1</v>
      </c>
      <c r="G2364" s="60" t="s">
        <v>167</v>
      </c>
      <c r="H2364" s="60" t="s">
        <v>276</v>
      </c>
      <c r="I2364" s="61">
        <v>46197</v>
      </c>
      <c r="J2364" s="61">
        <v>46210.285854745402</v>
      </c>
      <c r="K2364" s="60">
        <v>13</v>
      </c>
      <c r="L2364" s="60" t="s">
        <v>183</v>
      </c>
      <c r="M2364" s="60" t="s">
        <v>183</v>
      </c>
      <c r="N2364" s="60" t="b">
        <f>TRUE()</f>
        <v>1</v>
      </c>
      <c r="O2364" s="70">
        <v>502000</v>
      </c>
      <c r="P2364" s="70">
        <v>645000</v>
      </c>
      <c r="Q2364" s="60" t="s">
        <v>3663</v>
      </c>
      <c r="R2364" s="60" t="s">
        <v>7351</v>
      </c>
      <c r="S2364" s="70">
        <v>573500</v>
      </c>
      <c r="T2364" s="60" t="b">
        <f>TRUE()</f>
        <v>1</v>
      </c>
      <c r="U2364" s="60" t="b">
        <f>FALSE()</f>
        <v>0</v>
      </c>
      <c r="V2364" s="60">
        <v>278</v>
      </c>
      <c r="W2364" s="62" t="s">
        <v>8804</v>
      </c>
      <c r="X2364" s="60">
        <v>1</v>
      </c>
      <c r="Y2364" s="63">
        <v>0.24</v>
      </c>
      <c r="Z2364" s="60" t="b">
        <f>FALSE()</f>
        <v>0</v>
      </c>
      <c r="AA2364" s="60" t="b">
        <f>FALSE()</f>
        <v>0</v>
      </c>
      <c r="AB2364" s="60" t="b">
        <f>FALSE()</f>
        <v>0</v>
      </c>
      <c r="AC2364" s="60" t="b">
        <f>FALSE()</f>
        <v>0</v>
      </c>
      <c r="AD2364" s="60" t="b">
        <f>FALSE()</f>
        <v>0</v>
      </c>
      <c r="AE2364" s="60">
        <v>0</v>
      </c>
      <c r="AF2364" s="64">
        <v>0</v>
      </c>
      <c r="AG2364" s="60" t="s">
        <v>74</v>
      </c>
      <c r="AH2364" s="60" t="s">
        <v>8805</v>
      </c>
      <c r="AI2364">
        <f>IF(AND(OR(Company_Explorer!$B$5="All Companies",$E2364=Company_Explorer!$B$5),OR(Company_Explorer!$B$6="All Platforms",$B2364=Company_Explorer!$B$6),OR(Company_Explorer!$B$7="All Roles",$D2364=Company_Explorer!$B$7),OR(Company_Explorer!$B$8="All Ghost Labels",$AG2364=Company_Explorer!$B$8)),1,0)</f>
        <v>0</v>
      </c>
    </row>
    <row r="2365" spans="1:35" ht="15" customHeight="1" x14ac:dyDescent="0.3">
      <c r="A2365" s="65" t="s">
        <v>8806</v>
      </c>
      <c r="B2365" s="65" t="s">
        <v>82</v>
      </c>
      <c r="C2365" s="65" t="s">
        <v>8807</v>
      </c>
      <c r="D2365" s="65" t="s">
        <v>133</v>
      </c>
      <c r="E2365" s="65" t="s">
        <v>8808</v>
      </c>
      <c r="F2365" s="65" t="b">
        <f>TRUE()</f>
        <v>1</v>
      </c>
      <c r="G2365" s="65" t="s">
        <v>167</v>
      </c>
      <c r="H2365" s="65" t="s">
        <v>276</v>
      </c>
      <c r="I2365" s="66">
        <v>46202</v>
      </c>
      <c r="J2365" s="66">
        <v>46210.285854733796</v>
      </c>
      <c r="K2365" s="65">
        <v>128</v>
      </c>
      <c r="L2365" s="65" t="s">
        <v>183</v>
      </c>
      <c r="M2365" s="65" t="s">
        <v>183</v>
      </c>
      <c r="N2365" s="65" t="b">
        <f>TRUE()</f>
        <v>1</v>
      </c>
      <c r="O2365" s="71">
        <v>400000</v>
      </c>
      <c r="P2365" s="71">
        <v>900000</v>
      </c>
      <c r="Q2365" s="65" t="s">
        <v>3663</v>
      </c>
      <c r="R2365" s="65" t="s">
        <v>7351</v>
      </c>
      <c r="S2365" s="71">
        <v>650000</v>
      </c>
      <c r="T2365" s="65" t="b">
        <f>TRUE()</f>
        <v>1</v>
      </c>
      <c r="U2365" s="65" t="b">
        <f>FALSE()</f>
        <v>0</v>
      </c>
      <c r="V2365" s="65">
        <v>202</v>
      </c>
      <c r="W2365" s="67" t="s">
        <v>8809</v>
      </c>
      <c r="X2365" s="65">
        <v>1</v>
      </c>
      <c r="Y2365" s="68">
        <v>0.24</v>
      </c>
      <c r="Z2365" s="65" t="b">
        <f>FALSE()</f>
        <v>0</v>
      </c>
      <c r="AA2365" s="65" t="b">
        <f>FALSE()</f>
        <v>0</v>
      </c>
      <c r="AB2365" s="65" t="b">
        <f>TRUE()</f>
        <v>1</v>
      </c>
      <c r="AC2365" s="65" t="b">
        <f>TRUE()</f>
        <v>1</v>
      </c>
      <c r="AD2365" s="65" t="b">
        <f>FALSE()</f>
        <v>0</v>
      </c>
      <c r="AE2365" s="65">
        <v>2</v>
      </c>
      <c r="AF2365" s="69">
        <v>28.6</v>
      </c>
      <c r="AG2365" s="65" t="s">
        <v>73</v>
      </c>
      <c r="AH2365" s="65" t="s">
        <v>8810</v>
      </c>
      <c r="AI2365">
        <f>IF(AND(OR(Company_Explorer!$B$5="All Companies",$E2365=Company_Explorer!$B$5),OR(Company_Explorer!$B$6="All Platforms",$B2365=Company_Explorer!$B$6),OR(Company_Explorer!$B$7="All Roles",$D2365=Company_Explorer!$B$7),OR(Company_Explorer!$B$8="All Ghost Labels",$AG2365=Company_Explorer!$B$8)),1,0)</f>
        <v>0</v>
      </c>
    </row>
    <row r="2366" spans="1:35" ht="15" customHeight="1" x14ac:dyDescent="0.3">
      <c r="A2366" s="60" t="s">
        <v>8811</v>
      </c>
      <c r="B2366" s="60" t="s">
        <v>82</v>
      </c>
      <c r="C2366" s="60" t="s">
        <v>8812</v>
      </c>
      <c r="D2366" s="60" t="s">
        <v>128</v>
      </c>
      <c r="E2366" s="60" t="s">
        <v>8813</v>
      </c>
      <c r="F2366" s="60" t="b">
        <f>TRUE()</f>
        <v>1</v>
      </c>
      <c r="G2366" s="60" t="s">
        <v>165</v>
      </c>
      <c r="H2366" s="60" t="s">
        <v>165</v>
      </c>
      <c r="I2366" s="61">
        <v>46192</v>
      </c>
      <c r="J2366" s="61">
        <v>46210.285858796298</v>
      </c>
      <c r="K2366" s="60">
        <v>18</v>
      </c>
      <c r="L2366" s="60" t="s">
        <v>183</v>
      </c>
      <c r="M2366" s="60" t="s">
        <v>183</v>
      </c>
      <c r="N2366" s="60" t="b">
        <f>FALSE()</f>
        <v>0</v>
      </c>
      <c r="O2366" s="60"/>
      <c r="P2366" s="60"/>
      <c r="Q2366" s="60" t="s">
        <v>3663</v>
      </c>
      <c r="R2366" s="60" t="s">
        <v>236</v>
      </c>
      <c r="S2366" s="60"/>
      <c r="T2366" s="60" t="b">
        <f>FALSE()</f>
        <v>0</v>
      </c>
      <c r="U2366" s="60" t="b">
        <f>FALSE()</f>
        <v>0</v>
      </c>
      <c r="V2366" s="60">
        <v>473</v>
      </c>
      <c r="W2366" s="62" t="s">
        <v>8814</v>
      </c>
      <c r="X2366" s="60">
        <v>1</v>
      </c>
      <c r="Y2366" s="63">
        <v>0.24</v>
      </c>
      <c r="Z2366" s="60" t="b">
        <f>FALSE()</f>
        <v>0</v>
      </c>
      <c r="AA2366" s="60" t="b">
        <f>TRUE()</f>
        <v>1</v>
      </c>
      <c r="AB2366" s="60" t="b">
        <f>FALSE()</f>
        <v>0</v>
      </c>
      <c r="AC2366" s="60" t="b">
        <f>FALSE()</f>
        <v>0</v>
      </c>
      <c r="AD2366" s="60" t="b">
        <f>FALSE()</f>
        <v>0</v>
      </c>
      <c r="AE2366" s="60">
        <v>1</v>
      </c>
      <c r="AF2366" s="64">
        <v>14.3</v>
      </c>
      <c r="AG2366" s="60" t="s">
        <v>74</v>
      </c>
      <c r="AH2366" s="60" t="s">
        <v>8815</v>
      </c>
      <c r="AI2366">
        <f>IF(AND(OR(Company_Explorer!$B$5="All Companies",$E2366=Company_Explorer!$B$5),OR(Company_Explorer!$B$6="All Platforms",$B2366=Company_Explorer!$B$6),OR(Company_Explorer!$B$7="All Roles",$D2366=Company_Explorer!$B$7),OR(Company_Explorer!$B$8="All Ghost Labels",$AG2366=Company_Explorer!$B$8)),1,0)</f>
        <v>0</v>
      </c>
    </row>
    <row r="2367" spans="1:35" ht="15" customHeight="1" x14ac:dyDescent="0.3">
      <c r="A2367" s="65" t="s">
        <v>8816</v>
      </c>
      <c r="B2367" s="65" t="s">
        <v>82</v>
      </c>
      <c r="C2367" s="65" t="s">
        <v>8817</v>
      </c>
      <c r="D2367" s="65" t="s">
        <v>128</v>
      </c>
      <c r="E2367" s="65" t="s">
        <v>8818</v>
      </c>
      <c r="F2367" s="65" t="b">
        <f>TRUE()</f>
        <v>1</v>
      </c>
      <c r="G2367" s="65" t="s">
        <v>165</v>
      </c>
      <c r="H2367" s="65" t="s">
        <v>165</v>
      </c>
      <c r="I2367" s="66">
        <v>46209</v>
      </c>
      <c r="J2367" s="66">
        <v>46210.285862557903</v>
      </c>
      <c r="K2367" s="65">
        <v>32</v>
      </c>
      <c r="L2367" s="65" t="s">
        <v>183</v>
      </c>
      <c r="M2367" s="65" t="s">
        <v>183</v>
      </c>
      <c r="N2367" s="65" t="b">
        <f>FALSE()</f>
        <v>0</v>
      </c>
      <c r="O2367" s="65"/>
      <c r="P2367" s="65"/>
      <c r="Q2367" s="65" t="s">
        <v>3663</v>
      </c>
      <c r="R2367" s="65" t="s">
        <v>236</v>
      </c>
      <c r="S2367" s="65"/>
      <c r="T2367" s="65" t="b">
        <f>FALSE()</f>
        <v>0</v>
      </c>
      <c r="U2367" s="65" t="b">
        <f>FALSE()</f>
        <v>0</v>
      </c>
      <c r="V2367" s="65">
        <v>1275</v>
      </c>
      <c r="W2367" s="67" t="s">
        <v>8819</v>
      </c>
      <c r="X2367" s="65">
        <v>3</v>
      </c>
      <c r="Y2367" s="68">
        <v>0.72</v>
      </c>
      <c r="Z2367" s="65" t="b">
        <f>FALSE()</f>
        <v>0</v>
      </c>
      <c r="AA2367" s="65" t="b">
        <f>TRUE()</f>
        <v>1</v>
      </c>
      <c r="AB2367" s="65" t="b">
        <f>FALSE()</f>
        <v>0</v>
      </c>
      <c r="AC2367" s="65" t="b">
        <f>FALSE()</f>
        <v>0</v>
      </c>
      <c r="AD2367" s="65" t="b">
        <f>FALSE()</f>
        <v>0</v>
      </c>
      <c r="AE2367" s="65">
        <v>1</v>
      </c>
      <c r="AF2367" s="69">
        <v>14.3</v>
      </c>
      <c r="AG2367" s="65" t="s">
        <v>74</v>
      </c>
      <c r="AH2367" s="65" t="s">
        <v>8820</v>
      </c>
      <c r="AI2367">
        <f>IF(AND(OR(Company_Explorer!$B$5="All Companies",$E2367=Company_Explorer!$B$5),OR(Company_Explorer!$B$6="All Platforms",$B2367=Company_Explorer!$B$6),OR(Company_Explorer!$B$7="All Roles",$D2367=Company_Explorer!$B$7),OR(Company_Explorer!$B$8="All Ghost Labels",$AG2367=Company_Explorer!$B$8)),1,0)</f>
        <v>0</v>
      </c>
    </row>
    <row r="2368" spans="1:35" ht="15" customHeight="1" x14ac:dyDescent="0.3">
      <c r="A2368" s="60" t="s">
        <v>8821</v>
      </c>
      <c r="B2368" s="60" t="s">
        <v>82</v>
      </c>
      <c r="C2368" s="60" t="s">
        <v>8822</v>
      </c>
      <c r="D2368" s="60" t="s">
        <v>128</v>
      </c>
      <c r="E2368" s="60" t="s">
        <v>8823</v>
      </c>
      <c r="F2368" s="60" t="b">
        <f>TRUE()</f>
        <v>1</v>
      </c>
      <c r="G2368" s="60" t="s">
        <v>166</v>
      </c>
      <c r="H2368" s="60" t="s">
        <v>235</v>
      </c>
      <c r="I2368" s="61">
        <v>46205</v>
      </c>
      <c r="J2368" s="61">
        <v>46210.285866516198</v>
      </c>
      <c r="K2368" s="60">
        <v>5</v>
      </c>
      <c r="L2368" s="60" t="s">
        <v>192</v>
      </c>
      <c r="M2368" s="60" t="s">
        <v>183</v>
      </c>
      <c r="N2368" s="60" t="b">
        <f>TRUE()</f>
        <v>1</v>
      </c>
      <c r="O2368" s="70">
        <v>360000</v>
      </c>
      <c r="P2368" s="70">
        <v>650000</v>
      </c>
      <c r="Q2368" s="60" t="s">
        <v>3663</v>
      </c>
      <c r="R2368" s="60" t="s">
        <v>7351</v>
      </c>
      <c r="S2368" s="70">
        <v>505000</v>
      </c>
      <c r="T2368" s="60" t="b">
        <f>TRUE()</f>
        <v>1</v>
      </c>
      <c r="U2368" s="60" t="b">
        <f>FALSE()</f>
        <v>0</v>
      </c>
      <c r="V2368" s="60">
        <v>508</v>
      </c>
      <c r="W2368" s="62" t="s">
        <v>8824</v>
      </c>
      <c r="X2368" s="60">
        <v>1</v>
      </c>
      <c r="Y2368" s="63">
        <v>0.24</v>
      </c>
      <c r="Z2368" s="60" t="b">
        <f>FALSE()</f>
        <v>0</v>
      </c>
      <c r="AA2368" s="60" t="b">
        <f>FALSE()</f>
        <v>0</v>
      </c>
      <c r="AB2368" s="60" t="b">
        <f>FALSE()</f>
        <v>0</v>
      </c>
      <c r="AC2368" s="60" t="b">
        <f>FALSE()</f>
        <v>0</v>
      </c>
      <c r="AD2368" s="60" t="b">
        <f>FALSE()</f>
        <v>0</v>
      </c>
      <c r="AE2368" s="60">
        <v>0</v>
      </c>
      <c r="AF2368" s="64">
        <v>0</v>
      </c>
      <c r="AG2368" s="60" t="s">
        <v>74</v>
      </c>
      <c r="AH2368" s="60" t="s">
        <v>8825</v>
      </c>
      <c r="AI2368">
        <f>IF(AND(OR(Company_Explorer!$B$5="All Companies",$E2368=Company_Explorer!$B$5),OR(Company_Explorer!$B$6="All Platforms",$B2368=Company_Explorer!$B$6),OR(Company_Explorer!$B$7="All Roles",$D2368=Company_Explorer!$B$7),OR(Company_Explorer!$B$8="All Ghost Labels",$AG2368=Company_Explorer!$B$8)),1,0)</f>
        <v>0</v>
      </c>
    </row>
    <row r="2369" spans="1:35" ht="15" customHeight="1" x14ac:dyDescent="0.3">
      <c r="A2369" s="65" t="s">
        <v>8826</v>
      </c>
      <c r="B2369" s="65" t="s">
        <v>82</v>
      </c>
      <c r="C2369" s="65" t="s">
        <v>8474</v>
      </c>
      <c r="D2369" s="65" t="s">
        <v>128</v>
      </c>
      <c r="E2369" s="65" t="s">
        <v>8827</v>
      </c>
      <c r="F2369" s="65" t="b">
        <f>TRUE()</f>
        <v>1</v>
      </c>
      <c r="G2369" s="65" t="s">
        <v>165</v>
      </c>
      <c r="H2369" s="65" t="s">
        <v>165</v>
      </c>
      <c r="I2369" s="66">
        <v>46187</v>
      </c>
      <c r="J2369" s="66">
        <v>46210.2858689352</v>
      </c>
      <c r="K2369" s="65">
        <v>84</v>
      </c>
      <c r="L2369" s="65" t="s">
        <v>183</v>
      </c>
      <c r="M2369" s="65" t="s">
        <v>183</v>
      </c>
      <c r="N2369" s="65" t="b">
        <f>FALSE()</f>
        <v>0</v>
      </c>
      <c r="O2369" s="65"/>
      <c r="P2369" s="65"/>
      <c r="Q2369" s="65" t="s">
        <v>3663</v>
      </c>
      <c r="R2369" s="65" t="s">
        <v>236</v>
      </c>
      <c r="S2369" s="65"/>
      <c r="T2369" s="65" t="b">
        <f>FALSE()</f>
        <v>0</v>
      </c>
      <c r="U2369" s="65" t="b">
        <f>FALSE()</f>
        <v>0</v>
      </c>
      <c r="V2369" s="65">
        <v>402</v>
      </c>
      <c r="W2369" s="65" t="s">
        <v>8828</v>
      </c>
      <c r="X2369" s="65">
        <v>4</v>
      </c>
      <c r="Y2369" s="68">
        <v>0.97</v>
      </c>
      <c r="Z2369" s="65" t="b">
        <f>FALSE()</f>
        <v>0</v>
      </c>
      <c r="AA2369" s="65" t="b">
        <f>TRUE()</f>
        <v>1</v>
      </c>
      <c r="AB2369" s="65" t="b">
        <f>FALSE()</f>
        <v>0</v>
      </c>
      <c r="AC2369" s="65" t="b">
        <f>FALSE()</f>
        <v>0</v>
      </c>
      <c r="AD2369" s="65" t="b">
        <f>FALSE()</f>
        <v>0</v>
      </c>
      <c r="AE2369" s="65">
        <v>1</v>
      </c>
      <c r="AF2369" s="69">
        <v>14.3</v>
      </c>
      <c r="AG2369" s="65" t="s">
        <v>74</v>
      </c>
      <c r="AH2369" s="65" t="s">
        <v>8829</v>
      </c>
      <c r="AI2369">
        <f>IF(AND(OR(Company_Explorer!$B$5="All Companies",$E2369=Company_Explorer!$B$5),OR(Company_Explorer!$B$6="All Platforms",$B2369=Company_Explorer!$B$6),OR(Company_Explorer!$B$7="All Roles",$D2369=Company_Explorer!$B$7),OR(Company_Explorer!$B$8="All Ghost Labels",$AG2369=Company_Explorer!$B$8)),1,0)</f>
        <v>0</v>
      </c>
    </row>
    <row r="2370" spans="1:35" ht="15" customHeight="1" x14ac:dyDescent="0.3">
      <c r="A2370" s="60" t="s">
        <v>8830</v>
      </c>
      <c r="B2370" s="60" t="s">
        <v>82</v>
      </c>
      <c r="C2370" s="60" t="s">
        <v>8831</v>
      </c>
      <c r="D2370" s="60" t="s">
        <v>126</v>
      </c>
      <c r="E2370" s="60" t="s">
        <v>8832</v>
      </c>
      <c r="F2370" s="60" t="b">
        <f>TRUE()</f>
        <v>1</v>
      </c>
      <c r="G2370" s="60" t="s">
        <v>165</v>
      </c>
      <c r="H2370" s="60" t="s">
        <v>165</v>
      </c>
      <c r="I2370" s="61">
        <v>46200</v>
      </c>
      <c r="J2370" s="61">
        <v>46210.285868911997</v>
      </c>
      <c r="K2370" s="60">
        <v>103</v>
      </c>
      <c r="L2370" s="60" t="s">
        <v>192</v>
      </c>
      <c r="M2370" s="60" t="s">
        <v>183</v>
      </c>
      <c r="N2370" s="60" t="b">
        <f>FALSE()</f>
        <v>0</v>
      </c>
      <c r="O2370" s="60"/>
      <c r="P2370" s="60"/>
      <c r="Q2370" s="60" t="s">
        <v>3663</v>
      </c>
      <c r="R2370" s="60" t="s">
        <v>236</v>
      </c>
      <c r="S2370" s="60"/>
      <c r="T2370" s="60" t="b">
        <f>FALSE()</f>
        <v>0</v>
      </c>
      <c r="U2370" s="60" t="b">
        <f>FALSE()</f>
        <v>0</v>
      </c>
      <c r="V2370" s="60">
        <v>472</v>
      </c>
      <c r="W2370" s="62" t="s">
        <v>8833</v>
      </c>
      <c r="X2370" s="60">
        <v>1</v>
      </c>
      <c r="Y2370" s="63">
        <v>0.24</v>
      </c>
      <c r="Z2370" s="60" t="b">
        <f>FALSE()</f>
        <v>0</v>
      </c>
      <c r="AA2370" s="60" t="b">
        <f>TRUE()</f>
        <v>1</v>
      </c>
      <c r="AB2370" s="60" t="b">
        <f>FALSE()</f>
        <v>0</v>
      </c>
      <c r="AC2370" s="60" t="b">
        <f>FALSE()</f>
        <v>0</v>
      </c>
      <c r="AD2370" s="60" t="b">
        <f>FALSE()</f>
        <v>0</v>
      </c>
      <c r="AE2370" s="60">
        <v>1</v>
      </c>
      <c r="AF2370" s="64">
        <v>14.3</v>
      </c>
      <c r="AG2370" s="60" t="s">
        <v>74</v>
      </c>
      <c r="AH2370" s="60" t="s">
        <v>8834</v>
      </c>
      <c r="AI2370">
        <f>IF(AND(OR(Company_Explorer!$B$5="All Companies",$E2370=Company_Explorer!$B$5),OR(Company_Explorer!$B$6="All Platforms",$B2370=Company_Explorer!$B$6),OR(Company_Explorer!$B$7="All Roles",$D2370=Company_Explorer!$B$7),OR(Company_Explorer!$B$8="All Ghost Labels",$AG2370=Company_Explorer!$B$8)),1,0)</f>
        <v>0</v>
      </c>
    </row>
    <row r="2371" spans="1:35" ht="15" customHeight="1" x14ac:dyDescent="0.3">
      <c r="A2371" s="65" t="s">
        <v>8835</v>
      </c>
      <c r="B2371" s="65" t="s">
        <v>82</v>
      </c>
      <c r="C2371" s="65" t="s">
        <v>8836</v>
      </c>
      <c r="D2371" s="65" t="s">
        <v>126</v>
      </c>
      <c r="E2371" s="65" t="s">
        <v>7559</v>
      </c>
      <c r="F2371" s="65" t="b">
        <f>TRUE()</f>
        <v>1</v>
      </c>
      <c r="G2371" s="65" t="s">
        <v>166</v>
      </c>
      <c r="H2371" s="65" t="s">
        <v>235</v>
      </c>
      <c r="I2371" s="66">
        <v>46198</v>
      </c>
      <c r="J2371" s="66">
        <v>46210.285871469903</v>
      </c>
      <c r="K2371" s="65">
        <v>73</v>
      </c>
      <c r="L2371" s="65" t="s">
        <v>183</v>
      </c>
      <c r="M2371" s="65" t="s">
        <v>183</v>
      </c>
      <c r="N2371" s="65" t="b">
        <f>TRUE()</f>
        <v>1</v>
      </c>
      <c r="O2371" s="71">
        <v>338500</v>
      </c>
      <c r="P2371" s="71">
        <v>787500</v>
      </c>
      <c r="Q2371" s="65" t="s">
        <v>3663</v>
      </c>
      <c r="R2371" s="65" t="s">
        <v>7351</v>
      </c>
      <c r="S2371" s="71">
        <v>563000</v>
      </c>
      <c r="T2371" s="65" t="b">
        <f>TRUE()</f>
        <v>1</v>
      </c>
      <c r="U2371" s="65" t="b">
        <f>FALSE()</f>
        <v>0</v>
      </c>
      <c r="V2371" s="65">
        <v>175</v>
      </c>
      <c r="W2371" s="67" t="s">
        <v>8837</v>
      </c>
      <c r="X2371" s="65">
        <v>10</v>
      </c>
      <c r="Y2371" s="68">
        <v>2.41</v>
      </c>
      <c r="Z2371" s="65" t="b">
        <f>FALSE()</f>
        <v>0</v>
      </c>
      <c r="AA2371" s="65" t="b">
        <f>FALSE()</f>
        <v>0</v>
      </c>
      <c r="AB2371" s="65" t="b">
        <f>TRUE()</f>
        <v>1</v>
      </c>
      <c r="AC2371" s="65" t="b">
        <f>FALSE()</f>
        <v>0</v>
      </c>
      <c r="AD2371" s="65" t="b">
        <f>TRUE()</f>
        <v>1</v>
      </c>
      <c r="AE2371" s="65">
        <v>3</v>
      </c>
      <c r="AF2371" s="69">
        <v>42.9</v>
      </c>
      <c r="AG2371" s="65" t="s">
        <v>73</v>
      </c>
      <c r="AH2371" s="65" t="s">
        <v>8838</v>
      </c>
      <c r="AI2371">
        <f>IF(AND(OR(Company_Explorer!$B$5="All Companies",$E2371=Company_Explorer!$B$5),OR(Company_Explorer!$B$6="All Platforms",$B2371=Company_Explorer!$B$6),OR(Company_Explorer!$B$7="All Roles",$D2371=Company_Explorer!$B$7),OR(Company_Explorer!$B$8="All Ghost Labels",$AG2371=Company_Explorer!$B$8)),1,0)</f>
        <v>0</v>
      </c>
    </row>
    <row r="2372" spans="1:35" ht="15" customHeight="1" x14ac:dyDescent="0.3">
      <c r="A2372" s="60" t="s">
        <v>8839</v>
      </c>
      <c r="B2372" s="60" t="s">
        <v>82</v>
      </c>
      <c r="C2372" s="60" t="s">
        <v>8840</v>
      </c>
      <c r="D2372" s="60" t="s">
        <v>125</v>
      </c>
      <c r="E2372" s="60" t="s">
        <v>8841</v>
      </c>
      <c r="F2372" s="60" t="b">
        <f>TRUE()</f>
        <v>1</v>
      </c>
      <c r="G2372" s="60" t="s">
        <v>167</v>
      </c>
      <c r="H2372" s="60" t="s">
        <v>276</v>
      </c>
      <c r="I2372" s="61">
        <v>46195</v>
      </c>
      <c r="J2372" s="61">
        <v>46210.285875150497</v>
      </c>
      <c r="K2372" s="60">
        <v>531</v>
      </c>
      <c r="L2372" s="60" t="s">
        <v>192</v>
      </c>
      <c r="M2372" s="60" t="s">
        <v>183</v>
      </c>
      <c r="N2372" s="60" t="b">
        <f>FALSE()</f>
        <v>0</v>
      </c>
      <c r="O2372" s="60"/>
      <c r="P2372" s="60"/>
      <c r="Q2372" s="60" t="s">
        <v>3663</v>
      </c>
      <c r="R2372" s="60" t="s">
        <v>7351</v>
      </c>
      <c r="S2372" s="60"/>
      <c r="T2372" s="60" t="b">
        <f>FALSE()</f>
        <v>0</v>
      </c>
      <c r="U2372" s="60" t="b">
        <f>FALSE()</f>
        <v>0</v>
      </c>
      <c r="V2372" s="60">
        <v>283</v>
      </c>
      <c r="W2372" s="62" t="s">
        <v>8842</v>
      </c>
      <c r="X2372" s="60">
        <v>1</v>
      </c>
      <c r="Y2372" s="63">
        <v>0.24</v>
      </c>
      <c r="Z2372" s="60" t="b">
        <f>FALSE()</f>
        <v>0</v>
      </c>
      <c r="AA2372" s="60" t="b">
        <f>TRUE()</f>
        <v>1</v>
      </c>
      <c r="AB2372" s="60" t="b">
        <f>FALSE()</f>
        <v>0</v>
      </c>
      <c r="AC2372" s="60" t="b">
        <f>TRUE()</f>
        <v>1</v>
      </c>
      <c r="AD2372" s="60" t="b">
        <f>FALSE()</f>
        <v>0</v>
      </c>
      <c r="AE2372" s="60">
        <v>2</v>
      </c>
      <c r="AF2372" s="64">
        <v>28.6</v>
      </c>
      <c r="AG2372" s="60" t="s">
        <v>73</v>
      </c>
      <c r="AH2372" s="60" t="s">
        <v>8843</v>
      </c>
      <c r="AI2372">
        <f>IF(AND(OR(Company_Explorer!$B$5="All Companies",$E2372=Company_Explorer!$B$5),OR(Company_Explorer!$B$6="All Platforms",$B2372=Company_Explorer!$B$6),OR(Company_Explorer!$B$7="All Roles",$D2372=Company_Explorer!$B$7),OR(Company_Explorer!$B$8="All Ghost Labels",$AG2372=Company_Explorer!$B$8)),1,0)</f>
        <v>0</v>
      </c>
    </row>
    <row r="2373" spans="1:35" ht="15" customHeight="1" x14ac:dyDescent="0.3">
      <c r="A2373" s="65" t="s">
        <v>8844</v>
      </c>
      <c r="B2373" s="65" t="s">
        <v>82</v>
      </c>
      <c r="C2373" s="65" t="s">
        <v>8845</v>
      </c>
      <c r="D2373" s="65" t="s">
        <v>128</v>
      </c>
      <c r="E2373" s="65" t="s">
        <v>8846</v>
      </c>
      <c r="F2373" s="65" t="b">
        <f>TRUE()</f>
        <v>1</v>
      </c>
      <c r="G2373" s="65" t="s">
        <v>165</v>
      </c>
      <c r="H2373" s="65" t="s">
        <v>165</v>
      </c>
      <c r="I2373" s="66">
        <v>46200</v>
      </c>
      <c r="J2373" s="66">
        <v>46210.285875185204</v>
      </c>
      <c r="K2373" s="65">
        <v>102</v>
      </c>
      <c r="L2373" s="65" t="s">
        <v>183</v>
      </c>
      <c r="M2373" s="65" t="s">
        <v>183</v>
      </c>
      <c r="N2373" s="65" t="b">
        <f>FALSE()</f>
        <v>0</v>
      </c>
      <c r="O2373" s="65"/>
      <c r="P2373" s="65"/>
      <c r="Q2373" s="65" t="s">
        <v>3663</v>
      </c>
      <c r="R2373" s="65" t="s">
        <v>236</v>
      </c>
      <c r="S2373" s="65"/>
      <c r="T2373" s="65" t="b">
        <f>FALSE()</f>
        <v>0</v>
      </c>
      <c r="U2373" s="65" t="b">
        <f>FALSE()</f>
        <v>0</v>
      </c>
      <c r="V2373" s="65">
        <v>143</v>
      </c>
      <c r="W2373" s="67" t="s">
        <v>8847</v>
      </c>
      <c r="X2373" s="65">
        <v>1</v>
      </c>
      <c r="Y2373" s="68">
        <v>0.24</v>
      </c>
      <c r="Z2373" s="65" t="b">
        <f>FALSE()</f>
        <v>0</v>
      </c>
      <c r="AA2373" s="65" t="b">
        <f>TRUE()</f>
        <v>1</v>
      </c>
      <c r="AB2373" s="65" t="b">
        <f>TRUE()</f>
        <v>1</v>
      </c>
      <c r="AC2373" s="65" t="b">
        <f>FALSE()</f>
        <v>0</v>
      </c>
      <c r="AD2373" s="65" t="b">
        <f>FALSE()</f>
        <v>0</v>
      </c>
      <c r="AE2373" s="65">
        <v>2</v>
      </c>
      <c r="AF2373" s="69">
        <v>28.6</v>
      </c>
      <c r="AG2373" s="65" t="s">
        <v>73</v>
      </c>
      <c r="AH2373" s="65" t="s">
        <v>8848</v>
      </c>
      <c r="AI2373">
        <f>IF(AND(OR(Company_Explorer!$B$5="All Companies",$E2373=Company_Explorer!$B$5),OR(Company_Explorer!$B$6="All Platforms",$B2373=Company_Explorer!$B$6),OR(Company_Explorer!$B$7="All Roles",$D2373=Company_Explorer!$B$7),OR(Company_Explorer!$B$8="All Ghost Labels",$AG2373=Company_Explorer!$B$8)),1,0)</f>
        <v>0</v>
      </c>
    </row>
    <row r="2374" spans="1:35" ht="15" customHeight="1" x14ac:dyDescent="0.3">
      <c r="A2374" s="60" t="s">
        <v>8849</v>
      </c>
      <c r="B2374" s="60" t="s">
        <v>82</v>
      </c>
      <c r="C2374" s="60" t="s">
        <v>8850</v>
      </c>
      <c r="D2374" s="60" t="s">
        <v>128</v>
      </c>
      <c r="E2374" s="60" t="s">
        <v>7595</v>
      </c>
      <c r="F2374" s="60" t="b">
        <f>TRUE()</f>
        <v>1</v>
      </c>
      <c r="G2374" s="60" t="s">
        <v>165</v>
      </c>
      <c r="H2374" s="60" t="s">
        <v>165</v>
      </c>
      <c r="I2374" s="61">
        <v>46189</v>
      </c>
      <c r="J2374" s="61">
        <v>46210.285875740701</v>
      </c>
      <c r="K2374" s="60">
        <v>21</v>
      </c>
      <c r="L2374" s="60" t="s">
        <v>192</v>
      </c>
      <c r="M2374" s="60" t="s">
        <v>183</v>
      </c>
      <c r="N2374" s="60" t="b">
        <f>FALSE()</f>
        <v>0</v>
      </c>
      <c r="O2374" s="60"/>
      <c r="P2374" s="60"/>
      <c r="Q2374" s="60" t="s">
        <v>3663</v>
      </c>
      <c r="R2374" s="60" t="s">
        <v>236</v>
      </c>
      <c r="S2374" s="60"/>
      <c r="T2374" s="60" t="b">
        <f>FALSE()</f>
        <v>0</v>
      </c>
      <c r="U2374" s="60" t="b">
        <f>FALSE()</f>
        <v>0</v>
      </c>
      <c r="V2374" s="60">
        <v>444</v>
      </c>
      <c r="W2374" s="62" t="s">
        <v>8851</v>
      </c>
      <c r="X2374" s="60">
        <v>3</v>
      </c>
      <c r="Y2374" s="63">
        <v>0.72</v>
      </c>
      <c r="Z2374" s="60" t="b">
        <f>FALSE()</f>
        <v>0</v>
      </c>
      <c r="AA2374" s="60" t="b">
        <f>TRUE()</f>
        <v>1</v>
      </c>
      <c r="AB2374" s="60" t="b">
        <f>FALSE()</f>
        <v>0</v>
      </c>
      <c r="AC2374" s="60" t="b">
        <f>FALSE()</f>
        <v>0</v>
      </c>
      <c r="AD2374" s="60" t="b">
        <f>FALSE()</f>
        <v>0</v>
      </c>
      <c r="AE2374" s="60">
        <v>1</v>
      </c>
      <c r="AF2374" s="64">
        <v>14.3</v>
      </c>
      <c r="AG2374" s="60" t="s">
        <v>74</v>
      </c>
      <c r="AH2374" s="60" t="s">
        <v>8852</v>
      </c>
      <c r="AI2374">
        <f>IF(AND(OR(Company_Explorer!$B$5="All Companies",$E2374=Company_Explorer!$B$5),OR(Company_Explorer!$B$6="All Platforms",$B2374=Company_Explorer!$B$6),OR(Company_Explorer!$B$7="All Roles",$D2374=Company_Explorer!$B$7),OR(Company_Explorer!$B$8="All Ghost Labels",$AG2374=Company_Explorer!$B$8)),1,0)</f>
        <v>0</v>
      </c>
    </row>
    <row r="2375" spans="1:35" ht="15" customHeight="1" x14ac:dyDescent="0.3">
      <c r="A2375" s="65" t="s">
        <v>8853</v>
      </c>
      <c r="B2375" s="65" t="s">
        <v>82</v>
      </c>
      <c r="C2375" s="65" t="s">
        <v>8854</v>
      </c>
      <c r="D2375" s="65" t="s">
        <v>126</v>
      </c>
      <c r="E2375" s="65" t="s">
        <v>8682</v>
      </c>
      <c r="F2375" s="65" t="b">
        <f>TRUE()</f>
        <v>1</v>
      </c>
      <c r="G2375" s="65" t="s">
        <v>167</v>
      </c>
      <c r="H2375" s="65" t="s">
        <v>276</v>
      </c>
      <c r="I2375" s="66">
        <v>46197</v>
      </c>
      <c r="J2375" s="66">
        <v>46210.285875786998</v>
      </c>
      <c r="K2375" s="65">
        <v>14</v>
      </c>
      <c r="L2375" s="65" t="s">
        <v>183</v>
      </c>
      <c r="M2375" s="65" t="s">
        <v>183</v>
      </c>
      <c r="N2375" s="65" t="b">
        <f>TRUE()</f>
        <v>1</v>
      </c>
      <c r="O2375" s="71">
        <v>270000</v>
      </c>
      <c r="P2375" s="71">
        <v>700000</v>
      </c>
      <c r="Q2375" s="65" t="s">
        <v>3663</v>
      </c>
      <c r="R2375" s="65" t="s">
        <v>7351</v>
      </c>
      <c r="S2375" s="71">
        <v>485000</v>
      </c>
      <c r="T2375" s="65" t="b">
        <f>TRUE()</f>
        <v>1</v>
      </c>
      <c r="U2375" s="65" t="b">
        <f>FALSE()</f>
        <v>0</v>
      </c>
      <c r="V2375" s="65">
        <v>298</v>
      </c>
      <c r="W2375" s="67" t="s">
        <v>8855</v>
      </c>
      <c r="X2375" s="65">
        <v>7</v>
      </c>
      <c r="Y2375" s="68">
        <v>1.69</v>
      </c>
      <c r="Z2375" s="65" t="b">
        <f>FALSE()</f>
        <v>0</v>
      </c>
      <c r="AA2375" s="65" t="b">
        <f>FALSE()</f>
        <v>0</v>
      </c>
      <c r="AB2375" s="65" t="b">
        <f>FALSE()</f>
        <v>0</v>
      </c>
      <c r="AC2375" s="65" t="b">
        <f>FALSE()</f>
        <v>0</v>
      </c>
      <c r="AD2375" s="65" t="b">
        <f>FALSE()</f>
        <v>0</v>
      </c>
      <c r="AE2375" s="65">
        <v>0</v>
      </c>
      <c r="AF2375" s="69">
        <v>0</v>
      </c>
      <c r="AG2375" s="65" t="s">
        <v>74</v>
      </c>
      <c r="AH2375" s="65" t="s">
        <v>8856</v>
      </c>
      <c r="AI2375">
        <f>IF(AND(OR(Company_Explorer!$B$5="All Companies",$E2375=Company_Explorer!$B$5),OR(Company_Explorer!$B$6="All Platforms",$B2375=Company_Explorer!$B$6),OR(Company_Explorer!$B$7="All Roles",$D2375=Company_Explorer!$B$7),OR(Company_Explorer!$B$8="All Ghost Labels",$AG2375=Company_Explorer!$B$8)),1,0)</f>
        <v>0</v>
      </c>
    </row>
    <row r="2376" spans="1:35" ht="15" customHeight="1" x14ac:dyDescent="0.3">
      <c r="A2376" s="60" t="s">
        <v>8857</v>
      </c>
      <c r="B2376" s="60" t="s">
        <v>82</v>
      </c>
      <c r="C2376" s="60" t="s">
        <v>8191</v>
      </c>
      <c r="D2376" s="60" t="s">
        <v>125</v>
      </c>
      <c r="E2376" s="60" t="s">
        <v>8858</v>
      </c>
      <c r="F2376" s="60" t="b">
        <f>TRUE()</f>
        <v>1</v>
      </c>
      <c r="G2376" s="60" t="s">
        <v>8648</v>
      </c>
      <c r="H2376" s="60" t="s">
        <v>2066</v>
      </c>
      <c r="I2376" s="61">
        <v>46200</v>
      </c>
      <c r="J2376" s="61">
        <v>46210.285879942101</v>
      </c>
      <c r="K2376" s="60">
        <v>130</v>
      </c>
      <c r="L2376" s="60" t="s">
        <v>192</v>
      </c>
      <c r="M2376" s="60" t="s">
        <v>183</v>
      </c>
      <c r="N2376" s="60" t="b">
        <f>TRUE()</f>
        <v>1</v>
      </c>
      <c r="O2376" s="70">
        <v>346000</v>
      </c>
      <c r="P2376" s="70">
        <v>658000</v>
      </c>
      <c r="Q2376" s="60" t="s">
        <v>3663</v>
      </c>
      <c r="R2376" s="60" t="s">
        <v>7351</v>
      </c>
      <c r="S2376" s="70">
        <v>502000</v>
      </c>
      <c r="T2376" s="60" t="b">
        <f>TRUE()</f>
        <v>1</v>
      </c>
      <c r="U2376" s="60" t="b">
        <f>FALSE()</f>
        <v>0</v>
      </c>
      <c r="V2376" s="60">
        <v>244</v>
      </c>
      <c r="W2376" s="60" t="s">
        <v>8859</v>
      </c>
      <c r="X2376" s="60">
        <v>1</v>
      </c>
      <c r="Y2376" s="63">
        <v>0.24</v>
      </c>
      <c r="Z2376" s="60" t="b">
        <f>FALSE()</f>
        <v>0</v>
      </c>
      <c r="AA2376" s="60" t="b">
        <f>FALSE()</f>
        <v>0</v>
      </c>
      <c r="AB2376" s="60" t="b">
        <f>FALSE()</f>
        <v>0</v>
      </c>
      <c r="AC2376" s="60" t="b">
        <f>TRUE()</f>
        <v>1</v>
      </c>
      <c r="AD2376" s="60" t="b">
        <f>FALSE()</f>
        <v>0</v>
      </c>
      <c r="AE2376" s="60">
        <v>1</v>
      </c>
      <c r="AF2376" s="64">
        <v>14.3</v>
      </c>
      <c r="AG2376" s="60" t="s">
        <v>74</v>
      </c>
      <c r="AH2376" s="60" t="s">
        <v>8860</v>
      </c>
      <c r="AI2376">
        <f>IF(AND(OR(Company_Explorer!$B$5="All Companies",$E2376=Company_Explorer!$B$5),OR(Company_Explorer!$B$6="All Platforms",$B2376=Company_Explorer!$B$6),OR(Company_Explorer!$B$7="All Roles",$D2376=Company_Explorer!$B$7),OR(Company_Explorer!$B$8="All Ghost Labels",$AG2376=Company_Explorer!$B$8)),1,0)</f>
        <v>0</v>
      </c>
    </row>
    <row r="2377" spans="1:35" ht="15" customHeight="1" x14ac:dyDescent="0.3">
      <c r="A2377" s="65" t="s">
        <v>8861</v>
      </c>
      <c r="B2377" s="65" t="s">
        <v>82</v>
      </c>
      <c r="C2377" s="65" t="s">
        <v>8862</v>
      </c>
      <c r="D2377" s="65" t="s">
        <v>125</v>
      </c>
      <c r="E2377" s="65" t="s">
        <v>8863</v>
      </c>
      <c r="F2377" s="65" t="b">
        <f>TRUE()</f>
        <v>1</v>
      </c>
      <c r="G2377" s="65" t="s">
        <v>8864</v>
      </c>
      <c r="H2377" s="65" t="s">
        <v>263</v>
      </c>
      <c r="I2377" s="66">
        <v>46190</v>
      </c>
      <c r="J2377" s="66">
        <v>46210.285882638898</v>
      </c>
      <c r="K2377" s="65">
        <v>20</v>
      </c>
      <c r="L2377" s="65" t="s">
        <v>183</v>
      </c>
      <c r="M2377" s="65" t="s">
        <v>183</v>
      </c>
      <c r="N2377" s="65" t="b">
        <f>TRUE()</f>
        <v>1</v>
      </c>
      <c r="O2377" s="71">
        <v>162500</v>
      </c>
      <c r="P2377" s="71">
        <v>675000</v>
      </c>
      <c r="Q2377" s="65" t="s">
        <v>3663</v>
      </c>
      <c r="R2377" s="65" t="s">
        <v>7351</v>
      </c>
      <c r="S2377" s="71">
        <v>418750</v>
      </c>
      <c r="T2377" s="65" t="b">
        <f>TRUE()</f>
        <v>1</v>
      </c>
      <c r="U2377" s="65" t="b">
        <f>FALSE()</f>
        <v>0</v>
      </c>
      <c r="V2377" s="65">
        <v>46</v>
      </c>
      <c r="W2377" s="67" t="s">
        <v>8865</v>
      </c>
      <c r="X2377" s="65">
        <v>1</v>
      </c>
      <c r="Y2377" s="68">
        <v>0.24</v>
      </c>
      <c r="Z2377" s="65" t="b">
        <f>FALSE()</f>
        <v>0</v>
      </c>
      <c r="AA2377" s="65" t="b">
        <f>FALSE()</f>
        <v>0</v>
      </c>
      <c r="AB2377" s="65" t="b">
        <f>TRUE()</f>
        <v>1</v>
      </c>
      <c r="AC2377" s="65" t="b">
        <f>FALSE()</f>
        <v>0</v>
      </c>
      <c r="AD2377" s="65" t="b">
        <f>FALSE()</f>
        <v>0</v>
      </c>
      <c r="AE2377" s="65">
        <v>1</v>
      </c>
      <c r="AF2377" s="69">
        <v>14.3</v>
      </c>
      <c r="AG2377" s="65" t="s">
        <v>74</v>
      </c>
      <c r="AH2377" s="65" t="s">
        <v>8866</v>
      </c>
      <c r="AI2377">
        <f>IF(AND(OR(Company_Explorer!$B$5="All Companies",$E2377=Company_Explorer!$B$5),OR(Company_Explorer!$B$6="All Platforms",$B2377=Company_Explorer!$B$6),OR(Company_Explorer!$B$7="All Roles",$D2377=Company_Explorer!$B$7),OR(Company_Explorer!$B$8="All Ghost Labels",$AG2377=Company_Explorer!$B$8)),1,0)</f>
        <v>0</v>
      </c>
    </row>
    <row r="2378" spans="1:35" ht="15" customHeight="1" x14ac:dyDescent="0.3">
      <c r="A2378" s="60" t="s">
        <v>8867</v>
      </c>
      <c r="B2378" s="60" t="s">
        <v>82</v>
      </c>
      <c r="C2378" s="60" t="s">
        <v>8868</v>
      </c>
      <c r="D2378" s="60" t="s">
        <v>129</v>
      </c>
      <c r="E2378" s="60" t="s">
        <v>8869</v>
      </c>
      <c r="F2378" s="60" t="b">
        <f>TRUE()</f>
        <v>1</v>
      </c>
      <c r="G2378" s="60" t="s">
        <v>165</v>
      </c>
      <c r="H2378" s="60" t="s">
        <v>165</v>
      </c>
      <c r="I2378" s="61">
        <v>46187</v>
      </c>
      <c r="J2378" s="61">
        <v>46210.285887476901</v>
      </c>
      <c r="K2378" s="60">
        <v>85</v>
      </c>
      <c r="L2378" s="60" t="s">
        <v>192</v>
      </c>
      <c r="M2378" s="60" t="s">
        <v>183</v>
      </c>
      <c r="N2378" s="60" t="b">
        <f>FALSE()</f>
        <v>0</v>
      </c>
      <c r="O2378" s="60"/>
      <c r="P2378" s="60"/>
      <c r="Q2378" s="60" t="s">
        <v>3663</v>
      </c>
      <c r="R2378" s="60" t="s">
        <v>236</v>
      </c>
      <c r="S2378" s="60"/>
      <c r="T2378" s="60" t="b">
        <f>FALSE()</f>
        <v>0</v>
      </c>
      <c r="U2378" s="60" t="b">
        <f>FALSE()</f>
        <v>0</v>
      </c>
      <c r="V2378" s="60">
        <v>241</v>
      </c>
      <c r="W2378" s="62" t="s">
        <v>8870</v>
      </c>
      <c r="X2378" s="60">
        <v>1</v>
      </c>
      <c r="Y2378" s="63">
        <v>0.24</v>
      </c>
      <c r="Z2378" s="60" t="b">
        <f>FALSE()</f>
        <v>0</v>
      </c>
      <c r="AA2378" s="60" t="b">
        <f>TRUE()</f>
        <v>1</v>
      </c>
      <c r="AB2378" s="60" t="b">
        <f>FALSE()</f>
        <v>0</v>
      </c>
      <c r="AC2378" s="60" t="b">
        <f>FALSE()</f>
        <v>0</v>
      </c>
      <c r="AD2378" s="60" t="b">
        <f>FALSE()</f>
        <v>0</v>
      </c>
      <c r="AE2378" s="60">
        <v>1</v>
      </c>
      <c r="AF2378" s="64">
        <v>14.3</v>
      </c>
      <c r="AG2378" s="60" t="s">
        <v>74</v>
      </c>
      <c r="AH2378" s="60" t="s">
        <v>8871</v>
      </c>
      <c r="AI2378">
        <f>IF(AND(OR(Company_Explorer!$B$5="All Companies",$E2378=Company_Explorer!$B$5),OR(Company_Explorer!$B$6="All Platforms",$B2378=Company_Explorer!$B$6),OR(Company_Explorer!$B$7="All Roles",$D2378=Company_Explorer!$B$7),OR(Company_Explorer!$B$8="All Ghost Labels",$AG2378=Company_Explorer!$B$8)),1,0)</f>
        <v>0</v>
      </c>
    </row>
    <row r="2379" spans="1:35" ht="15" customHeight="1" x14ac:dyDescent="0.3">
      <c r="A2379" s="65" t="s">
        <v>8872</v>
      </c>
      <c r="B2379" s="65" t="s">
        <v>82</v>
      </c>
      <c r="C2379" s="65" t="s">
        <v>8873</v>
      </c>
      <c r="D2379" s="65" t="s">
        <v>130</v>
      </c>
      <c r="E2379" s="65" t="s">
        <v>8874</v>
      </c>
      <c r="F2379" s="65" t="b">
        <f>TRUE()</f>
        <v>1</v>
      </c>
      <c r="G2379" s="65" t="s">
        <v>175</v>
      </c>
      <c r="H2379" s="65" t="s">
        <v>254</v>
      </c>
      <c r="I2379" s="66">
        <v>46200</v>
      </c>
      <c r="J2379" s="66">
        <v>46210.285890231498</v>
      </c>
      <c r="K2379" s="65">
        <v>130</v>
      </c>
      <c r="L2379" s="65" t="s">
        <v>192</v>
      </c>
      <c r="M2379" s="65" t="s">
        <v>183</v>
      </c>
      <c r="N2379" s="65" t="b">
        <f>TRUE()</f>
        <v>1</v>
      </c>
      <c r="O2379" s="71">
        <v>600000</v>
      </c>
      <c r="P2379" s="71">
        <v>1000000</v>
      </c>
      <c r="Q2379" s="65" t="s">
        <v>3663</v>
      </c>
      <c r="R2379" s="65" t="s">
        <v>7351</v>
      </c>
      <c r="S2379" s="71">
        <v>800000</v>
      </c>
      <c r="T2379" s="65" t="b">
        <f>TRUE()</f>
        <v>1</v>
      </c>
      <c r="U2379" s="65" t="b">
        <f>FALSE()</f>
        <v>0</v>
      </c>
      <c r="V2379" s="65">
        <v>246</v>
      </c>
      <c r="W2379" s="67" t="s">
        <v>8875</v>
      </c>
      <c r="X2379" s="65">
        <v>1</v>
      </c>
      <c r="Y2379" s="68">
        <v>0.24</v>
      </c>
      <c r="Z2379" s="65" t="b">
        <f>FALSE()</f>
        <v>0</v>
      </c>
      <c r="AA2379" s="65" t="b">
        <f>FALSE()</f>
        <v>0</v>
      </c>
      <c r="AB2379" s="65" t="b">
        <f>FALSE()</f>
        <v>0</v>
      </c>
      <c r="AC2379" s="65" t="b">
        <f>TRUE()</f>
        <v>1</v>
      </c>
      <c r="AD2379" s="65" t="b">
        <f>FALSE()</f>
        <v>0</v>
      </c>
      <c r="AE2379" s="65">
        <v>1</v>
      </c>
      <c r="AF2379" s="69">
        <v>14.3</v>
      </c>
      <c r="AG2379" s="65" t="s">
        <v>74</v>
      </c>
      <c r="AH2379" s="65" t="s">
        <v>8876</v>
      </c>
      <c r="AI2379">
        <f>IF(AND(OR(Company_Explorer!$B$5="All Companies",$E2379=Company_Explorer!$B$5),OR(Company_Explorer!$B$6="All Platforms",$B2379=Company_Explorer!$B$6),OR(Company_Explorer!$B$7="All Roles",$D2379=Company_Explorer!$B$7),OR(Company_Explorer!$B$8="All Ghost Labels",$AG2379=Company_Explorer!$B$8)),1,0)</f>
        <v>0</v>
      </c>
    </row>
    <row r="2380" spans="1:35" ht="15" customHeight="1" x14ac:dyDescent="0.3">
      <c r="A2380" s="60" t="s">
        <v>8877</v>
      </c>
      <c r="B2380" s="60" t="s">
        <v>82</v>
      </c>
      <c r="C2380" s="60" t="s">
        <v>8862</v>
      </c>
      <c r="D2380" s="60" t="s">
        <v>125</v>
      </c>
      <c r="E2380" s="60" t="s">
        <v>8426</v>
      </c>
      <c r="F2380" s="60" t="b">
        <f>TRUE()</f>
        <v>1</v>
      </c>
      <c r="G2380" s="60" t="s">
        <v>165</v>
      </c>
      <c r="H2380" s="60" t="s">
        <v>165</v>
      </c>
      <c r="I2380" s="61">
        <v>46200</v>
      </c>
      <c r="J2380" s="61">
        <v>46210.285890358798</v>
      </c>
      <c r="K2380" s="60">
        <v>130</v>
      </c>
      <c r="L2380" s="60" t="s">
        <v>192</v>
      </c>
      <c r="M2380" s="60" t="s">
        <v>183</v>
      </c>
      <c r="N2380" s="60" t="b">
        <f>FALSE()</f>
        <v>0</v>
      </c>
      <c r="O2380" s="60"/>
      <c r="P2380" s="60"/>
      <c r="Q2380" s="60" t="s">
        <v>3663</v>
      </c>
      <c r="R2380" s="60" t="s">
        <v>236</v>
      </c>
      <c r="S2380" s="60"/>
      <c r="T2380" s="60" t="b">
        <f>FALSE()</f>
        <v>0</v>
      </c>
      <c r="U2380" s="60" t="b">
        <f>FALSE()</f>
        <v>0</v>
      </c>
      <c r="V2380" s="60">
        <v>1284</v>
      </c>
      <c r="W2380" s="62" t="s">
        <v>8427</v>
      </c>
      <c r="X2380" s="60">
        <v>3</v>
      </c>
      <c r="Y2380" s="63">
        <v>0.72</v>
      </c>
      <c r="Z2380" s="60" t="b">
        <f>FALSE()</f>
        <v>0</v>
      </c>
      <c r="AA2380" s="60" t="b">
        <f>TRUE()</f>
        <v>1</v>
      </c>
      <c r="AB2380" s="60" t="b">
        <f>FALSE()</f>
        <v>0</v>
      </c>
      <c r="AC2380" s="60" t="b">
        <f>TRUE()</f>
        <v>1</v>
      </c>
      <c r="AD2380" s="60" t="b">
        <f>FALSE()</f>
        <v>0</v>
      </c>
      <c r="AE2380" s="60">
        <v>2</v>
      </c>
      <c r="AF2380" s="64">
        <v>28.6</v>
      </c>
      <c r="AG2380" s="60" t="s">
        <v>73</v>
      </c>
      <c r="AH2380" s="60" t="s">
        <v>8878</v>
      </c>
      <c r="AI2380">
        <f>IF(AND(OR(Company_Explorer!$B$5="All Companies",$E2380=Company_Explorer!$B$5),OR(Company_Explorer!$B$6="All Platforms",$B2380=Company_Explorer!$B$6),OR(Company_Explorer!$B$7="All Roles",$D2380=Company_Explorer!$B$7),OR(Company_Explorer!$B$8="All Ghost Labels",$AG2380=Company_Explorer!$B$8)),1,0)</f>
        <v>0</v>
      </c>
    </row>
    <row r="2381" spans="1:35" ht="15" customHeight="1" x14ac:dyDescent="0.3">
      <c r="A2381" s="65" t="s">
        <v>8879</v>
      </c>
      <c r="B2381" s="65" t="s">
        <v>82</v>
      </c>
      <c r="C2381" s="65" t="s">
        <v>8880</v>
      </c>
      <c r="D2381" s="65" t="s">
        <v>126</v>
      </c>
      <c r="E2381" s="65" t="s">
        <v>8881</v>
      </c>
      <c r="F2381" s="65" t="b">
        <f>TRUE()</f>
        <v>1</v>
      </c>
      <c r="G2381" s="65" t="s">
        <v>165</v>
      </c>
      <c r="H2381" s="65" t="s">
        <v>165</v>
      </c>
      <c r="I2381" s="66">
        <v>46210</v>
      </c>
      <c r="J2381" s="66">
        <v>46210.285890439802</v>
      </c>
      <c r="K2381" s="65">
        <v>122</v>
      </c>
      <c r="L2381" s="65" t="s">
        <v>192</v>
      </c>
      <c r="M2381" s="65" t="s">
        <v>183</v>
      </c>
      <c r="N2381" s="65" t="b">
        <f>FALSE()</f>
        <v>0</v>
      </c>
      <c r="O2381" s="65"/>
      <c r="P2381" s="65"/>
      <c r="Q2381" s="65" t="s">
        <v>3663</v>
      </c>
      <c r="R2381" s="65" t="s">
        <v>236</v>
      </c>
      <c r="S2381" s="65"/>
      <c r="T2381" s="65" t="b">
        <f>FALSE()</f>
        <v>0</v>
      </c>
      <c r="U2381" s="65" t="b">
        <f>FALSE()</f>
        <v>0</v>
      </c>
      <c r="V2381" s="65">
        <v>130</v>
      </c>
      <c r="W2381" s="67" t="s">
        <v>8882</v>
      </c>
      <c r="X2381" s="65">
        <v>2</v>
      </c>
      <c r="Y2381" s="68">
        <v>0.48</v>
      </c>
      <c r="Z2381" s="65" t="b">
        <f>FALSE()</f>
        <v>0</v>
      </c>
      <c r="AA2381" s="65" t="b">
        <f>TRUE()</f>
        <v>1</v>
      </c>
      <c r="AB2381" s="65" t="b">
        <f>TRUE()</f>
        <v>1</v>
      </c>
      <c r="AC2381" s="65" t="b">
        <f>TRUE()</f>
        <v>1</v>
      </c>
      <c r="AD2381" s="65" t="b">
        <f>FALSE()</f>
        <v>0</v>
      </c>
      <c r="AE2381" s="65">
        <v>3</v>
      </c>
      <c r="AF2381" s="69">
        <v>42.9</v>
      </c>
      <c r="AG2381" s="65" t="s">
        <v>73</v>
      </c>
      <c r="AH2381" s="65" t="s">
        <v>8883</v>
      </c>
      <c r="AI2381">
        <f>IF(AND(OR(Company_Explorer!$B$5="All Companies",$E2381=Company_Explorer!$B$5),OR(Company_Explorer!$B$6="All Platforms",$B2381=Company_Explorer!$B$6),OR(Company_Explorer!$B$7="All Roles",$D2381=Company_Explorer!$B$7),OR(Company_Explorer!$B$8="All Ghost Labels",$AG2381=Company_Explorer!$B$8)),1,0)</f>
        <v>0</v>
      </c>
    </row>
    <row r="2382" spans="1:35" ht="15" customHeight="1" x14ac:dyDescent="0.3">
      <c r="A2382" s="60" t="s">
        <v>8884</v>
      </c>
      <c r="B2382" s="60" t="s">
        <v>82</v>
      </c>
      <c r="C2382" s="60" t="s">
        <v>8885</v>
      </c>
      <c r="D2382" s="60" t="s">
        <v>129</v>
      </c>
      <c r="E2382" s="60" t="s">
        <v>8520</v>
      </c>
      <c r="F2382" s="60" t="b">
        <f>TRUE()</f>
        <v>1</v>
      </c>
      <c r="G2382" s="60" t="s">
        <v>753</v>
      </c>
      <c r="H2382" s="60" t="s">
        <v>754</v>
      </c>
      <c r="I2382" s="61">
        <v>46182</v>
      </c>
      <c r="J2382" s="61">
        <v>46210.285891168998</v>
      </c>
      <c r="K2382" s="60">
        <v>271</v>
      </c>
      <c r="L2382" s="60" t="s">
        <v>183</v>
      </c>
      <c r="M2382" s="60" t="s">
        <v>183</v>
      </c>
      <c r="N2382" s="60" t="b">
        <f>TRUE()</f>
        <v>1</v>
      </c>
      <c r="O2382" s="70">
        <v>300000</v>
      </c>
      <c r="P2382" s="70">
        <v>815000</v>
      </c>
      <c r="Q2382" s="60" t="s">
        <v>3663</v>
      </c>
      <c r="R2382" s="60" t="s">
        <v>7351</v>
      </c>
      <c r="S2382" s="70">
        <v>557500</v>
      </c>
      <c r="T2382" s="60" t="b">
        <f>TRUE()</f>
        <v>1</v>
      </c>
      <c r="U2382" s="60" t="b">
        <f>FALSE()</f>
        <v>0</v>
      </c>
      <c r="V2382" s="60">
        <v>50</v>
      </c>
      <c r="W2382" s="62" t="s">
        <v>8886</v>
      </c>
      <c r="X2382" s="60">
        <v>2</v>
      </c>
      <c r="Y2382" s="63">
        <v>0.48</v>
      </c>
      <c r="Z2382" s="60" t="b">
        <f>FALSE()</f>
        <v>0</v>
      </c>
      <c r="AA2382" s="60" t="b">
        <f>FALSE()</f>
        <v>0</v>
      </c>
      <c r="AB2382" s="60" t="b">
        <f>TRUE()</f>
        <v>1</v>
      </c>
      <c r="AC2382" s="60" t="b">
        <f>TRUE()</f>
        <v>1</v>
      </c>
      <c r="AD2382" s="60" t="b">
        <f>FALSE()</f>
        <v>0</v>
      </c>
      <c r="AE2382" s="60">
        <v>2</v>
      </c>
      <c r="AF2382" s="64">
        <v>28.6</v>
      </c>
      <c r="AG2382" s="60" t="s">
        <v>73</v>
      </c>
      <c r="AH2382" s="60" t="s">
        <v>8887</v>
      </c>
      <c r="AI2382">
        <f>IF(AND(OR(Company_Explorer!$B$5="All Companies",$E2382=Company_Explorer!$B$5),OR(Company_Explorer!$B$6="All Platforms",$B2382=Company_Explorer!$B$6),OR(Company_Explorer!$B$7="All Roles",$D2382=Company_Explorer!$B$7),OR(Company_Explorer!$B$8="All Ghost Labels",$AG2382=Company_Explorer!$B$8)),1,0)</f>
        <v>0</v>
      </c>
    </row>
    <row r="2383" spans="1:35" ht="15" customHeight="1" x14ac:dyDescent="0.3">
      <c r="A2383" s="65" t="s">
        <v>8888</v>
      </c>
      <c r="B2383" s="65" t="s">
        <v>82</v>
      </c>
      <c r="C2383" s="65" t="s">
        <v>3323</v>
      </c>
      <c r="D2383" s="65" t="s">
        <v>129</v>
      </c>
      <c r="E2383" s="65" t="s">
        <v>8889</v>
      </c>
      <c r="F2383" s="65" t="b">
        <f>TRUE()</f>
        <v>1</v>
      </c>
      <c r="G2383" s="65" t="s">
        <v>753</v>
      </c>
      <c r="H2383" s="65" t="s">
        <v>754</v>
      </c>
      <c r="I2383" s="66">
        <v>46197</v>
      </c>
      <c r="J2383" s="66">
        <v>46210.285893796303</v>
      </c>
      <c r="K2383" s="65">
        <v>133</v>
      </c>
      <c r="L2383" s="65" t="s">
        <v>183</v>
      </c>
      <c r="M2383" s="65" t="s">
        <v>183</v>
      </c>
      <c r="N2383" s="65" t="b">
        <f>TRUE()</f>
        <v>1</v>
      </c>
      <c r="O2383" s="71">
        <v>300000</v>
      </c>
      <c r="P2383" s="71">
        <v>890000</v>
      </c>
      <c r="Q2383" s="65" t="s">
        <v>3663</v>
      </c>
      <c r="R2383" s="65" t="s">
        <v>7351</v>
      </c>
      <c r="S2383" s="71">
        <v>595000</v>
      </c>
      <c r="T2383" s="65" t="b">
        <f>TRUE()</f>
        <v>1</v>
      </c>
      <c r="U2383" s="65" t="b">
        <f>FALSE()</f>
        <v>0</v>
      </c>
      <c r="V2383" s="65">
        <v>103</v>
      </c>
      <c r="W2383" s="67" t="s">
        <v>8890</v>
      </c>
      <c r="X2383" s="65">
        <v>1</v>
      </c>
      <c r="Y2383" s="68">
        <v>0.24</v>
      </c>
      <c r="Z2383" s="65" t="b">
        <f>FALSE()</f>
        <v>0</v>
      </c>
      <c r="AA2383" s="65" t="b">
        <f>FALSE()</f>
        <v>0</v>
      </c>
      <c r="AB2383" s="65" t="b">
        <f>TRUE()</f>
        <v>1</v>
      </c>
      <c r="AC2383" s="65" t="b">
        <f>TRUE()</f>
        <v>1</v>
      </c>
      <c r="AD2383" s="65" t="b">
        <f>FALSE()</f>
        <v>0</v>
      </c>
      <c r="AE2383" s="65">
        <v>2</v>
      </c>
      <c r="AF2383" s="69">
        <v>28.6</v>
      </c>
      <c r="AG2383" s="65" t="s">
        <v>73</v>
      </c>
      <c r="AH2383" s="65" t="s">
        <v>8891</v>
      </c>
      <c r="AI2383">
        <f>IF(AND(OR(Company_Explorer!$B$5="All Companies",$E2383=Company_Explorer!$B$5),OR(Company_Explorer!$B$6="All Platforms",$B2383=Company_Explorer!$B$6),OR(Company_Explorer!$B$7="All Roles",$D2383=Company_Explorer!$B$7),OR(Company_Explorer!$B$8="All Ghost Labels",$AG2383=Company_Explorer!$B$8)),1,0)</f>
        <v>0</v>
      </c>
    </row>
    <row r="2384" spans="1:35" ht="15" customHeight="1" x14ac:dyDescent="0.3">
      <c r="A2384" s="60" t="s">
        <v>8892</v>
      </c>
      <c r="B2384" s="60" t="s">
        <v>82</v>
      </c>
      <c r="C2384" s="60" t="s">
        <v>8893</v>
      </c>
      <c r="D2384" s="60" t="s">
        <v>125</v>
      </c>
      <c r="E2384" s="60" t="s">
        <v>8894</v>
      </c>
      <c r="F2384" s="60" t="b">
        <f>TRUE()</f>
        <v>1</v>
      </c>
      <c r="G2384" s="60" t="s">
        <v>165</v>
      </c>
      <c r="H2384" s="60" t="s">
        <v>165</v>
      </c>
      <c r="I2384" s="61">
        <v>46193</v>
      </c>
      <c r="J2384" s="61">
        <v>46210.285895474502</v>
      </c>
      <c r="K2384" s="60">
        <v>137</v>
      </c>
      <c r="L2384" s="60" t="s">
        <v>183</v>
      </c>
      <c r="M2384" s="60" t="s">
        <v>183</v>
      </c>
      <c r="N2384" s="60" t="b">
        <f>FALSE()</f>
        <v>0</v>
      </c>
      <c r="O2384" s="60"/>
      <c r="P2384" s="60"/>
      <c r="Q2384" s="60" t="s">
        <v>3663</v>
      </c>
      <c r="R2384" s="60" t="s">
        <v>236</v>
      </c>
      <c r="S2384" s="60"/>
      <c r="T2384" s="60" t="b">
        <f>FALSE()</f>
        <v>0</v>
      </c>
      <c r="U2384" s="60" t="b">
        <f>FALSE()</f>
        <v>0</v>
      </c>
      <c r="V2384" s="60">
        <v>99</v>
      </c>
      <c r="W2384" s="62" t="s">
        <v>8895</v>
      </c>
      <c r="X2384" s="60">
        <v>1</v>
      </c>
      <c r="Y2384" s="63">
        <v>0.24</v>
      </c>
      <c r="Z2384" s="60" t="b">
        <f>FALSE()</f>
        <v>0</v>
      </c>
      <c r="AA2384" s="60" t="b">
        <f>TRUE()</f>
        <v>1</v>
      </c>
      <c r="AB2384" s="60" t="b">
        <f>TRUE()</f>
        <v>1</v>
      </c>
      <c r="AC2384" s="60" t="b">
        <f>TRUE()</f>
        <v>1</v>
      </c>
      <c r="AD2384" s="60" t="b">
        <f>FALSE()</f>
        <v>0</v>
      </c>
      <c r="AE2384" s="60">
        <v>3</v>
      </c>
      <c r="AF2384" s="64">
        <v>42.9</v>
      </c>
      <c r="AG2384" s="60" t="s">
        <v>73</v>
      </c>
      <c r="AH2384" s="60" t="s">
        <v>8896</v>
      </c>
      <c r="AI2384">
        <f>IF(AND(OR(Company_Explorer!$B$5="All Companies",$E2384=Company_Explorer!$B$5),OR(Company_Explorer!$B$6="All Platforms",$B2384=Company_Explorer!$B$6),OR(Company_Explorer!$B$7="All Roles",$D2384=Company_Explorer!$B$7),OR(Company_Explorer!$B$8="All Ghost Labels",$AG2384=Company_Explorer!$B$8)),1,0)</f>
        <v>0</v>
      </c>
    </row>
    <row r="2385" spans="1:35" ht="15" customHeight="1" x14ac:dyDescent="0.3">
      <c r="A2385" s="65" t="s">
        <v>8897</v>
      </c>
      <c r="B2385" s="65" t="s">
        <v>82</v>
      </c>
      <c r="C2385" s="65" t="s">
        <v>8898</v>
      </c>
      <c r="D2385" s="65" t="s">
        <v>125</v>
      </c>
      <c r="E2385" s="65" t="s">
        <v>8899</v>
      </c>
      <c r="F2385" s="65" t="b">
        <f>TRUE()</f>
        <v>1</v>
      </c>
      <c r="G2385" s="65" t="s">
        <v>165</v>
      </c>
      <c r="H2385" s="65" t="s">
        <v>165</v>
      </c>
      <c r="I2385" s="66">
        <v>46201</v>
      </c>
      <c r="J2385" s="66">
        <v>46210.285896307898</v>
      </c>
      <c r="K2385" s="65">
        <v>130</v>
      </c>
      <c r="L2385" s="65" t="s">
        <v>183</v>
      </c>
      <c r="M2385" s="65" t="s">
        <v>183</v>
      </c>
      <c r="N2385" s="65" t="b">
        <f>FALSE()</f>
        <v>0</v>
      </c>
      <c r="O2385" s="65"/>
      <c r="P2385" s="65"/>
      <c r="Q2385" s="65" t="s">
        <v>3663</v>
      </c>
      <c r="R2385" s="65" t="s">
        <v>236</v>
      </c>
      <c r="S2385" s="65"/>
      <c r="T2385" s="65" t="b">
        <f>FALSE()</f>
        <v>0</v>
      </c>
      <c r="U2385" s="65" t="b">
        <f>FALSE()</f>
        <v>0</v>
      </c>
      <c r="V2385" s="65">
        <v>288</v>
      </c>
      <c r="W2385" s="65" t="s">
        <v>8900</v>
      </c>
      <c r="X2385" s="65">
        <v>1</v>
      </c>
      <c r="Y2385" s="68">
        <v>0.24</v>
      </c>
      <c r="Z2385" s="65" t="b">
        <f>FALSE()</f>
        <v>0</v>
      </c>
      <c r="AA2385" s="65" t="b">
        <f>TRUE()</f>
        <v>1</v>
      </c>
      <c r="AB2385" s="65" t="b">
        <f>FALSE()</f>
        <v>0</v>
      </c>
      <c r="AC2385" s="65" t="b">
        <f>TRUE()</f>
        <v>1</v>
      </c>
      <c r="AD2385" s="65" t="b">
        <f>FALSE()</f>
        <v>0</v>
      </c>
      <c r="AE2385" s="65">
        <v>2</v>
      </c>
      <c r="AF2385" s="69">
        <v>28.6</v>
      </c>
      <c r="AG2385" s="65" t="s">
        <v>73</v>
      </c>
      <c r="AH2385" s="65" t="s">
        <v>8901</v>
      </c>
      <c r="AI2385">
        <f>IF(AND(OR(Company_Explorer!$B$5="All Companies",$E2385=Company_Explorer!$B$5),OR(Company_Explorer!$B$6="All Platforms",$B2385=Company_Explorer!$B$6),OR(Company_Explorer!$B$7="All Roles",$D2385=Company_Explorer!$B$7),OR(Company_Explorer!$B$8="All Ghost Labels",$AG2385=Company_Explorer!$B$8)),1,0)</f>
        <v>0</v>
      </c>
    </row>
    <row r="2386" spans="1:35" ht="15" customHeight="1" x14ac:dyDescent="0.3">
      <c r="A2386" s="60" t="s">
        <v>8902</v>
      </c>
      <c r="B2386" s="60" t="s">
        <v>82</v>
      </c>
      <c r="C2386" s="60" t="s">
        <v>8903</v>
      </c>
      <c r="D2386" s="60" t="s">
        <v>125</v>
      </c>
      <c r="E2386" s="60" t="s">
        <v>8904</v>
      </c>
      <c r="F2386" s="60" t="b">
        <f>TRUE()</f>
        <v>1</v>
      </c>
      <c r="G2386" s="60" t="s">
        <v>165</v>
      </c>
      <c r="H2386" s="60" t="s">
        <v>165</v>
      </c>
      <c r="I2386" s="61">
        <v>46192</v>
      </c>
      <c r="J2386" s="61">
        <v>46210.2858984259</v>
      </c>
      <c r="K2386" s="60">
        <v>138</v>
      </c>
      <c r="L2386" s="60" t="s">
        <v>192</v>
      </c>
      <c r="M2386" s="60" t="s">
        <v>183</v>
      </c>
      <c r="N2386" s="60" t="b">
        <f>FALSE()</f>
        <v>0</v>
      </c>
      <c r="O2386" s="60"/>
      <c r="P2386" s="60"/>
      <c r="Q2386" s="60" t="s">
        <v>3663</v>
      </c>
      <c r="R2386" s="60" t="s">
        <v>236</v>
      </c>
      <c r="S2386" s="60"/>
      <c r="T2386" s="60" t="b">
        <f>FALSE()</f>
        <v>0</v>
      </c>
      <c r="U2386" s="60" t="b">
        <f>FALSE()</f>
        <v>0</v>
      </c>
      <c r="V2386" s="60">
        <v>352</v>
      </c>
      <c r="W2386" s="62" t="s">
        <v>8905</v>
      </c>
      <c r="X2386" s="60">
        <v>1</v>
      </c>
      <c r="Y2386" s="63">
        <v>0.24</v>
      </c>
      <c r="Z2386" s="60" t="b">
        <f>FALSE()</f>
        <v>0</v>
      </c>
      <c r="AA2386" s="60" t="b">
        <f>TRUE()</f>
        <v>1</v>
      </c>
      <c r="AB2386" s="60" t="b">
        <f>FALSE()</f>
        <v>0</v>
      </c>
      <c r="AC2386" s="60" t="b">
        <f>TRUE()</f>
        <v>1</v>
      </c>
      <c r="AD2386" s="60" t="b">
        <f>FALSE()</f>
        <v>0</v>
      </c>
      <c r="AE2386" s="60">
        <v>2</v>
      </c>
      <c r="AF2386" s="64">
        <v>28.6</v>
      </c>
      <c r="AG2386" s="60" t="s">
        <v>73</v>
      </c>
      <c r="AH2386" s="60" t="s">
        <v>8906</v>
      </c>
      <c r="AI2386">
        <f>IF(AND(OR(Company_Explorer!$B$5="All Companies",$E2386=Company_Explorer!$B$5),OR(Company_Explorer!$B$6="All Platforms",$B2386=Company_Explorer!$B$6),OR(Company_Explorer!$B$7="All Roles",$D2386=Company_Explorer!$B$7),OR(Company_Explorer!$B$8="All Ghost Labels",$AG2386=Company_Explorer!$B$8)),1,0)</f>
        <v>0</v>
      </c>
    </row>
    <row r="2387" spans="1:35" ht="15" customHeight="1" x14ac:dyDescent="0.3">
      <c r="A2387" s="65" t="s">
        <v>8907</v>
      </c>
      <c r="B2387" s="65" t="s">
        <v>82</v>
      </c>
      <c r="C2387" s="65" t="s">
        <v>8908</v>
      </c>
      <c r="D2387" s="65" t="s">
        <v>125</v>
      </c>
      <c r="E2387" s="65" t="s">
        <v>8909</v>
      </c>
      <c r="F2387" s="65" t="b">
        <f>TRUE()</f>
        <v>1</v>
      </c>
      <c r="G2387" s="65" t="s">
        <v>165</v>
      </c>
      <c r="H2387" s="65" t="s">
        <v>165</v>
      </c>
      <c r="I2387" s="66">
        <v>46201</v>
      </c>
      <c r="J2387" s="66">
        <v>46210.285899745402</v>
      </c>
      <c r="K2387" s="65">
        <v>129</v>
      </c>
      <c r="L2387" s="65" t="s">
        <v>183</v>
      </c>
      <c r="M2387" s="65" t="s">
        <v>183</v>
      </c>
      <c r="N2387" s="65" t="b">
        <f>FALSE()</f>
        <v>0</v>
      </c>
      <c r="O2387" s="65"/>
      <c r="P2387" s="65"/>
      <c r="Q2387" s="65" t="s">
        <v>3663</v>
      </c>
      <c r="R2387" s="65" t="s">
        <v>236</v>
      </c>
      <c r="S2387" s="65"/>
      <c r="T2387" s="65" t="b">
        <f>FALSE()</f>
        <v>0</v>
      </c>
      <c r="U2387" s="65" t="b">
        <f>FALSE()</f>
        <v>0</v>
      </c>
      <c r="V2387" s="65">
        <v>73</v>
      </c>
      <c r="W2387" s="67" t="s">
        <v>8910</v>
      </c>
      <c r="X2387" s="65">
        <v>2</v>
      </c>
      <c r="Y2387" s="68">
        <v>0.48</v>
      </c>
      <c r="Z2387" s="65" t="b">
        <f>FALSE()</f>
        <v>0</v>
      </c>
      <c r="AA2387" s="65" t="b">
        <f>TRUE()</f>
        <v>1</v>
      </c>
      <c r="AB2387" s="65" t="b">
        <f>TRUE()</f>
        <v>1</v>
      </c>
      <c r="AC2387" s="65" t="b">
        <f>TRUE()</f>
        <v>1</v>
      </c>
      <c r="AD2387" s="65" t="b">
        <f>FALSE()</f>
        <v>0</v>
      </c>
      <c r="AE2387" s="65">
        <v>3</v>
      </c>
      <c r="AF2387" s="69">
        <v>42.9</v>
      </c>
      <c r="AG2387" s="65" t="s">
        <v>73</v>
      </c>
      <c r="AH2387" s="65" t="s">
        <v>8911</v>
      </c>
      <c r="AI2387">
        <f>IF(AND(OR(Company_Explorer!$B$5="All Companies",$E2387=Company_Explorer!$B$5),OR(Company_Explorer!$B$6="All Platforms",$B2387=Company_Explorer!$B$6),OR(Company_Explorer!$B$7="All Roles",$D2387=Company_Explorer!$B$7),OR(Company_Explorer!$B$8="All Ghost Labels",$AG2387=Company_Explorer!$B$8)),1,0)</f>
        <v>0</v>
      </c>
    </row>
    <row r="2388" spans="1:35" ht="15" customHeight="1" x14ac:dyDescent="0.3">
      <c r="A2388" s="60" t="s">
        <v>8912</v>
      </c>
      <c r="B2388" s="60" t="s">
        <v>82</v>
      </c>
      <c r="C2388" s="60" t="s">
        <v>306</v>
      </c>
      <c r="D2388" s="60" t="s">
        <v>125</v>
      </c>
      <c r="E2388" s="60" t="s">
        <v>8913</v>
      </c>
      <c r="F2388" s="60" t="b">
        <f>TRUE()</f>
        <v>1</v>
      </c>
      <c r="G2388" s="60" t="s">
        <v>8914</v>
      </c>
      <c r="H2388" s="60" t="s">
        <v>276</v>
      </c>
      <c r="I2388" s="61">
        <v>46200</v>
      </c>
      <c r="J2388" s="61">
        <v>46210.285899699098</v>
      </c>
      <c r="K2388" s="60">
        <v>130</v>
      </c>
      <c r="L2388" s="60" t="s">
        <v>192</v>
      </c>
      <c r="M2388" s="60" t="s">
        <v>183</v>
      </c>
      <c r="N2388" s="60" t="b">
        <f>TRUE()</f>
        <v>1</v>
      </c>
      <c r="O2388" s="70">
        <v>200000</v>
      </c>
      <c r="P2388" s="70">
        <v>400000</v>
      </c>
      <c r="Q2388" s="60" t="s">
        <v>3663</v>
      </c>
      <c r="R2388" s="60" t="s">
        <v>7351</v>
      </c>
      <c r="S2388" s="70">
        <v>300000</v>
      </c>
      <c r="T2388" s="60" t="b">
        <f>TRUE()</f>
        <v>1</v>
      </c>
      <c r="U2388" s="60" t="b">
        <f>FALSE()</f>
        <v>0</v>
      </c>
      <c r="V2388" s="60">
        <v>106</v>
      </c>
      <c r="W2388" s="62" t="s">
        <v>8915</v>
      </c>
      <c r="X2388" s="60">
        <v>1</v>
      </c>
      <c r="Y2388" s="63">
        <v>0.24</v>
      </c>
      <c r="Z2388" s="60" t="b">
        <f>FALSE()</f>
        <v>0</v>
      </c>
      <c r="AA2388" s="60" t="b">
        <f>FALSE()</f>
        <v>0</v>
      </c>
      <c r="AB2388" s="60" t="b">
        <f>TRUE()</f>
        <v>1</v>
      </c>
      <c r="AC2388" s="60" t="b">
        <f>TRUE()</f>
        <v>1</v>
      </c>
      <c r="AD2388" s="60" t="b">
        <f>FALSE()</f>
        <v>0</v>
      </c>
      <c r="AE2388" s="60">
        <v>2</v>
      </c>
      <c r="AF2388" s="64">
        <v>28.6</v>
      </c>
      <c r="AG2388" s="60" t="s">
        <v>73</v>
      </c>
      <c r="AH2388" s="60" t="s">
        <v>8916</v>
      </c>
      <c r="AI2388">
        <f>IF(AND(OR(Company_Explorer!$B$5="All Companies",$E2388=Company_Explorer!$B$5),OR(Company_Explorer!$B$6="All Platforms",$B2388=Company_Explorer!$B$6),OR(Company_Explorer!$B$7="All Roles",$D2388=Company_Explorer!$B$7),OR(Company_Explorer!$B$8="All Ghost Labels",$AG2388=Company_Explorer!$B$8)),1,0)</f>
        <v>0</v>
      </c>
    </row>
    <row r="2389" spans="1:35" ht="15" customHeight="1" x14ac:dyDescent="0.3">
      <c r="A2389" s="65" t="s">
        <v>8917</v>
      </c>
      <c r="B2389" s="65" t="s">
        <v>82</v>
      </c>
      <c r="C2389" s="65" t="s">
        <v>8186</v>
      </c>
      <c r="D2389" s="65" t="s">
        <v>129</v>
      </c>
      <c r="E2389" s="65" t="s">
        <v>8918</v>
      </c>
      <c r="F2389" s="65" t="b">
        <f>TRUE()</f>
        <v>1</v>
      </c>
      <c r="G2389" s="65" t="s">
        <v>175</v>
      </c>
      <c r="H2389" s="65" t="s">
        <v>254</v>
      </c>
      <c r="I2389" s="66">
        <v>46200</v>
      </c>
      <c r="J2389" s="66">
        <v>46210.2859008218</v>
      </c>
      <c r="K2389" s="65">
        <v>130</v>
      </c>
      <c r="L2389" s="65" t="s">
        <v>192</v>
      </c>
      <c r="M2389" s="65" t="s">
        <v>183</v>
      </c>
      <c r="N2389" s="65" t="b">
        <f>FALSE()</f>
        <v>0</v>
      </c>
      <c r="O2389" s="65"/>
      <c r="P2389" s="65"/>
      <c r="Q2389" s="65" t="s">
        <v>3663</v>
      </c>
      <c r="R2389" s="65" t="s">
        <v>236</v>
      </c>
      <c r="S2389" s="65"/>
      <c r="T2389" s="65" t="b">
        <f>FALSE()</f>
        <v>0</v>
      </c>
      <c r="U2389" s="65" t="b">
        <f>FALSE()</f>
        <v>0</v>
      </c>
      <c r="V2389" s="65">
        <v>132</v>
      </c>
      <c r="W2389" s="67" t="s">
        <v>8919</v>
      </c>
      <c r="X2389" s="65">
        <v>1</v>
      </c>
      <c r="Y2389" s="68">
        <v>0.24</v>
      </c>
      <c r="Z2389" s="65" t="b">
        <f>FALSE()</f>
        <v>0</v>
      </c>
      <c r="AA2389" s="65" t="b">
        <f>TRUE()</f>
        <v>1</v>
      </c>
      <c r="AB2389" s="65" t="b">
        <f>TRUE()</f>
        <v>1</v>
      </c>
      <c r="AC2389" s="65" t="b">
        <f>TRUE()</f>
        <v>1</v>
      </c>
      <c r="AD2389" s="65" t="b">
        <f>FALSE()</f>
        <v>0</v>
      </c>
      <c r="AE2389" s="65">
        <v>3</v>
      </c>
      <c r="AF2389" s="69">
        <v>42.9</v>
      </c>
      <c r="AG2389" s="65" t="s">
        <v>73</v>
      </c>
      <c r="AH2389" s="65" t="s">
        <v>8920</v>
      </c>
      <c r="AI2389">
        <f>IF(AND(OR(Company_Explorer!$B$5="All Companies",$E2389=Company_Explorer!$B$5),OR(Company_Explorer!$B$6="All Platforms",$B2389=Company_Explorer!$B$6),OR(Company_Explorer!$B$7="All Roles",$D2389=Company_Explorer!$B$7),OR(Company_Explorer!$B$8="All Ghost Labels",$AG2389=Company_Explorer!$B$8)),1,0)</f>
        <v>0</v>
      </c>
    </row>
    <row r="2390" spans="1:35" ht="15" customHeight="1" x14ac:dyDescent="0.3">
      <c r="A2390" s="60" t="s">
        <v>8921</v>
      </c>
      <c r="B2390" s="60" t="s">
        <v>82</v>
      </c>
      <c r="C2390" s="60" t="s">
        <v>8164</v>
      </c>
      <c r="D2390" s="60" t="s">
        <v>129</v>
      </c>
      <c r="E2390" s="60" t="s">
        <v>8922</v>
      </c>
      <c r="F2390" s="60" t="b">
        <f>TRUE()</f>
        <v>1</v>
      </c>
      <c r="G2390" s="60" t="s">
        <v>165</v>
      </c>
      <c r="H2390" s="60" t="s">
        <v>165</v>
      </c>
      <c r="I2390" s="61">
        <v>46207</v>
      </c>
      <c r="J2390" s="61">
        <v>46210.2859021412</v>
      </c>
      <c r="K2390" s="60">
        <v>125</v>
      </c>
      <c r="L2390" s="60" t="s">
        <v>192</v>
      </c>
      <c r="M2390" s="60" t="s">
        <v>183</v>
      </c>
      <c r="N2390" s="60" t="b">
        <f>FALSE()</f>
        <v>0</v>
      </c>
      <c r="O2390" s="60"/>
      <c r="P2390" s="60"/>
      <c r="Q2390" s="60" t="s">
        <v>3663</v>
      </c>
      <c r="R2390" s="60" t="s">
        <v>236</v>
      </c>
      <c r="S2390" s="60"/>
      <c r="T2390" s="60" t="b">
        <f>FALSE()</f>
        <v>0</v>
      </c>
      <c r="U2390" s="60" t="b">
        <f>FALSE()</f>
        <v>0</v>
      </c>
      <c r="V2390" s="60">
        <v>228</v>
      </c>
      <c r="W2390" s="62" t="s">
        <v>8923</v>
      </c>
      <c r="X2390" s="60">
        <v>2</v>
      </c>
      <c r="Y2390" s="63">
        <v>0.48</v>
      </c>
      <c r="Z2390" s="60" t="b">
        <f>FALSE()</f>
        <v>0</v>
      </c>
      <c r="AA2390" s="60" t="b">
        <f>TRUE()</f>
        <v>1</v>
      </c>
      <c r="AB2390" s="60" t="b">
        <f>FALSE()</f>
        <v>0</v>
      </c>
      <c r="AC2390" s="60" t="b">
        <f>TRUE()</f>
        <v>1</v>
      </c>
      <c r="AD2390" s="60" t="b">
        <f>FALSE()</f>
        <v>0</v>
      </c>
      <c r="AE2390" s="60">
        <v>2</v>
      </c>
      <c r="AF2390" s="64">
        <v>28.6</v>
      </c>
      <c r="AG2390" s="60" t="s">
        <v>73</v>
      </c>
      <c r="AH2390" s="60" t="s">
        <v>8924</v>
      </c>
      <c r="AI2390">
        <f>IF(AND(OR(Company_Explorer!$B$5="All Companies",$E2390=Company_Explorer!$B$5),OR(Company_Explorer!$B$6="All Platforms",$B2390=Company_Explorer!$B$6),OR(Company_Explorer!$B$7="All Roles",$D2390=Company_Explorer!$B$7),OR(Company_Explorer!$B$8="All Ghost Labels",$AG2390=Company_Explorer!$B$8)),1,0)</f>
        <v>0</v>
      </c>
    </row>
    <row r="2391" spans="1:35" ht="15" customHeight="1" x14ac:dyDescent="0.3">
      <c r="A2391" s="65" t="s">
        <v>8925</v>
      </c>
      <c r="B2391" s="65" t="s">
        <v>82</v>
      </c>
      <c r="C2391" s="65" t="s">
        <v>8840</v>
      </c>
      <c r="D2391" s="65" t="s">
        <v>125</v>
      </c>
      <c r="E2391" s="65" t="s">
        <v>8909</v>
      </c>
      <c r="F2391" s="65" t="b">
        <f>TRUE()</f>
        <v>1</v>
      </c>
      <c r="G2391" s="65" t="s">
        <v>165</v>
      </c>
      <c r="H2391" s="65" t="s">
        <v>165</v>
      </c>
      <c r="I2391" s="66">
        <v>46201</v>
      </c>
      <c r="J2391" s="66">
        <v>46210.285905856501</v>
      </c>
      <c r="K2391" s="65">
        <v>129</v>
      </c>
      <c r="L2391" s="65" t="s">
        <v>183</v>
      </c>
      <c r="M2391" s="65" t="s">
        <v>183</v>
      </c>
      <c r="N2391" s="65" t="b">
        <f>FALSE()</f>
        <v>0</v>
      </c>
      <c r="O2391" s="65"/>
      <c r="P2391" s="65"/>
      <c r="Q2391" s="65" t="s">
        <v>3663</v>
      </c>
      <c r="R2391" s="65" t="s">
        <v>236</v>
      </c>
      <c r="S2391" s="65"/>
      <c r="T2391" s="65" t="b">
        <f>FALSE()</f>
        <v>0</v>
      </c>
      <c r="U2391" s="65" t="b">
        <f>FALSE()</f>
        <v>0</v>
      </c>
      <c r="V2391" s="65">
        <v>56</v>
      </c>
      <c r="W2391" s="67" t="s">
        <v>8926</v>
      </c>
      <c r="X2391" s="65">
        <v>2</v>
      </c>
      <c r="Y2391" s="68">
        <v>0.48</v>
      </c>
      <c r="Z2391" s="65" t="b">
        <f>FALSE()</f>
        <v>0</v>
      </c>
      <c r="AA2391" s="65" t="b">
        <f>TRUE()</f>
        <v>1</v>
      </c>
      <c r="AB2391" s="65" t="b">
        <f>TRUE()</f>
        <v>1</v>
      </c>
      <c r="AC2391" s="65" t="b">
        <f>TRUE()</f>
        <v>1</v>
      </c>
      <c r="AD2391" s="65" t="b">
        <f>FALSE()</f>
        <v>0</v>
      </c>
      <c r="AE2391" s="65">
        <v>3</v>
      </c>
      <c r="AF2391" s="69">
        <v>42.9</v>
      </c>
      <c r="AG2391" s="65" t="s">
        <v>73</v>
      </c>
      <c r="AH2391" s="65" t="s">
        <v>8927</v>
      </c>
      <c r="AI2391">
        <f>IF(AND(OR(Company_Explorer!$B$5="All Companies",$E2391=Company_Explorer!$B$5),OR(Company_Explorer!$B$6="All Platforms",$B2391=Company_Explorer!$B$6),OR(Company_Explorer!$B$7="All Roles",$D2391=Company_Explorer!$B$7),OR(Company_Explorer!$B$8="All Ghost Labels",$AG2391=Company_Explorer!$B$8)),1,0)</f>
        <v>0</v>
      </c>
    </row>
    <row r="2392" spans="1:35" ht="15" customHeight="1" x14ac:dyDescent="0.3">
      <c r="A2392" s="60" t="s">
        <v>8928</v>
      </c>
      <c r="B2392" s="60" t="s">
        <v>82</v>
      </c>
      <c r="C2392" s="60" t="s">
        <v>8862</v>
      </c>
      <c r="D2392" s="60" t="s">
        <v>125</v>
      </c>
      <c r="E2392" s="60" t="s">
        <v>3726</v>
      </c>
      <c r="F2392" s="60" t="b">
        <f>FALSE()</f>
        <v>0</v>
      </c>
      <c r="G2392" s="60" t="s">
        <v>8929</v>
      </c>
      <c r="H2392" s="60" t="s">
        <v>276</v>
      </c>
      <c r="I2392" s="61">
        <v>46206</v>
      </c>
      <c r="J2392" s="61">
        <v>46210.285908286998</v>
      </c>
      <c r="K2392" s="60">
        <v>4</v>
      </c>
      <c r="L2392" s="60" t="s">
        <v>192</v>
      </c>
      <c r="M2392" s="60" t="s">
        <v>183</v>
      </c>
      <c r="N2392" s="60" t="b">
        <f>TRUE()</f>
        <v>1</v>
      </c>
      <c r="O2392" s="70">
        <v>15000</v>
      </c>
      <c r="P2392" s="70">
        <v>20000</v>
      </c>
      <c r="Q2392" s="60" t="s">
        <v>3663</v>
      </c>
      <c r="R2392" s="60" t="s">
        <v>7445</v>
      </c>
      <c r="S2392" s="70">
        <v>210000</v>
      </c>
      <c r="T2392" s="60" t="b">
        <f>TRUE()</f>
        <v>1</v>
      </c>
      <c r="U2392" s="60" t="b">
        <f>FALSE()</f>
        <v>0</v>
      </c>
      <c r="V2392" s="60">
        <v>107</v>
      </c>
      <c r="W2392" s="62" t="s">
        <v>8930</v>
      </c>
      <c r="X2392" s="60"/>
      <c r="Y2392" s="63"/>
      <c r="Z2392" s="60" t="b">
        <f>TRUE()</f>
        <v>1</v>
      </c>
      <c r="AA2392" s="60" t="b">
        <f>FALSE()</f>
        <v>0</v>
      </c>
      <c r="AB2392" s="60" t="b">
        <f>TRUE()</f>
        <v>1</v>
      </c>
      <c r="AC2392" s="60" t="b">
        <f>FALSE()</f>
        <v>0</v>
      </c>
      <c r="AD2392" s="60" t="b">
        <f>FALSE()</f>
        <v>0</v>
      </c>
      <c r="AE2392" s="60">
        <v>3</v>
      </c>
      <c r="AF2392" s="64">
        <v>42.9</v>
      </c>
      <c r="AG2392" s="60" t="s">
        <v>73</v>
      </c>
      <c r="AH2392" s="60" t="s">
        <v>8931</v>
      </c>
      <c r="AI2392">
        <f>IF(AND(OR(Company_Explorer!$B$5="All Companies",$E2392=Company_Explorer!$B$5),OR(Company_Explorer!$B$6="All Platforms",$B2392=Company_Explorer!$B$6),OR(Company_Explorer!$B$7="All Roles",$D2392=Company_Explorer!$B$7),OR(Company_Explorer!$B$8="All Ghost Labels",$AG2392=Company_Explorer!$B$8)),1,0)</f>
        <v>0</v>
      </c>
    </row>
    <row r="2393" spans="1:35" ht="15" customHeight="1" x14ac:dyDescent="0.3">
      <c r="A2393" s="65" t="s">
        <v>8932</v>
      </c>
      <c r="B2393" s="65" t="s">
        <v>82</v>
      </c>
      <c r="C2393" s="65" t="s">
        <v>8164</v>
      </c>
      <c r="D2393" s="65" t="s">
        <v>129</v>
      </c>
      <c r="E2393" s="65" t="s">
        <v>8933</v>
      </c>
      <c r="F2393" s="65" t="b">
        <f>TRUE()</f>
        <v>1</v>
      </c>
      <c r="G2393" s="65" t="s">
        <v>173</v>
      </c>
      <c r="H2393" s="65" t="s">
        <v>827</v>
      </c>
      <c r="I2393" s="66">
        <v>46211</v>
      </c>
      <c r="J2393" s="66">
        <v>46210.285909675898</v>
      </c>
      <c r="K2393" s="65">
        <v>122</v>
      </c>
      <c r="L2393" s="65" t="s">
        <v>192</v>
      </c>
      <c r="M2393" s="65" t="s">
        <v>183</v>
      </c>
      <c r="N2393" s="65" t="b">
        <f>TRUE()</f>
        <v>1</v>
      </c>
      <c r="O2393" s="71">
        <v>240000</v>
      </c>
      <c r="P2393" s="71">
        <v>585000</v>
      </c>
      <c r="Q2393" s="65" t="s">
        <v>3663</v>
      </c>
      <c r="R2393" s="65" t="s">
        <v>7351</v>
      </c>
      <c r="S2393" s="71">
        <v>412500</v>
      </c>
      <c r="T2393" s="65" t="b">
        <f>TRUE()</f>
        <v>1</v>
      </c>
      <c r="U2393" s="65" t="b">
        <f>FALSE()</f>
        <v>0</v>
      </c>
      <c r="V2393" s="65">
        <v>218</v>
      </c>
      <c r="W2393" s="67" t="s">
        <v>8934</v>
      </c>
      <c r="X2393" s="65">
        <v>1</v>
      </c>
      <c r="Y2393" s="68">
        <v>0.24</v>
      </c>
      <c r="Z2393" s="65" t="b">
        <f>FALSE()</f>
        <v>0</v>
      </c>
      <c r="AA2393" s="65" t="b">
        <f>FALSE()</f>
        <v>0</v>
      </c>
      <c r="AB2393" s="65" t="b">
        <f>FALSE()</f>
        <v>0</v>
      </c>
      <c r="AC2393" s="65" t="b">
        <f>TRUE()</f>
        <v>1</v>
      </c>
      <c r="AD2393" s="65" t="b">
        <f>FALSE()</f>
        <v>0</v>
      </c>
      <c r="AE2393" s="65">
        <v>1</v>
      </c>
      <c r="AF2393" s="69">
        <v>14.3</v>
      </c>
      <c r="AG2393" s="65" t="s">
        <v>74</v>
      </c>
      <c r="AH2393" s="65" t="s">
        <v>8935</v>
      </c>
      <c r="AI2393">
        <f>IF(AND(OR(Company_Explorer!$B$5="All Companies",$E2393=Company_Explorer!$B$5),OR(Company_Explorer!$B$6="All Platforms",$B2393=Company_Explorer!$B$6),OR(Company_Explorer!$B$7="All Roles",$D2393=Company_Explorer!$B$7),OR(Company_Explorer!$B$8="All Ghost Labels",$AG2393=Company_Explorer!$B$8)),1,0)</f>
        <v>0</v>
      </c>
    </row>
    <row r="2394" spans="1:35" ht="15" customHeight="1" x14ac:dyDescent="0.3">
      <c r="A2394" s="60" t="s">
        <v>8936</v>
      </c>
      <c r="B2394" s="60" t="s">
        <v>82</v>
      </c>
      <c r="C2394" s="60" t="s">
        <v>8937</v>
      </c>
      <c r="D2394" s="60" t="s">
        <v>129</v>
      </c>
      <c r="E2394" s="60" t="s">
        <v>8938</v>
      </c>
      <c r="F2394" s="60" t="b">
        <f>TRUE()</f>
        <v>1</v>
      </c>
      <c r="G2394" s="60" t="s">
        <v>166</v>
      </c>
      <c r="H2394" s="60" t="s">
        <v>235</v>
      </c>
      <c r="I2394" s="61">
        <v>46200</v>
      </c>
      <c r="J2394" s="61">
        <v>46210.285912893502</v>
      </c>
      <c r="K2394" s="60">
        <v>130</v>
      </c>
      <c r="L2394" s="60" t="s">
        <v>183</v>
      </c>
      <c r="M2394" s="60" t="s">
        <v>183</v>
      </c>
      <c r="N2394" s="60" t="b">
        <f>TRUE()</f>
        <v>1</v>
      </c>
      <c r="O2394" s="70">
        <v>200000</v>
      </c>
      <c r="P2394" s="70">
        <v>200000</v>
      </c>
      <c r="Q2394" s="60" t="s">
        <v>3663</v>
      </c>
      <c r="R2394" s="60" t="s">
        <v>7351</v>
      </c>
      <c r="S2394" s="70">
        <v>200000</v>
      </c>
      <c r="T2394" s="60" t="b">
        <f>TRUE()</f>
        <v>1</v>
      </c>
      <c r="U2394" s="60" t="b">
        <f>FALSE()</f>
        <v>0</v>
      </c>
      <c r="V2394" s="60">
        <v>306</v>
      </c>
      <c r="W2394" s="62" t="s">
        <v>8939</v>
      </c>
      <c r="X2394" s="60">
        <v>2</v>
      </c>
      <c r="Y2394" s="63">
        <v>0.48</v>
      </c>
      <c r="Z2394" s="60" t="b">
        <f>FALSE()</f>
        <v>0</v>
      </c>
      <c r="AA2394" s="60" t="b">
        <f>FALSE()</f>
        <v>0</v>
      </c>
      <c r="AB2394" s="60" t="b">
        <f>FALSE()</f>
        <v>0</v>
      </c>
      <c r="AC2394" s="60" t="b">
        <f>TRUE()</f>
        <v>1</v>
      </c>
      <c r="AD2394" s="60" t="b">
        <f>FALSE()</f>
        <v>0</v>
      </c>
      <c r="AE2394" s="60">
        <v>1</v>
      </c>
      <c r="AF2394" s="64">
        <v>14.3</v>
      </c>
      <c r="AG2394" s="60" t="s">
        <v>74</v>
      </c>
      <c r="AH2394" s="60" t="s">
        <v>8940</v>
      </c>
      <c r="AI2394">
        <f>IF(AND(OR(Company_Explorer!$B$5="All Companies",$E2394=Company_Explorer!$B$5),OR(Company_Explorer!$B$6="All Platforms",$B2394=Company_Explorer!$B$6),OR(Company_Explorer!$B$7="All Roles",$D2394=Company_Explorer!$B$7),OR(Company_Explorer!$B$8="All Ghost Labels",$AG2394=Company_Explorer!$B$8)),1,0)</f>
        <v>0</v>
      </c>
    </row>
    <row r="2395" spans="1:35" ht="15" customHeight="1" x14ac:dyDescent="0.3">
      <c r="A2395" s="65" t="s">
        <v>8941</v>
      </c>
      <c r="B2395" s="65" t="s">
        <v>82</v>
      </c>
      <c r="C2395" s="65" t="s">
        <v>8942</v>
      </c>
      <c r="D2395" s="65" t="s">
        <v>130</v>
      </c>
      <c r="E2395" s="65" t="s">
        <v>3726</v>
      </c>
      <c r="F2395" s="65" t="b">
        <f>FALSE()</f>
        <v>0</v>
      </c>
      <c r="G2395" s="65" t="s">
        <v>165</v>
      </c>
      <c r="H2395" s="65" t="s">
        <v>165</v>
      </c>
      <c r="I2395" s="66">
        <v>46201</v>
      </c>
      <c r="J2395" s="66">
        <v>46210.285913125001</v>
      </c>
      <c r="K2395" s="65">
        <v>129</v>
      </c>
      <c r="L2395" s="65" t="s">
        <v>183</v>
      </c>
      <c r="M2395" s="65" t="s">
        <v>183</v>
      </c>
      <c r="N2395" s="65" t="b">
        <f>FALSE()</f>
        <v>0</v>
      </c>
      <c r="O2395" s="65"/>
      <c r="P2395" s="65"/>
      <c r="Q2395" s="65" t="s">
        <v>3663</v>
      </c>
      <c r="R2395" s="65" t="s">
        <v>236</v>
      </c>
      <c r="S2395" s="65"/>
      <c r="T2395" s="65" t="b">
        <f>FALSE()</f>
        <v>0</v>
      </c>
      <c r="U2395" s="65" t="b">
        <f>FALSE()</f>
        <v>0</v>
      </c>
      <c r="V2395" s="65">
        <v>184</v>
      </c>
      <c r="W2395" s="67" t="s">
        <v>8943</v>
      </c>
      <c r="X2395" s="65"/>
      <c r="Y2395" s="68"/>
      <c r="Z2395" s="65" t="b">
        <f>TRUE()</f>
        <v>1</v>
      </c>
      <c r="AA2395" s="65" t="b">
        <f>TRUE()</f>
        <v>1</v>
      </c>
      <c r="AB2395" s="65" t="b">
        <f>TRUE()</f>
        <v>1</v>
      </c>
      <c r="AC2395" s="65" t="b">
        <f>TRUE()</f>
        <v>1</v>
      </c>
      <c r="AD2395" s="65" t="b">
        <f>FALSE()</f>
        <v>0</v>
      </c>
      <c r="AE2395" s="65">
        <v>5</v>
      </c>
      <c r="AF2395" s="69">
        <v>71.400000000000006</v>
      </c>
      <c r="AG2395" s="65" t="s">
        <v>72</v>
      </c>
      <c r="AH2395" s="65" t="s">
        <v>8944</v>
      </c>
      <c r="AI2395">
        <f>IF(AND(OR(Company_Explorer!$B$5="All Companies",$E2395=Company_Explorer!$B$5),OR(Company_Explorer!$B$6="All Platforms",$B2395=Company_Explorer!$B$6),OR(Company_Explorer!$B$7="All Roles",$D2395=Company_Explorer!$B$7),OR(Company_Explorer!$B$8="All Ghost Labels",$AG2395=Company_Explorer!$B$8)),1,0)</f>
        <v>0</v>
      </c>
    </row>
    <row r="2396" spans="1:35" ht="15" customHeight="1" x14ac:dyDescent="0.3">
      <c r="A2396" s="60" t="s">
        <v>8945</v>
      </c>
      <c r="B2396" s="60" t="s">
        <v>82</v>
      </c>
      <c r="C2396" s="60" t="s">
        <v>8946</v>
      </c>
      <c r="D2396" s="60" t="s">
        <v>130</v>
      </c>
      <c r="E2396" s="60" t="s">
        <v>8947</v>
      </c>
      <c r="F2396" s="60" t="b">
        <f>TRUE()</f>
        <v>1</v>
      </c>
      <c r="G2396" s="60" t="s">
        <v>165</v>
      </c>
      <c r="H2396" s="60" t="s">
        <v>165</v>
      </c>
      <c r="I2396" s="61">
        <v>46195</v>
      </c>
      <c r="J2396" s="61">
        <v>46210.285917708301</v>
      </c>
      <c r="K2396" s="60">
        <v>46</v>
      </c>
      <c r="L2396" s="60" t="s">
        <v>183</v>
      </c>
      <c r="M2396" s="60" t="s">
        <v>183</v>
      </c>
      <c r="N2396" s="60" t="b">
        <f>FALSE()</f>
        <v>0</v>
      </c>
      <c r="O2396" s="60"/>
      <c r="P2396" s="60"/>
      <c r="Q2396" s="60" t="s">
        <v>3663</v>
      </c>
      <c r="R2396" s="60" t="s">
        <v>236</v>
      </c>
      <c r="S2396" s="60"/>
      <c r="T2396" s="60" t="b">
        <f>FALSE()</f>
        <v>0</v>
      </c>
      <c r="U2396" s="60" t="b">
        <f>FALSE()</f>
        <v>0</v>
      </c>
      <c r="V2396" s="60">
        <v>340</v>
      </c>
      <c r="W2396" s="62" t="s">
        <v>8948</v>
      </c>
      <c r="X2396" s="60">
        <v>1</v>
      </c>
      <c r="Y2396" s="63">
        <v>0.24</v>
      </c>
      <c r="Z2396" s="60" t="b">
        <f>FALSE()</f>
        <v>0</v>
      </c>
      <c r="AA2396" s="60" t="b">
        <f>TRUE()</f>
        <v>1</v>
      </c>
      <c r="AB2396" s="60" t="b">
        <f>FALSE()</f>
        <v>0</v>
      </c>
      <c r="AC2396" s="60" t="b">
        <f>FALSE()</f>
        <v>0</v>
      </c>
      <c r="AD2396" s="60" t="b">
        <f>FALSE()</f>
        <v>0</v>
      </c>
      <c r="AE2396" s="60">
        <v>1</v>
      </c>
      <c r="AF2396" s="64">
        <v>14.3</v>
      </c>
      <c r="AG2396" s="60" t="s">
        <v>74</v>
      </c>
      <c r="AH2396" s="60" t="s">
        <v>8949</v>
      </c>
      <c r="AI2396">
        <f>IF(AND(OR(Company_Explorer!$B$5="All Companies",$E2396=Company_Explorer!$B$5),OR(Company_Explorer!$B$6="All Platforms",$B2396=Company_Explorer!$B$6),OR(Company_Explorer!$B$7="All Roles",$D2396=Company_Explorer!$B$7),OR(Company_Explorer!$B$8="All Ghost Labels",$AG2396=Company_Explorer!$B$8)),1,0)</f>
        <v>0</v>
      </c>
    </row>
    <row r="2397" spans="1:35" ht="15" customHeight="1" x14ac:dyDescent="0.3">
      <c r="A2397" s="65" t="s">
        <v>8950</v>
      </c>
      <c r="B2397" s="65" t="s">
        <v>82</v>
      </c>
      <c r="C2397" s="65" t="s">
        <v>8951</v>
      </c>
      <c r="D2397" s="65" t="s">
        <v>129</v>
      </c>
      <c r="E2397" s="65" t="s">
        <v>3726</v>
      </c>
      <c r="F2397" s="65" t="b">
        <f>FALSE()</f>
        <v>0</v>
      </c>
      <c r="G2397" s="65" t="s">
        <v>545</v>
      </c>
      <c r="H2397" s="65" t="s">
        <v>270</v>
      </c>
      <c r="I2397" s="66">
        <v>46191</v>
      </c>
      <c r="J2397" s="66">
        <v>46210.285918310197</v>
      </c>
      <c r="K2397" s="65">
        <v>20</v>
      </c>
      <c r="L2397" s="65" t="s">
        <v>193</v>
      </c>
      <c r="M2397" s="65" t="s">
        <v>183</v>
      </c>
      <c r="N2397" s="65" t="b">
        <f>TRUE()</f>
        <v>1</v>
      </c>
      <c r="O2397" s="71">
        <v>38000</v>
      </c>
      <c r="P2397" s="71">
        <v>38000</v>
      </c>
      <c r="Q2397" s="65" t="s">
        <v>3663</v>
      </c>
      <c r="R2397" s="65" t="s">
        <v>7445</v>
      </c>
      <c r="S2397" s="71">
        <v>456000</v>
      </c>
      <c r="T2397" s="65" t="b">
        <f>TRUE()</f>
        <v>1</v>
      </c>
      <c r="U2397" s="65" t="b">
        <f>FALSE()</f>
        <v>0</v>
      </c>
      <c r="V2397" s="65">
        <v>704</v>
      </c>
      <c r="W2397" s="67" t="s">
        <v>8952</v>
      </c>
      <c r="X2397" s="65"/>
      <c r="Y2397" s="68"/>
      <c r="Z2397" s="65" t="b">
        <f>TRUE()</f>
        <v>1</v>
      </c>
      <c r="AA2397" s="65" t="b">
        <f>FALSE()</f>
        <v>0</v>
      </c>
      <c r="AB2397" s="65" t="b">
        <f>FALSE()</f>
        <v>0</v>
      </c>
      <c r="AC2397" s="65" t="b">
        <f>FALSE()</f>
        <v>0</v>
      </c>
      <c r="AD2397" s="65" t="b">
        <f>FALSE()</f>
        <v>0</v>
      </c>
      <c r="AE2397" s="65">
        <v>2</v>
      </c>
      <c r="AF2397" s="69">
        <v>28.6</v>
      </c>
      <c r="AG2397" s="65" t="s">
        <v>73</v>
      </c>
      <c r="AH2397" s="65" t="s">
        <v>8953</v>
      </c>
      <c r="AI2397">
        <f>IF(AND(OR(Company_Explorer!$B$5="All Companies",$E2397=Company_Explorer!$B$5),OR(Company_Explorer!$B$6="All Platforms",$B2397=Company_Explorer!$B$6),OR(Company_Explorer!$B$7="All Roles",$D2397=Company_Explorer!$B$7),OR(Company_Explorer!$B$8="All Ghost Labels",$AG2397=Company_Explorer!$B$8)),1,0)</f>
        <v>0</v>
      </c>
    </row>
    <row r="2398" spans="1:35" ht="15" customHeight="1" x14ac:dyDescent="0.3">
      <c r="A2398" s="60" t="s">
        <v>8954</v>
      </c>
      <c r="B2398" s="60" t="s">
        <v>82</v>
      </c>
      <c r="C2398" s="60" t="s">
        <v>8955</v>
      </c>
      <c r="D2398" s="60" t="s">
        <v>125</v>
      </c>
      <c r="E2398" s="60" t="s">
        <v>8956</v>
      </c>
      <c r="F2398" s="60" t="b">
        <f>TRUE()</f>
        <v>1</v>
      </c>
      <c r="G2398" s="60" t="s">
        <v>167</v>
      </c>
      <c r="H2398" s="60" t="s">
        <v>276</v>
      </c>
      <c r="I2398" s="61">
        <v>46200</v>
      </c>
      <c r="J2398" s="61">
        <v>46210.285921736096</v>
      </c>
      <c r="K2398" s="60">
        <v>130</v>
      </c>
      <c r="L2398" s="60" t="s">
        <v>192</v>
      </c>
      <c r="M2398" s="60" t="s">
        <v>183</v>
      </c>
      <c r="N2398" s="60" t="b">
        <f>TRUE()</f>
        <v>1</v>
      </c>
      <c r="O2398" s="70">
        <v>200000</v>
      </c>
      <c r="P2398" s="70">
        <v>400000</v>
      </c>
      <c r="Q2398" s="60" t="s">
        <v>3663</v>
      </c>
      <c r="R2398" s="60" t="s">
        <v>7351</v>
      </c>
      <c r="S2398" s="70">
        <v>300000</v>
      </c>
      <c r="T2398" s="60" t="b">
        <f>TRUE()</f>
        <v>1</v>
      </c>
      <c r="U2398" s="60" t="b">
        <f>FALSE()</f>
        <v>0</v>
      </c>
      <c r="V2398" s="60">
        <v>91</v>
      </c>
      <c r="W2398" s="60" t="s">
        <v>8957</v>
      </c>
      <c r="X2398" s="60">
        <v>1</v>
      </c>
      <c r="Y2398" s="63">
        <v>0.24</v>
      </c>
      <c r="Z2398" s="60" t="b">
        <f>FALSE()</f>
        <v>0</v>
      </c>
      <c r="AA2398" s="60" t="b">
        <f>FALSE()</f>
        <v>0</v>
      </c>
      <c r="AB2398" s="60" t="b">
        <f>TRUE()</f>
        <v>1</v>
      </c>
      <c r="AC2398" s="60" t="b">
        <f>TRUE()</f>
        <v>1</v>
      </c>
      <c r="AD2398" s="60" t="b">
        <f>FALSE()</f>
        <v>0</v>
      </c>
      <c r="AE2398" s="60">
        <v>2</v>
      </c>
      <c r="AF2398" s="64">
        <v>28.6</v>
      </c>
      <c r="AG2398" s="60" t="s">
        <v>73</v>
      </c>
      <c r="AH2398" s="60" t="s">
        <v>8958</v>
      </c>
      <c r="AI2398">
        <f>IF(AND(OR(Company_Explorer!$B$5="All Companies",$E2398=Company_Explorer!$B$5),OR(Company_Explorer!$B$6="All Platforms",$B2398=Company_Explorer!$B$6),OR(Company_Explorer!$B$7="All Roles",$D2398=Company_Explorer!$B$7),OR(Company_Explorer!$B$8="All Ghost Labels",$AG2398=Company_Explorer!$B$8)),1,0)</f>
        <v>0</v>
      </c>
    </row>
    <row r="2399" spans="1:35" ht="15" customHeight="1" x14ac:dyDescent="0.3">
      <c r="A2399" s="65" t="s">
        <v>8959</v>
      </c>
      <c r="B2399" s="65" t="s">
        <v>82</v>
      </c>
      <c r="C2399" s="65" t="s">
        <v>8074</v>
      </c>
      <c r="D2399" s="65" t="s">
        <v>125</v>
      </c>
      <c r="E2399" s="65" t="s">
        <v>8960</v>
      </c>
      <c r="F2399" s="65" t="b">
        <f>TRUE()</f>
        <v>1</v>
      </c>
      <c r="G2399" s="65" t="s">
        <v>753</v>
      </c>
      <c r="H2399" s="65" t="s">
        <v>754</v>
      </c>
      <c r="I2399" s="66">
        <v>46193</v>
      </c>
      <c r="J2399" s="66">
        <v>46210.285924895798</v>
      </c>
      <c r="K2399" s="65">
        <v>137</v>
      </c>
      <c r="L2399" s="65" t="s">
        <v>183</v>
      </c>
      <c r="M2399" s="65" t="s">
        <v>183</v>
      </c>
      <c r="N2399" s="65" t="b">
        <f>TRUE()</f>
        <v>1</v>
      </c>
      <c r="O2399" s="71">
        <v>240000</v>
      </c>
      <c r="P2399" s="71">
        <v>240000</v>
      </c>
      <c r="Q2399" s="65" t="s">
        <v>3663</v>
      </c>
      <c r="R2399" s="65" t="s">
        <v>7351</v>
      </c>
      <c r="S2399" s="71">
        <v>240000</v>
      </c>
      <c r="T2399" s="65" t="b">
        <f>TRUE()</f>
        <v>1</v>
      </c>
      <c r="U2399" s="65" t="b">
        <f>FALSE()</f>
        <v>0</v>
      </c>
      <c r="V2399" s="65">
        <v>469</v>
      </c>
      <c r="W2399" s="67" t="s">
        <v>8961</v>
      </c>
      <c r="X2399" s="65">
        <v>1</v>
      </c>
      <c r="Y2399" s="68">
        <v>0.24</v>
      </c>
      <c r="Z2399" s="65" t="b">
        <f>FALSE()</f>
        <v>0</v>
      </c>
      <c r="AA2399" s="65" t="b">
        <f>FALSE()</f>
        <v>0</v>
      </c>
      <c r="AB2399" s="65" t="b">
        <f>FALSE()</f>
        <v>0</v>
      </c>
      <c r="AC2399" s="65" t="b">
        <f>TRUE()</f>
        <v>1</v>
      </c>
      <c r="AD2399" s="65" t="b">
        <f>FALSE()</f>
        <v>0</v>
      </c>
      <c r="AE2399" s="65">
        <v>1</v>
      </c>
      <c r="AF2399" s="69">
        <v>14.3</v>
      </c>
      <c r="AG2399" s="65" t="s">
        <v>74</v>
      </c>
      <c r="AH2399" s="65" t="s">
        <v>8962</v>
      </c>
      <c r="AI2399">
        <f>IF(AND(OR(Company_Explorer!$B$5="All Companies",$E2399=Company_Explorer!$B$5),OR(Company_Explorer!$B$6="All Platforms",$B2399=Company_Explorer!$B$6),OR(Company_Explorer!$B$7="All Roles",$D2399=Company_Explorer!$B$7),OR(Company_Explorer!$B$8="All Ghost Labels",$AG2399=Company_Explorer!$B$8)),1,0)</f>
        <v>0</v>
      </c>
    </row>
    <row r="2400" spans="1:35" ht="15" customHeight="1" x14ac:dyDescent="0.3">
      <c r="A2400" s="60" t="s">
        <v>8963</v>
      </c>
      <c r="B2400" s="60" t="s">
        <v>82</v>
      </c>
      <c r="C2400" s="60" t="s">
        <v>8964</v>
      </c>
      <c r="D2400" s="60" t="s">
        <v>130</v>
      </c>
      <c r="E2400" s="60" t="s">
        <v>8965</v>
      </c>
      <c r="F2400" s="60" t="b">
        <f>TRUE()</f>
        <v>1</v>
      </c>
      <c r="G2400" s="60" t="s">
        <v>165</v>
      </c>
      <c r="H2400" s="60" t="s">
        <v>165</v>
      </c>
      <c r="I2400" s="61">
        <v>46200</v>
      </c>
      <c r="J2400" s="61">
        <v>46210.285932210703</v>
      </c>
      <c r="K2400" s="60">
        <v>130</v>
      </c>
      <c r="L2400" s="60" t="s">
        <v>183</v>
      </c>
      <c r="M2400" s="60" t="s">
        <v>183</v>
      </c>
      <c r="N2400" s="60" t="b">
        <f>TRUE()</f>
        <v>1</v>
      </c>
      <c r="O2400" s="70">
        <v>600000</v>
      </c>
      <c r="P2400" s="70">
        <v>800000</v>
      </c>
      <c r="Q2400" s="60" t="s">
        <v>3663</v>
      </c>
      <c r="R2400" s="60" t="s">
        <v>7351</v>
      </c>
      <c r="S2400" s="70">
        <v>700000</v>
      </c>
      <c r="T2400" s="60" t="b">
        <f>TRUE()</f>
        <v>1</v>
      </c>
      <c r="U2400" s="60" t="b">
        <f>FALSE()</f>
        <v>0</v>
      </c>
      <c r="V2400" s="60">
        <v>173</v>
      </c>
      <c r="W2400" s="62" t="s">
        <v>8966</v>
      </c>
      <c r="X2400" s="60">
        <v>1</v>
      </c>
      <c r="Y2400" s="63">
        <v>0.24</v>
      </c>
      <c r="Z2400" s="60" t="b">
        <f>FALSE()</f>
        <v>0</v>
      </c>
      <c r="AA2400" s="60" t="b">
        <f>FALSE()</f>
        <v>0</v>
      </c>
      <c r="AB2400" s="60" t="b">
        <f>TRUE()</f>
        <v>1</v>
      </c>
      <c r="AC2400" s="60" t="b">
        <f>TRUE()</f>
        <v>1</v>
      </c>
      <c r="AD2400" s="60" t="b">
        <f>FALSE()</f>
        <v>0</v>
      </c>
      <c r="AE2400" s="60">
        <v>2</v>
      </c>
      <c r="AF2400" s="64">
        <v>28.6</v>
      </c>
      <c r="AG2400" s="60" t="s">
        <v>73</v>
      </c>
      <c r="AH2400" s="60" t="s">
        <v>8967</v>
      </c>
      <c r="AI2400">
        <f>IF(AND(OR(Company_Explorer!$B$5="All Companies",$E2400=Company_Explorer!$B$5),OR(Company_Explorer!$B$6="All Platforms",$B2400=Company_Explorer!$B$6),OR(Company_Explorer!$B$7="All Roles",$D2400=Company_Explorer!$B$7),OR(Company_Explorer!$B$8="All Ghost Labels",$AG2400=Company_Explorer!$B$8)),1,0)</f>
        <v>0</v>
      </c>
    </row>
    <row r="2401" spans="1:35" ht="15" customHeight="1" x14ac:dyDescent="0.3">
      <c r="A2401" s="65" t="s">
        <v>8968</v>
      </c>
      <c r="B2401" s="65" t="s">
        <v>82</v>
      </c>
      <c r="C2401" s="65" t="s">
        <v>8164</v>
      </c>
      <c r="D2401" s="65" t="s">
        <v>129</v>
      </c>
      <c r="E2401" s="65" t="s">
        <v>8606</v>
      </c>
      <c r="F2401" s="65" t="b">
        <f>TRUE()</f>
        <v>1</v>
      </c>
      <c r="G2401" s="65" t="s">
        <v>8607</v>
      </c>
      <c r="H2401" s="65" t="s">
        <v>263</v>
      </c>
      <c r="I2401" s="66">
        <v>46201</v>
      </c>
      <c r="J2401" s="66">
        <v>46210.285933414401</v>
      </c>
      <c r="K2401" s="65">
        <v>130</v>
      </c>
      <c r="L2401" s="65" t="s">
        <v>192</v>
      </c>
      <c r="M2401" s="65" t="s">
        <v>183</v>
      </c>
      <c r="N2401" s="65" t="b">
        <f>TRUE()</f>
        <v>1</v>
      </c>
      <c r="O2401" s="71">
        <v>310000</v>
      </c>
      <c r="P2401" s="71">
        <v>550000</v>
      </c>
      <c r="Q2401" s="65" t="s">
        <v>3663</v>
      </c>
      <c r="R2401" s="65" t="s">
        <v>7351</v>
      </c>
      <c r="S2401" s="71">
        <v>430000</v>
      </c>
      <c r="T2401" s="65" t="b">
        <f>TRUE()</f>
        <v>1</v>
      </c>
      <c r="U2401" s="65" t="b">
        <f>FALSE()</f>
        <v>0</v>
      </c>
      <c r="V2401" s="65">
        <v>640</v>
      </c>
      <c r="W2401" s="67" t="s">
        <v>8969</v>
      </c>
      <c r="X2401" s="65">
        <v>2</v>
      </c>
      <c r="Y2401" s="68">
        <v>0.48</v>
      </c>
      <c r="Z2401" s="65" t="b">
        <f>FALSE()</f>
        <v>0</v>
      </c>
      <c r="AA2401" s="65" t="b">
        <f>FALSE()</f>
        <v>0</v>
      </c>
      <c r="AB2401" s="65" t="b">
        <f>FALSE()</f>
        <v>0</v>
      </c>
      <c r="AC2401" s="65" t="b">
        <f>TRUE()</f>
        <v>1</v>
      </c>
      <c r="AD2401" s="65" t="b">
        <f>FALSE()</f>
        <v>0</v>
      </c>
      <c r="AE2401" s="65">
        <v>1</v>
      </c>
      <c r="AF2401" s="69">
        <v>14.3</v>
      </c>
      <c r="AG2401" s="65" t="s">
        <v>74</v>
      </c>
      <c r="AH2401" s="65" t="s">
        <v>8970</v>
      </c>
      <c r="AI2401">
        <f>IF(AND(OR(Company_Explorer!$B$5="All Companies",$E2401=Company_Explorer!$B$5),OR(Company_Explorer!$B$6="All Platforms",$B2401=Company_Explorer!$B$6),OR(Company_Explorer!$B$7="All Roles",$D2401=Company_Explorer!$B$7),OR(Company_Explorer!$B$8="All Ghost Labels",$AG2401=Company_Explorer!$B$8)),1,0)</f>
        <v>0</v>
      </c>
    </row>
    <row r="2402" spans="1:35" ht="15" customHeight="1" x14ac:dyDescent="0.3">
      <c r="A2402" s="60" t="s">
        <v>8971</v>
      </c>
      <c r="B2402" s="60" t="s">
        <v>82</v>
      </c>
      <c r="C2402" s="60" t="s">
        <v>8972</v>
      </c>
      <c r="D2402" s="60" t="s">
        <v>125</v>
      </c>
      <c r="E2402" s="60" t="s">
        <v>3726</v>
      </c>
      <c r="F2402" s="60" t="b">
        <f>FALSE()</f>
        <v>0</v>
      </c>
      <c r="G2402" s="60" t="s">
        <v>165</v>
      </c>
      <c r="H2402" s="60" t="s">
        <v>165</v>
      </c>
      <c r="I2402" s="61">
        <v>46206</v>
      </c>
      <c r="J2402" s="61">
        <v>46210.2859337384</v>
      </c>
      <c r="K2402" s="60">
        <v>4</v>
      </c>
      <c r="L2402" s="60" t="s">
        <v>192</v>
      </c>
      <c r="M2402" s="60" t="s">
        <v>183</v>
      </c>
      <c r="N2402" s="60" t="b">
        <f>TRUE()</f>
        <v>1</v>
      </c>
      <c r="O2402" s="70">
        <v>300000</v>
      </c>
      <c r="P2402" s="70">
        <v>600000</v>
      </c>
      <c r="Q2402" s="60" t="s">
        <v>3663</v>
      </c>
      <c r="R2402" s="60" t="s">
        <v>7351</v>
      </c>
      <c r="S2402" s="70">
        <v>450000</v>
      </c>
      <c r="T2402" s="60" t="b">
        <f>TRUE()</f>
        <v>1</v>
      </c>
      <c r="U2402" s="60" t="b">
        <f>FALSE()</f>
        <v>0</v>
      </c>
      <c r="V2402" s="60">
        <v>198</v>
      </c>
      <c r="W2402" s="62" t="s">
        <v>8973</v>
      </c>
      <c r="X2402" s="60"/>
      <c r="Y2402" s="63"/>
      <c r="Z2402" s="60" t="b">
        <f>TRUE()</f>
        <v>1</v>
      </c>
      <c r="AA2402" s="60" t="b">
        <f>FALSE()</f>
        <v>0</v>
      </c>
      <c r="AB2402" s="60" t="b">
        <f>TRUE()</f>
        <v>1</v>
      </c>
      <c r="AC2402" s="60" t="b">
        <f>FALSE()</f>
        <v>0</v>
      </c>
      <c r="AD2402" s="60" t="b">
        <f>FALSE()</f>
        <v>0</v>
      </c>
      <c r="AE2402" s="60">
        <v>3</v>
      </c>
      <c r="AF2402" s="64">
        <v>42.9</v>
      </c>
      <c r="AG2402" s="60" t="s">
        <v>73</v>
      </c>
      <c r="AH2402" s="60" t="s">
        <v>8974</v>
      </c>
      <c r="AI2402">
        <f>IF(AND(OR(Company_Explorer!$B$5="All Companies",$E2402=Company_Explorer!$B$5),OR(Company_Explorer!$B$6="All Platforms",$B2402=Company_Explorer!$B$6),OR(Company_Explorer!$B$7="All Roles",$D2402=Company_Explorer!$B$7),OR(Company_Explorer!$B$8="All Ghost Labels",$AG2402=Company_Explorer!$B$8)),1,0)</f>
        <v>0</v>
      </c>
    </row>
    <row r="2403" spans="1:35" ht="15" customHeight="1" x14ac:dyDescent="0.3">
      <c r="A2403" s="65" t="s">
        <v>8975</v>
      </c>
      <c r="B2403" s="65" t="s">
        <v>82</v>
      </c>
      <c r="C2403" s="65" t="s">
        <v>8976</v>
      </c>
      <c r="D2403" s="65" t="s">
        <v>125</v>
      </c>
      <c r="E2403" s="65" t="s">
        <v>8977</v>
      </c>
      <c r="F2403" s="65" t="b">
        <f>TRUE()</f>
        <v>1</v>
      </c>
      <c r="G2403" s="65" t="s">
        <v>165</v>
      </c>
      <c r="H2403" s="65" t="s">
        <v>165</v>
      </c>
      <c r="I2403" s="66">
        <v>46193</v>
      </c>
      <c r="J2403" s="66">
        <v>46210.285933541702</v>
      </c>
      <c r="K2403" s="65">
        <v>137</v>
      </c>
      <c r="L2403" s="65" t="s">
        <v>192</v>
      </c>
      <c r="M2403" s="65" t="s">
        <v>183</v>
      </c>
      <c r="N2403" s="65" t="b">
        <f>FALSE()</f>
        <v>0</v>
      </c>
      <c r="O2403" s="65"/>
      <c r="P2403" s="65"/>
      <c r="Q2403" s="65" t="s">
        <v>3663</v>
      </c>
      <c r="R2403" s="65" t="s">
        <v>236</v>
      </c>
      <c r="S2403" s="65"/>
      <c r="T2403" s="65" t="b">
        <f>FALSE()</f>
        <v>0</v>
      </c>
      <c r="U2403" s="65" t="b">
        <f>FALSE()</f>
        <v>0</v>
      </c>
      <c r="V2403" s="65">
        <v>301</v>
      </c>
      <c r="W2403" s="67" t="s">
        <v>8978</v>
      </c>
      <c r="X2403" s="65">
        <v>1</v>
      </c>
      <c r="Y2403" s="68">
        <v>0.24</v>
      </c>
      <c r="Z2403" s="65" t="b">
        <f>FALSE()</f>
        <v>0</v>
      </c>
      <c r="AA2403" s="65" t="b">
        <f>TRUE()</f>
        <v>1</v>
      </c>
      <c r="AB2403" s="65" t="b">
        <f>FALSE()</f>
        <v>0</v>
      </c>
      <c r="AC2403" s="65" t="b">
        <f>TRUE()</f>
        <v>1</v>
      </c>
      <c r="AD2403" s="65" t="b">
        <f>FALSE()</f>
        <v>0</v>
      </c>
      <c r="AE2403" s="65">
        <v>2</v>
      </c>
      <c r="AF2403" s="69">
        <v>28.6</v>
      </c>
      <c r="AG2403" s="65" t="s">
        <v>73</v>
      </c>
      <c r="AH2403" s="65" t="s">
        <v>8979</v>
      </c>
      <c r="AI2403">
        <f>IF(AND(OR(Company_Explorer!$B$5="All Companies",$E2403=Company_Explorer!$B$5),OR(Company_Explorer!$B$6="All Platforms",$B2403=Company_Explorer!$B$6),OR(Company_Explorer!$B$7="All Roles",$D2403=Company_Explorer!$B$7),OR(Company_Explorer!$B$8="All Ghost Labels",$AG2403=Company_Explorer!$B$8)),1,0)</f>
        <v>0</v>
      </c>
    </row>
    <row r="2404" spans="1:35" ht="15" customHeight="1" x14ac:dyDescent="0.3">
      <c r="A2404" s="60" t="s">
        <v>8980</v>
      </c>
      <c r="B2404" s="60" t="s">
        <v>82</v>
      </c>
      <c r="C2404" s="60" t="s">
        <v>306</v>
      </c>
      <c r="D2404" s="60" t="s">
        <v>125</v>
      </c>
      <c r="E2404" s="60" t="s">
        <v>8981</v>
      </c>
      <c r="F2404" s="60" t="b">
        <f>TRUE()</f>
        <v>1</v>
      </c>
      <c r="G2404" s="60" t="s">
        <v>167</v>
      </c>
      <c r="H2404" s="60" t="s">
        <v>276</v>
      </c>
      <c r="I2404" s="61">
        <v>46200</v>
      </c>
      <c r="J2404" s="61">
        <v>46210.285934479201</v>
      </c>
      <c r="K2404" s="60">
        <v>130</v>
      </c>
      <c r="L2404" s="60" t="s">
        <v>183</v>
      </c>
      <c r="M2404" s="60" t="s">
        <v>183</v>
      </c>
      <c r="N2404" s="60" t="b">
        <f>TRUE()</f>
        <v>1</v>
      </c>
      <c r="O2404" s="70">
        <v>200000</v>
      </c>
      <c r="P2404" s="70">
        <v>400000</v>
      </c>
      <c r="Q2404" s="60" t="s">
        <v>3663</v>
      </c>
      <c r="R2404" s="60" t="s">
        <v>7351</v>
      </c>
      <c r="S2404" s="70">
        <v>300000</v>
      </c>
      <c r="T2404" s="60" t="b">
        <f>TRUE()</f>
        <v>1</v>
      </c>
      <c r="U2404" s="60" t="b">
        <f>FALSE()</f>
        <v>0</v>
      </c>
      <c r="V2404" s="60">
        <v>68</v>
      </c>
      <c r="W2404" s="62" t="s">
        <v>8982</v>
      </c>
      <c r="X2404" s="60">
        <v>1</v>
      </c>
      <c r="Y2404" s="63">
        <v>0.24</v>
      </c>
      <c r="Z2404" s="60" t="b">
        <f>FALSE()</f>
        <v>0</v>
      </c>
      <c r="AA2404" s="60" t="b">
        <f>FALSE()</f>
        <v>0</v>
      </c>
      <c r="AB2404" s="60" t="b">
        <f>TRUE()</f>
        <v>1</v>
      </c>
      <c r="AC2404" s="60" t="b">
        <f>TRUE()</f>
        <v>1</v>
      </c>
      <c r="AD2404" s="60" t="b">
        <f>FALSE()</f>
        <v>0</v>
      </c>
      <c r="AE2404" s="60">
        <v>2</v>
      </c>
      <c r="AF2404" s="64">
        <v>28.6</v>
      </c>
      <c r="AG2404" s="60" t="s">
        <v>73</v>
      </c>
      <c r="AH2404" s="60" t="s">
        <v>8983</v>
      </c>
      <c r="AI2404">
        <f>IF(AND(OR(Company_Explorer!$B$5="All Companies",$E2404=Company_Explorer!$B$5),OR(Company_Explorer!$B$6="All Platforms",$B2404=Company_Explorer!$B$6),OR(Company_Explorer!$B$7="All Roles",$D2404=Company_Explorer!$B$7),OR(Company_Explorer!$B$8="All Ghost Labels",$AG2404=Company_Explorer!$B$8)),1,0)</f>
        <v>0</v>
      </c>
    </row>
    <row r="2405" spans="1:35" ht="15" customHeight="1" x14ac:dyDescent="0.3">
      <c r="A2405" s="65" t="s">
        <v>8984</v>
      </c>
      <c r="B2405" s="65" t="s">
        <v>82</v>
      </c>
      <c r="C2405" s="65" t="s">
        <v>8985</v>
      </c>
      <c r="D2405" s="65" t="s">
        <v>129</v>
      </c>
      <c r="E2405" s="65" t="s">
        <v>8881</v>
      </c>
      <c r="F2405" s="65" t="b">
        <f>TRUE()</f>
        <v>1</v>
      </c>
      <c r="G2405" s="65" t="s">
        <v>166</v>
      </c>
      <c r="H2405" s="65" t="s">
        <v>235</v>
      </c>
      <c r="I2405" s="66">
        <v>46186</v>
      </c>
      <c r="J2405" s="66">
        <v>46210.285935081003</v>
      </c>
      <c r="K2405" s="65">
        <v>24</v>
      </c>
      <c r="L2405" s="65" t="s">
        <v>192</v>
      </c>
      <c r="M2405" s="65" t="s">
        <v>183</v>
      </c>
      <c r="N2405" s="65" t="b">
        <f>TRUE()</f>
        <v>1</v>
      </c>
      <c r="O2405" s="71">
        <v>502500</v>
      </c>
      <c r="P2405" s="71">
        <v>670500</v>
      </c>
      <c r="Q2405" s="65" t="s">
        <v>3663</v>
      </c>
      <c r="R2405" s="65" t="s">
        <v>7351</v>
      </c>
      <c r="S2405" s="71">
        <v>586500</v>
      </c>
      <c r="T2405" s="65" t="b">
        <f>TRUE()</f>
        <v>1</v>
      </c>
      <c r="U2405" s="65" t="b">
        <f>FALSE()</f>
        <v>0</v>
      </c>
      <c r="V2405" s="65">
        <v>348</v>
      </c>
      <c r="W2405" s="67" t="s">
        <v>8986</v>
      </c>
      <c r="X2405" s="65">
        <v>2</v>
      </c>
      <c r="Y2405" s="68">
        <v>0.48</v>
      </c>
      <c r="Z2405" s="65" t="b">
        <f>FALSE()</f>
        <v>0</v>
      </c>
      <c r="AA2405" s="65" t="b">
        <f>FALSE()</f>
        <v>0</v>
      </c>
      <c r="AB2405" s="65" t="b">
        <f>FALSE()</f>
        <v>0</v>
      </c>
      <c r="AC2405" s="65" t="b">
        <f>FALSE()</f>
        <v>0</v>
      </c>
      <c r="AD2405" s="65" t="b">
        <f>FALSE()</f>
        <v>0</v>
      </c>
      <c r="AE2405" s="65">
        <v>0</v>
      </c>
      <c r="AF2405" s="69">
        <v>0</v>
      </c>
      <c r="AG2405" s="65" t="s">
        <v>74</v>
      </c>
      <c r="AH2405" s="65" t="s">
        <v>8987</v>
      </c>
      <c r="AI2405">
        <f>IF(AND(OR(Company_Explorer!$B$5="All Companies",$E2405=Company_Explorer!$B$5),OR(Company_Explorer!$B$6="All Platforms",$B2405=Company_Explorer!$B$6),OR(Company_Explorer!$B$7="All Roles",$D2405=Company_Explorer!$B$7),OR(Company_Explorer!$B$8="All Ghost Labels",$AG2405=Company_Explorer!$B$8)),1,0)</f>
        <v>0</v>
      </c>
    </row>
    <row r="2406" spans="1:35" ht="15" customHeight="1" x14ac:dyDescent="0.3">
      <c r="A2406" s="60" t="s">
        <v>8988</v>
      </c>
      <c r="B2406" s="60" t="s">
        <v>82</v>
      </c>
      <c r="C2406" s="60" t="s">
        <v>8989</v>
      </c>
      <c r="D2406" s="60" t="s">
        <v>129</v>
      </c>
      <c r="E2406" s="60" t="s">
        <v>8990</v>
      </c>
      <c r="F2406" s="60" t="b">
        <f>TRUE()</f>
        <v>1</v>
      </c>
      <c r="G2406" s="60" t="s">
        <v>176</v>
      </c>
      <c r="H2406" s="60" t="s">
        <v>302</v>
      </c>
      <c r="I2406" s="61">
        <v>46193</v>
      </c>
      <c r="J2406" s="61">
        <v>46210.2859382639</v>
      </c>
      <c r="K2406" s="60">
        <v>137</v>
      </c>
      <c r="L2406" s="60" t="s">
        <v>192</v>
      </c>
      <c r="M2406" s="60" t="s">
        <v>183</v>
      </c>
      <c r="N2406" s="60" t="b">
        <f>TRUE()</f>
        <v>1</v>
      </c>
      <c r="O2406" s="70">
        <v>500000</v>
      </c>
      <c r="P2406" s="70">
        <v>720000</v>
      </c>
      <c r="Q2406" s="60" t="s">
        <v>3663</v>
      </c>
      <c r="R2406" s="60" t="s">
        <v>7351</v>
      </c>
      <c r="S2406" s="70">
        <v>610000</v>
      </c>
      <c r="T2406" s="60" t="b">
        <f>TRUE()</f>
        <v>1</v>
      </c>
      <c r="U2406" s="60" t="b">
        <f>FALSE()</f>
        <v>0</v>
      </c>
      <c r="V2406" s="60">
        <v>329</v>
      </c>
      <c r="W2406" s="62" t="s">
        <v>8991</v>
      </c>
      <c r="X2406" s="60">
        <v>1</v>
      </c>
      <c r="Y2406" s="63">
        <v>0.24</v>
      </c>
      <c r="Z2406" s="60" t="b">
        <f>FALSE()</f>
        <v>0</v>
      </c>
      <c r="AA2406" s="60" t="b">
        <f>FALSE()</f>
        <v>0</v>
      </c>
      <c r="AB2406" s="60" t="b">
        <f>FALSE()</f>
        <v>0</v>
      </c>
      <c r="AC2406" s="60" t="b">
        <f>TRUE()</f>
        <v>1</v>
      </c>
      <c r="AD2406" s="60" t="b">
        <f>FALSE()</f>
        <v>0</v>
      </c>
      <c r="AE2406" s="60">
        <v>1</v>
      </c>
      <c r="AF2406" s="64">
        <v>14.3</v>
      </c>
      <c r="AG2406" s="60" t="s">
        <v>74</v>
      </c>
      <c r="AH2406" s="60" t="s">
        <v>8992</v>
      </c>
      <c r="AI2406">
        <f>IF(AND(OR(Company_Explorer!$B$5="All Companies",$E2406=Company_Explorer!$B$5),OR(Company_Explorer!$B$6="All Platforms",$B2406=Company_Explorer!$B$6),OR(Company_Explorer!$B$7="All Roles",$D2406=Company_Explorer!$B$7),OR(Company_Explorer!$B$8="All Ghost Labels",$AG2406=Company_Explorer!$B$8)),1,0)</f>
        <v>0</v>
      </c>
    </row>
    <row r="2407" spans="1:35" ht="15" customHeight="1" x14ac:dyDescent="0.3">
      <c r="A2407" s="65" t="s">
        <v>8993</v>
      </c>
      <c r="B2407" s="65" t="s">
        <v>82</v>
      </c>
      <c r="C2407" s="65" t="s">
        <v>8164</v>
      </c>
      <c r="D2407" s="65" t="s">
        <v>129</v>
      </c>
      <c r="E2407" s="65" t="s">
        <v>3726</v>
      </c>
      <c r="F2407" s="65" t="b">
        <f>FALSE()</f>
        <v>0</v>
      </c>
      <c r="G2407" s="65" t="s">
        <v>598</v>
      </c>
      <c r="H2407" s="65" t="s">
        <v>598</v>
      </c>
      <c r="I2407" s="66">
        <v>46206</v>
      </c>
      <c r="J2407" s="66">
        <v>46210.285939918998</v>
      </c>
      <c r="K2407" s="65">
        <v>4</v>
      </c>
      <c r="L2407" s="65" t="s">
        <v>192</v>
      </c>
      <c r="M2407" s="65" t="s">
        <v>183</v>
      </c>
      <c r="N2407" s="65" t="b">
        <f>TRUE()</f>
        <v>1</v>
      </c>
      <c r="O2407" s="71">
        <v>30000</v>
      </c>
      <c r="P2407" s="71">
        <v>40000</v>
      </c>
      <c r="Q2407" s="65" t="s">
        <v>3663</v>
      </c>
      <c r="R2407" s="65" t="s">
        <v>7445</v>
      </c>
      <c r="S2407" s="71">
        <v>420000</v>
      </c>
      <c r="T2407" s="65" t="b">
        <f>TRUE()</f>
        <v>1</v>
      </c>
      <c r="U2407" s="65" t="b">
        <f>FALSE()</f>
        <v>0</v>
      </c>
      <c r="V2407" s="65">
        <v>284</v>
      </c>
      <c r="W2407" s="67" t="s">
        <v>8994</v>
      </c>
      <c r="X2407" s="65"/>
      <c r="Y2407" s="68"/>
      <c r="Z2407" s="65" t="b">
        <f>TRUE()</f>
        <v>1</v>
      </c>
      <c r="AA2407" s="65" t="b">
        <f>FALSE()</f>
        <v>0</v>
      </c>
      <c r="AB2407" s="65" t="b">
        <f>FALSE()</f>
        <v>0</v>
      </c>
      <c r="AC2407" s="65" t="b">
        <f>FALSE()</f>
        <v>0</v>
      </c>
      <c r="AD2407" s="65" t="b">
        <f>FALSE()</f>
        <v>0</v>
      </c>
      <c r="AE2407" s="65">
        <v>2</v>
      </c>
      <c r="AF2407" s="69">
        <v>28.6</v>
      </c>
      <c r="AG2407" s="65" t="s">
        <v>73</v>
      </c>
      <c r="AH2407" s="65" t="s">
        <v>8995</v>
      </c>
      <c r="AI2407">
        <f>IF(AND(OR(Company_Explorer!$B$5="All Companies",$E2407=Company_Explorer!$B$5),OR(Company_Explorer!$B$6="All Platforms",$B2407=Company_Explorer!$B$6),OR(Company_Explorer!$B$7="All Roles",$D2407=Company_Explorer!$B$7),OR(Company_Explorer!$B$8="All Ghost Labels",$AG2407=Company_Explorer!$B$8)),1,0)</f>
        <v>0</v>
      </c>
    </row>
    <row r="2408" spans="1:35" ht="15" customHeight="1" x14ac:dyDescent="0.3">
      <c r="A2408" s="60" t="s">
        <v>8996</v>
      </c>
      <c r="B2408" s="60" t="s">
        <v>82</v>
      </c>
      <c r="C2408" s="60" t="s">
        <v>8997</v>
      </c>
      <c r="D2408" s="60" t="s">
        <v>125</v>
      </c>
      <c r="E2408" s="60" t="s">
        <v>8998</v>
      </c>
      <c r="F2408" s="60" t="b">
        <f>TRUE()</f>
        <v>1</v>
      </c>
      <c r="G2408" s="60" t="s">
        <v>176</v>
      </c>
      <c r="H2408" s="60" t="s">
        <v>302</v>
      </c>
      <c r="I2408" s="61">
        <v>46193</v>
      </c>
      <c r="J2408" s="61">
        <v>46210.285942164403</v>
      </c>
      <c r="K2408" s="60">
        <v>137</v>
      </c>
      <c r="L2408" s="60" t="s">
        <v>183</v>
      </c>
      <c r="M2408" s="60" t="s">
        <v>183</v>
      </c>
      <c r="N2408" s="60" t="b">
        <f>TRUE()</f>
        <v>1</v>
      </c>
      <c r="O2408" s="70">
        <v>350000</v>
      </c>
      <c r="P2408" s="70">
        <v>700000</v>
      </c>
      <c r="Q2408" s="60" t="s">
        <v>3663</v>
      </c>
      <c r="R2408" s="60" t="s">
        <v>7351</v>
      </c>
      <c r="S2408" s="70">
        <v>525000</v>
      </c>
      <c r="T2408" s="60" t="b">
        <f>TRUE()</f>
        <v>1</v>
      </c>
      <c r="U2408" s="60" t="b">
        <f>FALSE()</f>
        <v>0</v>
      </c>
      <c r="V2408" s="60">
        <v>513</v>
      </c>
      <c r="W2408" s="62" t="s">
        <v>8999</v>
      </c>
      <c r="X2408" s="60">
        <v>1</v>
      </c>
      <c r="Y2408" s="63">
        <v>0.24</v>
      </c>
      <c r="Z2408" s="60" t="b">
        <f>FALSE()</f>
        <v>0</v>
      </c>
      <c r="AA2408" s="60" t="b">
        <f>FALSE()</f>
        <v>0</v>
      </c>
      <c r="AB2408" s="60" t="b">
        <f>FALSE()</f>
        <v>0</v>
      </c>
      <c r="AC2408" s="60" t="b">
        <f>TRUE()</f>
        <v>1</v>
      </c>
      <c r="AD2408" s="60" t="b">
        <f>FALSE()</f>
        <v>0</v>
      </c>
      <c r="AE2408" s="60">
        <v>1</v>
      </c>
      <c r="AF2408" s="64">
        <v>14.3</v>
      </c>
      <c r="AG2408" s="60" t="s">
        <v>74</v>
      </c>
      <c r="AH2408" s="60" t="s">
        <v>9000</v>
      </c>
      <c r="AI2408">
        <f>IF(AND(OR(Company_Explorer!$B$5="All Companies",$E2408=Company_Explorer!$B$5),OR(Company_Explorer!$B$6="All Platforms",$B2408=Company_Explorer!$B$6),OR(Company_Explorer!$B$7="All Roles",$D2408=Company_Explorer!$B$7),OR(Company_Explorer!$B$8="All Ghost Labels",$AG2408=Company_Explorer!$B$8)),1,0)</f>
        <v>0</v>
      </c>
    </row>
    <row r="2409" spans="1:35" ht="15" customHeight="1" x14ac:dyDescent="0.3">
      <c r="A2409" s="65" t="s">
        <v>9001</v>
      </c>
      <c r="B2409" s="65" t="s">
        <v>82</v>
      </c>
      <c r="C2409" s="65" t="s">
        <v>9002</v>
      </c>
      <c r="D2409" s="65" t="s">
        <v>129</v>
      </c>
      <c r="E2409" s="65" t="s">
        <v>9003</v>
      </c>
      <c r="F2409" s="65" t="b">
        <f>TRUE()</f>
        <v>1</v>
      </c>
      <c r="G2409" s="65" t="s">
        <v>8648</v>
      </c>
      <c r="H2409" s="65" t="s">
        <v>2066</v>
      </c>
      <c r="I2409" s="66">
        <v>46197</v>
      </c>
      <c r="J2409" s="66">
        <v>46210.285942129602</v>
      </c>
      <c r="K2409" s="65">
        <v>14</v>
      </c>
      <c r="L2409" s="65" t="s">
        <v>193</v>
      </c>
      <c r="M2409" s="65" t="s">
        <v>183</v>
      </c>
      <c r="N2409" s="65" t="b">
        <f>TRUE()</f>
        <v>1</v>
      </c>
      <c r="O2409" s="71">
        <v>90000</v>
      </c>
      <c r="P2409" s="71">
        <v>100000</v>
      </c>
      <c r="Q2409" s="65" t="s">
        <v>3663</v>
      </c>
      <c r="R2409" s="65" t="s">
        <v>7351</v>
      </c>
      <c r="S2409" s="71">
        <v>95000</v>
      </c>
      <c r="T2409" s="65" t="b">
        <f>TRUE()</f>
        <v>1</v>
      </c>
      <c r="U2409" s="65" t="b">
        <f>TRUE()</f>
        <v>1</v>
      </c>
      <c r="V2409" s="65">
        <v>164</v>
      </c>
      <c r="W2409" s="67" t="s">
        <v>9004</v>
      </c>
      <c r="X2409" s="65">
        <v>1</v>
      </c>
      <c r="Y2409" s="68">
        <v>0.24</v>
      </c>
      <c r="Z2409" s="65" t="b">
        <f>FALSE()</f>
        <v>0</v>
      </c>
      <c r="AA2409" s="65" t="b">
        <f>FALSE()</f>
        <v>0</v>
      </c>
      <c r="AB2409" s="65" t="b">
        <f>TRUE()</f>
        <v>1</v>
      </c>
      <c r="AC2409" s="65" t="b">
        <f>FALSE()</f>
        <v>0</v>
      </c>
      <c r="AD2409" s="65" t="b">
        <f>FALSE()</f>
        <v>0</v>
      </c>
      <c r="AE2409" s="65">
        <v>1</v>
      </c>
      <c r="AF2409" s="69">
        <v>14.3</v>
      </c>
      <c r="AG2409" s="65" t="s">
        <v>74</v>
      </c>
      <c r="AH2409" s="65" t="s">
        <v>9005</v>
      </c>
      <c r="AI2409">
        <f>IF(AND(OR(Company_Explorer!$B$5="All Companies",$E2409=Company_Explorer!$B$5),OR(Company_Explorer!$B$6="All Platforms",$B2409=Company_Explorer!$B$6),OR(Company_Explorer!$B$7="All Roles",$D2409=Company_Explorer!$B$7),OR(Company_Explorer!$B$8="All Ghost Labels",$AG2409=Company_Explorer!$B$8)),1,0)</f>
        <v>0</v>
      </c>
    </row>
    <row r="2410" spans="1:35" ht="15" customHeight="1" x14ac:dyDescent="0.3">
      <c r="A2410" s="60" t="s">
        <v>9006</v>
      </c>
      <c r="B2410" s="60" t="s">
        <v>82</v>
      </c>
      <c r="C2410" s="60" t="s">
        <v>306</v>
      </c>
      <c r="D2410" s="60" t="s">
        <v>125</v>
      </c>
      <c r="E2410" s="60" t="s">
        <v>9007</v>
      </c>
      <c r="F2410" s="60" t="b">
        <f>TRUE()</f>
        <v>1</v>
      </c>
      <c r="G2410" s="60" t="s">
        <v>165</v>
      </c>
      <c r="H2410" s="60" t="s">
        <v>165</v>
      </c>
      <c r="I2410" s="61">
        <v>46201</v>
      </c>
      <c r="J2410" s="61">
        <v>46210.285943321796</v>
      </c>
      <c r="K2410" s="60">
        <v>130</v>
      </c>
      <c r="L2410" s="60" t="s">
        <v>183</v>
      </c>
      <c r="M2410" s="60" t="s">
        <v>183</v>
      </c>
      <c r="N2410" s="60" t="b">
        <f>FALSE()</f>
        <v>0</v>
      </c>
      <c r="O2410" s="60"/>
      <c r="P2410" s="60"/>
      <c r="Q2410" s="60" t="s">
        <v>3663</v>
      </c>
      <c r="R2410" s="60" t="s">
        <v>236</v>
      </c>
      <c r="S2410" s="60"/>
      <c r="T2410" s="60" t="b">
        <f>FALSE()</f>
        <v>0</v>
      </c>
      <c r="U2410" s="60" t="b">
        <f>FALSE()</f>
        <v>0</v>
      </c>
      <c r="V2410" s="60">
        <v>151</v>
      </c>
      <c r="W2410" s="62" t="s">
        <v>9008</v>
      </c>
      <c r="X2410" s="60">
        <v>1</v>
      </c>
      <c r="Y2410" s="63">
        <v>0.24</v>
      </c>
      <c r="Z2410" s="60" t="b">
        <f>FALSE()</f>
        <v>0</v>
      </c>
      <c r="AA2410" s="60" t="b">
        <f>TRUE()</f>
        <v>1</v>
      </c>
      <c r="AB2410" s="60" t="b">
        <f>TRUE()</f>
        <v>1</v>
      </c>
      <c r="AC2410" s="60" t="b">
        <f>TRUE()</f>
        <v>1</v>
      </c>
      <c r="AD2410" s="60" t="b">
        <f>FALSE()</f>
        <v>0</v>
      </c>
      <c r="AE2410" s="60">
        <v>3</v>
      </c>
      <c r="AF2410" s="64">
        <v>42.9</v>
      </c>
      <c r="AG2410" s="60" t="s">
        <v>73</v>
      </c>
      <c r="AH2410" s="60" t="s">
        <v>9009</v>
      </c>
      <c r="AI2410">
        <f>IF(AND(OR(Company_Explorer!$B$5="All Companies",$E2410=Company_Explorer!$B$5),OR(Company_Explorer!$B$6="All Platforms",$B2410=Company_Explorer!$B$6),OR(Company_Explorer!$B$7="All Roles",$D2410=Company_Explorer!$B$7),OR(Company_Explorer!$B$8="All Ghost Labels",$AG2410=Company_Explorer!$B$8)),1,0)</f>
        <v>0</v>
      </c>
    </row>
    <row r="2411" spans="1:35" ht="15" customHeight="1" x14ac:dyDescent="0.3">
      <c r="A2411" s="65" t="s">
        <v>9010</v>
      </c>
      <c r="B2411" s="65" t="s">
        <v>82</v>
      </c>
      <c r="C2411" s="65" t="s">
        <v>306</v>
      </c>
      <c r="D2411" s="65" t="s">
        <v>125</v>
      </c>
      <c r="E2411" s="65" t="s">
        <v>9011</v>
      </c>
      <c r="F2411" s="65" t="b">
        <f>TRUE()</f>
        <v>1</v>
      </c>
      <c r="G2411" s="65" t="s">
        <v>165</v>
      </c>
      <c r="H2411" s="65" t="s">
        <v>165</v>
      </c>
      <c r="I2411" s="66">
        <v>46193</v>
      </c>
      <c r="J2411" s="66">
        <v>46210.285943368101</v>
      </c>
      <c r="K2411" s="65">
        <v>137</v>
      </c>
      <c r="L2411" s="65" t="s">
        <v>192</v>
      </c>
      <c r="M2411" s="65" t="s">
        <v>183</v>
      </c>
      <c r="N2411" s="65" t="b">
        <f>FALSE()</f>
        <v>0</v>
      </c>
      <c r="O2411" s="65"/>
      <c r="P2411" s="65"/>
      <c r="Q2411" s="65" t="s">
        <v>3663</v>
      </c>
      <c r="R2411" s="65" t="s">
        <v>236</v>
      </c>
      <c r="S2411" s="65"/>
      <c r="T2411" s="65" t="b">
        <f>FALSE()</f>
        <v>0</v>
      </c>
      <c r="U2411" s="65" t="b">
        <f>FALSE()</f>
        <v>0</v>
      </c>
      <c r="V2411" s="65">
        <v>184</v>
      </c>
      <c r="W2411" s="67" t="s">
        <v>9012</v>
      </c>
      <c r="X2411" s="65">
        <v>1</v>
      </c>
      <c r="Y2411" s="68">
        <v>0.24</v>
      </c>
      <c r="Z2411" s="65" t="b">
        <f>FALSE()</f>
        <v>0</v>
      </c>
      <c r="AA2411" s="65" t="b">
        <f>TRUE()</f>
        <v>1</v>
      </c>
      <c r="AB2411" s="65" t="b">
        <f>TRUE()</f>
        <v>1</v>
      </c>
      <c r="AC2411" s="65" t="b">
        <f>TRUE()</f>
        <v>1</v>
      </c>
      <c r="AD2411" s="65" t="b">
        <f>FALSE()</f>
        <v>0</v>
      </c>
      <c r="AE2411" s="65">
        <v>3</v>
      </c>
      <c r="AF2411" s="69">
        <v>42.9</v>
      </c>
      <c r="AG2411" s="65" t="s">
        <v>73</v>
      </c>
      <c r="AH2411" s="65" t="s">
        <v>9013</v>
      </c>
      <c r="AI2411">
        <f>IF(AND(OR(Company_Explorer!$B$5="All Companies",$E2411=Company_Explorer!$B$5),OR(Company_Explorer!$B$6="All Platforms",$B2411=Company_Explorer!$B$6),OR(Company_Explorer!$B$7="All Roles",$D2411=Company_Explorer!$B$7),OR(Company_Explorer!$B$8="All Ghost Labels",$AG2411=Company_Explorer!$B$8)),1,0)</f>
        <v>0</v>
      </c>
    </row>
    <row r="2412" spans="1:35" ht="15" customHeight="1" x14ac:dyDescent="0.3">
      <c r="A2412" s="60" t="s">
        <v>9014</v>
      </c>
      <c r="B2412" s="60" t="s">
        <v>82</v>
      </c>
      <c r="C2412" s="60" t="s">
        <v>9015</v>
      </c>
      <c r="D2412" s="60" t="s">
        <v>129</v>
      </c>
      <c r="E2412" s="60" t="s">
        <v>3726</v>
      </c>
      <c r="F2412" s="60" t="b">
        <f>FALSE()</f>
        <v>0</v>
      </c>
      <c r="G2412" s="60" t="s">
        <v>269</v>
      </c>
      <c r="H2412" s="60" t="s">
        <v>270</v>
      </c>
      <c r="I2412" s="61">
        <v>46210</v>
      </c>
      <c r="J2412" s="61">
        <v>46210.285944039402</v>
      </c>
      <c r="K2412" s="60">
        <v>0</v>
      </c>
      <c r="L2412" s="60" t="s">
        <v>192</v>
      </c>
      <c r="M2412" s="60" t="s">
        <v>183</v>
      </c>
      <c r="N2412" s="60" t="b">
        <f>TRUE()</f>
        <v>1</v>
      </c>
      <c r="O2412" s="70">
        <v>20000</v>
      </c>
      <c r="P2412" s="70">
        <v>125000</v>
      </c>
      <c r="Q2412" s="60" t="s">
        <v>3663</v>
      </c>
      <c r="R2412" s="60" t="s">
        <v>7445</v>
      </c>
      <c r="S2412" s="70">
        <v>870000</v>
      </c>
      <c r="T2412" s="60" t="b">
        <f>TRUE()</f>
        <v>1</v>
      </c>
      <c r="U2412" s="60" t="b">
        <f>FALSE()</f>
        <v>0</v>
      </c>
      <c r="V2412" s="60">
        <v>199</v>
      </c>
      <c r="W2412" s="62" t="s">
        <v>9016</v>
      </c>
      <c r="X2412" s="60"/>
      <c r="Y2412" s="63"/>
      <c r="Z2412" s="60" t="b">
        <f>TRUE()</f>
        <v>1</v>
      </c>
      <c r="AA2412" s="60" t="b">
        <f>FALSE()</f>
        <v>0</v>
      </c>
      <c r="AB2412" s="60" t="b">
        <f>TRUE()</f>
        <v>1</v>
      </c>
      <c r="AC2412" s="60" t="b">
        <f>FALSE()</f>
        <v>0</v>
      </c>
      <c r="AD2412" s="60" t="b">
        <f>FALSE()</f>
        <v>0</v>
      </c>
      <c r="AE2412" s="60">
        <v>3</v>
      </c>
      <c r="AF2412" s="64">
        <v>42.9</v>
      </c>
      <c r="AG2412" s="60" t="s">
        <v>73</v>
      </c>
      <c r="AH2412" s="60" t="s">
        <v>9017</v>
      </c>
      <c r="AI2412">
        <f>IF(AND(OR(Company_Explorer!$B$5="All Companies",$E2412=Company_Explorer!$B$5),OR(Company_Explorer!$B$6="All Platforms",$B2412=Company_Explorer!$B$6),OR(Company_Explorer!$B$7="All Roles",$D2412=Company_Explorer!$B$7),OR(Company_Explorer!$B$8="All Ghost Labels",$AG2412=Company_Explorer!$B$8)),1,0)</f>
        <v>0</v>
      </c>
    </row>
    <row r="2413" spans="1:35" ht="15" customHeight="1" x14ac:dyDescent="0.3">
      <c r="A2413" s="65" t="s">
        <v>9018</v>
      </c>
      <c r="B2413" s="65" t="s">
        <v>82</v>
      </c>
      <c r="C2413" s="65" t="s">
        <v>8840</v>
      </c>
      <c r="D2413" s="65" t="s">
        <v>125</v>
      </c>
      <c r="E2413" s="65" t="s">
        <v>9019</v>
      </c>
      <c r="F2413" s="65" t="b">
        <f>TRUE()</f>
        <v>1</v>
      </c>
      <c r="G2413" s="65" t="s">
        <v>165</v>
      </c>
      <c r="H2413" s="65" t="s">
        <v>165</v>
      </c>
      <c r="I2413" s="66">
        <v>46200</v>
      </c>
      <c r="J2413" s="66">
        <v>46210.285945150499</v>
      </c>
      <c r="K2413" s="65">
        <v>130</v>
      </c>
      <c r="L2413" s="65" t="s">
        <v>192</v>
      </c>
      <c r="M2413" s="65" t="s">
        <v>183</v>
      </c>
      <c r="N2413" s="65" t="b">
        <f>FALSE()</f>
        <v>0</v>
      </c>
      <c r="O2413" s="65"/>
      <c r="P2413" s="65"/>
      <c r="Q2413" s="65" t="s">
        <v>3663</v>
      </c>
      <c r="R2413" s="65" t="s">
        <v>236</v>
      </c>
      <c r="S2413" s="65"/>
      <c r="T2413" s="65" t="b">
        <f>FALSE()</f>
        <v>0</v>
      </c>
      <c r="U2413" s="65" t="b">
        <f>FALSE()</f>
        <v>0</v>
      </c>
      <c r="V2413" s="65">
        <v>171</v>
      </c>
      <c r="W2413" s="67" t="s">
        <v>9020</v>
      </c>
      <c r="X2413" s="65">
        <v>1</v>
      </c>
      <c r="Y2413" s="68">
        <v>0.24</v>
      </c>
      <c r="Z2413" s="65" t="b">
        <f>FALSE()</f>
        <v>0</v>
      </c>
      <c r="AA2413" s="65" t="b">
        <f>TRUE()</f>
        <v>1</v>
      </c>
      <c r="AB2413" s="65" t="b">
        <f>TRUE()</f>
        <v>1</v>
      </c>
      <c r="AC2413" s="65" t="b">
        <f>TRUE()</f>
        <v>1</v>
      </c>
      <c r="AD2413" s="65" t="b">
        <f>FALSE()</f>
        <v>0</v>
      </c>
      <c r="AE2413" s="65">
        <v>3</v>
      </c>
      <c r="AF2413" s="69">
        <v>42.9</v>
      </c>
      <c r="AG2413" s="65" t="s">
        <v>73</v>
      </c>
      <c r="AH2413" s="65" t="s">
        <v>9021</v>
      </c>
      <c r="AI2413">
        <f>IF(AND(OR(Company_Explorer!$B$5="All Companies",$E2413=Company_Explorer!$B$5),OR(Company_Explorer!$B$6="All Platforms",$B2413=Company_Explorer!$B$6),OR(Company_Explorer!$B$7="All Roles",$D2413=Company_Explorer!$B$7),OR(Company_Explorer!$B$8="All Ghost Labels",$AG2413=Company_Explorer!$B$8)),1,0)</f>
        <v>0</v>
      </c>
    </row>
    <row r="2414" spans="1:35" ht="15" customHeight="1" x14ac:dyDescent="0.3">
      <c r="A2414" s="60" t="s">
        <v>9022</v>
      </c>
      <c r="B2414" s="60" t="s">
        <v>82</v>
      </c>
      <c r="C2414" s="60" t="s">
        <v>3323</v>
      </c>
      <c r="D2414" s="60" t="s">
        <v>129</v>
      </c>
      <c r="E2414" s="60" t="s">
        <v>9023</v>
      </c>
      <c r="F2414" s="60" t="b">
        <f>TRUE()</f>
        <v>1</v>
      </c>
      <c r="G2414" s="60" t="s">
        <v>165</v>
      </c>
      <c r="H2414" s="60" t="s">
        <v>165</v>
      </c>
      <c r="I2414" s="61">
        <v>46193</v>
      </c>
      <c r="J2414" s="61">
        <v>46210.285948830999</v>
      </c>
      <c r="K2414" s="60">
        <v>137</v>
      </c>
      <c r="L2414" s="60" t="s">
        <v>192</v>
      </c>
      <c r="M2414" s="60" t="s">
        <v>183</v>
      </c>
      <c r="N2414" s="60" t="b">
        <f>FALSE()</f>
        <v>0</v>
      </c>
      <c r="O2414" s="60"/>
      <c r="P2414" s="60"/>
      <c r="Q2414" s="60" t="s">
        <v>3663</v>
      </c>
      <c r="R2414" s="60" t="s">
        <v>236</v>
      </c>
      <c r="S2414" s="60"/>
      <c r="T2414" s="60" t="b">
        <f>FALSE()</f>
        <v>0</v>
      </c>
      <c r="U2414" s="60" t="b">
        <f>FALSE()</f>
        <v>0</v>
      </c>
      <c r="V2414" s="60">
        <v>199</v>
      </c>
      <c r="W2414" s="62" t="s">
        <v>9024</v>
      </c>
      <c r="X2414" s="60">
        <v>1</v>
      </c>
      <c r="Y2414" s="63">
        <v>0.24</v>
      </c>
      <c r="Z2414" s="60" t="b">
        <f>FALSE()</f>
        <v>0</v>
      </c>
      <c r="AA2414" s="60" t="b">
        <f>TRUE()</f>
        <v>1</v>
      </c>
      <c r="AB2414" s="60" t="b">
        <f>TRUE()</f>
        <v>1</v>
      </c>
      <c r="AC2414" s="60" t="b">
        <f>TRUE()</f>
        <v>1</v>
      </c>
      <c r="AD2414" s="60" t="b">
        <f>FALSE()</f>
        <v>0</v>
      </c>
      <c r="AE2414" s="60">
        <v>3</v>
      </c>
      <c r="AF2414" s="64">
        <v>42.9</v>
      </c>
      <c r="AG2414" s="60" t="s">
        <v>73</v>
      </c>
      <c r="AH2414" s="60" t="s">
        <v>9025</v>
      </c>
      <c r="AI2414">
        <f>IF(AND(OR(Company_Explorer!$B$5="All Companies",$E2414=Company_Explorer!$B$5),OR(Company_Explorer!$B$6="All Platforms",$B2414=Company_Explorer!$B$6),OR(Company_Explorer!$B$7="All Roles",$D2414=Company_Explorer!$B$7),OR(Company_Explorer!$B$8="All Ghost Labels",$AG2414=Company_Explorer!$B$8)),1,0)</f>
        <v>0</v>
      </c>
    </row>
    <row r="2415" spans="1:35" ht="15" customHeight="1" x14ac:dyDescent="0.3">
      <c r="A2415" s="65" t="s">
        <v>9026</v>
      </c>
      <c r="B2415" s="65" t="s">
        <v>82</v>
      </c>
      <c r="C2415" s="65" t="s">
        <v>2034</v>
      </c>
      <c r="D2415" s="65" t="s">
        <v>130</v>
      </c>
      <c r="E2415" s="65" t="s">
        <v>9027</v>
      </c>
      <c r="F2415" s="65" t="b">
        <f>TRUE()</f>
        <v>1</v>
      </c>
      <c r="G2415" s="65" t="s">
        <v>165</v>
      </c>
      <c r="H2415" s="65" t="s">
        <v>165</v>
      </c>
      <c r="I2415" s="66">
        <v>46201</v>
      </c>
      <c r="J2415" s="66">
        <v>46210.285949907397</v>
      </c>
      <c r="K2415" s="65">
        <v>130</v>
      </c>
      <c r="L2415" s="65" t="s">
        <v>183</v>
      </c>
      <c r="M2415" s="65" t="s">
        <v>183</v>
      </c>
      <c r="N2415" s="65" t="b">
        <f>FALSE()</f>
        <v>0</v>
      </c>
      <c r="O2415" s="65"/>
      <c r="P2415" s="65"/>
      <c r="Q2415" s="65" t="s">
        <v>3663</v>
      </c>
      <c r="R2415" s="65" t="s">
        <v>236</v>
      </c>
      <c r="S2415" s="65"/>
      <c r="T2415" s="65" t="b">
        <f>FALSE()</f>
        <v>0</v>
      </c>
      <c r="U2415" s="65" t="b">
        <f>FALSE()</f>
        <v>0</v>
      </c>
      <c r="V2415" s="65">
        <v>402</v>
      </c>
      <c r="W2415" s="65" t="s">
        <v>9028</v>
      </c>
      <c r="X2415" s="65">
        <v>1</v>
      </c>
      <c r="Y2415" s="68">
        <v>0.24</v>
      </c>
      <c r="Z2415" s="65" t="b">
        <f>FALSE()</f>
        <v>0</v>
      </c>
      <c r="AA2415" s="65" t="b">
        <f>TRUE()</f>
        <v>1</v>
      </c>
      <c r="AB2415" s="65" t="b">
        <f>FALSE()</f>
        <v>0</v>
      </c>
      <c r="AC2415" s="65" t="b">
        <f>TRUE()</f>
        <v>1</v>
      </c>
      <c r="AD2415" s="65" t="b">
        <f>FALSE()</f>
        <v>0</v>
      </c>
      <c r="AE2415" s="65">
        <v>2</v>
      </c>
      <c r="AF2415" s="69">
        <v>28.6</v>
      </c>
      <c r="AG2415" s="65" t="s">
        <v>73</v>
      </c>
      <c r="AH2415" s="65" t="s">
        <v>9029</v>
      </c>
      <c r="AI2415">
        <f>IF(AND(OR(Company_Explorer!$B$5="All Companies",$E2415=Company_Explorer!$B$5),OR(Company_Explorer!$B$6="All Platforms",$B2415=Company_Explorer!$B$6),OR(Company_Explorer!$B$7="All Roles",$D2415=Company_Explorer!$B$7),OR(Company_Explorer!$B$8="All Ghost Labels",$AG2415=Company_Explorer!$B$8)),1,0)</f>
        <v>0</v>
      </c>
    </row>
    <row r="2416" spans="1:35" ht="15" customHeight="1" x14ac:dyDescent="0.3">
      <c r="A2416" s="60" t="s">
        <v>9030</v>
      </c>
      <c r="B2416" s="60" t="s">
        <v>82</v>
      </c>
      <c r="C2416" s="60" t="s">
        <v>9031</v>
      </c>
      <c r="D2416" s="60" t="s">
        <v>125</v>
      </c>
      <c r="E2416" s="60" t="s">
        <v>9032</v>
      </c>
      <c r="F2416" s="60" t="b">
        <f>TRUE()</f>
        <v>1</v>
      </c>
      <c r="G2416" s="60" t="s">
        <v>165</v>
      </c>
      <c r="H2416" s="60" t="s">
        <v>165</v>
      </c>
      <c r="I2416" s="61">
        <v>46200</v>
      </c>
      <c r="J2416" s="61">
        <v>46210.2859516319</v>
      </c>
      <c r="K2416" s="60">
        <v>130</v>
      </c>
      <c r="L2416" s="60" t="s">
        <v>183</v>
      </c>
      <c r="M2416" s="60" t="s">
        <v>183</v>
      </c>
      <c r="N2416" s="60" t="b">
        <f>FALSE()</f>
        <v>0</v>
      </c>
      <c r="O2416" s="60"/>
      <c r="P2416" s="60"/>
      <c r="Q2416" s="60" t="s">
        <v>3663</v>
      </c>
      <c r="R2416" s="60" t="s">
        <v>236</v>
      </c>
      <c r="S2416" s="60"/>
      <c r="T2416" s="60" t="b">
        <f>FALSE()</f>
        <v>0</v>
      </c>
      <c r="U2416" s="60" t="b">
        <f>FALSE()</f>
        <v>0</v>
      </c>
      <c r="V2416" s="60">
        <v>183</v>
      </c>
      <c r="W2416" s="62" t="s">
        <v>9033</v>
      </c>
      <c r="X2416" s="60">
        <v>2</v>
      </c>
      <c r="Y2416" s="63">
        <v>0.48</v>
      </c>
      <c r="Z2416" s="60" t="b">
        <f>FALSE()</f>
        <v>0</v>
      </c>
      <c r="AA2416" s="60" t="b">
        <f>TRUE()</f>
        <v>1</v>
      </c>
      <c r="AB2416" s="60" t="b">
        <f>TRUE()</f>
        <v>1</v>
      </c>
      <c r="AC2416" s="60" t="b">
        <f>TRUE()</f>
        <v>1</v>
      </c>
      <c r="AD2416" s="60" t="b">
        <f>FALSE()</f>
        <v>0</v>
      </c>
      <c r="AE2416" s="60">
        <v>3</v>
      </c>
      <c r="AF2416" s="64">
        <v>42.9</v>
      </c>
      <c r="AG2416" s="60" t="s">
        <v>73</v>
      </c>
      <c r="AH2416" s="60" t="s">
        <v>9034</v>
      </c>
      <c r="AI2416">
        <f>IF(AND(OR(Company_Explorer!$B$5="All Companies",$E2416=Company_Explorer!$B$5),OR(Company_Explorer!$B$6="All Platforms",$B2416=Company_Explorer!$B$6),OR(Company_Explorer!$B$7="All Roles",$D2416=Company_Explorer!$B$7),OR(Company_Explorer!$B$8="All Ghost Labels",$AG2416=Company_Explorer!$B$8)),1,0)</f>
        <v>0</v>
      </c>
    </row>
    <row r="2417" spans="1:35" ht="15" customHeight="1" x14ac:dyDescent="0.3">
      <c r="A2417" s="65" t="s">
        <v>9035</v>
      </c>
      <c r="B2417" s="65" t="s">
        <v>82</v>
      </c>
      <c r="C2417" s="65" t="s">
        <v>8074</v>
      </c>
      <c r="D2417" s="65" t="s">
        <v>125</v>
      </c>
      <c r="E2417" s="65" t="s">
        <v>9036</v>
      </c>
      <c r="F2417" s="65" t="b">
        <f>TRUE()</f>
        <v>1</v>
      </c>
      <c r="G2417" s="65" t="s">
        <v>165</v>
      </c>
      <c r="H2417" s="65" t="s">
        <v>165</v>
      </c>
      <c r="I2417" s="66">
        <v>46196</v>
      </c>
      <c r="J2417" s="66">
        <v>46210.285954398198</v>
      </c>
      <c r="K2417" s="65">
        <v>165</v>
      </c>
      <c r="L2417" s="65" t="s">
        <v>183</v>
      </c>
      <c r="M2417" s="65" t="s">
        <v>183</v>
      </c>
      <c r="N2417" s="65" t="b">
        <f>FALSE()</f>
        <v>0</v>
      </c>
      <c r="O2417" s="65"/>
      <c r="P2417" s="65"/>
      <c r="Q2417" s="65" t="s">
        <v>3663</v>
      </c>
      <c r="R2417" s="65" t="s">
        <v>236</v>
      </c>
      <c r="S2417" s="65"/>
      <c r="T2417" s="65" t="b">
        <f>FALSE()</f>
        <v>0</v>
      </c>
      <c r="U2417" s="65" t="b">
        <f>FALSE()</f>
        <v>0</v>
      </c>
      <c r="V2417" s="65">
        <v>275</v>
      </c>
      <c r="W2417" s="67" t="s">
        <v>9037</v>
      </c>
      <c r="X2417" s="65">
        <v>1</v>
      </c>
      <c r="Y2417" s="68">
        <v>0.24</v>
      </c>
      <c r="Z2417" s="65" t="b">
        <f>FALSE()</f>
        <v>0</v>
      </c>
      <c r="AA2417" s="65" t="b">
        <f>TRUE()</f>
        <v>1</v>
      </c>
      <c r="AB2417" s="65" t="b">
        <f>FALSE()</f>
        <v>0</v>
      </c>
      <c r="AC2417" s="65" t="b">
        <f>TRUE()</f>
        <v>1</v>
      </c>
      <c r="AD2417" s="65" t="b">
        <f>FALSE()</f>
        <v>0</v>
      </c>
      <c r="AE2417" s="65">
        <v>2</v>
      </c>
      <c r="AF2417" s="69">
        <v>28.6</v>
      </c>
      <c r="AG2417" s="65" t="s">
        <v>73</v>
      </c>
      <c r="AH2417" s="65" t="s">
        <v>9038</v>
      </c>
      <c r="AI2417">
        <f>IF(AND(OR(Company_Explorer!$B$5="All Companies",$E2417=Company_Explorer!$B$5),OR(Company_Explorer!$B$6="All Platforms",$B2417=Company_Explorer!$B$6),OR(Company_Explorer!$B$7="All Roles",$D2417=Company_Explorer!$B$7),OR(Company_Explorer!$B$8="All Ghost Labels",$AG2417=Company_Explorer!$B$8)),1,0)</f>
        <v>0</v>
      </c>
    </row>
    <row r="2418" spans="1:35" ht="15" customHeight="1" x14ac:dyDescent="0.3">
      <c r="A2418" s="60" t="s">
        <v>9039</v>
      </c>
      <c r="B2418" s="60" t="s">
        <v>82</v>
      </c>
      <c r="C2418" s="60" t="s">
        <v>8164</v>
      </c>
      <c r="D2418" s="60" t="s">
        <v>129</v>
      </c>
      <c r="E2418" s="60" t="s">
        <v>9040</v>
      </c>
      <c r="F2418" s="60" t="b">
        <f>TRUE()</f>
        <v>1</v>
      </c>
      <c r="G2418" s="60" t="s">
        <v>165</v>
      </c>
      <c r="H2418" s="60" t="s">
        <v>165</v>
      </c>
      <c r="I2418" s="61">
        <v>46201</v>
      </c>
      <c r="J2418" s="61">
        <v>46210.285956527798</v>
      </c>
      <c r="K2418" s="60">
        <v>129</v>
      </c>
      <c r="L2418" s="60" t="s">
        <v>183</v>
      </c>
      <c r="M2418" s="60" t="s">
        <v>183</v>
      </c>
      <c r="N2418" s="60" t="b">
        <f>TRUE()</f>
        <v>1</v>
      </c>
      <c r="O2418" s="70">
        <v>70000</v>
      </c>
      <c r="P2418" s="70">
        <v>70000</v>
      </c>
      <c r="Q2418" s="60" t="s">
        <v>3663</v>
      </c>
      <c r="R2418" s="60" t="s">
        <v>7445</v>
      </c>
      <c r="S2418" s="70">
        <v>840000</v>
      </c>
      <c r="T2418" s="60" t="b">
        <f>TRUE()</f>
        <v>1</v>
      </c>
      <c r="U2418" s="60" t="b">
        <f>FALSE()</f>
        <v>0</v>
      </c>
      <c r="V2418" s="60">
        <v>33</v>
      </c>
      <c r="W2418" s="62" t="s">
        <v>9041</v>
      </c>
      <c r="X2418" s="60">
        <v>1</v>
      </c>
      <c r="Y2418" s="63">
        <v>0.24</v>
      </c>
      <c r="Z2418" s="60" t="b">
        <f>FALSE()</f>
        <v>0</v>
      </c>
      <c r="AA2418" s="60" t="b">
        <f>FALSE()</f>
        <v>0</v>
      </c>
      <c r="AB2418" s="60" t="b">
        <f>TRUE()</f>
        <v>1</v>
      </c>
      <c r="AC2418" s="60" t="b">
        <f>TRUE()</f>
        <v>1</v>
      </c>
      <c r="AD2418" s="60" t="b">
        <f>FALSE()</f>
        <v>0</v>
      </c>
      <c r="AE2418" s="60">
        <v>2</v>
      </c>
      <c r="AF2418" s="64">
        <v>28.6</v>
      </c>
      <c r="AG2418" s="60" t="s">
        <v>73</v>
      </c>
      <c r="AH2418" s="60" t="s">
        <v>9042</v>
      </c>
      <c r="AI2418">
        <f>IF(AND(OR(Company_Explorer!$B$5="All Companies",$E2418=Company_Explorer!$B$5),OR(Company_Explorer!$B$6="All Platforms",$B2418=Company_Explorer!$B$6),OR(Company_Explorer!$B$7="All Roles",$D2418=Company_Explorer!$B$7),OR(Company_Explorer!$B$8="All Ghost Labels",$AG2418=Company_Explorer!$B$8)),1,0)</f>
        <v>0</v>
      </c>
    </row>
    <row r="2419" spans="1:35" ht="15" customHeight="1" x14ac:dyDescent="0.3">
      <c r="A2419" s="65" t="s">
        <v>9043</v>
      </c>
      <c r="B2419" s="65" t="s">
        <v>82</v>
      </c>
      <c r="C2419" s="65" t="s">
        <v>8164</v>
      </c>
      <c r="D2419" s="65" t="s">
        <v>129</v>
      </c>
      <c r="E2419" s="65" t="s">
        <v>9044</v>
      </c>
      <c r="F2419" s="65" t="b">
        <f>TRUE()</f>
        <v>1</v>
      </c>
      <c r="G2419" s="65" t="s">
        <v>166</v>
      </c>
      <c r="H2419" s="65" t="s">
        <v>235</v>
      </c>
      <c r="I2419" s="66">
        <v>46200</v>
      </c>
      <c r="J2419" s="66">
        <v>46210.285956689797</v>
      </c>
      <c r="K2419" s="65">
        <v>130</v>
      </c>
      <c r="L2419" s="65" t="s">
        <v>192</v>
      </c>
      <c r="M2419" s="65" t="s">
        <v>183</v>
      </c>
      <c r="N2419" s="65" t="b">
        <f>TRUE()</f>
        <v>1</v>
      </c>
      <c r="O2419" s="71">
        <v>390000</v>
      </c>
      <c r="P2419" s="71">
        <v>840000</v>
      </c>
      <c r="Q2419" s="65" t="s">
        <v>3663</v>
      </c>
      <c r="R2419" s="65" t="s">
        <v>7351</v>
      </c>
      <c r="S2419" s="71">
        <v>615000</v>
      </c>
      <c r="T2419" s="65" t="b">
        <f>TRUE()</f>
        <v>1</v>
      </c>
      <c r="U2419" s="65" t="b">
        <f>FALSE()</f>
        <v>0</v>
      </c>
      <c r="V2419" s="65">
        <v>620</v>
      </c>
      <c r="W2419" s="67" t="s">
        <v>9045</v>
      </c>
      <c r="X2419" s="65">
        <v>1</v>
      </c>
      <c r="Y2419" s="68">
        <v>0.24</v>
      </c>
      <c r="Z2419" s="65" t="b">
        <f>FALSE()</f>
        <v>0</v>
      </c>
      <c r="AA2419" s="65" t="b">
        <f>FALSE()</f>
        <v>0</v>
      </c>
      <c r="AB2419" s="65" t="b">
        <f>FALSE()</f>
        <v>0</v>
      </c>
      <c r="AC2419" s="65" t="b">
        <f>TRUE()</f>
        <v>1</v>
      </c>
      <c r="AD2419" s="65" t="b">
        <f>FALSE()</f>
        <v>0</v>
      </c>
      <c r="AE2419" s="65">
        <v>1</v>
      </c>
      <c r="AF2419" s="69">
        <v>14.3</v>
      </c>
      <c r="AG2419" s="65" t="s">
        <v>74</v>
      </c>
      <c r="AH2419" s="65" t="s">
        <v>9046</v>
      </c>
      <c r="AI2419">
        <f>IF(AND(OR(Company_Explorer!$B$5="All Companies",$E2419=Company_Explorer!$B$5),OR(Company_Explorer!$B$6="All Platforms",$B2419=Company_Explorer!$B$6),OR(Company_Explorer!$B$7="All Roles",$D2419=Company_Explorer!$B$7),OR(Company_Explorer!$B$8="All Ghost Labels",$AG2419=Company_Explorer!$B$8)),1,0)</f>
        <v>0</v>
      </c>
    </row>
    <row r="2420" spans="1:35" ht="15" customHeight="1" x14ac:dyDescent="0.3">
      <c r="A2420" s="60" t="s">
        <v>9047</v>
      </c>
      <c r="B2420" s="60" t="s">
        <v>82</v>
      </c>
      <c r="C2420" s="60" t="s">
        <v>9048</v>
      </c>
      <c r="D2420" s="60" t="s">
        <v>129</v>
      </c>
      <c r="E2420" s="60" t="s">
        <v>8470</v>
      </c>
      <c r="F2420" s="60" t="b">
        <f>TRUE()</f>
        <v>1</v>
      </c>
      <c r="G2420" s="60" t="s">
        <v>2065</v>
      </c>
      <c r="H2420" s="60" t="s">
        <v>2066</v>
      </c>
      <c r="I2420" s="61">
        <v>46185</v>
      </c>
      <c r="J2420" s="61">
        <v>46210.285956724503</v>
      </c>
      <c r="K2420" s="60">
        <v>25</v>
      </c>
      <c r="L2420" s="60" t="s">
        <v>183</v>
      </c>
      <c r="M2420" s="60" t="s">
        <v>183</v>
      </c>
      <c r="N2420" s="60" t="b">
        <f>TRUE()</f>
        <v>1</v>
      </c>
      <c r="O2420" s="70">
        <v>555000</v>
      </c>
      <c r="P2420" s="70">
        <v>600000</v>
      </c>
      <c r="Q2420" s="60" t="s">
        <v>3663</v>
      </c>
      <c r="R2420" s="60" t="s">
        <v>7351</v>
      </c>
      <c r="S2420" s="70">
        <v>577500</v>
      </c>
      <c r="T2420" s="60" t="b">
        <f>TRUE()</f>
        <v>1</v>
      </c>
      <c r="U2420" s="60" t="b">
        <f>FALSE()</f>
        <v>0</v>
      </c>
      <c r="V2420" s="60">
        <v>256</v>
      </c>
      <c r="W2420" s="62" t="s">
        <v>9049</v>
      </c>
      <c r="X2420" s="60">
        <v>3</v>
      </c>
      <c r="Y2420" s="63">
        <v>0.72</v>
      </c>
      <c r="Z2420" s="60" t="b">
        <f>FALSE()</f>
        <v>0</v>
      </c>
      <c r="AA2420" s="60" t="b">
        <f>FALSE()</f>
        <v>0</v>
      </c>
      <c r="AB2420" s="60" t="b">
        <f>FALSE()</f>
        <v>0</v>
      </c>
      <c r="AC2420" s="60" t="b">
        <f>FALSE()</f>
        <v>0</v>
      </c>
      <c r="AD2420" s="60" t="b">
        <f>FALSE()</f>
        <v>0</v>
      </c>
      <c r="AE2420" s="60">
        <v>0</v>
      </c>
      <c r="AF2420" s="64">
        <v>0</v>
      </c>
      <c r="AG2420" s="60" t="s">
        <v>74</v>
      </c>
      <c r="AH2420" s="60" t="s">
        <v>9050</v>
      </c>
      <c r="AI2420">
        <f>IF(AND(OR(Company_Explorer!$B$5="All Companies",$E2420=Company_Explorer!$B$5),OR(Company_Explorer!$B$6="All Platforms",$B2420=Company_Explorer!$B$6),OR(Company_Explorer!$B$7="All Roles",$D2420=Company_Explorer!$B$7),OR(Company_Explorer!$B$8="All Ghost Labels",$AG2420=Company_Explorer!$B$8)),1,0)</f>
        <v>0</v>
      </c>
    </row>
    <row r="2421" spans="1:35" ht="15" customHeight="1" x14ac:dyDescent="0.3">
      <c r="A2421" s="65" t="s">
        <v>9051</v>
      </c>
      <c r="B2421" s="65" t="s">
        <v>82</v>
      </c>
      <c r="C2421" s="65" t="s">
        <v>9052</v>
      </c>
      <c r="D2421" s="65" t="s">
        <v>125</v>
      </c>
      <c r="E2421" s="65" t="s">
        <v>7708</v>
      </c>
      <c r="F2421" s="65" t="b">
        <f>TRUE()</f>
        <v>1</v>
      </c>
      <c r="G2421" s="65" t="s">
        <v>175</v>
      </c>
      <c r="H2421" s="65" t="s">
        <v>254</v>
      </c>
      <c r="I2421" s="66">
        <v>46197</v>
      </c>
      <c r="J2421" s="66">
        <v>46210.285960080997</v>
      </c>
      <c r="K2421" s="65">
        <v>13</v>
      </c>
      <c r="L2421" s="65" t="s">
        <v>192</v>
      </c>
      <c r="M2421" s="65" t="s">
        <v>183</v>
      </c>
      <c r="N2421" s="65" t="b">
        <f>TRUE()</f>
        <v>1</v>
      </c>
      <c r="O2421" s="71">
        <v>400000</v>
      </c>
      <c r="P2421" s="71">
        <v>600000</v>
      </c>
      <c r="Q2421" s="65" t="s">
        <v>3663</v>
      </c>
      <c r="R2421" s="65" t="s">
        <v>7351</v>
      </c>
      <c r="S2421" s="71">
        <v>500000</v>
      </c>
      <c r="T2421" s="65" t="b">
        <f>TRUE()</f>
        <v>1</v>
      </c>
      <c r="U2421" s="65" t="b">
        <f>FALSE()</f>
        <v>0</v>
      </c>
      <c r="V2421" s="65">
        <v>471</v>
      </c>
      <c r="W2421" s="65" t="s">
        <v>2218</v>
      </c>
      <c r="X2421" s="65">
        <v>3</v>
      </c>
      <c r="Y2421" s="68">
        <v>0.72</v>
      </c>
      <c r="Z2421" s="65" t="b">
        <f>FALSE()</f>
        <v>0</v>
      </c>
      <c r="AA2421" s="65" t="b">
        <f>FALSE()</f>
        <v>0</v>
      </c>
      <c r="AB2421" s="65" t="b">
        <f>FALSE()</f>
        <v>0</v>
      </c>
      <c r="AC2421" s="65" t="b">
        <f>FALSE()</f>
        <v>0</v>
      </c>
      <c r="AD2421" s="65" t="b">
        <f>FALSE()</f>
        <v>0</v>
      </c>
      <c r="AE2421" s="65">
        <v>0</v>
      </c>
      <c r="AF2421" s="69">
        <v>0</v>
      </c>
      <c r="AG2421" s="65" t="s">
        <v>74</v>
      </c>
      <c r="AH2421" s="65" t="s">
        <v>9053</v>
      </c>
      <c r="AI2421">
        <f>IF(AND(OR(Company_Explorer!$B$5="All Companies",$E2421=Company_Explorer!$B$5),OR(Company_Explorer!$B$6="All Platforms",$B2421=Company_Explorer!$B$6),OR(Company_Explorer!$B$7="All Roles",$D2421=Company_Explorer!$B$7),OR(Company_Explorer!$B$8="All Ghost Labels",$AG2421=Company_Explorer!$B$8)),1,0)</f>
        <v>0</v>
      </c>
    </row>
    <row r="2422" spans="1:35" ht="15" customHeight="1" x14ac:dyDescent="0.3">
      <c r="A2422" s="60" t="s">
        <v>9054</v>
      </c>
      <c r="B2422" s="60" t="s">
        <v>82</v>
      </c>
      <c r="C2422" s="60" t="s">
        <v>306</v>
      </c>
      <c r="D2422" s="60" t="s">
        <v>125</v>
      </c>
      <c r="E2422" s="60" t="s">
        <v>9055</v>
      </c>
      <c r="F2422" s="60" t="b">
        <f>TRUE()</f>
        <v>1</v>
      </c>
      <c r="G2422" s="60" t="s">
        <v>165</v>
      </c>
      <c r="H2422" s="60" t="s">
        <v>165</v>
      </c>
      <c r="I2422" s="61">
        <v>46197</v>
      </c>
      <c r="J2422" s="61">
        <v>46210.285960671303</v>
      </c>
      <c r="K2422" s="60">
        <v>133</v>
      </c>
      <c r="L2422" s="60" t="s">
        <v>192</v>
      </c>
      <c r="M2422" s="60" t="s">
        <v>183</v>
      </c>
      <c r="N2422" s="60" t="b">
        <f>FALSE()</f>
        <v>0</v>
      </c>
      <c r="O2422" s="60"/>
      <c r="P2422" s="60"/>
      <c r="Q2422" s="60" t="s">
        <v>3663</v>
      </c>
      <c r="R2422" s="60" t="s">
        <v>236</v>
      </c>
      <c r="S2422" s="60"/>
      <c r="T2422" s="60" t="b">
        <f>FALSE()</f>
        <v>0</v>
      </c>
      <c r="U2422" s="60" t="b">
        <f>FALSE()</f>
        <v>0</v>
      </c>
      <c r="V2422" s="60">
        <v>18</v>
      </c>
      <c r="W2422" s="62" t="s">
        <v>9056</v>
      </c>
      <c r="X2422" s="60">
        <v>2</v>
      </c>
      <c r="Y2422" s="63">
        <v>0.48</v>
      </c>
      <c r="Z2422" s="60" t="b">
        <f>FALSE()</f>
        <v>0</v>
      </c>
      <c r="AA2422" s="60" t="b">
        <f>TRUE()</f>
        <v>1</v>
      </c>
      <c r="AB2422" s="60" t="b">
        <f>TRUE()</f>
        <v>1</v>
      </c>
      <c r="AC2422" s="60" t="b">
        <f>TRUE()</f>
        <v>1</v>
      </c>
      <c r="AD2422" s="60" t="b">
        <f>FALSE()</f>
        <v>0</v>
      </c>
      <c r="AE2422" s="60">
        <v>3</v>
      </c>
      <c r="AF2422" s="64">
        <v>42.9</v>
      </c>
      <c r="AG2422" s="60" t="s">
        <v>73</v>
      </c>
      <c r="AH2422" s="60" t="s">
        <v>9057</v>
      </c>
      <c r="AI2422">
        <f>IF(AND(OR(Company_Explorer!$B$5="All Companies",$E2422=Company_Explorer!$B$5),OR(Company_Explorer!$B$6="All Platforms",$B2422=Company_Explorer!$B$6),OR(Company_Explorer!$B$7="All Roles",$D2422=Company_Explorer!$B$7),OR(Company_Explorer!$B$8="All Ghost Labels",$AG2422=Company_Explorer!$B$8)),1,0)</f>
        <v>0</v>
      </c>
    </row>
    <row r="2423" spans="1:35" ht="15" customHeight="1" x14ac:dyDescent="0.3">
      <c r="A2423" s="65" t="s">
        <v>9058</v>
      </c>
      <c r="B2423" s="65" t="s">
        <v>82</v>
      </c>
      <c r="C2423" s="65" t="s">
        <v>9059</v>
      </c>
      <c r="D2423" s="65" t="s">
        <v>129</v>
      </c>
      <c r="E2423" s="65" t="s">
        <v>8259</v>
      </c>
      <c r="F2423" s="65" t="b">
        <f>TRUE()</f>
        <v>1</v>
      </c>
      <c r="G2423" s="65" t="s">
        <v>165</v>
      </c>
      <c r="H2423" s="65" t="s">
        <v>165</v>
      </c>
      <c r="I2423" s="66">
        <v>46190</v>
      </c>
      <c r="J2423" s="66">
        <v>46210.285962314803</v>
      </c>
      <c r="K2423" s="65">
        <v>20</v>
      </c>
      <c r="L2423" s="65" t="s">
        <v>192</v>
      </c>
      <c r="M2423" s="65" t="s">
        <v>183</v>
      </c>
      <c r="N2423" s="65" t="b">
        <f>FALSE()</f>
        <v>0</v>
      </c>
      <c r="O2423" s="65"/>
      <c r="P2423" s="65"/>
      <c r="Q2423" s="65" t="s">
        <v>3663</v>
      </c>
      <c r="R2423" s="65" t="s">
        <v>236</v>
      </c>
      <c r="S2423" s="65"/>
      <c r="T2423" s="65" t="b">
        <f>FALSE()</f>
        <v>0</v>
      </c>
      <c r="U2423" s="65" t="b">
        <f>FALSE()</f>
        <v>0</v>
      </c>
      <c r="V2423" s="65">
        <v>657</v>
      </c>
      <c r="W2423" s="67" t="s">
        <v>9060</v>
      </c>
      <c r="X2423" s="65">
        <v>2</v>
      </c>
      <c r="Y2423" s="68">
        <v>0.48</v>
      </c>
      <c r="Z2423" s="65" t="b">
        <f>FALSE()</f>
        <v>0</v>
      </c>
      <c r="AA2423" s="65" t="b">
        <f>TRUE()</f>
        <v>1</v>
      </c>
      <c r="AB2423" s="65" t="b">
        <f>FALSE()</f>
        <v>0</v>
      </c>
      <c r="AC2423" s="65" t="b">
        <f>FALSE()</f>
        <v>0</v>
      </c>
      <c r="AD2423" s="65" t="b">
        <f>FALSE()</f>
        <v>0</v>
      </c>
      <c r="AE2423" s="65">
        <v>1</v>
      </c>
      <c r="AF2423" s="69">
        <v>14.3</v>
      </c>
      <c r="AG2423" s="65" t="s">
        <v>74</v>
      </c>
      <c r="AH2423" s="65" t="s">
        <v>9061</v>
      </c>
      <c r="AI2423">
        <f>IF(AND(OR(Company_Explorer!$B$5="All Companies",$E2423=Company_Explorer!$B$5),OR(Company_Explorer!$B$6="All Platforms",$B2423=Company_Explorer!$B$6),OR(Company_Explorer!$B$7="All Roles",$D2423=Company_Explorer!$B$7),OR(Company_Explorer!$B$8="All Ghost Labels",$AG2423=Company_Explorer!$B$8)),1,0)</f>
        <v>0</v>
      </c>
    </row>
    <row r="2424" spans="1:35" ht="15" customHeight="1" x14ac:dyDescent="0.3">
      <c r="A2424" s="60" t="s">
        <v>9062</v>
      </c>
      <c r="B2424" s="60" t="s">
        <v>82</v>
      </c>
      <c r="C2424" s="60" t="s">
        <v>9063</v>
      </c>
      <c r="D2424" s="60" t="s">
        <v>125</v>
      </c>
      <c r="E2424" s="60" t="s">
        <v>9064</v>
      </c>
      <c r="F2424" s="60" t="b">
        <f>TRUE()</f>
        <v>1</v>
      </c>
      <c r="G2424" s="60" t="s">
        <v>165</v>
      </c>
      <c r="H2424" s="60" t="s">
        <v>165</v>
      </c>
      <c r="I2424" s="61">
        <v>46208</v>
      </c>
      <c r="J2424" s="61">
        <v>46210.285963078699</v>
      </c>
      <c r="K2424" s="60">
        <v>33</v>
      </c>
      <c r="L2424" s="60" t="s">
        <v>192</v>
      </c>
      <c r="M2424" s="60" t="s">
        <v>183</v>
      </c>
      <c r="N2424" s="60" t="b">
        <f>TRUE()</f>
        <v>1</v>
      </c>
      <c r="O2424" s="70">
        <v>20000</v>
      </c>
      <c r="P2424" s="70">
        <v>50000</v>
      </c>
      <c r="Q2424" s="60" t="s">
        <v>3663</v>
      </c>
      <c r="R2424" s="60" t="s">
        <v>7445</v>
      </c>
      <c r="S2424" s="70">
        <v>420000</v>
      </c>
      <c r="T2424" s="60" t="b">
        <f>TRUE()</f>
        <v>1</v>
      </c>
      <c r="U2424" s="60" t="b">
        <f>FALSE()</f>
        <v>0</v>
      </c>
      <c r="V2424" s="60">
        <v>441</v>
      </c>
      <c r="W2424" s="62" t="s">
        <v>9065</v>
      </c>
      <c r="X2424" s="60">
        <v>1</v>
      </c>
      <c r="Y2424" s="63">
        <v>0.24</v>
      </c>
      <c r="Z2424" s="60" t="b">
        <f>FALSE()</f>
        <v>0</v>
      </c>
      <c r="AA2424" s="60" t="b">
        <f>FALSE()</f>
        <v>0</v>
      </c>
      <c r="AB2424" s="60" t="b">
        <f>FALSE()</f>
        <v>0</v>
      </c>
      <c r="AC2424" s="60" t="b">
        <f>FALSE()</f>
        <v>0</v>
      </c>
      <c r="AD2424" s="60" t="b">
        <f>FALSE()</f>
        <v>0</v>
      </c>
      <c r="AE2424" s="60">
        <v>0</v>
      </c>
      <c r="AF2424" s="64">
        <v>0</v>
      </c>
      <c r="AG2424" s="60" t="s">
        <v>74</v>
      </c>
      <c r="AH2424" s="60" t="s">
        <v>9066</v>
      </c>
      <c r="AI2424">
        <f>IF(AND(OR(Company_Explorer!$B$5="All Companies",$E2424=Company_Explorer!$B$5),OR(Company_Explorer!$B$6="All Platforms",$B2424=Company_Explorer!$B$6),OR(Company_Explorer!$B$7="All Roles",$D2424=Company_Explorer!$B$7),OR(Company_Explorer!$B$8="All Ghost Labels",$AG2424=Company_Explorer!$B$8)),1,0)</f>
        <v>0</v>
      </c>
    </row>
    <row r="2425" spans="1:35" ht="15" customHeight="1" x14ac:dyDescent="0.3">
      <c r="A2425" s="65" t="s">
        <v>9067</v>
      </c>
      <c r="B2425" s="65" t="s">
        <v>82</v>
      </c>
      <c r="C2425" s="65" t="s">
        <v>9068</v>
      </c>
      <c r="D2425" s="65" t="s">
        <v>129</v>
      </c>
      <c r="E2425" s="65" t="s">
        <v>9069</v>
      </c>
      <c r="F2425" s="65" t="b">
        <f>TRUE()</f>
        <v>1</v>
      </c>
      <c r="G2425" s="65" t="s">
        <v>9070</v>
      </c>
      <c r="H2425" s="65" t="s">
        <v>430</v>
      </c>
      <c r="I2425" s="66">
        <v>46201</v>
      </c>
      <c r="J2425" s="66">
        <v>46210.285966469899</v>
      </c>
      <c r="K2425" s="65">
        <v>129</v>
      </c>
      <c r="L2425" s="65" t="s">
        <v>183</v>
      </c>
      <c r="M2425" s="65" t="s">
        <v>183</v>
      </c>
      <c r="N2425" s="65" t="b">
        <f>TRUE()</f>
        <v>1</v>
      </c>
      <c r="O2425" s="71">
        <v>315000</v>
      </c>
      <c r="P2425" s="71">
        <v>830990</v>
      </c>
      <c r="Q2425" s="65" t="s">
        <v>3663</v>
      </c>
      <c r="R2425" s="65" t="s">
        <v>7351</v>
      </c>
      <c r="S2425" s="71">
        <v>572995</v>
      </c>
      <c r="T2425" s="65" t="b">
        <f>TRUE()</f>
        <v>1</v>
      </c>
      <c r="U2425" s="65" t="b">
        <f>FALSE()</f>
        <v>0</v>
      </c>
      <c r="V2425" s="65">
        <v>135</v>
      </c>
      <c r="W2425" s="67" t="s">
        <v>9071</v>
      </c>
      <c r="X2425" s="65">
        <v>1</v>
      </c>
      <c r="Y2425" s="68">
        <v>0.24</v>
      </c>
      <c r="Z2425" s="65" t="b">
        <f>FALSE()</f>
        <v>0</v>
      </c>
      <c r="AA2425" s="65" t="b">
        <f>FALSE()</f>
        <v>0</v>
      </c>
      <c r="AB2425" s="65" t="b">
        <f>TRUE()</f>
        <v>1</v>
      </c>
      <c r="AC2425" s="65" t="b">
        <f>TRUE()</f>
        <v>1</v>
      </c>
      <c r="AD2425" s="65" t="b">
        <f>FALSE()</f>
        <v>0</v>
      </c>
      <c r="AE2425" s="65">
        <v>2</v>
      </c>
      <c r="AF2425" s="69">
        <v>28.6</v>
      </c>
      <c r="AG2425" s="65" t="s">
        <v>73</v>
      </c>
      <c r="AH2425" s="65" t="s">
        <v>9072</v>
      </c>
      <c r="AI2425">
        <f>IF(AND(OR(Company_Explorer!$B$5="All Companies",$E2425=Company_Explorer!$B$5),OR(Company_Explorer!$B$6="All Platforms",$B2425=Company_Explorer!$B$6),OR(Company_Explorer!$B$7="All Roles",$D2425=Company_Explorer!$B$7),OR(Company_Explorer!$B$8="All Ghost Labels",$AG2425=Company_Explorer!$B$8)),1,0)</f>
        <v>0</v>
      </c>
    </row>
    <row r="2426" spans="1:35" ht="15" customHeight="1" x14ac:dyDescent="0.3">
      <c r="A2426" s="60" t="s">
        <v>9073</v>
      </c>
      <c r="B2426" s="60" t="s">
        <v>82</v>
      </c>
      <c r="C2426" s="60" t="s">
        <v>2553</v>
      </c>
      <c r="D2426" s="60" t="s">
        <v>125</v>
      </c>
      <c r="E2426" s="60" t="s">
        <v>9074</v>
      </c>
      <c r="F2426" s="60" t="b">
        <f>TRUE()</f>
        <v>1</v>
      </c>
      <c r="G2426" s="60" t="s">
        <v>167</v>
      </c>
      <c r="H2426" s="60" t="s">
        <v>276</v>
      </c>
      <c r="I2426" s="61">
        <v>46195</v>
      </c>
      <c r="J2426" s="61">
        <v>46210.285968588003</v>
      </c>
      <c r="K2426" s="60">
        <v>531</v>
      </c>
      <c r="L2426" s="60" t="s">
        <v>192</v>
      </c>
      <c r="M2426" s="60" t="s">
        <v>183</v>
      </c>
      <c r="N2426" s="60" t="b">
        <f>FALSE()</f>
        <v>0</v>
      </c>
      <c r="O2426" s="60"/>
      <c r="P2426" s="60"/>
      <c r="Q2426" s="60" t="s">
        <v>3663</v>
      </c>
      <c r="R2426" s="60" t="s">
        <v>7351</v>
      </c>
      <c r="S2426" s="60"/>
      <c r="T2426" s="60" t="b">
        <f>FALSE()</f>
        <v>0</v>
      </c>
      <c r="U2426" s="60" t="b">
        <f>FALSE()</f>
        <v>0</v>
      </c>
      <c r="V2426" s="60">
        <v>178</v>
      </c>
      <c r="W2426" s="62" t="s">
        <v>9075</v>
      </c>
      <c r="X2426" s="60">
        <v>1</v>
      </c>
      <c r="Y2426" s="63">
        <v>0.24</v>
      </c>
      <c r="Z2426" s="60" t="b">
        <f>FALSE()</f>
        <v>0</v>
      </c>
      <c r="AA2426" s="60" t="b">
        <f>TRUE()</f>
        <v>1</v>
      </c>
      <c r="AB2426" s="60" t="b">
        <f>TRUE()</f>
        <v>1</v>
      </c>
      <c r="AC2426" s="60" t="b">
        <f>TRUE()</f>
        <v>1</v>
      </c>
      <c r="AD2426" s="60" t="b">
        <f>FALSE()</f>
        <v>0</v>
      </c>
      <c r="AE2426" s="60">
        <v>3</v>
      </c>
      <c r="AF2426" s="64">
        <v>42.9</v>
      </c>
      <c r="AG2426" s="60" t="s">
        <v>73</v>
      </c>
      <c r="AH2426" s="60" t="s">
        <v>9076</v>
      </c>
      <c r="AI2426">
        <f>IF(AND(OR(Company_Explorer!$B$5="All Companies",$E2426=Company_Explorer!$B$5),OR(Company_Explorer!$B$6="All Platforms",$B2426=Company_Explorer!$B$6),OR(Company_Explorer!$B$7="All Roles",$D2426=Company_Explorer!$B$7),OR(Company_Explorer!$B$8="All Ghost Labels",$AG2426=Company_Explorer!$B$8)),1,0)</f>
        <v>0</v>
      </c>
    </row>
    <row r="2427" spans="1:35" ht="15" customHeight="1" x14ac:dyDescent="0.3">
      <c r="A2427" s="65" t="s">
        <v>9077</v>
      </c>
      <c r="B2427" s="65" t="s">
        <v>82</v>
      </c>
      <c r="C2427" s="65" t="s">
        <v>3538</v>
      </c>
      <c r="D2427" s="65" t="s">
        <v>129</v>
      </c>
      <c r="E2427" s="65" t="s">
        <v>9078</v>
      </c>
      <c r="F2427" s="65" t="b">
        <f>TRUE()</f>
        <v>1</v>
      </c>
      <c r="G2427" s="65" t="s">
        <v>753</v>
      </c>
      <c r="H2427" s="65" t="s">
        <v>754</v>
      </c>
      <c r="I2427" s="66">
        <v>46193</v>
      </c>
      <c r="J2427" s="66">
        <v>46210.285969919001</v>
      </c>
      <c r="K2427" s="65">
        <v>137</v>
      </c>
      <c r="L2427" s="65" t="s">
        <v>183</v>
      </c>
      <c r="M2427" s="65" t="s">
        <v>183</v>
      </c>
      <c r="N2427" s="65" t="b">
        <f>TRUE()</f>
        <v>1</v>
      </c>
      <c r="O2427" s="71">
        <v>500000</v>
      </c>
      <c r="P2427" s="71">
        <v>550000</v>
      </c>
      <c r="Q2427" s="65" t="s">
        <v>3663</v>
      </c>
      <c r="R2427" s="65" t="s">
        <v>7351</v>
      </c>
      <c r="S2427" s="71">
        <v>525000</v>
      </c>
      <c r="T2427" s="65" t="b">
        <f>TRUE()</f>
        <v>1</v>
      </c>
      <c r="U2427" s="65" t="b">
        <f>FALSE()</f>
        <v>0</v>
      </c>
      <c r="V2427" s="65">
        <v>335</v>
      </c>
      <c r="W2427" s="67" t="s">
        <v>9079</v>
      </c>
      <c r="X2427" s="65">
        <v>1</v>
      </c>
      <c r="Y2427" s="68">
        <v>0.24</v>
      </c>
      <c r="Z2427" s="65" t="b">
        <f>FALSE()</f>
        <v>0</v>
      </c>
      <c r="AA2427" s="65" t="b">
        <f>FALSE()</f>
        <v>0</v>
      </c>
      <c r="AB2427" s="65" t="b">
        <f>FALSE()</f>
        <v>0</v>
      </c>
      <c r="AC2427" s="65" t="b">
        <f>TRUE()</f>
        <v>1</v>
      </c>
      <c r="AD2427" s="65" t="b">
        <f>FALSE()</f>
        <v>0</v>
      </c>
      <c r="AE2427" s="65">
        <v>1</v>
      </c>
      <c r="AF2427" s="69">
        <v>14.3</v>
      </c>
      <c r="AG2427" s="65" t="s">
        <v>74</v>
      </c>
      <c r="AH2427" s="65" t="s">
        <v>9080</v>
      </c>
      <c r="AI2427">
        <f>IF(AND(OR(Company_Explorer!$B$5="All Companies",$E2427=Company_Explorer!$B$5),OR(Company_Explorer!$B$6="All Platforms",$B2427=Company_Explorer!$B$6),OR(Company_Explorer!$B$7="All Roles",$D2427=Company_Explorer!$B$7),OR(Company_Explorer!$B$8="All Ghost Labels",$AG2427=Company_Explorer!$B$8)),1,0)</f>
        <v>0</v>
      </c>
    </row>
    <row r="2428" spans="1:35" ht="15" customHeight="1" x14ac:dyDescent="0.3">
      <c r="A2428" s="60" t="s">
        <v>9081</v>
      </c>
      <c r="B2428" s="60" t="s">
        <v>82</v>
      </c>
      <c r="C2428" s="60" t="s">
        <v>3323</v>
      </c>
      <c r="D2428" s="60" t="s">
        <v>129</v>
      </c>
      <c r="E2428" s="60" t="s">
        <v>3726</v>
      </c>
      <c r="F2428" s="60" t="b">
        <f>FALSE()</f>
        <v>0</v>
      </c>
      <c r="G2428" s="60" t="s">
        <v>165</v>
      </c>
      <c r="H2428" s="60" t="s">
        <v>165</v>
      </c>
      <c r="I2428" s="61">
        <v>46190</v>
      </c>
      <c r="J2428" s="61">
        <v>46210.285969895798</v>
      </c>
      <c r="K2428" s="60">
        <v>20</v>
      </c>
      <c r="L2428" s="60" t="s">
        <v>192</v>
      </c>
      <c r="M2428" s="60" t="s">
        <v>183</v>
      </c>
      <c r="N2428" s="60" t="b">
        <f>TRUE()</f>
        <v>1</v>
      </c>
      <c r="O2428" s="70">
        <v>35000</v>
      </c>
      <c r="P2428" s="70">
        <v>50000</v>
      </c>
      <c r="Q2428" s="60" t="s">
        <v>3663</v>
      </c>
      <c r="R2428" s="60" t="s">
        <v>7445</v>
      </c>
      <c r="S2428" s="70">
        <v>510000</v>
      </c>
      <c r="T2428" s="60" t="b">
        <f>TRUE()</f>
        <v>1</v>
      </c>
      <c r="U2428" s="60" t="b">
        <f>FALSE()</f>
        <v>0</v>
      </c>
      <c r="V2428" s="60">
        <v>508</v>
      </c>
      <c r="W2428" s="62" t="s">
        <v>9082</v>
      </c>
      <c r="X2428" s="60"/>
      <c r="Y2428" s="63"/>
      <c r="Z2428" s="60" t="b">
        <f>TRUE()</f>
        <v>1</v>
      </c>
      <c r="AA2428" s="60" t="b">
        <f>FALSE()</f>
        <v>0</v>
      </c>
      <c r="AB2428" s="60" t="b">
        <f>FALSE()</f>
        <v>0</v>
      </c>
      <c r="AC2428" s="60" t="b">
        <f>FALSE()</f>
        <v>0</v>
      </c>
      <c r="AD2428" s="60" t="b">
        <f>FALSE()</f>
        <v>0</v>
      </c>
      <c r="AE2428" s="60">
        <v>2</v>
      </c>
      <c r="AF2428" s="64">
        <v>28.6</v>
      </c>
      <c r="AG2428" s="60" t="s">
        <v>73</v>
      </c>
      <c r="AH2428" s="60" t="s">
        <v>9083</v>
      </c>
      <c r="AI2428">
        <f>IF(AND(OR(Company_Explorer!$B$5="All Companies",$E2428=Company_Explorer!$B$5),OR(Company_Explorer!$B$6="All Platforms",$B2428=Company_Explorer!$B$6),OR(Company_Explorer!$B$7="All Roles",$D2428=Company_Explorer!$B$7),OR(Company_Explorer!$B$8="All Ghost Labels",$AG2428=Company_Explorer!$B$8)),1,0)</f>
        <v>0</v>
      </c>
    </row>
    <row r="2429" spans="1:35" ht="15" customHeight="1" x14ac:dyDescent="0.3">
      <c r="A2429" s="65" t="s">
        <v>9084</v>
      </c>
      <c r="B2429" s="65" t="s">
        <v>82</v>
      </c>
      <c r="C2429" s="65" t="s">
        <v>8191</v>
      </c>
      <c r="D2429" s="65" t="s">
        <v>125</v>
      </c>
      <c r="E2429" s="65" t="s">
        <v>9085</v>
      </c>
      <c r="F2429" s="65" t="b">
        <f>TRUE()</f>
        <v>1</v>
      </c>
      <c r="G2429" s="65" t="s">
        <v>9086</v>
      </c>
      <c r="H2429" s="65" t="s">
        <v>2066</v>
      </c>
      <c r="I2429" s="66">
        <v>46197</v>
      </c>
      <c r="J2429" s="66">
        <v>46210.285970266203</v>
      </c>
      <c r="K2429" s="65">
        <v>133</v>
      </c>
      <c r="L2429" s="65" t="s">
        <v>183</v>
      </c>
      <c r="M2429" s="65" t="s">
        <v>183</v>
      </c>
      <c r="N2429" s="65" t="b">
        <f>TRUE()</f>
        <v>1</v>
      </c>
      <c r="O2429" s="71">
        <v>25000</v>
      </c>
      <c r="P2429" s="71">
        <v>30000</v>
      </c>
      <c r="Q2429" s="65" t="s">
        <v>3663</v>
      </c>
      <c r="R2429" s="65" t="s">
        <v>7445</v>
      </c>
      <c r="S2429" s="71">
        <v>330000</v>
      </c>
      <c r="T2429" s="65" t="b">
        <f>TRUE()</f>
        <v>1</v>
      </c>
      <c r="U2429" s="65" t="b">
        <f>FALSE()</f>
        <v>0</v>
      </c>
      <c r="V2429" s="65">
        <v>32</v>
      </c>
      <c r="W2429" s="67" t="s">
        <v>9087</v>
      </c>
      <c r="X2429" s="65">
        <v>1</v>
      </c>
      <c r="Y2429" s="68">
        <v>0.24</v>
      </c>
      <c r="Z2429" s="65" t="b">
        <f>FALSE()</f>
        <v>0</v>
      </c>
      <c r="AA2429" s="65" t="b">
        <f>FALSE()</f>
        <v>0</v>
      </c>
      <c r="AB2429" s="65" t="b">
        <f>TRUE()</f>
        <v>1</v>
      </c>
      <c r="AC2429" s="65" t="b">
        <f>TRUE()</f>
        <v>1</v>
      </c>
      <c r="AD2429" s="65" t="b">
        <f>FALSE()</f>
        <v>0</v>
      </c>
      <c r="AE2429" s="65">
        <v>2</v>
      </c>
      <c r="AF2429" s="69">
        <v>28.6</v>
      </c>
      <c r="AG2429" s="65" t="s">
        <v>73</v>
      </c>
      <c r="AH2429" s="65" t="s">
        <v>9088</v>
      </c>
      <c r="AI2429">
        <f>IF(AND(OR(Company_Explorer!$B$5="All Companies",$E2429=Company_Explorer!$B$5),OR(Company_Explorer!$B$6="All Platforms",$B2429=Company_Explorer!$B$6),OR(Company_Explorer!$B$7="All Roles",$D2429=Company_Explorer!$B$7),OR(Company_Explorer!$B$8="All Ghost Labels",$AG2429=Company_Explorer!$B$8)),1,0)</f>
        <v>0</v>
      </c>
    </row>
    <row r="2430" spans="1:35" ht="15" customHeight="1" x14ac:dyDescent="0.3">
      <c r="A2430" s="60" t="s">
        <v>9089</v>
      </c>
      <c r="B2430" s="60" t="s">
        <v>82</v>
      </c>
      <c r="C2430" s="60" t="s">
        <v>7917</v>
      </c>
      <c r="D2430" s="60" t="s">
        <v>125</v>
      </c>
      <c r="E2430" s="60" t="s">
        <v>9090</v>
      </c>
      <c r="F2430" s="60" t="b">
        <f>TRUE()</f>
        <v>1</v>
      </c>
      <c r="G2430" s="60" t="s">
        <v>165</v>
      </c>
      <c r="H2430" s="60" t="s">
        <v>165</v>
      </c>
      <c r="I2430" s="61">
        <v>46205</v>
      </c>
      <c r="J2430" s="61">
        <v>46210.285972708298</v>
      </c>
      <c r="K2430" s="60">
        <v>96</v>
      </c>
      <c r="L2430" s="60" t="s">
        <v>183</v>
      </c>
      <c r="M2430" s="60" t="s">
        <v>183</v>
      </c>
      <c r="N2430" s="60" t="b">
        <f>FALSE()</f>
        <v>0</v>
      </c>
      <c r="O2430" s="60"/>
      <c r="P2430" s="60"/>
      <c r="Q2430" s="60" t="s">
        <v>3663</v>
      </c>
      <c r="R2430" s="60" t="s">
        <v>236</v>
      </c>
      <c r="S2430" s="60"/>
      <c r="T2430" s="60" t="b">
        <f>FALSE()</f>
        <v>0</v>
      </c>
      <c r="U2430" s="60" t="b">
        <f>FALSE()</f>
        <v>0</v>
      </c>
      <c r="V2430" s="60">
        <v>212</v>
      </c>
      <c r="W2430" s="62" t="s">
        <v>9091</v>
      </c>
      <c r="X2430" s="60">
        <v>1</v>
      </c>
      <c r="Y2430" s="63">
        <v>0.24</v>
      </c>
      <c r="Z2430" s="60" t="b">
        <f>FALSE()</f>
        <v>0</v>
      </c>
      <c r="AA2430" s="60" t="b">
        <f>TRUE()</f>
        <v>1</v>
      </c>
      <c r="AB2430" s="60" t="b">
        <f>TRUE()</f>
        <v>1</v>
      </c>
      <c r="AC2430" s="60" t="b">
        <f>FALSE()</f>
        <v>0</v>
      </c>
      <c r="AD2430" s="60" t="b">
        <f>FALSE()</f>
        <v>0</v>
      </c>
      <c r="AE2430" s="60">
        <v>2</v>
      </c>
      <c r="AF2430" s="64">
        <v>28.6</v>
      </c>
      <c r="AG2430" s="60" t="s">
        <v>73</v>
      </c>
      <c r="AH2430" s="60" t="s">
        <v>9092</v>
      </c>
      <c r="AI2430">
        <f>IF(AND(OR(Company_Explorer!$B$5="All Companies",$E2430=Company_Explorer!$B$5),OR(Company_Explorer!$B$6="All Platforms",$B2430=Company_Explorer!$B$6),OR(Company_Explorer!$B$7="All Roles",$D2430=Company_Explorer!$B$7),OR(Company_Explorer!$B$8="All Ghost Labels",$AG2430=Company_Explorer!$B$8)),1,0)</f>
        <v>0</v>
      </c>
    </row>
    <row r="2431" spans="1:35" ht="15" customHeight="1" x14ac:dyDescent="0.3">
      <c r="A2431" s="65" t="s">
        <v>9093</v>
      </c>
      <c r="B2431" s="65" t="s">
        <v>82</v>
      </c>
      <c r="C2431" s="65" t="s">
        <v>9094</v>
      </c>
      <c r="D2431" s="65" t="s">
        <v>129</v>
      </c>
      <c r="E2431" s="65" t="s">
        <v>9095</v>
      </c>
      <c r="F2431" s="65" t="b">
        <f>TRUE()</f>
        <v>1</v>
      </c>
      <c r="G2431" s="65" t="s">
        <v>165</v>
      </c>
      <c r="H2431" s="65" t="s">
        <v>165</v>
      </c>
      <c r="I2431" s="66">
        <v>46196</v>
      </c>
      <c r="J2431" s="66">
        <v>46210.285973912003</v>
      </c>
      <c r="K2431" s="65">
        <v>14</v>
      </c>
      <c r="L2431" s="65" t="s">
        <v>192</v>
      </c>
      <c r="M2431" s="65" t="s">
        <v>183</v>
      </c>
      <c r="N2431" s="65" t="b">
        <f>FALSE()</f>
        <v>0</v>
      </c>
      <c r="O2431" s="65"/>
      <c r="P2431" s="65"/>
      <c r="Q2431" s="65" t="s">
        <v>3663</v>
      </c>
      <c r="R2431" s="65" t="s">
        <v>236</v>
      </c>
      <c r="S2431" s="65"/>
      <c r="T2431" s="65" t="b">
        <f>FALSE()</f>
        <v>0</v>
      </c>
      <c r="U2431" s="65" t="b">
        <f>FALSE()</f>
        <v>0</v>
      </c>
      <c r="V2431" s="65">
        <v>884</v>
      </c>
      <c r="W2431" s="67" t="s">
        <v>9096</v>
      </c>
      <c r="X2431" s="65">
        <v>1</v>
      </c>
      <c r="Y2431" s="68">
        <v>0.24</v>
      </c>
      <c r="Z2431" s="65" t="b">
        <f>FALSE()</f>
        <v>0</v>
      </c>
      <c r="AA2431" s="65" t="b">
        <f>TRUE()</f>
        <v>1</v>
      </c>
      <c r="AB2431" s="65" t="b">
        <f>FALSE()</f>
        <v>0</v>
      </c>
      <c r="AC2431" s="65" t="b">
        <f>FALSE()</f>
        <v>0</v>
      </c>
      <c r="AD2431" s="65" t="b">
        <f>FALSE()</f>
        <v>0</v>
      </c>
      <c r="AE2431" s="65">
        <v>1</v>
      </c>
      <c r="AF2431" s="69">
        <v>14.3</v>
      </c>
      <c r="AG2431" s="65" t="s">
        <v>74</v>
      </c>
      <c r="AH2431" s="65" t="s">
        <v>9097</v>
      </c>
      <c r="AI2431">
        <f>IF(AND(OR(Company_Explorer!$B$5="All Companies",$E2431=Company_Explorer!$B$5),OR(Company_Explorer!$B$6="All Platforms",$B2431=Company_Explorer!$B$6),OR(Company_Explorer!$B$7="All Roles",$D2431=Company_Explorer!$B$7),OR(Company_Explorer!$B$8="All Ghost Labels",$AG2431=Company_Explorer!$B$8)),1,0)</f>
        <v>0</v>
      </c>
    </row>
    <row r="2432" spans="1:35" ht="15" customHeight="1" x14ac:dyDescent="0.3">
      <c r="A2432" s="60" t="s">
        <v>9098</v>
      </c>
      <c r="B2432" s="60" t="s">
        <v>82</v>
      </c>
      <c r="C2432" s="60" t="s">
        <v>306</v>
      </c>
      <c r="D2432" s="60" t="s">
        <v>125</v>
      </c>
      <c r="E2432" s="60" t="s">
        <v>9099</v>
      </c>
      <c r="F2432" s="60" t="b">
        <f>TRUE()</f>
        <v>1</v>
      </c>
      <c r="G2432" s="60" t="s">
        <v>171</v>
      </c>
      <c r="H2432" s="60" t="s">
        <v>254</v>
      </c>
      <c r="I2432" s="61">
        <v>46193</v>
      </c>
      <c r="J2432" s="61">
        <v>46210.285974050901</v>
      </c>
      <c r="K2432" s="60">
        <v>137</v>
      </c>
      <c r="L2432" s="60" t="s">
        <v>183</v>
      </c>
      <c r="M2432" s="60" t="s">
        <v>183</v>
      </c>
      <c r="N2432" s="60" t="b">
        <f>TRUE()</f>
        <v>1</v>
      </c>
      <c r="O2432" s="70">
        <v>285000</v>
      </c>
      <c r="P2432" s="70">
        <v>700000</v>
      </c>
      <c r="Q2432" s="60" t="s">
        <v>3663</v>
      </c>
      <c r="R2432" s="60" t="s">
        <v>7351</v>
      </c>
      <c r="S2432" s="70">
        <v>492500</v>
      </c>
      <c r="T2432" s="60" t="b">
        <f>TRUE()</f>
        <v>1</v>
      </c>
      <c r="U2432" s="60" t="b">
        <f>FALSE()</f>
        <v>0</v>
      </c>
      <c r="V2432" s="60">
        <v>222</v>
      </c>
      <c r="W2432" s="62" t="s">
        <v>9100</v>
      </c>
      <c r="X2432" s="60">
        <v>1</v>
      </c>
      <c r="Y2432" s="63">
        <v>0.24</v>
      </c>
      <c r="Z2432" s="60" t="b">
        <f>FALSE()</f>
        <v>0</v>
      </c>
      <c r="AA2432" s="60" t="b">
        <f>FALSE()</f>
        <v>0</v>
      </c>
      <c r="AB2432" s="60" t="b">
        <f>FALSE()</f>
        <v>0</v>
      </c>
      <c r="AC2432" s="60" t="b">
        <f>TRUE()</f>
        <v>1</v>
      </c>
      <c r="AD2432" s="60" t="b">
        <f>FALSE()</f>
        <v>0</v>
      </c>
      <c r="AE2432" s="60">
        <v>1</v>
      </c>
      <c r="AF2432" s="64">
        <v>14.3</v>
      </c>
      <c r="AG2432" s="60" t="s">
        <v>74</v>
      </c>
      <c r="AH2432" s="60" t="s">
        <v>9101</v>
      </c>
      <c r="AI2432">
        <f>IF(AND(OR(Company_Explorer!$B$5="All Companies",$E2432=Company_Explorer!$B$5),OR(Company_Explorer!$B$6="All Platforms",$B2432=Company_Explorer!$B$6),OR(Company_Explorer!$B$7="All Roles",$D2432=Company_Explorer!$B$7),OR(Company_Explorer!$B$8="All Ghost Labels",$AG2432=Company_Explorer!$B$8)),1,0)</f>
        <v>0</v>
      </c>
    </row>
    <row r="2433" spans="1:35" ht="15" customHeight="1" x14ac:dyDescent="0.3">
      <c r="A2433" s="65" t="s">
        <v>9102</v>
      </c>
      <c r="B2433" s="65" t="s">
        <v>82</v>
      </c>
      <c r="C2433" s="65" t="s">
        <v>9103</v>
      </c>
      <c r="D2433" s="65" t="s">
        <v>129</v>
      </c>
      <c r="E2433" s="65" t="s">
        <v>9104</v>
      </c>
      <c r="F2433" s="65" t="b">
        <f>TRUE()</f>
        <v>1</v>
      </c>
      <c r="G2433" s="65" t="s">
        <v>753</v>
      </c>
      <c r="H2433" s="65" t="s">
        <v>754</v>
      </c>
      <c r="I2433" s="66">
        <v>46193</v>
      </c>
      <c r="J2433" s="66">
        <v>46210.285976423598</v>
      </c>
      <c r="K2433" s="65">
        <v>137</v>
      </c>
      <c r="L2433" s="65" t="s">
        <v>183</v>
      </c>
      <c r="M2433" s="65" t="s">
        <v>183</v>
      </c>
      <c r="N2433" s="65" t="b">
        <f>TRUE()</f>
        <v>1</v>
      </c>
      <c r="O2433" s="71">
        <v>300000</v>
      </c>
      <c r="P2433" s="71">
        <v>890000</v>
      </c>
      <c r="Q2433" s="65" t="s">
        <v>3663</v>
      </c>
      <c r="R2433" s="65" t="s">
        <v>7351</v>
      </c>
      <c r="S2433" s="71">
        <v>595000</v>
      </c>
      <c r="T2433" s="65" t="b">
        <f>TRUE()</f>
        <v>1</v>
      </c>
      <c r="U2433" s="65" t="b">
        <f>FALSE()</f>
        <v>0</v>
      </c>
      <c r="V2433" s="65">
        <v>117</v>
      </c>
      <c r="W2433" s="67" t="s">
        <v>9105</v>
      </c>
      <c r="X2433" s="65">
        <v>1</v>
      </c>
      <c r="Y2433" s="68">
        <v>0.24</v>
      </c>
      <c r="Z2433" s="65" t="b">
        <f>FALSE()</f>
        <v>0</v>
      </c>
      <c r="AA2433" s="65" t="b">
        <f>FALSE()</f>
        <v>0</v>
      </c>
      <c r="AB2433" s="65" t="b">
        <f>TRUE()</f>
        <v>1</v>
      </c>
      <c r="AC2433" s="65" t="b">
        <f>TRUE()</f>
        <v>1</v>
      </c>
      <c r="AD2433" s="65" t="b">
        <f>FALSE()</f>
        <v>0</v>
      </c>
      <c r="AE2433" s="65">
        <v>2</v>
      </c>
      <c r="AF2433" s="69">
        <v>28.6</v>
      </c>
      <c r="AG2433" s="65" t="s">
        <v>73</v>
      </c>
      <c r="AH2433" s="65" t="s">
        <v>9106</v>
      </c>
      <c r="AI2433">
        <f>IF(AND(OR(Company_Explorer!$B$5="All Companies",$E2433=Company_Explorer!$B$5),OR(Company_Explorer!$B$6="All Platforms",$B2433=Company_Explorer!$B$6),OR(Company_Explorer!$B$7="All Roles",$D2433=Company_Explorer!$B$7),OR(Company_Explorer!$B$8="All Ghost Labels",$AG2433=Company_Explorer!$B$8)),1,0)</f>
        <v>0</v>
      </c>
    </row>
    <row r="2434" spans="1:35" ht="15" customHeight="1" x14ac:dyDescent="0.3">
      <c r="A2434" s="60" t="s">
        <v>9107</v>
      </c>
      <c r="B2434" s="60" t="s">
        <v>82</v>
      </c>
      <c r="C2434" s="60" t="s">
        <v>9108</v>
      </c>
      <c r="D2434" s="60" t="s">
        <v>125</v>
      </c>
      <c r="E2434" s="60" t="s">
        <v>9109</v>
      </c>
      <c r="F2434" s="60" t="b">
        <f>TRUE()</f>
        <v>1</v>
      </c>
      <c r="G2434" s="60" t="s">
        <v>165</v>
      </c>
      <c r="H2434" s="60" t="s">
        <v>165</v>
      </c>
      <c r="I2434" s="61">
        <v>46201</v>
      </c>
      <c r="J2434" s="61">
        <v>46210.285977060201</v>
      </c>
      <c r="K2434" s="60">
        <v>130</v>
      </c>
      <c r="L2434" s="60" t="s">
        <v>192</v>
      </c>
      <c r="M2434" s="60" t="s">
        <v>183</v>
      </c>
      <c r="N2434" s="60" t="b">
        <f>FALSE()</f>
        <v>0</v>
      </c>
      <c r="O2434" s="60"/>
      <c r="P2434" s="60"/>
      <c r="Q2434" s="60" t="s">
        <v>3663</v>
      </c>
      <c r="R2434" s="60" t="s">
        <v>236</v>
      </c>
      <c r="S2434" s="60"/>
      <c r="T2434" s="60" t="b">
        <f>FALSE()</f>
        <v>0</v>
      </c>
      <c r="U2434" s="60" t="b">
        <f>FALSE()</f>
        <v>0</v>
      </c>
      <c r="V2434" s="60">
        <v>185</v>
      </c>
      <c r="W2434" s="60" t="s">
        <v>9110</v>
      </c>
      <c r="X2434" s="60">
        <v>1</v>
      </c>
      <c r="Y2434" s="63">
        <v>0.24</v>
      </c>
      <c r="Z2434" s="60" t="b">
        <f>FALSE()</f>
        <v>0</v>
      </c>
      <c r="AA2434" s="60" t="b">
        <f>TRUE()</f>
        <v>1</v>
      </c>
      <c r="AB2434" s="60" t="b">
        <f>TRUE()</f>
        <v>1</v>
      </c>
      <c r="AC2434" s="60" t="b">
        <f>TRUE()</f>
        <v>1</v>
      </c>
      <c r="AD2434" s="60" t="b">
        <f>FALSE()</f>
        <v>0</v>
      </c>
      <c r="AE2434" s="60">
        <v>3</v>
      </c>
      <c r="AF2434" s="64">
        <v>42.9</v>
      </c>
      <c r="AG2434" s="60" t="s">
        <v>73</v>
      </c>
      <c r="AH2434" s="60" t="s">
        <v>9111</v>
      </c>
      <c r="AI2434">
        <f>IF(AND(OR(Company_Explorer!$B$5="All Companies",$E2434=Company_Explorer!$B$5),OR(Company_Explorer!$B$6="All Platforms",$B2434=Company_Explorer!$B$6),OR(Company_Explorer!$B$7="All Roles",$D2434=Company_Explorer!$B$7),OR(Company_Explorer!$B$8="All Ghost Labels",$AG2434=Company_Explorer!$B$8)),1,0)</f>
        <v>0</v>
      </c>
    </row>
    <row r="2435" spans="1:35" ht="15" customHeight="1" x14ac:dyDescent="0.3">
      <c r="A2435" s="65" t="s">
        <v>9112</v>
      </c>
      <c r="B2435" s="65" t="s">
        <v>82</v>
      </c>
      <c r="C2435" s="65" t="s">
        <v>9113</v>
      </c>
      <c r="D2435" s="65" t="s">
        <v>125</v>
      </c>
      <c r="E2435" s="65" t="s">
        <v>9114</v>
      </c>
      <c r="F2435" s="65" t="b">
        <f>TRUE()</f>
        <v>1</v>
      </c>
      <c r="G2435" s="65" t="s">
        <v>165</v>
      </c>
      <c r="H2435" s="65" t="s">
        <v>165</v>
      </c>
      <c r="I2435" s="66">
        <v>46196</v>
      </c>
      <c r="J2435" s="66">
        <v>46210.285977268497</v>
      </c>
      <c r="K2435" s="65">
        <v>45</v>
      </c>
      <c r="L2435" s="65" t="s">
        <v>183</v>
      </c>
      <c r="M2435" s="65" t="s">
        <v>183</v>
      </c>
      <c r="N2435" s="65" t="b">
        <f>FALSE()</f>
        <v>0</v>
      </c>
      <c r="O2435" s="65"/>
      <c r="P2435" s="65"/>
      <c r="Q2435" s="65" t="s">
        <v>3663</v>
      </c>
      <c r="R2435" s="65" t="s">
        <v>236</v>
      </c>
      <c r="S2435" s="65"/>
      <c r="T2435" s="65" t="b">
        <f>FALSE()</f>
        <v>0</v>
      </c>
      <c r="U2435" s="65" t="b">
        <f>FALSE()</f>
        <v>0</v>
      </c>
      <c r="V2435" s="65">
        <v>43</v>
      </c>
      <c r="W2435" s="67" t="s">
        <v>9115</v>
      </c>
      <c r="X2435" s="65">
        <v>1</v>
      </c>
      <c r="Y2435" s="68">
        <v>0.24</v>
      </c>
      <c r="Z2435" s="65" t="b">
        <f>FALSE()</f>
        <v>0</v>
      </c>
      <c r="AA2435" s="65" t="b">
        <f>TRUE()</f>
        <v>1</v>
      </c>
      <c r="AB2435" s="65" t="b">
        <f>TRUE()</f>
        <v>1</v>
      </c>
      <c r="AC2435" s="65" t="b">
        <f>FALSE()</f>
        <v>0</v>
      </c>
      <c r="AD2435" s="65" t="b">
        <f>FALSE()</f>
        <v>0</v>
      </c>
      <c r="AE2435" s="65">
        <v>2</v>
      </c>
      <c r="AF2435" s="69">
        <v>28.6</v>
      </c>
      <c r="AG2435" s="65" t="s">
        <v>73</v>
      </c>
      <c r="AH2435" s="65" t="s">
        <v>9116</v>
      </c>
      <c r="AI2435">
        <f>IF(AND(OR(Company_Explorer!$B$5="All Companies",$E2435=Company_Explorer!$B$5),OR(Company_Explorer!$B$6="All Platforms",$B2435=Company_Explorer!$B$6),OR(Company_Explorer!$B$7="All Roles",$D2435=Company_Explorer!$B$7),OR(Company_Explorer!$B$8="All Ghost Labels",$AG2435=Company_Explorer!$B$8)),1,0)</f>
        <v>0</v>
      </c>
    </row>
    <row r="2436" spans="1:35" ht="15" customHeight="1" x14ac:dyDescent="0.3">
      <c r="A2436" s="60" t="s">
        <v>9117</v>
      </c>
      <c r="B2436" s="60" t="s">
        <v>82</v>
      </c>
      <c r="C2436" s="60" t="s">
        <v>9118</v>
      </c>
      <c r="D2436" s="60" t="s">
        <v>129</v>
      </c>
      <c r="E2436" s="60" t="s">
        <v>9119</v>
      </c>
      <c r="F2436" s="60" t="b">
        <f>TRUE()</f>
        <v>1</v>
      </c>
      <c r="G2436" s="60" t="s">
        <v>165</v>
      </c>
      <c r="H2436" s="60" t="s">
        <v>165</v>
      </c>
      <c r="I2436" s="61">
        <v>46201</v>
      </c>
      <c r="J2436" s="61">
        <v>46210.285981458299</v>
      </c>
      <c r="K2436" s="60">
        <v>130</v>
      </c>
      <c r="L2436" s="60" t="s">
        <v>183</v>
      </c>
      <c r="M2436" s="60" t="s">
        <v>183</v>
      </c>
      <c r="N2436" s="60" t="b">
        <f>FALSE()</f>
        <v>0</v>
      </c>
      <c r="O2436" s="60"/>
      <c r="P2436" s="60"/>
      <c r="Q2436" s="60" t="s">
        <v>3663</v>
      </c>
      <c r="R2436" s="60" t="s">
        <v>236</v>
      </c>
      <c r="S2436" s="60"/>
      <c r="T2436" s="60" t="b">
        <f>FALSE()</f>
        <v>0</v>
      </c>
      <c r="U2436" s="60" t="b">
        <f>FALSE()</f>
        <v>0</v>
      </c>
      <c r="V2436" s="60">
        <v>9</v>
      </c>
      <c r="W2436" s="62" t="s">
        <v>9120</v>
      </c>
      <c r="X2436" s="60">
        <v>1</v>
      </c>
      <c r="Y2436" s="63">
        <v>0.24</v>
      </c>
      <c r="Z2436" s="60" t="b">
        <f>FALSE()</f>
        <v>0</v>
      </c>
      <c r="AA2436" s="60" t="b">
        <f>TRUE()</f>
        <v>1</v>
      </c>
      <c r="AB2436" s="60" t="b">
        <f>TRUE()</f>
        <v>1</v>
      </c>
      <c r="AC2436" s="60" t="b">
        <f>TRUE()</f>
        <v>1</v>
      </c>
      <c r="AD2436" s="60" t="b">
        <f>FALSE()</f>
        <v>0</v>
      </c>
      <c r="AE2436" s="60">
        <v>3</v>
      </c>
      <c r="AF2436" s="64">
        <v>42.9</v>
      </c>
      <c r="AG2436" s="60" t="s">
        <v>73</v>
      </c>
      <c r="AH2436" s="60" t="s">
        <v>9121</v>
      </c>
      <c r="AI2436">
        <f>IF(AND(OR(Company_Explorer!$B$5="All Companies",$E2436=Company_Explorer!$B$5),OR(Company_Explorer!$B$6="All Platforms",$B2436=Company_Explorer!$B$6),OR(Company_Explorer!$B$7="All Roles",$D2436=Company_Explorer!$B$7),OR(Company_Explorer!$B$8="All Ghost Labels",$AG2436=Company_Explorer!$B$8)),1,0)</f>
        <v>0</v>
      </c>
    </row>
    <row r="2437" spans="1:35" ht="15" customHeight="1" x14ac:dyDescent="0.3">
      <c r="A2437" s="65" t="s">
        <v>9122</v>
      </c>
      <c r="B2437" s="65" t="s">
        <v>82</v>
      </c>
      <c r="C2437" s="65" t="s">
        <v>7922</v>
      </c>
      <c r="D2437" s="65" t="s">
        <v>125</v>
      </c>
      <c r="E2437" s="65" t="s">
        <v>9123</v>
      </c>
      <c r="F2437" s="65" t="b">
        <f>TRUE()</f>
        <v>1</v>
      </c>
      <c r="G2437" s="65" t="s">
        <v>325</v>
      </c>
      <c r="H2437" s="65" t="s">
        <v>326</v>
      </c>
      <c r="I2437" s="66">
        <v>46200</v>
      </c>
      <c r="J2437" s="66">
        <v>46210.285981435198</v>
      </c>
      <c r="K2437" s="65">
        <v>130</v>
      </c>
      <c r="L2437" s="65" t="s">
        <v>183</v>
      </c>
      <c r="M2437" s="65" t="s">
        <v>183</v>
      </c>
      <c r="N2437" s="65" t="b">
        <f>TRUE()</f>
        <v>1</v>
      </c>
      <c r="O2437" s="71">
        <v>300000</v>
      </c>
      <c r="P2437" s="71">
        <v>600000</v>
      </c>
      <c r="Q2437" s="65" t="s">
        <v>3663</v>
      </c>
      <c r="R2437" s="65" t="s">
        <v>7351</v>
      </c>
      <c r="S2437" s="71">
        <v>450000</v>
      </c>
      <c r="T2437" s="65" t="b">
        <f>TRUE()</f>
        <v>1</v>
      </c>
      <c r="U2437" s="65" t="b">
        <f>FALSE()</f>
        <v>0</v>
      </c>
      <c r="V2437" s="65">
        <v>238</v>
      </c>
      <c r="W2437" s="65" t="s">
        <v>9124</v>
      </c>
      <c r="X2437" s="65">
        <v>1</v>
      </c>
      <c r="Y2437" s="68">
        <v>0.24</v>
      </c>
      <c r="Z2437" s="65" t="b">
        <f>FALSE()</f>
        <v>0</v>
      </c>
      <c r="AA2437" s="65" t="b">
        <f>FALSE()</f>
        <v>0</v>
      </c>
      <c r="AB2437" s="65" t="b">
        <f>FALSE()</f>
        <v>0</v>
      </c>
      <c r="AC2437" s="65" t="b">
        <f>TRUE()</f>
        <v>1</v>
      </c>
      <c r="AD2437" s="65" t="b">
        <f>FALSE()</f>
        <v>0</v>
      </c>
      <c r="AE2437" s="65">
        <v>1</v>
      </c>
      <c r="AF2437" s="69">
        <v>14.3</v>
      </c>
      <c r="AG2437" s="65" t="s">
        <v>74</v>
      </c>
      <c r="AH2437" s="65" t="s">
        <v>9125</v>
      </c>
      <c r="AI2437">
        <f>IF(AND(OR(Company_Explorer!$B$5="All Companies",$E2437=Company_Explorer!$B$5),OR(Company_Explorer!$B$6="All Platforms",$B2437=Company_Explorer!$B$6),OR(Company_Explorer!$B$7="All Roles",$D2437=Company_Explorer!$B$7),OR(Company_Explorer!$B$8="All Ghost Labels",$AG2437=Company_Explorer!$B$8)),1,0)</f>
        <v>0</v>
      </c>
    </row>
    <row r="2438" spans="1:35" ht="15" customHeight="1" x14ac:dyDescent="0.3">
      <c r="A2438" s="60" t="s">
        <v>9126</v>
      </c>
      <c r="B2438" s="60" t="s">
        <v>82</v>
      </c>
      <c r="C2438" s="60" t="s">
        <v>9127</v>
      </c>
      <c r="D2438" s="60" t="s">
        <v>131</v>
      </c>
      <c r="E2438" s="60" t="s">
        <v>9128</v>
      </c>
      <c r="F2438" s="60" t="b">
        <f>TRUE()</f>
        <v>1</v>
      </c>
      <c r="G2438" s="60" t="s">
        <v>165</v>
      </c>
      <c r="H2438" s="60" t="s">
        <v>165</v>
      </c>
      <c r="I2438" s="61">
        <v>46201</v>
      </c>
      <c r="J2438" s="61">
        <v>46210.285984259302</v>
      </c>
      <c r="K2438" s="60">
        <v>130</v>
      </c>
      <c r="L2438" s="60" t="s">
        <v>183</v>
      </c>
      <c r="M2438" s="60" t="s">
        <v>183</v>
      </c>
      <c r="N2438" s="60" t="b">
        <f>FALSE()</f>
        <v>0</v>
      </c>
      <c r="O2438" s="60"/>
      <c r="P2438" s="60"/>
      <c r="Q2438" s="60" t="s">
        <v>3663</v>
      </c>
      <c r="R2438" s="60" t="s">
        <v>236</v>
      </c>
      <c r="S2438" s="60"/>
      <c r="T2438" s="60" t="b">
        <f>FALSE()</f>
        <v>0</v>
      </c>
      <c r="U2438" s="60" t="b">
        <f>FALSE()</f>
        <v>0</v>
      </c>
      <c r="V2438" s="60">
        <v>80</v>
      </c>
      <c r="W2438" s="62" t="s">
        <v>9129</v>
      </c>
      <c r="X2438" s="60">
        <v>2</v>
      </c>
      <c r="Y2438" s="63">
        <v>0.48</v>
      </c>
      <c r="Z2438" s="60" t="b">
        <f>FALSE()</f>
        <v>0</v>
      </c>
      <c r="AA2438" s="60" t="b">
        <f>TRUE()</f>
        <v>1</v>
      </c>
      <c r="AB2438" s="60" t="b">
        <f>TRUE()</f>
        <v>1</v>
      </c>
      <c r="AC2438" s="60" t="b">
        <f>TRUE()</f>
        <v>1</v>
      </c>
      <c r="AD2438" s="60" t="b">
        <f>FALSE()</f>
        <v>0</v>
      </c>
      <c r="AE2438" s="60">
        <v>3</v>
      </c>
      <c r="AF2438" s="64">
        <v>42.9</v>
      </c>
      <c r="AG2438" s="60" t="s">
        <v>73</v>
      </c>
      <c r="AH2438" s="60" t="s">
        <v>9130</v>
      </c>
      <c r="AI2438">
        <f>IF(AND(OR(Company_Explorer!$B$5="All Companies",$E2438=Company_Explorer!$B$5),OR(Company_Explorer!$B$6="All Platforms",$B2438=Company_Explorer!$B$6),OR(Company_Explorer!$B$7="All Roles",$D2438=Company_Explorer!$B$7),OR(Company_Explorer!$B$8="All Ghost Labels",$AG2438=Company_Explorer!$B$8)),1,0)</f>
        <v>0</v>
      </c>
    </row>
    <row r="2439" spans="1:35" ht="15" customHeight="1" x14ac:dyDescent="0.3">
      <c r="A2439" s="65" t="s">
        <v>9131</v>
      </c>
      <c r="B2439" s="65" t="s">
        <v>82</v>
      </c>
      <c r="C2439" s="65" t="s">
        <v>8964</v>
      </c>
      <c r="D2439" s="65" t="s">
        <v>130</v>
      </c>
      <c r="E2439" s="65" t="s">
        <v>3726</v>
      </c>
      <c r="F2439" s="65" t="b">
        <f>FALSE()</f>
        <v>0</v>
      </c>
      <c r="G2439" s="65" t="s">
        <v>9132</v>
      </c>
      <c r="H2439" s="65" t="s">
        <v>270</v>
      </c>
      <c r="I2439" s="66">
        <v>46206</v>
      </c>
      <c r="J2439" s="66">
        <v>46210.285984351904</v>
      </c>
      <c r="K2439" s="65">
        <v>4</v>
      </c>
      <c r="L2439" s="65" t="s">
        <v>192</v>
      </c>
      <c r="M2439" s="65" t="s">
        <v>183</v>
      </c>
      <c r="N2439" s="65" t="b">
        <f>TRUE()</f>
        <v>1</v>
      </c>
      <c r="O2439" s="71">
        <v>200000</v>
      </c>
      <c r="P2439" s="71">
        <v>350000</v>
      </c>
      <c r="Q2439" s="65" t="s">
        <v>3663</v>
      </c>
      <c r="R2439" s="65" t="s">
        <v>7351</v>
      </c>
      <c r="S2439" s="71">
        <v>275000</v>
      </c>
      <c r="T2439" s="65" t="b">
        <f>TRUE()</f>
        <v>1</v>
      </c>
      <c r="U2439" s="65" t="b">
        <f>FALSE()</f>
        <v>0</v>
      </c>
      <c r="V2439" s="65">
        <v>308</v>
      </c>
      <c r="W2439" s="65" t="s">
        <v>9133</v>
      </c>
      <c r="X2439" s="65"/>
      <c r="Y2439" s="68"/>
      <c r="Z2439" s="65" t="b">
        <f>TRUE()</f>
        <v>1</v>
      </c>
      <c r="AA2439" s="65" t="b">
        <f>FALSE()</f>
        <v>0</v>
      </c>
      <c r="AB2439" s="65" t="b">
        <f>FALSE()</f>
        <v>0</v>
      </c>
      <c r="AC2439" s="65" t="b">
        <f>FALSE()</f>
        <v>0</v>
      </c>
      <c r="AD2439" s="65" t="b">
        <f>FALSE()</f>
        <v>0</v>
      </c>
      <c r="AE2439" s="65">
        <v>2</v>
      </c>
      <c r="AF2439" s="69">
        <v>28.6</v>
      </c>
      <c r="AG2439" s="65" t="s">
        <v>73</v>
      </c>
      <c r="AH2439" s="65" t="s">
        <v>9134</v>
      </c>
      <c r="AI2439">
        <f>IF(AND(OR(Company_Explorer!$B$5="All Companies",$E2439=Company_Explorer!$B$5),OR(Company_Explorer!$B$6="All Platforms",$B2439=Company_Explorer!$B$6),OR(Company_Explorer!$B$7="All Roles",$D2439=Company_Explorer!$B$7),OR(Company_Explorer!$B$8="All Ghost Labels",$AG2439=Company_Explorer!$B$8)),1,0)</f>
        <v>0</v>
      </c>
    </row>
    <row r="2440" spans="1:35" ht="15" customHeight="1" x14ac:dyDescent="0.3">
      <c r="A2440" s="60" t="s">
        <v>9135</v>
      </c>
      <c r="B2440" s="60" t="s">
        <v>82</v>
      </c>
      <c r="C2440" s="60" t="s">
        <v>8191</v>
      </c>
      <c r="D2440" s="60" t="s">
        <v>125</v>
      </c>
      <c r="E2440" s="60" t="s">
        <v>9136</v>
      </c>
      <c r="F2440" s="60" t="b">
        <f>TRUE()</f>
        <v>1</v>
      </c>
      <c r="G2440" s="60" t="s">
        <v>175</v>
      </c>
      <c r="H2440" s="60" t="s">
        <v>254</v>
      </c>
      <c r="I2440" s="61">
        <v>46201</v>
      </c>
      <c r="J2440" s="61">
        <v>46210.285987499999</v>
      </c>
      <c r="K2440" s="60">
        <v>130</v>
      </c>
      <c r="L2440" s="60" t="s">
        <v>183</v>
      </c>
      <c r="M2440" s="60" t="s">
        <v>183</v>
      </c>
      <c r="N2440" s="60" t="b">
        <f>TRUE()</f>
        <v>1</v>
      </c>
      <c r="O2440" s="70">
        <v>240000</v>
      </c>
      <c r="P2440" s="70">
        <v>700000</v>
      </c>
      <c r="Q2440" s="60" t="s">
        <v>3663</v>
      </c>
      <c r="R2440" s="60" t="s">
        <v>7351</v>
      </c>
      <c r="S2440" s="70">
        <v>470000</v>
      </c>
      <c r="T2440" s="60" t="b">
        <f>TRUE()</f>
        <v>1</v>
      </c>
      <c r="U2440" s="60" t="b">
        <f>FALSE()</f>
        <v>0</v>
      </c>
      <c r="V2440" s="60">
        <v>180</v>
      </c>
      <c r="W2440" s="62" t="s">
        <v>9137</v>
      </c>
      <c r="X2440" s="60">
        <v>1</v>
      </c>
      <c r="Y2440" s="63">
        <v>0.24</v>
      </c>
      <c r="Z2440" s="60" t="b">
        <f>FALSE()</f>
        <v>0</v>
      </c>
      <c r="AA2440" s="60" t="b">
        <f>FALSE()</f>
        <v>0</v>
      </c>
      <c r="AB2440" s="60" t="b">
        <f>TRUE()</f>
        <v>1</v>
      </c>
      <c r="AC2440" s="60" t="b">
        <f>TRUE()</f>
        <v>1</v>
      </c>
      <c r="AD2440" s="60" t="b">
        <f>FALSE()</f>
        <v>0</v>
      </c>
      <c r="AE2440" s="60">
        <v>2</v>
      </c>
      <c r="AF2440" s="64">
        <v>28.6</v>
      </c>
      <c r="AG2440" s="60" t="s">
        <v>73</v>
      </c>
      <c r="AH2440" s="60" t="s">
        <v>9138</v>
      </c>
      <c r="AI2440">
        <f>IF(AND(OR(Company_Explorer!$B$5="All Companies",$E2440=Company_Explorer!$B$5),OR(Company_Explorer!$B$6="All Platforms",$B2440=Company_Explorer!$B$6),OR(Company_Explorer!$B$7="All Roles",$D2440=Company_Explorer!$B$7),OR(Company_Explorer!$B$8="All Ghost Labels",$AG2440=Company_Explorer!$B$8)),1,0)</f>
        <v>0</v>
      </c>
    </row>
    <row r="2441" spans="1:35" ht="15" customHeight="1" x14ac:dyDescent="0.3">
      <c r="A2441" s="65" t="s">
        <v>9139</v>
      </c>
      <c r="B2441" s="65" t="s">
        <v>82</v>
      </c>
      <c r="C2441" s="65" t="s">
        <v>8164</v>
      </c>
      <c r="D2441" s="65" t="s">
        <v>129</v>
      </c>
      <c r="E2441" s="65" t="s">
        <v>3726</v>
      </c>
      <c r="F2441" s="65" t="b">
        <f>FALSE()</f>
        <v>0</v>
      </c>
      <c r="G2441" s="65" t="s">
        <v>325</v>
      </c>
      <c r="H2441" s="65" t="s">
        <v>326</v>
      </c>
      <c r="I2441" s="66">
        <v>46187</v>
      </c>
      <c r="J2441" s="66">
        <v>46210.285987685202</v>
      </c>
      <c r="K2441" s="65">
        <v>55</v>
      </c>
      <c r="L2441" s="65" t="s">
        <v>192</v>
      </c>
      <c r="M2441" s="65" t="s">
        <v>183</v>
      </c>
      <c r="N2441" s="65" t="b">
        <f>TRUE()</f>
        <v>1</v>
      </c>
      <c r="O2441" s="71">
        <v>300000</v>
      </c>
      <c r="P2441" s="71">
        <v>600000</v>
      </c>
      <c r="Q2441" s="65" t="s">
        <v>3663</v>
      </c>
      <c r="R2441" s="65" t="s">
        <v>7351</v>
      </c>
      <c r="S2441" s="71">
        <v>450000</v>
      </c>
      <c r="T2441" s="65" t="b">
        <f>TRUE()</f>
        <v>1</v>
      </c>
      <c r="U2441" s="65" t="b">
        <f>FALSE()</f>
        <v>0</v>
      </c>
      <c r="V2441" s="65">
        <v>361</v>
      </c>
      <c r="W2441" s="67" t="s">
        <v>9140</v>
      </c>
      <c r="X2441" s="65"/>
      <c r="Y2441" s="68"/>
      <c r="Z2441" s="65" t="b">
        <f>TRUE()</f>
        <v>1</v>
      </c>
      <c r="AA2441" s="65" t="b">
        <f>FALSE()</f>
        <v>0</v>
      </c>
      <c r="AB2441" s="65" t="b">
        <f>FALSE()</f>
        <v>0</v>
      </c>
      <c r="AC2441" s="65" t="b">
        <f>FALSE()</f>
        <v>0</v>
      </c>
      <c r="AD2441" s="65" t="b">
        <f>FALSE()</f>
        <v>0</v>
      </c>
      <c r="AE2441" s="65">
        <v>2</v>
      </c>
      <c r="AF2441" s="69">
        <v>28.6</v>
      </c>
      <c r="AG2441" s="65" t="s">
        <v>73</v>
      </c>
      <c r="AH2441" s="65" t="s">
        <v>9141</v>
      </c>
      <c r="AI2441">
        <f>IF(AND(OR(Company_Explorer!$B$5="All Companies",$E2441=Company_Explorer!$B$5),OR(Company_Explorer!$B$6="All Platforms",$B2441=Company_Explorer!$B$6),OR(Company_Explorer!$B$7="All Roles",$D2441=Company_Explorer!$B$7),OR(Company_Explorer!$B$8="All Ghost Labels",$AG2441=Company_Explorer!$B$8)),1,0)</f>
        <v>0</v>
      </c>
    </row>
    <row r="2442" spans="1:35" ht="15" customHeight="1" x14ac:dyDescent="0.3">
      <c r="A2442" s="60" t="s">
        <v>9142</v>
      </c>
      <c r="B2442" s="60" t="s">
        <v>82</v>
      </c>
      <c r="C2442" s="60" t="s">
        <v>9143</v>
      </c>
      <c r="D2442" s="60" t="s">
        <v>125</v>
      </c>
      <c r="E2442" s="60" t="s">
        <v>3726</v>
      </c>
      <c r="F2442" s="60" t="b">
        <f>FALSE()</f>
        <v>0</v>
      </c>
      <c r="G2442" s="60" t="s">
        <v>165</v>
      </c>
      <c r="H2442" s="60" t="s">
        <v>165</v>
      </c>
      <c r="I2442" s="61">
        <v>46193</v>
      </c>
      <c r="J2442" s="61">
        <v>46210.285987905103</v>
      </c>
      <c r="K2442" s="60">
        <v>137</v>
      </c>
      <c r="L2442" s="60" t="s">
        <v>195</v>
      </c>
      <c r="M2442" s="60" t="s">
        <v>183</v>
      </c>
      <c r="N2442" s="60" t="b">
        <f>FALSE()</f>
        <v>0</v>
      </c>
      <c r="O2442" s="60"/>
      <c r="P2442" s="60"/>
      <c r="Q2442" s="60" t="s">
        <v>3663</v>
      </c>
      <c r="R2442" s="60" t="s">
        <v>236</v>
      </c>
      <c r="S2442" s="60"/>
      <c r="T2442" s="60" t="b">
        <f>FALSE()</f>
        <v>0</v>
      </c>
      <c r="U2442" s="60" t="b">
        <f>FALSE()</f>
        <v>0</v>
      </c>
      <c r="V2442" s="60">
        <v>222</v>
      </c>
      <c r="W2442" s="62" t="s">
        <v>9144</v>
      </c>
      <c r="X2442" s="60"/>
      <c r="Y2442" s="63"/>
      <c r="Z2442" s="60" t="b">
        <f>TRUE()</f>
        <v>1</v>
      </c>
      <c r="AA2442" s="60" t="b">
        <f>TRUE()</f>
        <v>1</v>
      </c>
      <c r="AB2442" s="60" t="b">
        <f>FALSE()</f>
        <v>0</v>
      </c>
      <c r="AC2442" s="60" t="b">
        <f>TRUE()</f>
        <v>1</v>
      </c>
      <c r="AD2442" s="60" t="b">
        <f>FALSE()</f>
        <v>0</v>
      </c>
      <c r="AE2442" s="60">
        <v>4</v>
      </c>
      <c r="AF2442" s="64">
        <v>57.1</v>
      </c>
      <c r="AG2442" s="60" t="s">
        <v>72</v>
      </c>
      <c r="AH2442" s="60" t="s">
        <v>9145</v>
      </c>
      <c r="AI2442">
        <f>IF(AND(OR(Company_Explorer!$B$5="All Companies",$E2442=Company_Explorer!$B$5),OR(Company_Explorer!$B$6="All Platforms",$B2442=Company_Explorer!$B$6),OR(Company_Explorer!$B$7="All Roles",$D2442=Company_Explorer!$B$7),OR(Company_Explorer!$B$8="All Ghost Labels",$AG2442=Company_Explorer!$B$8)),1,0)</f>
        <v>0</v>
      </c>
    </row>
    <row r="2443" spans="1:35" ht="15" customHeight="1" x14ac:dyDescent="0.3">
      <c r="A2443" s="65" t="s">
        <v>9146</v>
      </c>
      <c r="B2443" s="65" t="s">
        <v>82</v>
      </c>
      <c r="C2443" s="65" t="s">
        <v>7350</v>
      </c>
      <c r="D2443" s="65" t="s">
        <v>129</v>
      </c>
      <c r="E2443" s="65" t="s">
        <v>3726</v>
      </c>
      <c r="F2443" s="65" t="b">
        <f>FALSE()</f>
        <v>0</v>
      </c>
      <c r="G2443" s="65" t="s">
        <v>165</v>
      </c>
      <c r="H2443" s="65" t="s">
        <v>165</v>
      </c>
      <c r="I2443" s="66">
        <v>46183</v>
      </c>
      <c r="J2443" s="66">
        <v>46210.285989965298</v>
      </c>
      <c r="K2443" s="65">
        <v>27</v>
      </c>
      <c r="L2443" s="65" t="s">
        <v>192</v>
      </c>
      <c r="M2443" s="65" t="s">
        <v>183</v>
      </c>
      <c r="N2443" s="65" t="b">
        <f>TRUE()</f>
        <v>1</v>
      </c>
      <c r="O2443" s="71">
        <v>300000</v>
      </c>
      <c r="P2443" s="71">
        <v>800000</v>
      </c>
      <c r="Q2443" s="65" t="s">
        <v>3663</v>
      </c>
      <c r="R2443" s="65" t="s">
        <v>7351</v>
      </c>
      <c r="S2443" s="71">
        <v>550000</v>
      </c>
      <c r="T2443" s="65" t="b">
        <f>TRUE()</f>
        <v>1</v>
      </c>
      <c r="U2443" s="65" t="b">
        <f>FALSE()</f>
        <v>0</v>
      </c>
      <c r="V2443" s="65">
        <v>312</v>
      </c>
      <c r="W2443" s="67" t="s">
        <v>9147</v>
      </c>
      <c r="X2443" s="65"/>
      <c r="Y2443" s="68"/>
      <c r="Z2443" s="65" t="b">
        <f>TRUE()</f>
        <v>1</v>
      </c>
      <c r="AA2443" s="65" t="b">
        <f>FALSE()</f>
        <v>0</v>
      </c>
      <c r="AB2443" s="65" t="b">
        <f>FALSE()</f>
        <v>0</v>
      </c>
      <c r="AC2443" s="65" t="b">
        <f>FALSE()</f>
        <v>0</v>
      </c>
      <c r="AD2443" s="65" t="b">
        <f>FALSE()</f>
        <v>0</v>
      </c>
      <c r="AE2443" s="65">
        <v>2</v>
      </c>
      <c r="AF2443" s="69">
        <v>28.6</v>
      </c>
      <c r="AG2443" s="65" t="s">
        <v>73</v>
      </c>
      <c r="AH2443" s="65" t="s">
        <v>9148</v>
      </c>
      <c r="AI2443">
        <f>IF(AND(OR(Company_Explorer!$B$5="All Companies",$E2443=Company_Explorer!$B$5),OR(Company_Explorer!$B$6="All Platforms",$B2443=Company_Explorer!$B$6),OR(Company_Explorer!$B$7="All Roles",$D2443=Company_Explorer!$B$7),OR(Company_Explorer!$B$8="All Ghost Labels",$AG2443=Company_Explorer!$B$8)),1,0)</f>
        <v>0</v>
      </c>
    </row>
    <row r="2444" spans="1:35" ht="15" customHeight="1" x14ac:dyDescent="0.3">
      <c r="A2444" s="60" t="s">
        <v>9149</v>
      </c>
      <c r="B2444" s="60" t="s">
        <v>82</v>
      </c>
      <c r="C2444" s="60" t="s">
        <v>9150</v>
      </c>
      <c r="D2444" s="60" t="s">
        <v>125</v>
      </c>
      <c r="E2444" s="60" t="s">
        <v>3726</v>
      </c>
      <c r="F2444" s="60" t="b">
        <f>FALSE()</f>
        <v>0</v>
      </c>
      <c r="G2444" s="60" t="s">
        <v>9151</v>
      </c>
      <c r="H2444" s="60" t="s">
        <v>827</v>
      </c>
      <c r="I2444" s="61">
        <v>46197</v>
      </c>
      <c r="J2444" s="61">
        <v>46210.285990972203</v>
      </c>
      <c r="K2444" s="60">
        <v>133</v>
      </c>
      <c r="L2444" s="60" t="s">
        <v>195</v>
      </c>
      <c r="M2444" s="60" t="s">
        <v>183</v>
      </c>
      <c r="N2444" s="60" t="b">
        <f>FALSE()</f>
        <v>0</v>
      </c>
      <c r="O2444" s="60"/>
      <c r="P2444" s="60"/>
      <c r="Q2444" s="60" t="s">
        <v>3663</v>
      </c>
      <c r="R2444" s="60" t="s">
        <v>236</v>
      </c>
      <c r="S2444" s="60"/>
      <c r="T2444" s="60" t="b">
        <f>FALSE()</f>
        <v>0</v>
      </c>
      <c r="U2444" s="60" t="b">
        <f>FALSE()</f>
        <v>0</v>
      </c>
      <c r="V2444" s="60">
        <v>183</v>
      </c>
      <c r="W2444" s="62" t="s">
        <v>9152</v>
      </c>
      <c r="X2444" s="60"/>
      <c r="Y2444" s="63"/>
      <c r="Z2444" s="60" t="b">
        <f>TRUE()</f>
        <v>1</v>
      </c>
      <c r="AA2444" s="60" t="b">
        <f>TRUE()</f>
        <v>1</v>
      </c>
      <c r="AB2444" s="60" t="b">
        <f>TRUE()</f>
        <v>1</v>
      </c>
      <c r="AC2444" s="60" t="b">
        <f>TRUE()</f>
        <v>1</v>
      </c>
      <c r="AD2444" s="60" t="b">
        <f>FALSE()</f>
        <v>0</v>
      </c>
      <c r="AE2444" s="60">
        <v>5</v>
      </c>
      <c r="AF2444" s="64">
        <v>71.400000000000006</v>
      </c>
      <c r="AG2444" s="60" t="s">
        <v>72</v>
      </c>
      <c r="AH2444" s="60" t="s">
        <v>9153</v>
      </c>
      <c r="AI2444">
        <f>IF(AND(OR(Company_Explorer!$B$5="All Companies",$E2444=Company_Explorer!$B$5),OR(Company_Explorer!$B$6="All Platforms",$B2444=Company_Explorer!$B$6),OR(Company_Explorer!$B$7="All Roles",$D2444=Company_Explorer!$B$7),OR(Company_Explorer!$B$8="All Ghost Labels",$AG2444=Company_Explorer!$B$8)),1,0)</f>
        <v>0</v>
      </c>
    </row>
    <row r="2445" spans="1:35" ht="15" customHeight="1" x14ac:dyDescent="0.3">
      <c r="A2445" s="65" t="s">
        <v>9154</v>
      </c>
      <c r="B2445" s="65" t="s">
        <v>82</v>
      </c>
      <c r="C2445" s="65" t="s">
        <v>2553</v>
      </c>
      <c r="D2445" s="65" t="s">
        <v>125</v>
      </c>
      <c r="E2445" s="65" t="s">
        <v>9155</v>
      </c>
      <c r="F2445" s="65" t="b">
        <f>TRUE()</f>
        <v>1</v>
      </c>
      <c r="G2445" s="65" t="s">
        <v>9156</v>
      </c>
      <c r="H2445" s="65" t="s">
        <v>9157</v>
      </c>
      <c r="I2445" s="66">
        <v>46201</v>
      </c>
      <c r="J2445" s="66">
        <v>46210.285996550898</v>
      </c>
      <c r="K2445" s="65">
        <v>130</v>
      </c>
      <c r="L2445" s="65" t="s">
        <v>192</v>
      </c>
      <c r="M2445" s="65" t="s">
        <v>183</v>
      </c>
      <c r="N2445" s="65" t="b">
        <f>FALSE()</f>
        <v>0</v>
      </c>
      <c r="O2445" s="65"/>
      <c r="P2445" s="65"/>
      <c r="Q2445" s="65" t="s">
        <v>3663</v>
      </c>
      <c r="R2445" s="65" t="s">
        <v>236</v>
      </c>
      <c r="S2445" s="65"/>
      <c r="T2445" s="65" t="b">
        <f>FALSE()</f>
        <v>0</v>
      </c>
      <c r="U2445" s="65" t="b">
        <f>FALSE()</f>
        <v>0</v>
      </c>
      <c r="V2445" s="65">
        <v>240</v>
      </c>
      <c r="W2445" s="67" t="s">
        <v>9158</v>
      </c>
      <c r="X2445" s="65">
        <v>1</v>
      </c>
      <c r="Y2445" s="68">
        <v>0.24</v>
      </c>
      <c r="Z2445" s="65" t="b">
        <f>FALSE()</f>
        <v>0</v>
      </c>
      <c r="AA2445" s="65" t="b">
        <f>TRUE()</f>
        <v>1</v>
      </c>
      <c r="AB2445" s="65" t="b">
        <f>FALSE()</f>
        <v>0</v>
      </c>
      <c r="AC2445" s="65" t="b">
        <f>TRUE()</f>
        <v>1</v>
      </c>
      <c r="AD2445" s="65" t="b">
        <f>FALSE()</f>
        <v>0</v>
      </c>
      <c r="AE2445" s="65">
        <v>2</v>
      </c>
      <c r="AF2445" s="69">
        <v>28.6</v>
      </c>
      <c r="AG2445" s="65" t="s">
        <v>73</v>
      </c>
      <c r="AH2445" s="65" t="s">
        <v>9159</v>
      </c>
      <c r="AI2445">
        <f>IF(AND(OR(Company_Explorer!$B$5="All Companies",$E2445=Company_Explorer!$B$5),OR(Company_Explorer!$B$6="All Platforms",$B2445=Company_Explorer!$B$6),OR(Company_Explorer!$B$7="All Roles",$D2445=Company_Explorer!$B$7),OR(Company_Explorer!$B$8="All Ghost Labels",$AG2445=Company_Explorer!$B$8)),1,0)</f>
        <v>0</v>
      </c>
    </row>
    <row r="2446" spans="1:35" ht="15" customHeight="1" x14ac:dyDescent="0.3">
      <c r="A2446" s="60" t="s">
        <v>9160</v>
      </c>
      <c r="B2446" s="60" t="s">
        <v>82</v>
      </c>
      <c r="C2446" s="60" t="s">
        <v>9161</v>
      </c>
      <c r="D2446" s="60" t="s">
        <v>129</v>
      </c>
      <c r="E2446" s="60" t="s">
        <v>9162</v>
      </c>
      <c r="F2446" s="60" t="b">
        <f>TRUE()</f>
        <v>1</v>
      </c>
      <c r="G2446" s="60" t="s">
        <v>165</v>
      </c>
      <c r="H2446" s="60" t="s">
        <v>165</v>
      </c>
      <c r="I2446" s="61">
        <v>46201</v>
      </c>
      <c r="J2446" s="61">
        <v>46210.285998125</v>
      </c>
      <c r="K2446" s="60">
        <v>130</v>
      </c>
      <c r="L2446" s="60" t="s">
        <v>183</v>
      </c>
      <c r="M2446" s="60" t="s">
        <v>183</v>
      </c>
      <c r="N2446" s="60" t="b">
        <f>FALSE()</f>
        <v>0</v>
      </c>
      <c r="O2446" s="60"/>
      <c r="P2446" s="60"/>
      <c r="Q2446" s="60" t="s">
        <v>3663</v>
      </c>
      <c r="R2446" s="60" t="s">
        <v>236</v>
      </c>
      <c r="S2446" s="60"/>
      <c r="T2446" s="60" t="b">
        <f>FALSE()</f>
        <v>0</v>
      </c>
      <c r="U2446" s="60" t="b">
        <f>FALSE()</f>
        <v>0</v>
      </c>
      <c r="V2446" s="60">
        <v>89</v>
      </c>
      <c r="W2446" s="62" t="s">
        <v>9163</v>
      </c>
      <c r="X2446" s="60">
        <v>1</v>
      </c>
      <c r="Y2446" s="63">
        <v>0.24</v>
      </c>
      <c r="Z2446" s="60" t="b">
        <f>FALSE()</f>
        <v>0</v>
      </c>
      <c r="AA2446" s="60" t="b">
        <f>TRUE()</f>
        <v>1</v>
      </c>
      <c r="AB2446" s="60" t="b">
        <f>TRUE()</f>
        <v>1</v>
      </c>
      <c r="AC2446" s="60" t="b">
        <f>TRUE()</f>
        <v>1</v>
      </c>
      <c r="AD2446" s="60" t="b">
        <f>FALSE()</f>
        <v>0</v>
      </c>
      <c r="AE2446" s="60">
        <v>3</v>
      </c>
      <c r="AF2446" s="64">
        <v>42.9</v>
      </c>
      <c r="AG2446" s="60" t="s">
        <v>73</v>
      </c>
      <c r="AH2446" s="60" t="s">
        <v>9164</v>
      </c>
      <c r="AI2446">
        <f>IF(AND(OR(Company_Explorer!$B$5="All Companies",$E2446=Company_Explorer!$B$5),OR(Company_Explorer!$B$6="All Platforms",$B2446=Company_Explorer!$B$6),OR(Company_Explorer!$B$7="All Roles",$D2446=Company_Explorer!$B$7),OR(Company_Explorer!$B$8="All Ghost Labels",$AG2446=Company_Explorer!$B$8)),1,0)</f>
        <v>0</v>
      </c>
    </row>
    <row r="2447" spans="1:35" ht="15" customHeight="1" x14ac:dyDescent="0.3">
      <c r="A2447" s="65" t="s">
        <v>9165</v>
      </c>
      <c r="B2447" s="65" t="s">
        <v>82</v>
      </c>
      <c r="C2447" s="65" t="s">
        <v>9166</v>
      </c>
      <c r="D2447" s="65" t="s">
        <v>129</v>
      </c>
      <c r="E2447" s="65" t="s">
        <v>9167</v>
      </c>
      <c r="F2447" s="65" t="b">
        <f>TRUE()</f>
        <v>1</v>
      </c>
      <c r="G2447" s="65" t="s">
        <v>176</v>
      </c>
      <c r="H2447" s="65" t="s">
        <v>302</v>
      </c>
      <c r="I2447" s="66">
        <v>46193</v>
      </c>
      <c r="J2447" s="66">
        <v>46210.2859989352</v>
      </c>
      <c r="K2447" s="65">
        <v>137</v>
      </c>
      <c r="L2447" s="65" t="s">
        <v>183</v>
      </c>
      <c r="M2447" s="65" t="s">
        <v>183</v>
      </c>
      <c r="N2447" s="65" t="b">
        <f>TRUE()</f>
        <v>1</v>
      </c>
      <c r="O2447" s="71">
        <v>216000</v>
      </c>
      <c r="P2447" s="71">
        <v>300000</v>
      </c>
      <c r="Q2447" s="65" t="s">
        <v>3663</v>
      </c>
      <c r="R2447" s="65" t="s">
        <v>7351</v>
      </c>
      <c r="S2447" s="71">
        <v>258000</v>
      </c>
      <c r="T2447" s="65" t="b">
        <f>TRUE()</f>
        <v>1</v>
      </c>
      <c r="U2447" s="65" t="b">
        <f>FALSE()</f>
        <v>0</v>
      </c>
      <c r="V2447" s="65">
        <v>302</v>
      </c>
      <c r="W2447" s="67" t="s">
        <v>9168</v>
      </c>
      <c r="X2447" s="65">
        <v>2</v>
      </c>
      <c r="Y2447" s="68">
        <v>0.48</v>
      </c>
      <c r="Z2447" s="65" t="b">
        <f>FALSE()</f>
        <v>0</v>
      </c>
      <c r="AA2447" s="65" t="b">
        <f>FALSE()</f>
        <v>0</v>
      </c>
      <c r="AB2447" s="65" t="b">
        <f>FALSE()</f>
        <v>0</v>
      </c>
      <c r="AC2447" s="65" t="b">
        <f>TRUE()</f>
        <v>1</v>
      </c>
      <c r="AD2447" s="65" t="b">
        <f>FALSE()</f>
        <v>0</v>
      </c>
      <c r="AE2447" s="65">
        <v>1</v>
      </c>
      <c r="AF2447" s="69">
        <v>14.3</v>
      </c>
      <c r="AG2447" s="65" t="s">
        <v>74</v>
      </c>
      <c r="AH2447" s="65" t="s">
        <v>9169</v>
      </c>
      <c r="AI2447">
        <f>IF(AND(OR(Company_Explorer!$B$5="All Companies",$E2447=Company_Explorer!$B$5),OR(Company_Explorer!$B$6="All Platforms",$B2447=Company_Explorer!$B$6),OR(Company_Explorer!$B$7="All Roles",$D2447=Company_Explorer!$B$7),OR(Company_Explorer!$B$8="All Ghost Labels",$AG2447=Company_Explorer!$B$8)),1,0)</f>
        <v>0</v>
      </c>
    </row>
    <row r="2448" spans="1:35" ht="15" customHeight="1" x14ac:dyDescent="0.3">
      <c r="A2448" s="60" t="s">
        <v>9170</v>
      </c>
      <c r="B2448" s="60" t="s">
        <v>82</v>
      </c>
      <c r="C2448" s="60" t="s">
        <v>9171</v>
      </c>
      <c r="D2448" s="60" t="s">
        <v>125</v>
      </c>
      <c r="E2448" s="60" t="s">
        <v>9172</v>
      </c>
      <c r="F2448" s="60" t="b">
        <f>TRUE()</f>
        <v>1</v>
      </c>
      <c r="G2448" s="60" t="s">
        <v>165</v>
      </c>
      <c r="H2448" s="60" t="s">
        <v>165</v>
      </c>
      <c r="I2448" s="61">
        <v>46200</v>
      </c>
      <c r="J2448" s="61">
        <v>46210.286000520799</v>
      </c>
      <c r="K2448" s="60">
        <v>10</v>
      </c>
      <c r="L2448" s="60" t="s">
        <v>183</v>
      </c>
      <c r="M2448" s="60" t="s">
        <v>183</v>
      </c>
      <c r="N2448" s="60" t="b">
        <f>FALSE()</f>
        <v>0</v>
      </c>
      <c r="O2448" s="60"/>
      <c r="P2448" s="60"/>
      <c r="Q2448" s="60" t="s">
        <v>3663</v>
      </c>
      <c r="R2448" s="60" t="s">
        <v>236</v>
      </c>
      <c r="S2448" s="60"/>
      <c r="T2448" s="60" t="b">
        <f>FALSE()</f>
        <v>0</v>
      </c>
      <c r="U2448" s="60" t="b">
        <f>FALSE()</f>
        <v>0</v>
      </c>
      <c r="V2448" s="60">
        <v>244</v>
      </c>
      <c r="W2448" s="62" t="s">
        <v>9173</v>
      </c>
      <c r="X2448" s="60">
        <v>2</v>
      </c>
      <c r="Y2448" s="63">
        <v>0.48</v>
      </c>
      <c r="Z2448" s="60" t="b">
        <f>FALSE()</f>
        <v>0</v>
      </c>
      <c r="AA2448" s="60" t="b">
        <f>TRUE()</f>
        <v>1</v>
      </c>
      <c r="AB2448" s="60" t="b">
        <f>FALSE()</f>
        <v>0</v>
      </c>
      <c r="AC2448" s="60" t="b">
        <f>FALSE()</f>
        <v>0</v>
      </c>
      <c r="AD2448" s="60" t="b">
        <f>FALSE()</f>
        <v>0</v>
      </c>
      <c r="AE2448" s="60">
        <v>1</v>
      </c>
      <c r="AF2448" s="64">
        <v>14.3</v>
      </c>
      <c r="AG2448" s="60" t="s">
        <v>74</v>
      </c>
      <c r="AH2448" s="60" t="s">
        <v>9174</v>
      </c>
      <c r="AI2448">
        <f>IF(AND(OR(Company_Explorer!$B$5="All Companies",$E2448=Company_Explorer!$B$5),OR(Company_Explorer!$B$6="All Platforms",$B2448=Company_Explorer!$B$6),OR(Company_Explorer!$B$7="All Roles",$D2448=Company_Explorer!$B$7),OR(Company_Explorer!$B$8="All Ghost Labels",$AG2448=Company_Explorer!$B$8)),1,0)</f>
        <v>0</v>
      </c>
    </row>
    <row r="2449" spans="1:35" ht="15" customHeight="1" x14ac:dyDescent="0.3">
      <c r="A2449" s="65" t="s">
        <v>9175</v>
      </c>
      <c r="B2449" s="65" t="s">
        <v>82</v>
      </c>
      <c r="C2449" s="65" t="s">
        <v>9176</v>
      </c>
      <c r="D2449" s="65" t="s">
        <v>129</v>
      </c>
      <c r="E2449" s="65" t="s">
        <v>9177</v>
      </c>
      <c r="F2449" s="65" t="b">
        <f>TRUE()</f>
        <v>1</v>
      </c>
      <c r="G2449" s="65" t="s">
        <v>171</v>
      </c>
      <c r="H2449" s="65" t="s">
        <v>254</v>
      </c>
      <c r="I2449" s="66">
        <v>46194</v>
      </c>
      <c r="J2449" s="66">
        <v>46210.286000821798</v>
      </c>
      <c r="K2449" s="65">
        <v>137</v>
      </c>
      <c r="L2449" s="65" t="s">
        <v>183</v>
      </c>
      <c r="M2449" s="65" t="s">
        <v>183</v>
      </c>
      <c r="N2449" s="65" t="b">
        <f>TRUE()</f>
        <v>1</v>
      </c>
      <c r="O2449" s="71">
        <v>300000</v>
      </c>
      <c r="P2449" s="71">
        <v>600000</v>
      </c>
      <c r="Q2449" s="65" t="s">
        <v>3663</v>
      </c>
      <c r="R2449" s="65" t="s">
        <v>7351</v>
      </c>
      <c r="S2449" s="71">
        <v>450000</v>
      </c>
      <c r="T2449" s="65" t="b">
        <f>TRUE()</f>
        <v>1</v>
      </c>
      <c r="U2449" s="65" t="b">
        <f>FALSE()</f>
        <v>0</v>
      </c>
      <c r="V2449" s="65">
        <v>163</v>
      </c>
      <c r="W2449" s="67" t="s">
        <v>9178</v>
      </c>
      <c r="X2449" s="65">
        <v>1</v>
      </c>
      <c r="Y2449" s="68">
        <v>0.24</v>
      </c>
      <c r="Z2449" s="65" t="b">
        <f>FALSE()</f>
        <v>0</v>
      </c>
      <c r="AA2449" s="65" t="b">
        <f>FALSE()</f>
        <v>0</v>
      </c>
      <c r="AB2449" s="65" t="b">
        <f>TRUE()</f>
        <v>1</v>
      </c>
      <c r="AC2449" s="65" t="b">
        <f>TRUE()</f>
        <v>1</v>
      </c>
      <c r="AD2449" s="65" t="b">
        <f>FALSE()</f>
        <v>0</v>
      </c>
      <c r="AE2449" s="65">
        <v>2</v>
      </c>
      <c r="AF2449" s="69">
        <v>28.6</v>
      </c>
      <c r="AG2449" s="65" t="s">
        <v>73</v>
      </c>
      <c r="AH2449" s="65" t="s">
        <v>9179</v>
      </c>
      <c r="AI2449">
        <f>IF(AND(OR(Company_Explorer!$B$5="All Companies",$E2449=Company_Explorer!$B$5),OR(Company_Explorer!$B$6="All Platforms",$B2449=Company_Explorer!$B$6),OR(Company_Explorer!$B$7="All Roles",$D2449=Company_Explorer!$B$7),OR(Company_Explorer!$B$8="All Ghost Labels",$AG2449=Company_Explorer!$B$8)),1,0)</f>
        <v>0</v>
      </c>
    </row>
    <row r="2450" spans="1:35" ht="15" customHeight="1" x14ac:dyDescent="0.3">
      <c r="A2450" s="60" t="s">
        <v>9180</v>
      </c>
      <c r="B2450" s="60" t="s">
        <v>82</v>
      </c>
      <c r="C2450" s="60" t="s">
        <v>3510</v>
      </c>
      <c r="D2450" s="60" t="s">
        <v>129</v>
      </c>
      <c r="E2450" s="60" t="s">
        <v>8534</v>
      </c>
      <c r="F2450" s="60" t="b">
        <f>TRUE()</f>
        <v>1</v>
      </c>
      <c r="G2450" s="60" t="s">
        <v>1403</v>
      </c>
      <c r="H2450" s="60" t="s">
        <v>754</v>
      </c>
      <c r="I2450" s="61">
        <v>46201</v>
      </c>
      <c r="J2450" s="61">
        <v>46210.286001203698</v>
      </c>
      <c r="K2450" s="60">
        <v>129</v>
      </c>
      <c r="L2450" s="60" t="s">
        <v>192</v>
      </c>
      <c r="M2450" s="60" t="s">
        <v>183</v>
      </c>
      <c r="N2450" s="60" t="b">
        <f>TRUE()</f>
        <v>1</v>
      </c>
      <c r="O2450" s="70">
        <v>327500</v>
      </c>
      <c r="P2450" s="70">
        <v>532500</v>
      </c>
      <c r="Q2450" s="60" t="s">
        <v>3663</v>
      </c>
      <c r="R2450" s="60" t="s">
        <v>7351</v>
      </c>
      <c r="S2450" s="70">
        <v>430000</v>
      </c>
      <c r="T2450" s="60" t="b">
        <f>TRUE()</f>
        <v>1</v>
      </c>
      <c r="U2450" s="60" t="b">
        <f>FALSE()</f>
        <v>0</v>
      </c>
      <c r="V2450" s="60">
        <v>376</v>
      </c>
      <c r="W2450" s="62" t="s">
        <v>9181</v>
      </c>
      <c r="X2450" s="60">
        <v>2</v>
      </c>
      <c r="Y2450" s="63">
        <v>0.48</v>
      </c>
      <c r="Z2450" s="60" t="b">
        <f>FALSE()</f>
        <v>0</v>
      </c>
      <c r="AA2450" s="60" t="b">
        <f>FALSE()</f>
        <v>0</v>
      </c>
      <c r="AB2450" s="60" t="b">
        <f>FALSE()</f>
        <v>0</v>
      </c>
      <c r="AC2450" s="60" t="b">
        <f>TRUE()</f>
        <v>1</v>
      </c>
      <c r="AD2450" s="60" t="b">
        <f>FALSE()</f>
        <v>0</v>
      </c>
      <c r="AE2450" s="60">
        <v>1</v>
      </c>
      <c r="AF2450" s="64">
        <v>14.3</v>
      </c>
      <c r="AG2450" s="60" t="s">
        <v>74</v>
      </c>
      <c r="AH2450" s="60" t="s">
        <v>9182</v>
      </c>
      <c r="AI2450">
        <f>IF(AND(OR(Company_Explorer!$B$5="All Companies",$E2450=Company_Explorer!$B$5),OR(Company_Explorer!$B$6="All Platforms",$B2450=Company_Explorer!$B$6),OR(Company_Explorer!$B$7="All Roles",$D2450=Company_Explorer!$B$7),OR(Company_Explorer!$B$8="All Ghost Labels",$AG2450=Company_Explorer!$B$8)),1,0)</f>
        <v>0</v>
      </c>
    </row>
    <row r="2451" spans="1:35" ht="15" customHeight="1" x14ac:dyDescent="0.3">
      <c r="A2451" s="65" t="s">
        <v>9183</v>
      </c>
      <c r="B2451" s="65" t="s">
        <v>82</v>
      </c>
      <c r="C2451" s="65" t="s">
        <v>8972</v>
      </c>
      <c r="D2451" s="65" t="s">
        <v>125</v>
      </c>
      <c r="E2451" s="65" t="s">
        <v>9184</v>
      </c>
      <c r="F2451" s="65" t="b">
        <f>TRUE()</f>
        <v>1</v>
      </c>
      <c r="G2451" s="65" t="s">
        <v>173</v>
      </c>
      <c r="H2451" s="65" t="s">
        <v>827</v>
      </c>
      <c r="I2451" s="66">
        <v>46201</v>
      </c>
      <c r="J2451" s="66">
        <v>46210.2860021296</v>
      </c>
      <c r="K2451" s="65">
        <v>129</v>
      </c>
      <c r="L2451" s="65" t="s">
        <v>183</v>
      </c>
      <c r="M2451" s="65" t="s">
        <v>183</v>
      </c>
      <c r="N2451" s="65" t="b">
        <f>TRUE()</f>
        <v>1</v>
      </c>
      <c r="O2451" s="71">
        <v>360000</v>
      </c>
      <c r="P2451" s="71">
        <v>720000</v>
      </c>
      <c r="Q2451" s="65" t="s">
        <v>3663</v>
      </c>
      <c r="R2451" s="65" t="s">
        <v>7351</v>
      </c>
      <c r="S2451" s="71">
        <v>540000</v>
      </c>
      <c r="T2451" s="65" t="b">
        <f>TRUE()</f>
        <v>1</v>
      </c>
      <c r="U2451" s="65" t="b">
        <f>FALSE()</f>
        <v>0</v>
      </c>
      <c r="V2451" s="65">
        <v>115</v>
      </c>
      <c r="W2451" s="67" t="s">
        <v>9185</v>
      </c>
      <c r="X2451" s="65">
        <v>1</v>
      </c>
      <c r="Y2451" s="68">
        <v>0.24</v>
      </c>
      <c r="Z2451" s="65" t="b">
        <f>FALSE()</f>
        <v>0</v>
      </c>
      <c r="AA2451" s="65" t="b">
        <f>FALSE()</f>
        <v>0</v>
      </c>
      <c r="AB2451" s="65" t="b">
        <f>TRUE()</f>
        <v>1</v>
      </c>
      <c r="AC2451" s="65" t="b">
        <f>TRUE()</f>
        <v>1</v>
      </c>
      <c r="AD2451" s="65" t="b">
        <f>FALSE()</f>
        <v>0</v>
      </c>
      <c r="AE2451" s="65">
        <v>2</v>
      </c>
      <c r="AF2451" s="69">
        <v>28.6</v>
      </c>
      <c r="AG2451" s="65" t="s">
        <v>73</v>
      </c>
      <c r="AH2451" s="65" t="s">
        <v>9186</v>
      </c>
      <c r="AI2451">
        <f>IF(AND(OR(Company_Explorer!$B$5="All Companies",$E2451=Company_Explorer!$B$5),OR(Company_Explorer!$B$6="All Platforms",$B2451=Company_Explorer!$B$6),OR(Company_Explorer!$B$7="All Roles",$D2451=Company_Explorer!$B$7),OR(Company_Explorer!$B$8="All Ghost Labels",$AG2451=Company_Explorer!$B$8)),1,0)</f>
        <v>0</v>
      </c>
    </row>
    <row r="2452" spans="1:35" ht="15" customHeight="1" x14ac:dyDescent="0.3">
      <c r="A2452" s="60" t="s">
        <v>9187</v>
      </c>
      <c r="B2452" s="60" t="s">
        <v>82</v>
      </c>
      <c r="C2452" s="60" t="s">
        <v>9188</v>
      </c>
      <c r="D2452" s="60" t="s">
        <v>125</v>
      </c>
      <c r="E2452" s="60" t="s">
        <v>9189</v>
      </c>
      <c r="F2452" s="60" t="b">
        <f>TRUE()</f>
        <v>1</v>
      </c>
      <c r="G2452" s="60" t="s">
        <v>9190</v>
      </c>
      <c r="H2452" s="60" t="s">
        <v>754</v>
      </c>
      <c r="I2452" s="61">
        <v>46193</v>
      </c>
      <c r="J2452" s="61">
        <v>46210.286002268498</v>
      </c>
      <c r="K2452" s="60">
        <v>137</v>
      </c>
      <c r="L2452" s="60" t="s">
        <v>183</v>
      </c>
      <c r="M2452" s="60" t="s">
        <v>183</v>
      </c>
      <c r="N2452" s="60" t="b">
        <f>TRUE()</f>
        <v>1</v>
      </c>
      <c r="O2452" s="70">
        <v>400000</v>
      </c>
      <c r="P2452" s="70">
        <v>700000</v>
      </c>
      <c r="Q2452" s="60" t="s">
        <v>3663</v>
      </c>
      <c r="R2452" s="60" t="s">
        <v>7351</v>
      </c>
      <c r="S2452" s="70">
        <v>550000</v>
      </c>
      <c r="T2452" s="60" t="b">
        <f>TRUE()</f>
        <v>1</v>
      </c>
      <c r="U2452" s="60" t="b">
        <f>FALSE()</f>
        <v>0</v>
      </c>
      <c r="V2452" s="60">
        <v>79</v>
      </c>
      <c r="W2452" s="62" t="s">
        <v>9191</v>
      </c>
      <c r="X2452" s="60">
        <v>1</v>
      </c>
      <c r="Y2452" s="63">
        <v>0.24</v>
      </c>
      <c r="Z2452" s="60" t="b">
        <f>FALSE()</f>
        <v>0</v>
      </c>
      <c r="AA2452" s="60" t="b">
        <f>FALSE()</f>
        <v>0</v>
      </c>
      <c r="AB2452" s="60" t="b">
        <f>TRUE()</f>
        <v>1</v>
      </c>
      <c r="AC2452" s="60" t="b">
        <f>TRUE()</f>
        <v>1</v>
      </c>
      <c r="AD2452" s="60" t="b">
        <f>FALSE()</f>
        <v>0</v>
      </c>
      <c r="AE2452" s="60">
        <v>2</v>
      </c>
      <c r="AF2452" s="64">
        <v>28.6</v>
      </c>
      <c r="AG2452" s="60" t="s">
        <v>73</v>
      </c>
      <c r="AH2452" s="60" t="s">
        <v>9192</v>
      </c>
      <c r="AI2452">
        <f>IF(AND(OR(Company_Explorer!$B$5="All Companies",$E2452=Company_Explorer!$B$5),OR(Company_Explorer!$B$6="All Platforms",$B2452=Company_Explorer!$B$6),OR(Company_Explorer!$B$7="All Roles",$D2452=Company_Explorer!$B$7),OR(Company_Explorer!$B$8="All Ghost Labels",$AG2452=Company_Explorer!$B$8)),1,0)</f>
        <v>0</v>
      </c>
    </row>
    <row r="2453" spans="1:35" ht="15" customHeight="1" x14ac:dyDescent="0.3">
      <c r="A2453" s="65" t="s">
        <v>9193</v>
      </c>
      <c r="B2453" s="65" t="s">
        <v>82</v>
      </c>
      <c r="C2453" s="65" t="s">
        <v>8191</v>
      </c>
      <c r="D2453" s="65" t="s">
        <v>125</v>
      </c>
      <c r="E2453" s="65" t="s">
        <v>9194</v>
      </c>
      <c r="F2453" s="65" t="b">
        <f>TRUE()</f>
        <v>1</v>
      </c>
      <c r="G2453" s="65" t="s">
        <v>165</v>
      </c>
      <c r="H2453" s="65" t="s">
        <v>165</v>
      </c>
      <c r="I2453" s="66">
        <v>46195</v>
      </c>
      <c r="J2453" s="66">
        <v>46210.286002430599</v>
      </c>
      <c r="K2453" s="65">
        <v>135</v>
      </c>
      <c r="L2453" s="65" t="s">
        <v>192</v>
      </c>
      <c r="M2453" s="65" t="s">
        <v>183</v>
      </c>
      <c r="N2453" s="65" t="b">
        <f>FALSE()</f>
        <v>0</v>
      </c>
      <c r="O2453" s="65"/>
      <c r="P2453" s="65"/>
      <c r="Q2453" s="65" t="s">
        <v>3663</v>
      </c>
      <c r="R2453" s="65" t="s">
        <v>236</v>
      </c>
      <c r="S2453" s="65"/>
      <c r="T2453" s="65" t="b">
        <f>FALSE()</f>
        <v>0</v>
      </c>
      <c r="U2453" s="65" t="b">
        <f>FALSE()</f>
        <v>0</v>
      </c>
      <c r="V2453" s="65">
        <v>190</v>
      </c>
      <c r="W2453" s="67" t="s">
        <v>9195</v>
      </c>
      <c r="X2453" s="65">
        <v>1</v>
      </c>
      <c r="Y2453" s="68">
        <v>0.24</v>
      </c>
      <c r="Z2453" s="65" t="b">
        <f>FALSE()</f>
        <v>0</v>
      </c>
      <c r="AA2453" s="65" t="b">
        <f>TRUE()</f>
        <v>1</v>
      </c>
      <c r="AB2453" s="65" t="b">
        <f>TRUE()</f>
        <v>1</v>
      </c>
      <c r="AC2453" s="65" t="b">
        <f>TRUE()</f>
        <v>1</v>
      </c>
      <c r="AD2453" s="65" t="b">
        <f>FALSE()</f>
        <v>0</v>
      </c>
      <c r="AE2453" s="65">
        <v>3</v>
      </c>
      <c r="AF2453" s="69">
        <v>42.9</v>
      </c>
      <c r="AG2453" s="65" t="s">
        <v>73</v>
      </c>
      <c r="AH2453" s="65" t="s">
        <v>9196</v>
      </c>
      <c r="AI2453">
        <f>IF(AND(OR(Company_Explorer!$B$5="All Companies",$E2453=Company_Explorer!$B$5),OR(Company_Explorer!$B$6="All Platforms",$B2453=Company_Explorer!$B$6),OR(Company_Explorer!$B$7="All Roles",$D2453=Company_Explorer!$B$7),OR(Company_Explorer!$B$8="All Ghost Labels",$AG2453=Company_Explorer!$B$8)),1,0)</f>
        <v>0</v>
      </c>
    </row>
    <row r="2454" spans="1:35" ht="15" customHeight="1" x14ac:dyDescent="0.3">
      <c r="A2454" s="60" t="s">
        <v>9197</v>
      </c>
      <c r="B2454" s="60" t="s">
        <v>82</v>
      </c>
      <c r="C2454" s="60" t="s">
        <v>3277</v>
      </c>
      <c r="D2454" s="60" t="s">
        <v>125</v>
      </c>
      <c r="E2454" s="60" t="s">
        <v>9198</v>
      </c>
      <c r="F2454" s="60" t="b">
        <f>TRUE()</f>
        <v>1</v>
      </c>
      <c r="G2454" s="60" t="s">
        <v>2302</v>
      </c>
      <c r="H2454" s="60" t="s">
        <v>270</v>
      </c>
      <c r="I2454" s="61">
        <v>46201</v>
      </c>
      <c r="J2454" s="61">
        <v>46210.286002638903</v>
      </c>
      <c r="K2454" s="60">
        <v>130</v>
      </c>
      <c r="L2454" s="60" t="s">
        <v>183</v>
      </c>
      <c r="M2454" s="60" t="s">
        <v>183</v>
      </c>
      <c r="N2454" s="60" t="b">
        <f>FALSE()</f>
        <v>0</v>
      </c>
      <c r="O2454" s="60"/>
      <c r="P2454" s="60"/>
      <c r="Q2454" s="60" t="s">
        <v>3663</v>
      </c>
      <c r="R2454" s="60" t="s">
        <v>236</v>
      </c>
      <c r="S2454" s="60"/>
      <c r="T2454" s="60" t="b">
        <f>FALSE()</f>
        <v>0</v>
      </c>
      <c r="U2454" s="60" t="b">
        <f>FALSE()</f>
        <v>0</v>
      </c>
      <c r="V2454" s="60">
        <v>57</v>
      </c>
      <c r="W2454" s="60" t="s">
        <v>9199</v>
      </c>
      <c r="X2454" s="60">
        <v>1</v>
      </c>
      <c r="Y2454" s="63">
        <v>0.24</v>
      </c>
      <c r="Z2454" s="60" t="b">
        <f>FALSE()</f>
        <v>0</v>
      </c>
      <c r="AA2454" s="60" t="b">
        <f>TRUE()</f>
        <v>1</v>
      </c>
      <c r="AB2454" s="60" t="b">
        <f>TRUE()</f>
        <v>1</v>
      </c>
      <c r="AC2454" s="60" t="b">
        <f>TRUE()</f>
        <v>1</v>
      </c>
      <c r="AD2454" s="60" t="b">
        <f>FALSE()</f>
        <v>0</v>
      </c>
      <c r="AE2454" s="60">
        <v>3</v>
      </c>
      <c r="AF2454" s="64">
        <v>42.9</v>
      </c>
      <c r="AG2454" s="60" t="s">
        <v>73</v>
      </c>
      <c r="AH2454" s="60" t="s">
        <v>9200</v>
      </c>
      <c r="AI2454">
        <f>IF(AND(OR(Company_Explorer!$B$5="All Companies",$E2454=Company_Explorer!$B$5),OR(Company_Explorer!$B$6="All Platforms",$B2454=Company_Explorer!$B$6),OR(Company_Explorer!$B$7="All Roles",$D2454=Company_Explorer!$B$7),OR(Company_Explorer!$B$8="All Ghost Labels",$AG2454=Company_Explorer!$B$8)),1,0)</f>
        <v>0</v>
      </c>
    </row>
    <row r="2455" spans="1:35" ht="15" customHeight="1" x14ac:dyDescent="0.3">
      <c r="A2455" s="65" t="s">
        <v>9201</v>
      </c>
      <c r="B2455" s="65" t="s">
        <v>82</v>
      </c>
      <c r="C2455" s="65" t="s">
        <v>9202</v>
      </c>
      <c r="D2455" s="65" t="s">
        <v>129</v>
      </c>
      <c r="E2455" s="65" t="s">
        <v>9203</v>
      </c>
      <c r="F2455" s="65" t="b">
        <f>TRUE()</f>
        <v>1</v>
      </c>
      <c r="G2455" s="65" t="s">
        <v>165</v>
      </c>
      <c r="H2455" s="65" t="s">
        <v>165</v>
      </c>
      <c r="I2455" s="66">
        <v>46199</v>
      </c>
      <c r="J2455" s="66">
        <v>46210.286002928202</v>
      </c>
      <c r="K2455" s="65">
        <v>12</v>
      </c>
      <c r="L2455" s="65" t="s">
        <v>192</v>
      </c>
      <c r="M2455" s="65" t="s">
        <v>183</v>
      </c>
      <c r="N2455" s="65" t="b">
        <f>FALSE()</f>
        <v>0</v>
      </c>
      <c r="O2455" s="65"/>
      <c r="P2455" s="65"/>
      <c r="Q2455" s="65" t="s">
        <v>3663</v>
      </c>
      <c r="R2455" s="65" t="s">
        <v>236</v>
      </c>
      <c r="S2455" s="65"/>
      <c r="T2455" s="65" t="b">
        <f>FALSE()</f>
        <v>0</v>
      </c>
      <c r="U2455" s="65" t="b">
        <f>FALSE()</f>
        <v>0</v>
      </c>
      <c r="V2455" s="65">
        <v>184</v>
      </c>
      <c r="W2455" s="67" t="s">
        <v>9204</v>
      </c>
      <c r="X2455" s="65">
        <v>1</v>
      </c>
      <c r="Y2455" s="68">
        <v>0.24</v>
      </c>
      <c r="Z2455" s="65" t="b">
        <f>FALSE()</f>
        <v>0</v>
      </c>
      <c r="AA2455" s="65" t="b">
        <f>TRUE()</f>
        <v>1</v>
      </c>
      <c r="AB2455" s="65" t="b">
        <f>TRUE()</f>
        <v>1</v>
      </c>
      <c r="AC2455" s="65" t="b">
        <f>FALSE()</f>
        <v>0</v>
      </c>
      <c r="AD2455" s="65" t="b">
        <f>FALSE()</f>
        <v>0</v>
      </c>
      <c r="AE2455" s="65">
        <v>2</v>
      </c>
      <c r="AF2455" s="69">
        <v>28.6</v>
      </c>
      <c r="AG2455" s="65" t="s">
        <v>73</v>
      </c>
      <c r="AH2455" s="65" t="s">
        <v>9205</v>
      </c>
      <c r="AI2455">
        <f>IF(AND(OR(Company_Explorer!$B$5="All Companies",$E2455=Company_Explorer!$B$5),OR(Company_Explorer!$B$6="All Platforms",$B2455=Company_Explorer!$B$6),OR(Company_Explorer!$B$7="All Roles",$D2455=Company_Explorer!$B$7),OR(Company_Explorer!$B$8="All Ghost Labels",$AG2455=Company_Explorer!$B$8)),1,0)</f>
        <v>0</v>
      </c>
    </row>
    <row r="2456" spans="1:35" ht="15" customHeight="1" x14ac:dyDescent="0.3">
      <c r="A2456" s="60" t="s">
        <v>9206</v>
      </c>
      <c r="B2456" s="60" t="s">
        <v>82</v>
      </c>
      <c r="C2456" s="60" t="s">
        <v>306</v>
      </c>
      <c r="D2456" s="60" t="s">
        <v>125</v>
      </c>
      <c r="E2456" s="60" t="s">
        <v>9207</v>
      </c>
      <c r="F2456" s="60" t="b">
        <f>TRUE()</f>
        <v>1</v>
      </c>
      <c r="G2456" s="60" t="s">
        <v>165</v>
      </c>
      <c r="H2456" s="60" t="s">
        <v>165</v>
      </c>
      <c r="I2456" s="61">
        <v>46207</v>
      </c>
      <c r="J2456" s="61">
        <v>46210.286006770802</v>
      </c>
      <c r="K2456" s="60">
        <v>33</v>
      </c>
      <c r="L2456" s="60" t="s">
        <v>192</v>
      </c>
      <c r="M2456" s="60" t="s">
        <v>183</v>
      </c>
      <c r="N2456" s="60" t="b">
        <f>FALSE()</f>
        <v>0</v>
      </c>
      <c r="O2456" s="60"/>
      <c r="P2456" s="60"/>
      <c r="Q2456" s="60" t="s">
        <v>3663</v>
      </c>
      <c r="R2456" s="60" t="s">
        <v>236</v>
      </c>
      <c r="S2456" s="60"/>
      <c r="T2456" s="60" t="b">
        <f>FALSE()</f>
        <v>0</v>
      </c>
      <c r="U2456" s="60" t="b">
        <f>FALSE()</f>
        <v>0</v>
      </c>
      <c r="V2456" s="60">
        <v>1194</v>
      </c>
      <c r="W2456" s="62" t="s">
        <v>9208</v>
      </c>
      <c r="X2456" s="60">
        <v>1</v>
      </c>
      <c r="Y2456" s="63">
        <v>0.24</v>
      </c>
      <c r="Z2456" s="60" t="b">
        <f>FALSE()</f>
        <v>0</v>
      </c>
      <c r="AA2456" s="60" t="b">
        <f>TRUE()</f>
        <v>1</v>
      </c>
      <c r="AB2456" s="60" t="b">
        <f>FALSE()</f>
        <v>0</v>
      </c>
      <c r="AC2456" s="60" t="b">
        <f>FALSE()</f>
        <v>0</v>
      </c>
      <c r="AD2456" s="60" t="b">
        <f>FALSE()</f>
        <v>0</v>
      </c>
      <c r="AE2456" s="60">
        <v>1</v>
      </c>
      <c r="AF2456" s="64">
        <v>14.3</v>
      </c>
      <c r="AG2456" s="60" t="s">
        <v>74</v>
      </c>
      <c r="AH2456" s="60" t="s">
        <v>9209</v>
      </c>
      <c r="AI2456">
        <f>IF(AND(OR(Company_Explorer!$B$5="All Companies",$E2456=Company_Explorer!$B$5),OR(Company_Explorer!$B$6="All Platforms",$B2456=Company_Explorer!$B$6),OR(Company_Explorer!$B$7="All Roles",$D2456=Company_Explorer!$B$7),OR(Company_Explorer!$B$8="All Ghost Labels",$AG2456=Company_Explorer!$B$8)),1,0)</f>
        <v>0</v>
      </c>
    </row>
    <row r="2457" spans="1:35" ht="15" customHeight="1" x14ac:dyDescent="0.3">
      <c r="A2457" s="65" t="s">
        <v>9210</v>
      </c>
      <c r="B2457" s="65" t="s">
        <v>82</v>
      </c>
      <c r="C2457" s="65" t="s">
        <v>8191</v>
      </c>
      <c r="D2457" s="65" t="s">
        <v>125</v>
      </c>
      <c r="E2457" s="65" t="s">
        <v>9211</v>
      </c>
      <c r="F2457" s="65" t="b">
        <f>TRUE()</f>
        <v>1</v>
      </c>
      <c r="G2457" s="65" t="s">
        <v>753</v>
      </c>
      <c r="H2457" s="65" t="s">
        <v>754</v>
      </c>
      <c r="I2457" s="66">
        <v>46193</v>
      </c>
      <c r="J2457" s="66">
        <v>46210.286010150499</v>
      </c>
      <c r="K2457" s="65">
        <v>137</v>
      </c>
      <c r="L2457" s="65" t="s">
        <v>183</v>
      </c>
      <c r="M2457" s="65" t="s">
        <v>183</v>
      </c>
      <c r="N2457" s="65" t="b">
        <f>FALSE()</f>
        <v>0</v>
      </c>
      <c r="O2457" s="65"/>
      <c r="P2457" s="65"/>
      <c r="Q2457" s="65" t="s">
        <v>3663</v>
      </c>
      <c r="R2457" s="65" t="s">
        <v>236</v>
      </c>
      <c r="S2457" s="65"/>
      <c r="T2457" s="65" t="b">
        <f>FALSE()</f>
        <v>0</v>
      </c>
      <c r="U2457" s="65" t="b">
        <f>FALSE()</f>
        <v>0</v>
      </c>
      <c r="V2457" s="65">
        <v>23</v>
      </c>
      <c r="W2457" s="67" t="s">
        <v>9212</v>
      </c>
      <c r="X2457" s="65">
        <v>1</v>
      </c>
      <c r="Y2457" s="68">
        <v>0.24</v>
      </c>
      <c r="Z2457" s="65" t="b">
        <f>FALSE()</f>
        <v>0</v>
      </c>
      <c r="AA2457" s="65" t="b">
        <f>TRUE()</f>
        <v>1</v>
      </c>
      <c r="AB2457" s="65" t="b">
        <f>TRUE()</f>
        <v>1</v>
      </c>
      <c r="AC2457" s="65" t="b">
        <f>TRUE()</f>
        <v>1</v>
      </c>
      <c r="AD2457" s="65" t="b">
        <f>FALSE()</f>
        <v>0</v>
      </c>
      <c r="AE2457" s="65">
        <v>3</v>
      </c>
      <c r="AF2457" s="69">
        <v>42.9</v>
      </c>
      <c r="AG2457" s="65" t="s">
        <v>73</v>
      </c>
      <c r="AH2457" s="65" t="s">
        <v>9213</v>
      </c>
      <c r="AI2457">
        <f>IF(AND(OR(Company_Explorer!$B$5="All Companies",$E2457=Company_Explorer!$B$5),OR(Company_Explorer!$B$6="All Platforms",$B2457=Company_Explorer!$B$6),OR(Company_Explorer!$B$7="All Roles",$D2457=Company_Explorer!$B$7),OR(Company_Explorer!$B$8="All Ghost Labels",$AG2457=Company_Explorer!$B$8)),1,0)</f>
        <v>0</v>
      </c>
    </row>
    <row r="2458" spans="1:35" ht="15" customHeight="1" x14ac:dyDescent="0.3">
      <c r="A2458" s="60" t="s">
        <v>9214</v>
      </c>
      <c r="B2458" s="60" t="s">
        <v>82</v>
      </c>
      <c r="C2458" s="60" t="s">
        <v>9215</v>
      </c>
      <c r="D2458" s="60" t="s">
        <v>129</v>
      </c>
      <c r="E2458" s="60" t="s">
        <v>9216</v>
      </c>
      <c r="F2458" s="60" t="b">
        <f>TRUE()</f>
        <v>1</v>
      </c>
      <c r="G2458" s="60" t="s">
        <v>165</v>
      </c>
      <c r="H2458" s="60" t="s">
        <v>165</v>
      </c>
      <c r="I2458" s="61">
        <v>46205</v>
      </c>
      <c r="J2458" s="61">
        <v>46210.286013275501</v>
      </c>
      <c r="K2458" s="60">
        <v>35</v>
      </c>
      <c r="L2458" s="60" t="s">
        <v>192</v>
      </c>
      <c r="M2458" s="60" t="s">
        <v>183</v>
      </c>
      <c r="N2458" s="60" t="b">
        <f>FALSE()</f>
        <v>0</v>
      </c>
      <c r="O2458" s="60"/>
      <c r="P2458" s="60"/>
      <c r="Q2458" s="60" t="s">
        <v>3663</v>
      </c>
      <c r="R2458" s="60" t="s">
        <v>236</v>
      </c>
      <c r="S2458" s="60"/>
      <c r="T2458" s="60" t="b">
        <f>FALSE()</f>
        <v>0</v>
      </c>
      <c r="U2458" s="60" t="b">
        <f>FALSE()</f>
        <v>0</v>
      </c>
      <c r="V2458" s="60">
        <v>718</v>
      </c>
      <c r="W2458" s="62" t="s">
        <v>9217</v>
      </c>
      <c r="X2458" s="60">
        <v>1</v>
      </c>
      <c r="Y2458" s="63">
        <v>0.24</v>
      </c>
      <c r="Z2458" s="60" t="b">
        <f>FALSE()</f>
        <v>0</v>
      </c>
      <c r="AA2458" s="60" t="b">
        <f>TRUE()</f>
        <v>1</v>
      </c>
      <c r="AB2458" s="60" t="b">
        <f>FALSE()</f>
        <v>0</v>
      </c>
      <c r="AC2458" s="60" t="b">
        <f>FALSE()</f>
        <v>0</v>
      </c>
      <c r="AD2458" s="60" t="b">
        <f>FALSE()</f>
        <v>0</v>
      </c>
      <c r="AE2458" s="60">
        <v>1</v>
      </c>
      <c r="AF2458" s="64">
        <v>14.3</v>
      </c>
      <c r="AG2458" s="60" t="s">
        <v>74</v>
      </c>
      <c r="AH2458" s="60" t="s">
        <v>9218</v>
      </c>
      <c r="AI2458">
        <f>IF(AND(OR(Company_Explorer!$B$5="All Companies",$E2458=Company_Explorer!$B$5),OR(Company_Explorer!$B$6="All Platforms",$B2458=Company_Explorer!$B$6),OR(Company_Explorer!$B$7="All Roles",$D2458=Company_Explorer!$B$7),OR(Company_Explorer!$B$8="All Ghost Labels",$AG2458=Company_Explorer!$B$8)),1,0)</f>
        <v>0</v>
      </c>
    </row>
    <row r="2459" spans="1:35" ht="15" customHeight="1" x14ac:dyDescent="0.3">
      <c r="A2459" s="65" t="s">
        <v>9219</v>
      </c>
      <c r="B2459" s="65" t="s">
        <v>82</v>
      </c>
      <c r="C2459" s="65" t="s">
        <v>9220</v>
      </c>
      <c r="D2459" s="65" t="s">
        <v>125</v>
      </c>
      <c r="E2459" s="65" t="s">
        <v>9221</v>
      </c>
      <c r="F2459" s="65" t="b">
        <f>TRUE()</f>
        <v>1</v>
      </c>
      <c r="G2459" s="65" t="s">
        <v>175</v>
      </c>
      <c r="H2459" s="65" t="s">
        <v>254</v>
      </c>
      <c r="I2459" s="66">
        <v>46201</v>
      </c>
      <c r="J2459" s="66">
        <v>46210.286013449098</v>
      </c>
      <c r="K2459" s="65">
        <v>130</v>
      </c>
      <c r="L2459" s="65" t="s">
        <v>183</v>
      </c>
      <c r="M2459" s="65" t="s">
        <v>183</v>
      </c>
      <c r="N2459" s="65" t="b">
        <f>TRUE()</f>
        <v>1</v>
      </c>
      <c r="O2459" s="71">
        <v>325000</v>
      </c>
      <c r="P2459" s="71">
        <v>900000</v>
      </c>
      <c r="Q2459" s="65" t="s">
        <v>3663</v>
      </c>
      <c r="R2459" s="65" t="s">
        <v>7351</v>
      </c>
      <c r="S2459" s="71">
        <v>612500</v>
      </c>
      <c r="T2459" s="65" t="b">
        <f>TRUE()</f>
        <v>1</v>
      </c>
      <c r="U2459" s="65" t="b">
        <f>FALSE()</f>
        <v>0</v>
      </c>
      <c r="V2459" s="65">
        <v>75</v>
      </c>
      <c r="W2459" s="67" t="s">
        <v>9222</v>
      </c>
      <c r="X2459" s="65">
        <v>1</v>
      </c>
      <c r="Y2459" s="68">
        <v>0.24</v>
      </c>
      <c r="Z2459" s="65" t="b">
        <f>FALSE()</f>
        <v>0</v>
      </c>
      <c r="AA2459" s="65" t="b">
        <f>FALSE()</f>
        <v>0</v>
      </c>
      <c r="AB2459" s="65" t="b">
        <f>TRUE()</f>
        <v>1</v>
      </c>
      <c r="AC2459" s="65" t="b">
        <f>TRUE()</f>
        <v>1</v>
      </c>
      <c r="AD2459" s="65" t="b">
        <f>FALSE()</f>
        <v>0</v>
      </c>
      <c r="AE2459" s="65">
        <v>2</v>
      </c>
      <c r="AF2459" s="69">
        <v>28.6</v>
      </c>
      <c r="AG2459" s="65" t="s">
        <v>73</v>
      </c>
      <c r="AH2459" s="65" t="s">
        <v>9223</v>
      </c>
      <c r="AI2459">
        <f>IF(AND(OR(Company_Explorer!$B$5="All Companies",$E2459=Company_Explorer!$B$5),OR(Company_Explorer!$B$6="All Platforms",$B2459=Company_Explorer!$B$6),OR(Company_Explorer!$B$7="All Roles",$D2459=Company_Explorer!$B$7),OR(Company_Explorer!$B$8="All Ghost Labels",$AG2459=Company_Explorer!$B$8)),1,0)</f>
        <v>0</v>
      </c>
    </row>
    <row r="2460" spans="1:35" ht="15" customHeight="1" x14ac:dyDescent="0.3">
      <c r="A2460" s="60" t="s">
        <v>9224</v>
      </c>
      <c r="B2460" s="60" t="s">
        <v>82</v>
      </c>
      <c r="C2460" s="60" t="s">
        <v>9225</v>
      </c>
      <c r="D2460" s="60" t="s">
        <v>125</v>
      </c>
      <c r="E2460" s="60" t="s">
        <v>3718</v>
      </c>
      <c r="F2460" s="60" t="b">
        <f>TRUE()</f>
        <v>1</v>
      </c>
      <c r="G2460" s="60" t="s">
        <v>165</v>
      </c>
      <c r="H2460" s="60" t="s">
        <v>165</v>
      </c>
      <c r="I2460" s="61">
        <v>46208</v>
      </c>
      <c r="J2460" s="61">
        <v>46210.286016423597</v>
      </c>
      <c r="K2460" s="60">
        <v>63</v>
      </c>
      <c r="L2460" s="60" t="s">
        <v>192</v>
      </c>
      <c r="M2460" s="60" t="s">
        <v>183</v>
      </c>
      <c r="N2460" s="60" t="b">
        <f>FALSE()</f>
        <v>0</v>
      </c>
      <c r="O2460" s="60"/>
      <c r="P2460" s="60"/>
      <c r="Q2460" s="60" t="s">
        <v>3663</v>
      </c>
      <c r="R2460" s="60" t="s">
        <v>236</v>
      </c>
      <c r="S2460" s="60"/>
      <c r="T2460" s="60" t="b">
        <f>FALSE()</f>
        <v>0</v>
      </c>
      <c r="U2460" s="60" t="b">
        <f>FALSE()</f>
        <v>0</v>
      </c>
      <c r="V2460" s="60">
        <v>541</v>
      </c>
      <c r="W2460" s="62" t="s">
        <v>3956</v>
      </c>
      <c r="X2460" s="60">
        <v>2</v>
      </c>
      <c r="Y2460" s="63">
        <v>0.48</v>
      </c>
      <c r="Z2460" s="60" t="b">
        <f>FALSE()</f>
        <v>0</v>
      </c>
      <c r="AA2460" s="60" t="b">
        <f>TRUE()</f>
        <v>1</v>
      </c>
      <c r="AB2460" s="60" t="b">
        <f>FALSE()</f>
        <v>0</v>
      </c>
      <c r="AC2460" s="60" t="b">
        <f>FALSE()</f>
        <v>0</v>
      </c>
      <c r="AD2460" s="60" t="b">
        <f>FALSE()</f>
        <v>0</v>
      </c>
      <c r="AE2460" s="60">
        <v>1</v>
      </c>
      <c r="AF2460" s="64">
        <v>14.3</v>
      </c>
      <c r="AG2460" s="60" t="s">
        <v>74</v>
      </c>
      <c r="AH2460" s="60" t="s">
        <v>9226</v>
      </c>
      <c r="AI2460">
        <f>IF(AND(OR(Company_Explorer!$B$5="All Companies",$E2460=Company_Explorer!$B$5),OR(Company_Explorer!$B$6="All Platforms",$B2460=Company_Explorer!$B$6),OR(Company_Explorer!$B$7="All Roles",$D2460=Company_Explorer!$B$7),OR(Company_Explorer!$B$8="All Ghost Labels",$AG2460=Company_Explorer!$B$8)),1,0)</f>
        <v>0</v>
      </c>
    </row>
    <row r="2461" spans="1:35" ht="15" customHeight="1" x14ac:dyDescent="0.3">
      <c r="A2461" s="65" t="s">
        <v>9227</v>
      </c>
      <c r="B2461" s="65" t="s">
        <v>82</v>
      </c>
      <c r="C2461" s="65" t="s">
        <v>9228</v>
      </c>
      <c r="D2461" s="65" t="s">
        <v>126</v>
      </c>
      <c r="E2461" s="65" t="s">
        <v>9229</v>
      </c>
      <c r="F2461" s="65" t="b">
        <f>TRUE()</f>
        <v>1</v>
      </c>
      <c r="G2461" s="65" t="s">
        <v>165</v>
      </c>
      <c r="H2461" s="65" t="s">
        <v>165</v>
      </c>
      <c r="I2461" s="66">
        <v>46211</v>
      </c>
      <c r="J2461" s="66">
        <v>46210.286018194398</v>
      </c>
      <c r="K2461" s="65">
        <v>122</v>
      </c>
      <c r="L2461" s="65" t="s">
        <v>192</v>
      </c>
      <c r="M2461" s="65" t="s">
        <v>183</v>
      </c>
      <c r="N2461" s="65" t="b">
        <f>FALSE()</f>
        <v>0</v>
      </c>
      <c r="O2461" s="65"/>
      <c r="P2461" s="65"/>
      <c r="Q2461" s="65" t="s">
        <v>3663</v>
      </c>
      <c r="R2461" s="65" t="s">
        <v>236</v>
      </c>
      <c r="S2461" s="65"/>
      <c r="T2461" s="65" t="b">
        <f>FALSE()</f>
        <v>0</v>
      </c>
      <c r="U2461" s="65" t="b">
        <f>FALSE()</f>
        <v>0</v>
      </c>
      <c r="V2461" s="65">
        <v>192</v>
      </c>
      <c r="W2461" s="67" t="s">
        <v>9230</v>
      </c>
      <c r="X2461" s="65">
        <v>1</v>
      </c>
      <c r="Y2461" s="68">
        <v>0.24</v>
      </c>
      <c r="Z2461" s="65" t="b">
        <f>FALSE()</f>
        <v>0</v>
      </c>
      <c r="AA2461" s="65" t="b">
        <f>TRUE()</f>
        <v>1</v>
      </c>
      <c r="AB2461" s="65" t="b">
        <f>TRUE()</f>
        <v>1</v>
      </c>
      <c r="AC2461" s="65" t="b">
        <f>TRUE()</f>
        <v>1</v>
      </c>
      <c r="AD2461" s="65" t="b">
        <f>FALSE()</f>
        <v>0</v>
      </c>
      <c r="AE2461" s="65">
        <v>3</v>
      </c>
      <c r="AF2461" s="69">
        <v>42.9</v>
      </c>
      <c r="AG2461" s="65" t="s">
        <v>73</v>
      </c>
      <c r="AH2461" s="65" t="s">
        <v>9231</v>
      </c>
      <c r="AI2461">
        <f>IF(AND(OR(Company_Explorer!$B$5="All Companies",$E2461=Company_Explorer!$B$5),OR(Company_Explorer!$B$6="All Platforms",$B2461=Company_Explorer!$B$6),OR(Company_Explorer!$B$7="All Roles",$D2461=Company_Explorer!$B$7),OR(Company_Explorer!$B$8="All Ghost Labels",$AG2461=Company_Explorer!$B$8)),1,0)</f>
        <v>0</v>
      </c>
    </row>
    <row r="2462" spans="1:35" ht="15" customHeight="1" x14ac:dyDescent="0.3">
      <c r="A2462" s="60" t="s">
        <v>9232</v>
      </c>
      <c r="B2462" s="60" t="s">
        <v>82</v>
      </c>
      <c r="C2462" s="60" t="s">
        <v>9233</v>
      </c>
      <c r="D2462" s="60" t="s">
        <v>126</v>
      </c>
      <c r="E2462" s="60" t="s">
        <v>7473</v>
      </c>
      <c r="F2462" s="60" t="b">
        <f>TRUE()</f>
        <v>1</v>
      </c>
      <c r="G2462" s="60" t="s">
        <v>165</v>
      </c>
      <c r="H2462" s="60" t="s">
        <v>165</v>
      </c>
      <c r="I2462" s="61">
        <v>46191</v>
      </c>
      <c r="J2462" s="61">
        <v>46210.286018541701</v>
      </c>
      <c r="K2462" s="60">
        <v>19</v>
      </c>
      <c r="L2462" s="60" t="s">
        <v>192</v>
      </c>
      <c r="M2462" s="60" t="s">
        <v>183</v>
      </c>
      <c r="N2462" s="60" t="b">
        <f>FALSE()</f>
        <v>0</v>
      </c>
      <c r="O2462" s="60"/>
      <c r="P2462" s="60"/>
      <c r="Q2462" s="60" t="s">
        <v>3663</v>
      </c>
      <c r="R2462" s="60" t="s">
        <v>236</v>
      </c>
      <c r="S2462" s="60"/>
      <c r="T2462" s="60" t="b">
        <f>FALSE()</f>
        <v>0</v>
      </c>
      <c r="U2462" s="60" t="b">
        <f>FALSE()</f>
        <v>0</v>
      </c>
      <c r="V2462" s="60">
        <v>757</v>
      </c>
      <c r="W2462" s="62" t="s">
        <v>9234</v>
      </c>
      <c r="X2462" s="60">
        <v>4</v>
      </c>
      <c r="Y2462" s="63">
        <v>0.97</v>
      </c>
      <c r="Z2462" s="60" t="b">
        <f>FALSE()</f>
        <v>0</v>
      </c>
      <c r="AA2462" s="60" t="b">
        <f>TRUE()</f>
        <v>1</v>
      </c>
      <c r="AB2462" s="60" t="b">
        <f>FALSE()</f>
        <v>0</v>
      </c>
      <c r="AC2462" s="60" t="b">
        <f>FALSE()</f>
        <v>0</v>
      </c>
      <c r="AD2462" s="60" t="b">
        <f>FALSE()</f>
        <v>0</v>
      </c>
      <c r="AE2462" s="60">
        <v>1</v>
      </c>
      <c r="AF2462" s="64">
        <v>14.3</v>
      </c>
      <c r="AG2462" s="60" t="s">
        <v>74</v>
      </c>
      <c r="AH2462" s="60" t="s">
        <v>9235</v>
      </c>
      <c r="AI2462">
        <f>IF(AND(OR(Company_Explorer!$B$5="All Companies",$E2462=Company_Explorer!$B$5),OR(Company_Explorer!$B$6="All Platforms",$B2462=Company_Explorer!$B$6),OR(Company_Explorer!$B$7="All Roles",$D2462=Company_Explorer!$B$7),OR(Company_Explorer!$B$8="All Ghost Labels",$AG2462=Company_Explorer!$B$8)),1,0)</f>
        <v>0</v>
      </c>
    </row>
    <row r="2463" spans="1:35" ht="15" customHeight="1" x14ac:dyDescent="0.3">
      <c r="A2463" s="65" t="s">
        <v>9236</v>
      </c>
      <c r="B2463" s="65" t="s">
        <v>82</v>
      </c>
      <c r="C2463" s="65" t="s">
        <v>8474</v>
      </c>
      <c r="D2463" s="65" t="s">
        <v>128</v>
      </c>
      <c r="E2463" s="65" t="s">
        <v>8529</v>
      </c>
      <c r="F2463" s="65" t="b">
        <f>TRUE()</f>
        <v>1</v>
      </c>
      <c r="G2463" s="65" t="s">
        <v>165</v>
      </c>
      <c r="H2463" s="65" t="s">
        <v>165</v>
      </c>
      <c r="I2463" s="66">
        <v>46190</v>
      </c>
      <c r="J2463" s="66">
        <v>46210.286019166699</v>
      </c>
      <c r="K2463" s="65">
        <v>81</v>
      </c>
      <c r="L2463" s="65" t="s">
        <v>192</v>
      </c>
      <c r="M2463" s="65" t="s">
        <v>183</v>
      </c>
      <c r="N2463" s="65" t="b">
        <f>FALSE()</f>
        <v>0</v>
      </c>
      <c r="O2463" s="65"/>
      <c r="P2463" s="65"/>
      <c r="Q2463" s="65" t="s">
        <v>3663</v>
      </c>
      <c r="R2463" s="65" t="s">
        <v>236</v>
      </c>
      <c r="S2463" s="65"/>
      <c r="T2463" s="65" t="b">
        <f>FALSE()</f>
        <v>0</v>
      </c>
      <c r="U2463" s="65" t="b">
        <f>FALSE()</f>
        <v>0</v>
      </c>
      <c r="V2463" s="65">
        <v>404</v>
      </c>
      <c r="W2463" s="67" t="s">
        <v>9237</v>
      </c>
      <c r="X2463" s="65">
        <v>2</v>
      </c>
      <c r="Y2463" s="68">
        <v>0.48</v>
      </c>
      <c r="Z2463" s="65" t="b">
        <f>FALSE()</f>
        <v>0</v>
      </c>
      <c r="AA2463" s="65" t="b">
        <f>TRUE()</f>
        <v>1</v>
      </c>
      <c r="AB2463" s="65" t="b">
        <f>FALSE()</f>
        <v>0</v>
      </c>
      <c r="AC2463" s="65" t="b">
        <f>FALSE()</f>
        <v>0</v>
      </c>
      <c r="AD2463" s="65" t="b">
        <f>FALSE()</f>
        <v>0</v>
      </c>
      <c r="AE2463" s="65">
        <v>1</v>
      </c>
      <c r="AF2463" s="69">
        <v>14.3</v>
      </c>
      <c r="AG2463" s="65" t="s">
        <v>74</v>
      </c>
      <c r="AH2463" s="65" t="s">
        <v>9238</v>
      </c>
      <c r="AI2463">
        <f>IF(AND(OR(Company_Explorer!$B$5="All Companies",$E2463=Company_Explorer!$B$5),OR(Company_Explorer!$B$6="All Platforms",$B2463=Company_Explorer!$B$6),OR(Company_Explorer!$B$7="All Roles",$D2463=Company_Explorer!$B$7),OR(Company_Explorer!$B$8="All Ghost Labels",$AG2463=Company_Explorer!$B$8)),1,0)</f>
        <v>0</v>
      </c>
    </row>
    <row r="2464" spans="1:35" ht="15" customHeight="1" x14ac:dyDescent="0.3">
      <c r="A2464" s="60" t="s">
        <v>9239</v>
      </c>
      <c r="B2464" s="60" t="s">
        <v>82</v>
      </c>
      <c r="C2464" s="60" t="s">
        <v>9240</v>
      </c>
      <c r="D2464" s="60" t="s">
        <v>128</v>
      </c>
      <c r="E2464" s="60" t="s">
        <v>9241</v>
      </c>
      <c r="F2464" s="60" t="b">
        <f>TRUE()</f>
        <v>1</v>
      </c>
      <c r="G2464" s="60" t="s">
        <v>165</v>
      </c>
      <c r="H2464" s="60" t="s">
        <v>165</v>
      </c>
      <c r="I2464" s="61">
        <v>46192</v>
      </c>
      <c r="J2464" s="61">
        <v>46210.286019849496</v>
      </c>
      <c r="K2464" s="60">
        <v>49</v>
      </c>
      <c r="L2464" s="60" t="s">
        <v>192</v>
      </c>
      <c r="M2464" s="60" t="s">
        <v>183</v>
      </c>
      <c r="N2464" s="60" t="b">
        <f>FALSE()</f>
        <v>0</v>
      </c>
      <c r="O2464" s="60"/>
      <c r="P2464" s="60"/>
      <c r="Q2464" s="60" t="s">
        <v>3663</v>
      </c>
      <c r="R2464" s="60" t="s">
        <v>236</v>
      </c>
      <c r="S2464" s="60"/>
      <c r="T2464" s="60" t="b">
        <f>FALSE()</f>
        <v>0</v>
      </c>
      <c r="U2464" s="60" t="b">
        <f>FALSE()</f>
        <v>0</v>
      </c>
      <c r="V2464" s="60">
        <v>323</v>
      </c>
      <c r="W2464" s="62" t="s">
        <v>9242</v>
      </c>
      <c r="X2464" s="60">
        <v>3</v>
      </c>
      <c r="Y2464" s="63">
        <v>0.72</v>
      </c>
      <c r="Z2464" s="60" t="b">
        <f>FALSE()</f>
        <v>0</v>
      </c>
      <c r="AA2464" s="60" t="b">
        <f>TRUE()</f>
        <v>1</v>
      </c>
      <c r="AB2464" s="60" t="b">
        <f>FALSE()</f>
        <v>0</v>
      </c>
      <c r="AC2464" s="60" t="b">
        <f>FALSE()</f>
        <v>0</v>
      </c>
      <c r="AD2464" s="60" t="b">
        <f>FALSE()</f>
        <v>0</v>
      </c>
      <c r="AE2464" s="60">
        <v>1</v>
      </c>
      <c r="AF2464" s="64">
        <v>14.3</v>
      </c>
      <c r="AG2464" s="60" t="s">
        <v>74</v>
      </c>
      <c r="AH2464" s="60" t="s">
        <v>9243</v>
      </c>
      <c r="AI2464">
        <f>IF(AND(OR(Company_Explorer!$B$5="All Companies",$E2464=Company_Explorer!$B$5),OR(Company_Explorer!$B$6="All Platforms",$B2464=Company_Explorer!$B$6),OR(Company_Explorer!$B$7="All Roles",$D2464=Company_Explorer!$B$7),OR(Company_Explorer!$B$8="All Ghost Labels",$AG2464=Company_Explorer!$B$8)),1,0)</f>
        <v>0</v>
      </c>
    </row>
    <row r="2465" spans="1:35" ht="15" customHeight="1" x14ac:dyDescent="0.3">
      <c r="A2465" s="65" t="s">
        <v>9244</v>
      </c>
      <c r="B2465" s="65" t="s">
        <v>82</v>
      </c>
      <c r="C2465" s="65" t="s">
        <v>9245</v>
      </c>
      <c r="D2465" s="65" t="s">
        <v>126</v>
      </c>
      <c r="E2465" s="65" t="s">
        <v>8827</v>
      </c>
      <c r="F2465" s="65" t="b">
        <f>TRUE()</f>
        <v>1</v>
      </c>
      <c r="G2465" s="65" t="s">
        <v>172</v>
      </c>
      <c r="H2465" s="65" t="s">
        <v>276</v>
      </c>
      <c r="I2465" s="66">
        <v>46206</v>
      </c>
      <c r="J2465" s="66">
        <v>46210.286020243097</v>
      </c>
      <c r="K2465" s="65">
        <v>34</v>
      </c>
      <c r="L2465" s="65" t="s">
        <v>183</v>
      </c>
      <c r="M2465" s="65" t="s">
        <v>183</v>
      </c>
      <c r="N2465" s="65" t="b">
        <f>TRUE()</f>
        <v>1</v>
      </c>
      <c r="O2465" s="71">
        <v>360000</v>
      </c>
      <c r="P2465" s="71">
        <v>720000</v>
      </c>
      <c r="Q2465" s="65" t="s">
        <v>3663</v>
      </c>
      <c r="R2465" s="65" t="s">
        <v>7351</v>
      </c>
      <c r="S2465" s="71">
        <v>540000</v>
      </c>
      <c r="T2465" s="65" t="b">
        <f>TRUE()</f>
        <v>1</v>
      </c>
      <c r="U2465" s="65" t="b">
        <f>FALSE()</f>
        <v>0</v>
      </c>
      <c r="V2465" s="65">
        <v>486</v>
      </c>
      <c r="W2465" s="65" t="s">
        <v>8828</v>
      </c>
      <c r="X2465" s="65">
        <v>4</v>
      </c>
      <c r="Y2465" s="68">
        <v>0.97</v>
      </c>
      <c r="Z2465" s="65" t="b">
        <f>FALSE()</f>
        <v>0</v>
      </c>
      <c r="AA2465" s="65" t="b">
        <f>FALSE()</f>
        <v>0</v>
      </c>
      <c r="AB2465" s="65" t="b">
        <f>FALSE()</f>
        <v>0</v>
      </c>
      <c r="AC2465" s="65" t="b">
        <f>FALSE()</f>
        <v>0</v>
      </c>
      <c r="AD2465" s="65" t="b">
        <f>FALSE()</f>
        <v>0</v>
      </c>
      <c r="AE2465" s="65">
        <v>0</v>
      </c>
      <c r="AF2465" s="69">
        <v>0</v>
      </c>
      <c r="AG2465" s="65" t="s">
        <v>74</v>
      </c>
      <c r="AH2465" s="65" t="s">
        <v>9246</v>
      </c>
      <c r="AI2465">
        <f>IF(AND(OR(Company_Explorer!$B$5="All Companies",$E2465=Company_Explorer!$B$5),OR(Company_Explorer!$B$6="All Platforms",$B2465=Company_Explorer!$B$6),OR(Company_Explorer!$B$7="All Roles",$D2465=Company_Explorer!$B$7),OR(Company_Explorer!$B$8="All Ghost Labels",$AG2465=Company_Explorer!$B$8)),1,0)</f>
        <v>0</v>
      </c>
    </row>
    <row r="2466" spans="1:35" ht="15" customHeight="1" x14ac:dyDescent="0.3">
      <c r="A2466" s="60" t="s">
        <v>9247</v>
      </c>
      <c r="B2466" s="60" t="s">
        <v>82</v>
      </c>
      <c r="C2466" s="60" t="s">
        <v>9248</v>
      </c>
      <c r="D2466" s="60" t="s">
        <v>128</v>
      </c>
      <c r="E2466" s="60" t="s">
        <v>3445</v>
      </c>
      <c r="F2466" s="60" t="b">
        <f>TRUE()</f>
        <v>1</v>
      </c>
      <c r="G2466" s="60" t="s">
        <v>165</v>
      </c>
      <c r="H2466" s="60" t="s">
        <v>165</v>
      </c>
      <c r="I2466" s="61">
        <v>46206</v>
      </c>
      <c r="J2466" s="61">
        <v>46210.286021250002</v>
      </c>
      <c r="K2466" s="60">
        <v>126</v>
      </c>
      <c r="L2466" s="60" t="s">
        <v>183</v>
      </c>
      <c r="M2466" s="60" t="s">
        <v>183</v>
      </c>
      <c r="N2466" s="60" t="b">
        <f>FALSE()</f>
        <v>0</v>
      </c>
      <c r="O2466" s="60"/>
      <c r="P2466" s="60"/>
      <c r="Q2466" s="60" t="s">
        <v>3663</v>
      </c>
      <c r="R2466" s="60" t="s">
        <v>236</v>
      </c>
      <c r="S2466" s="60"/>
      <c r="T2466" s="60" t="b">
        <f>FALSE()</f>
        <v>0</v>
      </c>
      <c r="U2466" s="60" t="b">
        <f>FALSE()</f>
        <v>0</v>
      </c>
      <c r="V2466" s="60">
        <v>753</v>
      </c>
      <c r="W2466" s="62" t="s">
        <v>9249</v>
      </c>
      <c r="X2466" s="60">
        <v>4</v>
      </c>
      <c r="Y2466" s="63">
        <v>0.97</v>
      </c>
      <c r="Z2466" s="60" t="b">
        <f>FALSE()</f>
        <v>0</v>
      </c>
      <c r="AA2466" s="60" t="b">
        <f>TRUE()</f>
        <v>1</v>
      </c>
      <c r="AB2466" s="60" t="b">
        <f>FALSE()</f>
        <v>0</v>
      </c>
      <c r="AC2466" s="60" t="b">
        <f>TRUE()</f>
        <v>1</v>
      </c>
      <c r="AD2466" s="60" t="b">
        <f>FALSE()</f>
        <v>0</v>
      </c>
      <c r="AE2466" s="60">
        <v>2</v>
      </c>
      <c r="AF2466" s="64">
        <v>28.6</v>
      </c>
      <c r="AG2466" s="60" t="s">
        <v>73</v>
      </c>
      <c r="AH2466" s="60" t="s">
        <v>9250</v>
      </c>
      <c r="AI2466">
        <f>IF(AND(OR(Company_Explorer!$B$5="All Companies",$E2466=Company_Explorer!$B$5),OR(Company_Explorer!$B$6="All Platforms",$B2466=Company_Explorer!$B$6),OR(Company_Explorer!$B$7="All Roles",$D2466=Company_Explorer!$B$7),OR(Company_Explorer!$B$8="All Ghost Labels",$AG2466=Company_Explorer!$B$8)),1,0)</f>
        <v>0</v>
      </c>
    </row>
    <row r="2467" spans="1:35" ht="15" customHeight="1" x14ac:dyDescent="0.3">
      <c r="A2467" s="65" t="s">
        <v>9251</v>
      </c>
      <c r="B2467" s="65" t="s">
        <v>82</v>
      </c>
      <c r="C2467" s="65" t="s">
        <v>306</v>
      </c>
      <c r="D2467" s="65" t="s">
        <v>125</v>
      </c>
      <c r="E2467" s="65" t="s">
        <v>9252</v>
      </c>
      <c r="F2467" s="65" t="b">
        <f>TRUE()</f>
        <v>1</v>
      </c>
      <c r="G2467" s="65" t="s">
        <v>165</v>
      </c>
      <c r="H2467" s="65" t="s">
        <v>165</v>
      </c>
      <c r="I2467" s="66">
        <v>46195</v>
      </c>
      <c r="J2467" s="66">
        <v>46210.286022465298</v>
      </c>
      <c r="K2467" s="65">
        <v>76</v>
      </c>
      <c r="L2467" s="65" t="s">
        <v>192</v>
      </c>
      <c r="M2467" s="65" t="s">
        <v>183</v>
      </c>
      <c r="N2467" s="65" t="b">
        <f>FALSE()</f>
        <v>0</v>
      </c>
      <c r="O2467" s="65"/>
      <c r="P2467" s="65"/>
      <c r="Q2467" s="65" t="s">
        <v>3663</v>
      </c>
      <c r="R2467" s="65" t="s">
        <v>236</v>
      </c>
      <c r="S2467" s="65"/>
      <c r="T2467" s="65" t="b">
        <f>FALSE()</f>
        <v>0</v>
      </c>
      <c r="U2467" s="65" t="b">
        <f>FALSE()</f>
        <v>0</v>
      </c>
      <c r="V2467" s="65">
        <v>99</v>
      </c>
      <c r="W2467" s="67" t="s">
        <v>9253</v>
      </c>
      <c r="X2467" s="65">
        <v>1</v>
      </c>
      <c r="Y2467" s="68">
        <v>0.24</v>
      </c>
      <c r="Z2467" s="65" t="b">
        <f>FALSE()</f>
        <v>0</v>
      </c>
      <c r="AA2467" s="65" t="b">
        <f>TRUE()</f>
        <v>1</v>
      </c>
      <c r="AB2467" s="65" t="b">
        <f>TRUE()</f>
        <v>1</v>
      </c>
      <c r="AC2467" s="65" t="b">
        <f>FALSE()</f>
        <v>0</v>
      </c>
      <c r="AD2467" s="65" t="b">
        <f>FALSE()</f>
        <v>0</v>
      </c>
      <c r="AE2467" s="65">
        <v>2</v>
      </c>
      <c r="AF2467" s="69">
        <v>28.6</v>
      </c>
      <c r="AG2467" s="65" t="s">
        <v>73</v>
      </c>
      <c r="AH2467" s="65" t="s">
        <v>9254</v>
      </c>
      <c r="AI2467">
        <f>IF(AND(OR(Company_Explorer!$B$5="All Companies",$E2467=Company_Explorer!$B$5),OR(Company_Explorer!$B$6="All Platforms",$B2467=Company_Explorer!$B$6),OR(Company_Explorer!$B$7="All Roles",$D2467=Company_Explorer!$B$7),OR(Company_Explorer!$B$8="All Ghost Labels",$AG2467=Company_Explorer!$B$8)),1,0)</f>
        <v>0</v>
      </c>
    </row>
    <row r="2468" spans="1:35" ht="15" customHeight="1" x14ac:dyDescent="0.3">
      <c r="A2468" s="60" t="s">
        <v>9255</v>
      </c>
      <c r="B2468" s="60" t="s">
        <v>82</v>
      </c>
      <c r="C2468" s="60" t="s">
        <v>9256</v>
      </c>
      <c r="D2468" s="60" t="s">
        <v>126</v>
      </c>
      <c r="E2468" s="60" t="s">
        <v>9257</v>
      </c>
      <c r="F2468" s="60" t="b">
        <f>TRUE()</f>
        <v>1</v>
      </c>
      <c r="G2468" s="60" t="s">
        <v>8648</v>
      </c>
      <c r="H2468" s="60" t="s">
        <v>2066</v>
      </c>
      <c r="I2468" s="61">
        <v>46200</v>
      </c>
      <c r="J2468" s="61">
        <v>46210.286023043998</v>
      </c>
      <c r="K2468" s="60">
        <v>130</v>
      </c>
      <c r="L2468" s="60" t="s">
        <v>183</v>
      </c>
      <c r="M2468" s="60" t="s">
        <v>183</v>
      </c>
      <c r="N2468" s="60" t="b">
        <f>TRUE()</f>
        <v>1</v>
      </c>
      <c r="O2468" s="70">
        <v>120000</v>
      </c>
      <c r="P2468" s="70">
        <v>400000</v>
      </c>
      <c r="Q2468" s="60" t="s">
        <v>3663</v>
      </c>
      <c r="R2468" s="60" t="s">
        <v>7351</v>
      </c>
      <c r="S2468" s="70">
        <v>260000</v>
      </c>
      <c r="T2468" s="60" t="b">
        <f>TRUE()</f>
        <v>1</v>
      </c>
      <c r="U2468" s="60" t="b">
        <f>FALSE()</f>
        <v>0</v>
      </c>
      <c r="V2468" s="60">
        <v>20</v>
      </c>
      <c r="W2468" s="62" t="s">
        <v>9258</v>
      </c>
      <c r="X2468" s="60">
        <v>1</v>
      </c>
      <c r="Y2468" s="63">
        <v>0.24</v>
      </c>
      <c r="Z2468" s="60" t="b">
        <f>FALSE()</f>
        <v>0</v>
      </c>
      <c r="AA2468" s="60" t="b">
        <f>FALSE()</f>
        <v>0</v>
      </c>
      <c r="AB2468" s="60" t="b">
        <f>TRUE()</f>
        <v>1</v>
      </c>
      <c r="AC2468" s="60" t="b">
        <f>TRUE()</f>
        <v>1</v>
      </c>
      <c r="AD2468" s="60" t="b">
        <f>FALSE()</f>
        <v>0</v>
      </c>
      <c r="AE2468" s="60">
        <v>2</v>
      </c>
      <c r="AF2468" s="64">
        <v>28.6</v>
      </c>
      <c r="AG2468" s="60" t="s">
        <v>73</v>
      </c>
      <c r="AH2468" s="60" t="s">
        <v>9259</v>
      </c>
      <c r="AI2468">
        <f>IF(AND(OR(Company_Explorer!$B$5="All Companies",$E2468=Company_Explorer!$B$5),OR(Company_Explorer!$B$6="All Platforms",$B2468=Company_Explorer!$B$6),OR(Company_Explorer!$B$7="All Roles",$D2468=Company_Explorer!$B$7),OR(Company_Explorer!$B$8="All Ghost Labels",$AG2468=Company_Explorer!$B$8)),1,0)</f>
        <v>0</v>
      </c>
    </row>
    <row r="2469" spans="1:35" ht="15" customHeight="1" x14ac:dyDescent="0.3">
      <c r="A2469" s="65" t="s">
        <v>9260</v>
      </c>
      <c r="B2469" s="65" t="s">
        <v>82</v>
      </c>
      <c r="C2469" s="65" t="s">
        <v>8074</v>
      </c>
      <c r="D2469" s="65" t="s">
        <v>125</v>
      </c>
      <c r="E2469" s="65" t="s">
        <v>3726</v>
      </c>
      <c r="F2469" s="65" t="b">
        <f>FALSE()</f>
        <v>0</v>
      </c>
      <c r="G2469" s="65" t="s">
        <v>9261</v>
      </c>
      <c r="H2469" s="65" t="s">
        <v>754</v>
      </c>
      <c r="I2469" s="66">
        <v>46197</v>
      </c>
      <c r="J2469" s="66">
        <v>46210.2860240394</v>
      </c>
      <c r="K2469" s="65">
        <v>13</v>
      </c>
      <c r="L2469" s="65" t="s">
        <v>192</v>
      </c>
      <c r="M2469" s="65" t="s">
        <v>183</v>
      </c>
      <c r="N2469" s="65" t="b">
        <f>TRUE()</f>
        <v>1</v>
      </c>
      <c r="O2469" s="71">
        <v>20000</v>
      </c>
      <c r="P2469" s="71">
        <v>30000</v>
      </c>
      <c r="Q2469" s="65" t="s">
        <v>3663</v>
      </c>
      <c r="R2469" s="65" t="s">
        <v>7445</v>
      </c>
      <c r="S2469" s="71">
        <v>300000</v>
      </c>
      <c r="T2469" s="65" t="b">
        <f>TRUE()</f>
        <v>1</v>
      </c>
      <c r="U2469" s="65" t="b">
        <f>FALSE()</f>
        <v>0</v>
      </c>
      <c r="V2469" s="65">
        <v>425</v>
      </c>
      <c r="W2469" s="67" t="s">
        <v>9262</v>
      </c>
      <c r="X2469" s="65"/>
      <c r="Y2469" s="68"/>
      <c r="Z2469" s="65" t="b">
        <f>TRUE()</f>
        <v>1</v>
      </c>
      <c r="AA2469" s="65" t="b">
        <f>FALSE()</f>
        <v>0</v>
      </c>
      <c r="AB2469" s="65" t="b">
        <f>FALSE()</f>
        <v>0</v>
      </c>
      <c r="AC2469" s="65" t="b">
        <f>FALSE()</f>
        <v>0</v>
      </c>
      <c r="AD2469" s="65" t="b">
        <f>FALSE()</f>
        <v>0</v>
      </c>
      <c r="AE2469" s="65">
        <v>2</v>
      </c>
      <c r="AF2469" s="69">
        <v>28.6</v>
      </c>
      <c r="AG2469" s="65" t="s">
        <v>73</v>
      </c>
      <c r="AH2469" s="65" t="s">
        <v>9263</v>
      </c>
      <c r="AI2469">
        <f>IF(AND(OR(Company_Explorer!$B$5="All Companies",$E2469=Company_Explorer!$B$5),OR(Company_Explorer!$B$6="All Platforms",$B2469=Company_Explorer!$B$6),OR(Company_Explorer!$B$7="All Roles",$D2469=Company_Explorer!$B$7),OR(Company_Explorer!$B$8="All Ghost Labels",$AG2469=Company_Explorer!$B$8)),1,0)</f>
        <v>0</v>
      </c>
    </row>
    <row r="2470" spans="1:35" ht="15" customHeight="1" x14ac:dyDescent="0.3">
      <c r="A2470" s="60" t="s">
        <v>9264</v>
      </c>
      <c r="B2470" s="60" t="s">
        <v>82</v>
      </c>
      <c r="C2470" s="60" t="s">
        <v>9265</v>
      </c>
      <c r="D2470" s="60" t="s">
        <v>128</v>
      </c>
      <c r="E2470" s="60" t="s">
        <v>3718</v>
      </c>
      <c r="F2470" s="60" t="b">
        <f>TRUE()</f>
        <v>1</v>
      </c>
      <c r="G2470" s="60" t="s">
        <v>165</v>
      </c>
      <c r="H2470" s="60" t="s">
        <v>165</v>
      </c>
      <c r="I2470" s="61">
        <v>46201</v>
      </c>
      <c r="J2470" s="61">
        <v>46210.286027210699</v>
      </c>
      <c r="K2470" s="60">
        <v>129</v>
      </c>
      <c r="L2470" s="60" t="s">
        <v>192</v>
      </c>
      <c r="M2470" s="60" t="s">
        <v>183</v>
      </c>
      <c r="N2470" s="60" t="b">
        <f>FALSE()</f>
        <v>0</v>
      </c>
      <c r="O2470" s="60"/>
      <c r="P2470" s="60"/>
      <c r="Q2470" s="60" t="s">
        <v>3663</v>
      </c>
      <c r="R2470" s="60" t="s">
        <v>236</v>
      </c>
      <c r="S2470" s="60"/>
      <c r="T2470" s="60" t="b">
        <f>FALSE()</f>
        <v>0</v>
      </c>
      <c r="U2470" s="60" t="b">
        <f>FALSE()</f>
        <v>0</v>
      </c>
      <c r="V2470" s="60">
        <v>724</v>
      </c>
      <c r="W2470" s="62" t="s">
        <v>9266</v>
      </c>
      <c r="X2470" s="60">
        <v>2</v>
      </c>
      <c r="Y2470" s="63">
        <v>0.48</v>
      </c>
      <c r="Z2470" s="60" t="b">
        <f>FALSE()</f>
        <v>0</v>
      </c>
      <c r="AA2470" s="60" t="b">
        <f>TRUE()</f>
        <v>1</v>
      </c>
      <c r="AB2470" s="60" t="b">
        <f>FALSE()</f>
        <v>0</v>
      </c>
      <c r="AC2470" s="60" t="b">
        <f>TRUE()</f>
        <v>1</v>
      </c>
      <c r="AD2470" s="60" t="b">
        <f>FALSE()</f>
        <v>0</v>
      </c>
      <c r="AE2470" s="60">
        <v>2</v>
      </c>
      <c r="AF2470" s="64">
        <v>28.6</v>
      </c>
      <c r="AG2470" s="60" t="s">
        <v>73</v>
      </c>
      <c r="AH2470" s="60" t="s">
        <v>9267</v>
      </c>
      <c r="AI2470">
        <f>IF(AND(OR(Company_Explorer!$B$5="All Companies",$E2470=Company_Explorer!$B$5),OR(Company_Explorer!$B$6="All Platforms",$B2470=Company_Explorer!$B$6),OR(Company_Explorer!$B$7="All Roles",$D2470=Company_Explorer!$B$7),OR(Company_Explorer!$B$8="All Ghost Labels",$AG2470=Company_Explorer!$B$8)),1,0)</f>
        <v>0</v>
      </c>
    </row>
    <row r="2471" spans="1:35" ht="15" customHeight="1" x14ac:dyDescent="0.3">
      <c r="A2471" s="65" t="s">
        <v>9268</v>
      </c>
      <c r="B2471" s="65" t="s">
        <v>82</v>
      </c>
      <c r="C2471" s="65" t="s">
        <v>132</v>
      </c>
      <c r="D2471" s="65" t="s">
        <v>132</v>
      </c>
      <c r="E2471" s="65" t="s">
        <v>8785</v>
      </c>
      <c r="F2471" s="65" t="b">
        <f>TRUE()</f>
        <v>1</v>
      </c>
      <c r="G2471" s="65" t="s">
        <v>165</v>
      </c>
      <c r="H2471" s="65" t="s">
        <v>165</v>
      </c>
      <c r="I2471" s="66">
        <v>46202</v>
      </c>
      <c r="J2471" s="66">
        <v>46210.286028055598</v>
      </c>
      <c r="K2471" s="65">
        <v>128</v>
      </c>
      <c r="L2471" s="65" t="s">
        <v>183</v>
      </c>
      <c r="M2471" s="65" t="s">
        <v>183</v>
      </c>
      <c r="N2471" s="65" t="b">
        <f>FALSE()</f>
        <v>0</v>
      </c>
      <c r="O2471" s="65"/>
      <c r="P2471" s="65"/>
      <c r="Q2471" s="65" t="s">
        <v>3663</v>
      </c>
      <c r="R2471" s="65" t="s">
        <v>236</v>
      </c>
      <c r="S2471" s="65"/>
      <c r="T2471" s="65" t="b">
        <f>FALSE()</f>
        <v>0</v>
      </c>
      <c r="U2471" s="65" t="b">
        <f>FALSE()</f>
        <v>0</v>
      </c>
      <c r="V2471" s="65">
        <v>55</v>
      </c>
      <c r="W2471" s="67" t="s">
        <v>9269</v>
      </c>
      <c r="X2471" s="65">
        <v>2</v>
      </c>
      <c r="Y2471" s="68">
        <v>0.48</v>
      </c>
      <c r="Z2471" s="65" t="b">
        <f>FALSE()</f>
        <v>0</v>
      </c>
      <c r="AA2471" s="65" t="b">
        <f>TRUE()</f>
        <v>1</v>
      </c>
      <c r="AB2471" s="65" t="b">
        <f>TRUE()</f>
        <v>1</v>
      </c>
      <c r="AC2471" s="65" t="b">
        <f>TRUE()</f>
        <v>1</v>
      </c>
      <c r="AD2471" s="65" t="b">
        <f>FALSE()</f>
        <v>0</v>
      </c>
      <c r="AE2471" s="65">
        <v>3</v>
      </c>
      <c r="AF2471" s="69">
        <v>42.9</v>
      </c>
      <c r="AG2471" s="65" t="s">
        <v>73</v>
      </c>
      <c r="AH2471" s="65" t="s">
        <v>9270</v>
      </c>
      <c r="AI2471">
        <f>IF(AND(OR(Company_Explorer!$B$5="All Companies",$E2471=Company_Explorer!$B$5),OR(Company_Explorer!$B$6="All Platforms",$B2471=Company_Explorer!$B$6),OR(Company_Explorer!$B$7="All Roles",$D2471=Company_Explorer!$B$7),OR(Company_Explorer!$B$8="All Ghost Labels",$AG2471=Company_Explorer!$B$8)),1,0)</f>
        <v>0</v>
      </c>
    </row>
    <row r="2472" spans="1:35" ht="15" customHeight="1" x14ac:dyDescent="0.3">
      <c r="A2472" s="60" t="s">
        <v>9271</v>
      </c>
      <c r="B2472" s="60" t="s">
        <v>82</v>
      </c>
      <c r="C2472" s="60" t="s">
        <v>9272</v>
      </c>
      <c r="D2472" s="60" t="s">
        <v>128</v>
      </c>
      <c r="E2472" s="60" t="s">
        <v>9273</v>
      </c>
      <c r="F2472" s="60" t="b">
        <f>TRUE()</f>
        <v>1</v>
      </c>
      <c r="G2472" s="60" t="s">
        <v>166</v>
      </c>
      <c r="H2472" s="60" t="s">
        <v>235</v>
      </c>
      <c r="I2472" s="61">
        <v>46204</v>
      </c>
      <c r="J2472" s="61">
        <v>46210.2860286574</v>
      </c>
      <c r="K2472" s="60">
        <v>7</v>
      </c>
      <c r="L2472" s="60" t="s">
        <v>192</v>
      </c>
      <c r="M2472" s="60" t="s">
        <v>183</v>
      </c>
      <c r="N2472" s="60" t="b">
        <f>FALSE()</f>
        <v>0</v>
      </c>
      <c r="O2472" s="60"/>
      <c r="P2472" s="60"/>
      <c r="Q2472" s="60" t="s">
        <v>3663</v>
      </c>
      <c r="R2472" s="60" t="s">
        <v>236</v>
      </c>
      <c r="S2472" s="60"/>
      <c r="T2472" s="60" t="b">
        <f>FALSE()</f>
        <v>0</v>
      </c>
      <c r="U2472" s="60" t="b">
        <f>FALSE()</f>
        <v>0</v>
      </c>
      <c r="V2472" s="60">
        <v>609</v>
      </c>
      <c r="W2472" s="60" t="s">
        <v>4120</v>
      </c>
      <c r="X2472" s="60">
        <v>1</v>
      </c>
      <c r="Y2472" s="63">
        <v>0.24</v>
      </c>
      <c r="Z2472" s="60" t="b">
        <f>FALSE()</f>
        <v>0</v>
      </c>
      <c r="AA2472" s="60" t="b">
        <f>TRUE()</f>
        <v>1</v>
      </c>
      <c r="AB2472" s="60" t="b">
        <f>FALSE()</f>
        <v>0</v>
      </c>
      <c r="AC2472" s="60" t="b">
        <f>FALSE()</f>
        <v>0</v>
      </c>
      <c r="AD2472" s="60" t="b">
        <f>FALSE()</f>
        <v>0</v>
      </c>
      <c r="AE2472" s="60">
        <v>1</v>
      </c>
      <c r="AF2472" s="64">
        <v>14.3</v>
      </c>
      <c r="AG2472" s="60" t="s">
        <v>74</v>
      </c>
      <c r="AH2472" s="60" t="s">
        <v>9274</v>
      </c>
      <c r="AI2472">
        <f>IF(AND(OR(Company_Explorer!$B$5="All Companies",$E2472=Company_Explorer!$B$5),OR(Company_Explorer!$B$6="All Platforms",$B2472=Company_Explorer!$B$6),OR(Company_Explorer!$B$7="All Roles",$D2472=Company_Explorer!$B$7),OR(Company_Explorer!$B$8="All Ghost Labels",$AG2472=Company_Explorer!$B$8)),1,0)</f>
        <v>0</v>
      </c>
    </row>
    <row r="2473" spans="1:35" ht="15" customHeight="1" x14ac:dyDescent="0.3">
      <c r="A2473" s="65" t="s">
        <v>9275</v>
      </c>
      <c r="B2473" s="65" t="s">
        <v>82</v>
      </c>
      <c r="C2473" s="65" t="s">
        <v>9276</v>
      </c>
      <c r="D2473" s="65" t="s">
        <v>128</v>
      </c>
      <c r="E2473" s="65" t="s">
        <v>9277</v>
      </c>
      <c r="F2473" s="65" t="b">
        <f>TRUE()</f>
        <v>1</v>
      </c>
      <c r="G2473" s="65" t="s">
        <v>165</v>
      </c>
      <c r="H2473" s="65" t="s">
        <v>165</v>
      </c>
      <c r="I2473" s="66">
        <v>46199</v>
      </c>
      <c r="J2473" s="66">
        <v>46210.286030405099</v>
      </c>
      <c r="K2473" s="65">
        <v>42</v>
      </c>
      <c r="L2473" s="65" t="s">
        <v>183</v>
      </c>
      <c r="M2473" s="65" t="s">
        <v>183</v>
      </c>
      <c r="N2473" s="65" t="b">
        <f>FALSE()</f>
        <v>0</v>
      </c>
      <c r="O2473" s="65"/>
      <c r="P2473" s="65"/>
      <c r="Q2473" s="65" t="s">
        <v>3663</v>
      </c>
      <c r="R2473" s="65" t="s">
        <v>236</v>
      </c>
      <c r="S2473" s="65"/>
      <c r="T2473" s="65" t="b">
        <f>FALSE()</f>
        <v>0</v>
      </c>
      <c r="U2473" s="65" t="b">
        <f>FALSE()</f>
        <v>0</v>
      </c>
      <c r="V2473" s="65">
        <v>519</v>
      </c>
      <c r="W2473" s="67" t="s">
        <v>9278</v>
      </c>
      <c r="X2473" s="65">
        <v>1</v>
      </c>
      <c r="Y2473" s="68">
        <v>0.24</v>
      </c>
      <c r="Z2473" s="65" t="b">
        <f>FALSE()</f>
        <v>0</v>
      </c>
      <c r="AA2473" s="65" t="b">
        <f>TRUE()</f>
        <v>1</v>
      </c>
      <c r="AB2473" s="65" t="b">
        <f>FALSE()</f>
        <v>0</v>
      </c>
      <c r="AC2473" s="65" t="b">
        <f>FALSE()</f>
        <v>0</v>
      </c>
      <c r="AD2473" s="65" t="b">
        <f>FALSE()</f>
        <v>0</v>
      </c>
      <c r="AE2473" s="65">
        <v>1</v>
      </c>
      <c r="AF2473" s="69">
        <v>14.3</v>
      </c>
      <c r="AG2473" s="65" t="s">
        <v>74</v>
      </c>
      <c r="AH2473" s="65" t="s">
        <v>9279</v>
      </c>
      <c r="AI2473">
        <f>IF(AND(OR(Company_Explorer!$B$5="All Companies",$E2473=Company_Explorer!$B$5),OR(Company_Explorer!$B$6="All Platforms",$B2473=Company_Explorer!$B$6),OR(Company_Explorer!$B$7="All Roles",$D2473=Company_Explorer!$B$7),OR(Company_Explorer!$B$8="All Ghost Labels",$AG2473=Company_Explorer!$B$8)),1,0)</f>
        <v>0</v>
      </c>
    </row>
    <row r="2474" spans="1:35" ht="15" customHeight="1" x14ac:dyDescent="0.3">
      <c r="A2474" s="60" t="s">
        <v>9280</v>
      </c>
      <c r="B2474" s="60" t="s">
        <v>82</v>
      </c>
      <c r="C2474" s="60" t="s">
        <v>9281</v>
      </c>
      <c r="D2474" s="60" t="s">
        <v>126</v>
      </c>
      <c r="E2474" s="60" t="s">
        <v>7487</v>
      </c>
      <c r="F2474" s="60" t="b">
        <f>TRUE()</f>
        <v>1</v>
      </c>
      <c r="G2474" s="60" t="s">
        <v>165</v>
      </c>
      <c r="H2474" s="60" t="s">
        <v>165</v>
      </c>
      <c r="I2474" s="61">
        <v>46203</v>
      </c>
      <c r="J2474" s="61">
        <v>46210.286031979202</v>
      </c>
      <c r="K2474" s="60">
        <v>39</v>
      </c>
      <c r="L2474" s="60" t="s">
        <v>183</v>
      </c>
      <c r="M2474" s="60" t="s">
        <v>183</v>
      </c>
      <c r="N2474" s="60" t="b">
        <f>FALSE()</f>
        <v>0</v>
      </c>
      <c r="O2474" s="60"/>
      <c r="P2474" s="60"/>
      <c r="Q2474" s="60" t="s">
        <v>3663</v>
      </c>
      <c r="R2474" s="60" t="s">
        <v>236</v>
      </c>
      <c r="S2474" s="60"/>
      <c r="T2474" s="60" t="b">
        <f>FALSE()</f>
        <v>0</v>
      </c>
      <c r="U2474" s="60" t="b">
        <f>FALSE()</f>
        <v>0</v>
      </c>
      <c r="V2474" s="60">
        <v>574</v>
      </c>
      <c r="W2474" s="62" t="s">
        <v>9282</v>
      </c>
      <c r="X2474" s="60">
        <v>5</v>
      </c>
      <c r="Y2474" s="63">
        <v>1.21</v>
      </c>
      <c r="Z2474" s="60" t="b">
        <f>FALSE()</f>
        <v>0</v>
      </c>
      <c r="AA2474" s="60" t="b">
        <f>TRUE()</f>
        <v>1</v>
      </c>
      <c r="AB2474" s="60" t="b">
        <f>FALSE()</f>
        <v>0</v>
      </c>
      <c r="AC2474" s="60" t="b">
        <f>FALSE()</f>
        <v>0</v>
      </c>
      <c r="AD2474" s="60" t="b">
        <f>FALSE()</f>
        <v>0</v>
      </c>
      <c r="AE2474" s="60">
        <v>1</v>
      </c>
      <c r="AF2474" s="64">
        <v>14.3</v>
      </c>
      <c r="AG2474" s="60" t="s">
        <v>74</v>
      </c>
      <c r="AH2474" s="60" t="s">
        <v>9283</v>
      </c>
      <c r="AI2474">
        <f>IF(AND(OR(Company_Explorer!$B$5="All Companies",$E2474=Company_Explorer!$B$5),OR(Company_Explorer!$B$6="All Platforms",$B2474=Company_Explorer!$B$6),OR(Company_Explorer!$B$7="All Roles",$D2474=Company_Explorer!$B$7),OR(Company_Explorer!$B$8="All Ghost Labels",$AG2474=Company_Explorer!$B$8)),1,0)</f>
        <v>0</v>
      </c>
    </row>
    <row r="2475" spans="1:35" ht="15" customHeight="1" x14ac:dyDescent="0.3">
      <c r="A2475" s="65" t="s">
        <v>9284</v>
      </c>
      <c r="B2475" s="65" t="s">
        <v>82</v>
      </c>
      <c r="C2475" s="65" t="s">
        <v>9285</v>
      </c>
      <c r="D2475" s="65" t="s">
        <v>126</v>
      </c>
      <c r="E2475" s="65" t="s">
        <v>9286</v>
      </c>
      <c r="F2475" s="65" t="b">
        <f>TRUE()</f>
        <v>1</v>
      </c>
      <c r="G2475" s="65" t="s">
        <v>165</v>
      </c>
      <c r="H2475" s="65" t="s">
        <v>165</v>
      </c>
      <c r="I2475" s="66">
        <v>46191</v>
      </c>
      <c r="J2475" s="66">
        <v>46210.286034213001</v>
      </c>
      <c r="K2475" s="65">
        <v>111</v>
      </c>
      <c r="L2475" s="65" t="s">
        <v>193</v>
      </c>
      <c r="M2475" s="65" t="s">
        <v>183</v>
      </c>
      <c r="N2475" s="65" t="b">
        <f>FALSE()</f>
        <v>0</v>
      </c>
      <c r="O2475" s="65"/>
      <c r="P2475" s="65"/>
      <c r="Q2475" s="65" t="s">
        <v>3663</v>
      </c>
      <c r="R2475" s="65" t="s">
        <v>236</v>
      </c>
      <c r="S2475" s="65"/>
      <c r="T2475" s="65" t="b">
        <f>FALSE()</f>
        <v>0</v>
      </c>
      <c r="U2475" s="65" t="b">
        <f>FALSE()</f>
        <v>0</v>
      </c>
      <c r="V2475" s="65">
        <v>276</v>
      </c>
      <c r="W2475" s="67" t="s">
        <v>9287</v>
      </c>
      <c r="X2475" s="65">
        <v>1</v>
      </c>
      <c r="Y2475" s="68">
        <v>0.24</v>
      </c>
      <c r="Z2475" s="65" t="b">
        <f>FALSE()</f>
        <v>0</v>
      </c>
      <c r="AA2475" s="65" t="b">
        <f>TRUE()</f>
        <v>1</v>
      </c>
      <c r="AB2475" s="65" t="b">
        <f>FALSE()</f>
        <v>0</v>
      </c>
      <c r="AC2475" s="65" t="b">
        <f>FALSE()</f>
        <v>0</v>
      </c>
      <c r="AD2475" s="65" t="b">
        <f>FALSE()</f>
        <v>0</v>
      </c>
      <c r="AE2475" s="65">
        <v>1</v>
      </c>
      <c r="AF2475" s="69">
        <v>14.3</v>
      </c>
      <c r="AG2475" s="65" t="s">
        <v>74</v>
      </c>
      <c r="AH2475" s="65" t="s">
        <v>9288</v>
      </c>
      <c r="AI2475">
        <f>IF(AND(OR(Company_Explorer!$B$5="All Companies",$E2475=Company_Explorer!$B$5),OR(Company_Explorer!$B$6="All Platforms",$B2475=Company_Explorer!$B$6),OR(Company_Explorer!$B$7="All Roles",$D2475=Company_Explorer!$B$7),OR(Company_Explorer!$B$8="All Ghost Labels",$AG2475=Company_Explorer!$B$8)),1,0)</f>
        <v>0</v>
      </c>
    </row>
    <row r="2476" spans="1:35" ht="15" customHeight="1" x14ac:dyDescent="0.3">
      <c r="A2476" s="60" t="s">
        <v>9289</v>
      </c>
      <c r="B2476" s="60" t="s">
        <v>82</v>
      </c>
      <c r="C2476" s="60" t="s">
        <v>9290</v>
      </c>
      <c r="D2476" s="60" t="s">
        <v>128</v>
      </c>
      <c r="E2476" s="60" t="s">
        <v>3726</v>
      </c>
      <c r="F2476" s="60" t="b">
        <f>FALSE()</f>
        <v>0</v>
      </c>
      <c r="G2476" s="60" t="s">
        <v>165</v>
      </c>
      <c r="H2476" s="60" t="s">
        <v>165</v>
      </c>
      <c r="I2476" s="61">
        <v>46186</v>
      </c>
      <c r="J2476" s="61">
        <v>46210.286035543999</v>
      </c>
      <c r="K2476" s="60">
        <v>24</v>
      </c>
      <c r="L2476" s="60" t="s">
        <v>193</v>
      </c>
      <c r="M2476" s="60" t="s">
        <v>183</v>
      </c>
      <c r="N2476" s="60" t="b">
        <f>FALSE()</f>
        <v>0</v>
      </c>
      <c r="O2476" s="60"/>
      <c r="P2476" s="60"/>
      <c r="Q2476" s="60" t="s">
        <v>3663</v>
      </c>
      <c r="R2476" s="60" t="s">
        <v>236</v>
      </c>
      <c r="S2476" s="60"/>
      <c r="T2476" s="60" t="b">
        <f>FALSE()</f>
        <v>0</v>
      </c>
      <c r="U2476" s="60" t="b">
        <f>FALSE()</f>
        <v>0</v>
      </c>
      <c r="V2476" s="60">
        <v>68</v>
      </c>
      <c r="W2476" s="62" t="s">
        <v>9291</v>
      </c>
      <c r="X2476" s="60"/>
      <c r="Y2476" s="63"/>
      <c r="Z2476" s="60" t="b">
        <f>TRUE()</f>
        <v>1</v>
      </c>
      <c r="AA2476" s="60" t="b">
        <f>TRUE()</f>
        <v>1</v>
      </c>
      <c r="AB2476" s="60" t="b">
        <f>TRUE()</f>
        <v>1</v>
      </c>
      <c r="AC2476" s="60" t="b">
        <f>FALSE()</f>
        <v>0</v>
      </c>
      <c r="AD2476" s="60" t="b">
        <f>FALSE()</f>
        <v>0</v>
      </c>
      <c r="AE2476" s="60">
        <v>4</v>
      </c>
      <c r="AF2476" s="64">
        <v>57.1</v>
      </c>
      <c r="AG2476" s="60" t="s">
        <v>72</v>
      </c>
      <c r="AH2476" s="60" t="s">
        <v>9292</v>
      </c>
      <c r="AI2476">
        <f>IF(AND(OR(Company_Explorer!$B$5="All Companies",$E2476=Company_Explorer!$B$5),OR(Company_Explorer!$B$6="All Platforms",$B2476=Company_Explorer!$B$6),OR(Company_Explorer!$B$7="All Roles",$D2476=Company_Explorer!$B$7),OR(Company_Explorer!$B$8="All Ghost Labels",$AG2476=Company_Explorer!$B$8)),1,0)</f>
        <v>0</v>
      </c>
    </row>
    <row r="2477" spans="1:35" ht="15" customHeight="1" x14ac:dyDescent="0.3">
      <c r="A2477" s="65" t="s">
        <v>9293</v>
      </c>
      <c r="B2477" s="65" t="s">
        <v>82</v>
      </c>
      <c r="C2477" s="65" t="s">
        <v>9294</v>
      </c>
      <c r="D2477" s="65" t="s">
        <v>126</v>
      </c>
      <c r="E2477" s="65" t="s">
        <v>9295</v>
      </c>
      <c r="F2477" s="65" t="b">
        <f>TRUE()</f>
        <v>1</v>
      </c>
      <c r="G2477" s="65" t="s">
        <v>165</v>
      </c>
      <c r="H2477" s="65" t="s">
        <v>165</v>
      </c>
      <c r="I2477" s="66">
        <v>46196</v>
      </c>
      <c r="J2477" s="66">
        <v>46210.286036088</v>
      </c>
      <c r="K2477" s="65">
        <v>45</v>
      </c>
      <c r="L2477" s="65" t="s">
        <v>192</v>
      </c>
      <c r="M2477" s="65" t="s">
        <v>183</v>
      </c>
      <c r="N2477" s="65" t="b">
        <f>FALSE()</f>
        <v>0</v>
      </c>
      <c r="O2477" s="65"/>
      <c r="P2477" s="65"/>
      <c r="Q2477" s="65" t="s">
        <v>3663</v>
      </c>
      <c r="R2477" s="65" t="s">
        <v>236</v>
      </c>
      <c r="S2477" s="65"/>
      <c r="T2477" s="65" t="b">
        <f>FALSE()</f>
        <v>0</v>
      </c>
      <c r="U2477" s="65" t="b">
        <f>FALSE()</f>
        <v>0</v>
      </c>
      <c r="V2477" s="65">
        <v>523</v>
      </c>
      <c r="W2477" s="67" t="s">
        <v>9296</v>
      </c>
      <c r="X2477" s="65">
        <v>1</v>
      </c>
      <c r="Y2477" s="68">
        <v>0.24</v>
      </c>
      <c r="Z2477" s="65" t="b">
        <f>FALSE()</f>
        <v>0</v>
      </c>
      <c r="AA2477" s="65" t="b">
        <f>TRUE()</f>
        <v>1</v>
      </c>
      <c r="AB2477" s="65" t="b">
        <f>FALSE()</f>
        <v>0</v>
      </c>
      <c r="AC2477" s="65" t="b">
        <f>FALSE()</f>
        <v>0</v>
      </c>
      <c r="AD2477" s="65" t="b">
        <f>FALSE()</f>
        <v>0</v>
      </c>
      <c r="AE2477" s="65">
        <v>1</v>
      </c>
      <c r="AF2477" s="69">
        <v>14.3</v>
      </c>
      <c r="AG2477" s="65" t="s">
        <v>74</v>
      </c>
      <c r="AH2477" s="65" t="s">
        <v>9297</v>
      </c>
      <c r="AI2477">
        <f>IF(AND(OR(Company_Explorer!$B$5="All Companies",$E2477=Company_Explorer!$B$5),OR(Company_Explorer!$B$6="All Platforms",$B2477=Company_Explorer!$B$6),OR(Company_Explorer!$B$7="All Roles",$D2477=Company_Explorer!$B$7),OR(Company_Explorer!$B$8="All Ghost Labels",$AG2477=Company_Explorer!$B$8)),1,0)</f>
        <v>0</v>
      </c>
    </row>
    <row r="2478" spans="1:35" ht="15" customHeight="1" x14ac:dyDescent="0.3">
      <c r="A2478" s="60" t="s">
        <v>9298</v>
      </c>
      <c r="B2478" s="60" t="s">
        <v>82</v>
      </c>
      <c r="C2478" s="60" t="s">
        <v>7285</v>
      </c>
      <c r="D2478" s="60" t="s">
        <v>128</v>
      </c>
      <c r="E2478" s="60" t="s">
        <v>9299</v>
      </c>
      <c r="F2478" s="60" t="b">
        <f>TRUE()</f>
        <v>1</v>
      </c>
      <c r="G2478" s="60" t="s">
        <v>165</v>
      </c>
      <c r="H2478" s="60" t="s">
        <v>165</v>
      </c>
      <c r="I2478" s="61">
        <v>46184</v>
      </c>
      <c r="J2478" s="61">
        <v>46210.286039317099</v>
      </c>
      <c r="K2478" s="60">
        <v>118</v>
      </c>
      <c r="L2478" s="60" t="s">
        <v>183</v>
      </c>
      <c r="M2478" s="60" t="s">
        <v>183</v>
      </c>
      <c r="N2478" s="60" t="b">
        <f>FALSE()</f>
        <v>0</v>
      </c>
      <c r="O2478" s="60"/>
      <c r="P2478" s="60"/>
      <c r="Q2478" s="60" t="s">
        <v>3663</v>
      </c>
      <c r="R2478" s="60" t="s">
        <v>236</v>
      </c>
      <c r="S2478" s="60"/>
      <c r="T2478" s="60" t="b">
        <f>FALSE()</f>
        <v>0</v>
      </c>
      <c r="U2478" s="60" t="b">
        <f>FALSE()</f>
        <v>0</v>
      </c>
      <c r="V2478" s="60">
        <v>438</v>
      </c>
      <c r="W2478" s="60" t="s">
        <v>9300</v>
      </c>
      <c r="X2478" s="60">
        <v>1</v>
      </c>
      <c r="Y2478" s="63">
        <v>0.24</v>
      </c>
      <c r="Z2478" s="60" t="b">
        <f>FALSE()</f>
        <v>0</v>
      </c>
      <c r="AA2478" s="60" t="b">
        <f>TRUE()</f>
        <v>1</v>
      </c>
      <c r="AB2478" s="60" t="b">
        <f>FALSE()</f>
        <v>0</v>
      </c>
      <c r="AC2478" s="60" t="b">
        <f>FALSE()</f>
        <v>0</v>
      </c>
      <c r="AD2478" s="60" t="b">
        <f>FALSE()</f>
        <v>0</v>
      </c>
      <c r="AE2478" s="60">
        <v>1</v>
      </c>
      <c r="AF2478" s="64">
        <v>14.3</v>
      </c>
      <c r="AG2478" s="60" t="s">
        <v>74</v>
      </c>
      <c r="AH2478" s="60" t="s">
        <v>9301</v>
      </c>
      <c r="AI2478">
        <f>IF(AND(OR(Company_Explorer!$B$5="All Companies",$E2478=Company_Explorer!$B$5),OR(Company_Explorer!$B$6="All Platforms",$B2478=Company_Explorer!$B$6),OR(Company_Explorer!$B$7="All Roles",$D2478=Company_Explorer!$B$7),OR(Company_Explorer!$B$8="All Ghost Labels",$AG2478=Company_Explorer!$B$8)),1,0)</f>
        <v>0</v>
      </c>
    </row>
    <row r="2479" spans="1:35" ht="15" customHeight="1" x14ac:dyDescent="0.3">
      <c r="A2479" s="65" t="s">
        <v>9302</v>
      </c>
      <c r="B2479" s="65" t="s">
        <v>82</v>
      </c>
      <c r="C2479" s="65" t="s">
        <v>9303</v>
      </c>
      <c r="D2479" s="65" t="s">
        <v>126</v>
      </c>
      <c r="E2479" s="65" t="s">
        <v>9304</v>
      </c>
      <c r="F2479" s="65" t="b">
        <f>TRUE()</f>
        <v>1</v>
      </c>
      <c r="G2479" s="65" t="s">
        <v>165</v>
      </c>
      <c r="H2479" s="65" t="s">
        <v>165</v>
      </c>
      <c r="I2479" s="66">
        <v>46196</v>
      </c>
      <c r="J2479" s="66">
        <v>46210.286039664403</v>
      </c>
      <c r="K2479" s="65">
        <v>45</v>
      </c>
      <c r="L2479" s="65" t="s">
        <v>192</v>
      </c>
      <c r="M2479" s="65" t="s">
        <v>183</v>
      </c>
      <c r="N2479" s="65" t="b">
        <f>FALSE()</f>
        <v>0</v>
      </c>
      <c r="O2479" s="65"/>
      <c r="P2479" s="65"/>
      <c r="Q2479" s="65" t="s">
        <v>3663</v>
      </c>
      <c r="R2479" s="65" t="s">
        <v>236</v>
      </c>
      <c r="S2479" s="65"/>
      <c r="T2479" s="65" t="b">
        <f>FALSE()</f>
        <v>0</v>
      </c>
      <c r="U2479" s="65" t="b">
        <f>FALSE()</f>
        <v>0</v>
      </c>
      <c r="V2479" s="65">
        <v>389</v>
      </c>
      <c r="W2479" s="67" t="s">
        <v>9305</v>
      </c>
      <c r="X2479" s="65">
        <v>3</v>
      </c>
      <c r="Y2479" s="68">
        <v>0.72</v>
      </c>
      <c r="Z2479" s="65" t="b">
        <f>FALSE()</f>
        <v>0</v>
      </c>
      <c r="AA2479" s="65" t="b">
        <f>TRUE()</f>
        <v>1</v>
      </c>
      <c r="AB2479" s="65" t="b">
        <f>FALSE()</f>
        <v>0</v>
      </c>
      <c r="AC2479" s="65" t="b">
        <f>FALSE()</f>
        <v>0</v>
      </c>
      <c r="AD2479" s="65" t="b">
        <f>FALSE()</f>
        <v>0</v>
      </c>
      <c r="AE2479" s="65">
        <v>1</v>
      </c>
      <c r="AF2479" s="69">
        <v>14.3</v>
      </c>
      <c r="AG2479" s="65" t="s">
        <v>74</v>
      </c>
      <c r="AH2479" s="65" t="s">
        <v>9306</v>
      </c>
      <c r="AI2479">
        <f>IF(AND(OR(Company_Explorer!$B$5="All Companies",$E2479=Company_Explorer!$B$5),OR(Company_Explorer!$B$6="All Platforms",$B2479=Company_Explorer!$B$6),OR(Company_Explorer!$B$7="All Roles",$D2479=Company_Explorer!$B$7),OR(Company_Explorer!$B$8="All Ghost Labels",$AG2479=Company_Explorer!$B$8)),1,0)</f>
        <v>0</v>
      </c>
    </row>
    <row r="2480" spans="1:35" ht="15" customHeight="1" x14ac:dyDescent="0.3">
      <c r="A2480" s="60" t="s">
        <v>9307</v>
      </c>
      <c r="B2480" s="60" t="s">
        <v>82</v>
      </c>
      <c r="C2480" s="60" t="s">
        <v>9308</v>
      </c>
      <c r="D2480" s="60" t="s">
        <v>128</v>
      </c>
      <c r="E2480" s="60" t="s">
        <v>3726</v>
      </c>
      <c r="F2480" s="60" t="b">
        <f>FALSE()</f>
        <v>0</v>
      </c>
      <c r="G2480" s="60" t="s">
        <v>167</v>
      </c>
      <c r="H2480" s="60" t="s">
        <v>276</v>
      </c>
      <c r="I2480" s="61">
        <v>46200</v>
      </c>
      <c r="J2480" s="61">
        <v>46210.286041874999</v>
      </c>
      <c r="K2480" s="60">
        <v>10</v>
      </c>
      <c r="L2480" s="60" t="s">
        <v>192</v>
      </c>
      <c r="M2480" s="60" t="s">
        <v>183</v>
      </c>
      <c r="N2480" s="60" t="b">
        <f>FALSE()</f>
        <v>0</v>
      </c>
      <c r="O2480" s="60"/>
      <c r="P2480" s="60"/>
      <c r="Q2480" s="60" t="s">
        <v>3663</v>
      </c>
      <c r="R2480" s="60" t="s">
        <v>236</v>
      </c>
      <c r="S2480" s="60"/>
      <c r="T2480" s="60" t="b">
        <f>FALSE()</f>
        <v>0</v>
      </c>
      <c r="U2480" s="60" t="b">
        <f>FALSE()</f>
        <v>0</v>
      </c>
      <c r="V2480" s="60">
        <v>482</v>
      </c>
      <c r="W2480" s="62" t="s">
        <v>9309</v>
      </c>
      <c r="X2480" s="60"/>
      <c r="Y2480" s="63"/>
      <c r="Z2480" s="60" t="b">
        <f>TRUE()</f>
        <v>1</v>
      </c>
      <c r="AA2480" s="60" t="b">
        <f>TRUE()</f>
        <v>1</v>
      </c>
      <c r="AB2480" s="60" t="b">
        <f>FALSE()</f>
        <v>0</v>
      </c>
      <c r="AC2480" s="60" t="b">
        <f>FALSE()</f>
        <v>0</v>
      </c>
      <c r="AD2480" s="60" t="b">
        <f>FALSE()</f>
        <v>0</v>
      </c>
      <c r="AE2480" s="60">
        <v>3</v>
      </c>
      <c r="AF2480" s="64">
        <v>42.9</v>
      </c>
      <c r="AG2480" s="60" t="s">
        <v>73</v>
      </c>
      <c r="AH2480" s="60" t="s">
        <v>9310</v>
      </c>
      <c r="AI2480">
        <f>IF(AND(OR(Company_Explorer!$B$5="All Companies",$E2480=Company_Explorer!$B$5),OR(Company_Explorer!$B$6="All Platforms",$B2480=Company_Explorer!$B$6),OR(Company_Explorer!$B$7="All Roles",$D2480=Company_Explorer!$B$7),OR(Company_Explorer!$B$8="All Ghost Labels",$AG2480=Company_Explorer!$B$8)),1,0)</f>
        <v>0</v>
      </c>
    </row>
    <row r="2481" spans="1:35" ht="15" customHeight="1" x14ac:dyDescent="0.3">
      <c r="A2481" s="65" t="s">
        <v>9311</v>
      </c>
      <c r="B2481" s="65" t="s">
        <v>82</v>
      </c>
      <c r="C2481" s="65" t="s">
        <v>9312</v>
      </c>
      <c r="D2481" s="65" t="s">
        <v>126</v>
      </c>
      <c r="E2481" s="65" t="s">
        <v>9313</v>
      </c>
      <c r="F2481" s="65" t="b">
        <f>TRUE()</f>
        <v>1</v>
      </c>
      <c r="G2481" s="65" t="s">
        <v>165</v>
      </c>
      <c r="H2481" s="65" t="s">
        <v>165</v>
      </c>
      <c r="I2481" s="66">
        <v>46182</v>
      </c>
      <c r="J2481" s="66">
        <v>46210.286041944499</v>
      </c>
      <c r="K2481" s="65">
        <v>60</v>
      </c>
      <c r="L2481" s="65" t="s">
        <v>183</v>
      </c>
      <c r="M2481" s="65" t="s">
        <v>183</v>
      </c>
      <c r="N2481" s="65" t="b">
        <f>FALSE()</f>
        <v>0</v>
      </c>
      <c r="O2481" s="65"/>
      <c r="P2481" s="65"/>
      <c r="Q2481" s="65" t="s">
        <v>3663</v>
      </c>
      <c r="R2481" s="65" t="s">
        <v>236</v>
      </c>
      <c r="S2481" s="65"/>
      <c r="T2481" s="65" t="b">
        <f>FALSE()</f>
        <v>0</v>
      </c>
      <c r="U2481" s="65" t="b">
        <f>FALSE()</f>
        <v>0</v>
      </c>
      <c r="V2481" s="65">
        <v>413</v>
      </c>
      <c r="W2481" s="65" t="s">
        <v>9314</v>
      </c>
      <c r="X2481" s="65">
        <v>1</v>
      </c>
      <c r="Y2481" s="68">
        <v>0.24</v>
      </c>
      <c r="Z2481" s="65" t="b">
        <f>FALSE()</f>
        <v>0</v>
      </c>
      <c r="AA2481" s="65" t="b">
        <f>TRUE()</f>
        <v>1</v>
      </c>
      <c r="AB2481" s="65" t="b">
        <f>FALSE()</f>
        <v>0</v>
      </c>
      <c r="AC2481" s="65" t="b">
        <f>FALSE()</f>
        <v>0</v>
      </c>
      <c r="AD2481" s="65" t="b">
        <f>FALSE()</f>
        <v>0</v>
      </c>
      <c r="AE2481" s="65">
        <v>1</v>
      </c>
      <c r="AF2481" s="69">
        <v>14.3</v>
      </c>
      <c r="AG2481" s="65" t="s">
        <v>74</v>
      </c>
      <c r="AH2481" s="65" t="s">
        <v>9315</v>
      </c>
      <c r="AI2481">
        <f>IF(AND(OR(Company_Explorer!$B$5="All Companies",$E2481=Company_Explorer!$B$5),OR(Company_Explorer!$B$6="All Platforms",$B2481=Company_Explorer!$B$6),OR(Company_Explorer!$B$7="All Roles",$D2481=Company_Explorer!$B$7),OR(Company_Explorer!$B$8="All Ghost Labels",$AG2481=Company_Explorer!$B$8)),1,0)</f>
        <v>0</v>
      </c>
    </row>
    <row r="2482" spans="1:35" ht="15" customHeight="1" x14ac:dyDescent="0.3">
      <c r="A2482" s="60" t="s">
        <v>9316</v>
      </c>
      <c r="B2482" s="60" t="s">
        <v>82</v>
      </c>
      <c r="C2482" s="60" t="s">
        <v>9317</v>
      </c>
      <c r="D2482" s="60" t="s">
        <v>132</v>
      </c>
      <c r="E2482" s="60" t="s">
        <v>9318</v>
      </c>
      <c r="F2482" s="60" t="b">
        <f>TRUE()</f>
        <v>1</v>
      </c>
      <c r="G2482" s="60" t="s">
        <v>165</v>
      </c>
      <c r="H2482" s="60" t="s">
        <v>165</v>
      </c>
      <c r="I2482" s="61">
        <v>46201</v>
      </c>
      <c r="J2482" s="61">
        <v>46210.286042650499</v>
      </c>
      <c r="K2482" s="60">
        <v>130</v>
      </c>
      <c r="L2482" s="60" t="s">
        <v>192</v>
      </c>
      <c r="M2482" s="60" t="s">
        <v>183</v>
      </c>
      <c r="N2482" s="60" t="b">
        <f>FALSE()</f>
        <v>0</v>
      </c>
      <c r="O2482" s="60"/>
      <c r="P2482" s="60"/>
      <c r="Q2482" s="60" t="s">
        <v>3663</v>
      </c>
      <c r="R2482" s="60" t="s">
        <v>236</v>
      </c>
      <c r="S2482" s="60"/>
      <c r="T2482" s="60" t="b">
        <f>FALSE()</f>
        <v>0</v>
      </c>
      <c r="U2482" s="60" t="b">
        <f>FALSE()</f>
        <v>0</v>
      </c>
      <c r="V2482" s="60">
        <v>378</v>
      </c>
      <c r="W2482" s="62" t="s">
        <v>9319</v>
      </c>
      <c r="X2482" s="60">
        <v>1</v>
      </c>
      <c r="Y2482" s="63">
        <v>0.24</v>
      </c>
      <c r="Z2482" s="60" t="b">
        <f>FALSE()</f>
        <v>0</v>
      </c>
      <c r="AA2482" s="60" t="b">
        <f>TRUE()</f>
        <v>1</v>
      </c>
      <c r="AB2482" s="60" t="b">
        <f>FALSE()</f>
        <v>0</v>
      </c>
      <c r="AC2482" s="60" t="b">
        <f>TRUE()</f>
        <v>1</v>
      </c>
      <c r="AD2482" s="60" t="b">
        <f>FALSE()</f>
        <v>0</v>
      </c>
      <c r="AE2482" s="60">
        <v>2</v>
      </c>
      <c r="AF2482" s="64">
        <v>28.6</v>
      </c>
      <c r="AG2482" s="60" t="s">
        <v>73</v>
      </c>
      <c r="AH2482" s="60" t="s">
        <v>9320</v>
      </c>
      <c r="AI2482">
        <f>IF(AND(OR(Company_Explorer!$B$5="All Companies",$E2482=Company_Explorer!$B$5),OR(Company_Explorer!$B$6="All Platforms",$B2482=Company_Explorer!$B$6),OR(Company_Explorer!$B$7="All Roles",$D2482=Company_Explorer!$B$7),OR(Company_Explorer!$B$8="All Ghost Labels",$AG2482=Company_Explorer!$B$8)),1,0)</f>
        <v>0</v>
      </c>
    </row>
    <row r="2483" spans="1:35" ht="15" customHeight="1" x14ac:dyDescent="0.3">
      <c r="A2483" s="65" t="s">
        <v>9321</v>
      </c>
      <c r="B2483" s="65" t="s">
        <v>82</v>
      </c>
      <c r="C2483" s="65" t="s">
        <v>9322</v>
      </c>
      <c r="D2483" s="65" t="s">
        <v>126</v>
      </c>
      <c r="E2483" s="65" t="s">
        <v>7877</v>
      </c>
      <c r="F2483" s="65" t="b">
        <f>TRUE()</f>
        <v>1</v>
      </c>
      <c r="G2483" s="65" t="s">
        <v>167</v>
      </c>
      <c r="H2483" s="65" t="s">
        <v>276</v>
      </c>
      <c r="I2483" s="66">
        <v>46209</v>
      </c>
      <c r="J2483" s="66">
        <v>46210.286043055603</v>
      </c>
      <c r="K2483" s="65">
        <v>31</v>
      </c>
      <c r="L2483" s="65" t="s">
        <v>192</v>
      </c>
      <c r="M2483" s="65" t="s">
        <v>183</v>
      </c>
      <c r="N2483" s="65" t="b">
        <f>FALSE()</f>
        <v>0</v>
      </c>
      <c r="O2483" s="65"/>
      <c r="P2483" s="65"/>
      <c r="Q2483" s="65" t="s">
        <v>3663</v>
      </c>
      <c r="R2483" s="65" t="s">
        <v>236</v>
      </c>
      <c r="S2483" s="65"/>
      <c r="T2483" s="65" t="b">
        <f>FALSE()</f>
        <v>0</v>
      </c>
      <c r="U2483" s="65" t="b">
        <f>FALSE()</f>
        <v>0</v>
      </c>
      <c r="V2483" s="65">
        <v>737</v>
      </c>
      <c r="W2483" s="67" t="s">
        <v>7878</v>
      </c>
      <c r="X2483" s="65">
        <v>8</v>
      </c>
      <c r="Y2483" s="68">
        <v>1.93</v>
      </c>
      <c r="Z2483" s="65" t="b">
        <f>FALSE()</f>
        <v>0</v>
      </c>
      <c r="AA2483" s="65" t="b">
        <f>TRUE()</f>
        <v>1</v>
      </c>
      <c r="AB2483" s="65" t="b">
        <f>FALSE()</f>
        <v>0</v>
      </c>
      <c r="AC2483" s="65" t="b">
        <f>FALSE()</f>
        <v>0</v>
      </c>
      <c r="AD2483" s="65" t="b">
        <f>FALSE()</f>
        <v>0</v>
      </c>
      <c r="AE2483" s="65">
        <v>1</v>
      </c>
      <c r="AF2483" s="69">
        <v>14.3</v>
      </c>
      <c r="AG2483" s="65" t="s">
        <v>74</v>
      </c>
      <c r="AH2483" s="65" t="s">
        <v>9323</v>
      </c>
      <c r="AI2483">
        <f>IF(AND(OR(Company_Explorer!$B$5="All Companies",$E2483=Company_Explorer!$B$5),OR(Company_Explorer!$B$6="All Platforms",$B2483=Company_Explorer!$B$6),OR(Company_Explorer!$B$7="All Roles",$D2483=Company_Explorer!$B$7),OR(Company_Explorer!$B$8="All Ghost Labels",$AG2483=Company_Explorer!$B$8)),1,0)</f>
        <v>0</v>
      </c>
    </row>
    <row r="2484" spans="1:35" ht="15" customHeight="1" x14ac:dyDescent="0.3">
      <c r="A2484" s="60" t="s">
        <v>9324</v>
      </c>
      <c r="B2484" s="60" t="s">
        <v>82</v>
      </c>
      <c r="C2484" s="60" t="s">
        <v>9325</v>
      </c>
      <c r="D2484" s="60" t="s">
        <v>126</v>
      </c>
      <c r="E2484" s="60" t="s">
        <v>7361</v>
      </c>
      <c r="F2484" s="60" t="b">
        <f>TRUE()</f>
        <v>1</v>
      </c>
      <c r="G2484" s="60" t="s">
        <v>165</v>
      </c>
      <c r="H2484" s="60" t="s">
        <v>165</v>
      </c>
      <c r="I2484" s="61">
        <v>46185</v>
      </c>
      <c r="J2484" s="61">
        <v>46210.286044722197</v>
      </c>
      <c r="K2484" s="60">
        <v>117</v>
      </c>
      <c r="L2484" s="60" t="s">
        <v>183</v>
      </c>
      <c r="M2484" s="60" t="s">
        <v>183</v>
      </c>
      <c r="N2484" s="60" t="b">
        <f>FALSE()</f>
        <v>0</v>
      </c>
      <c r="O2484" s="60"/>
      <c r="P2484" s="60"/>
      <c r="Q2484" s="60" t="s">
        <v>3663</v>
      </c>
      <c r="R2484" s="60" t="s">
        <v>236</v>
      </c>
      <c r="S2484" s="60"/>
      <c r="T2484" s="60" t="b">
        <f>FALSE()</f>
        <v>0</v>
      </c>
      <c r="U2484" s="60" t="b">
        <f>FALSE()</f>
        <v>0</v>
      </c>
      <c r="V2484" s="60">
        <v>701</v>
      </c>
      <c r="W2484" s="62" t="s">
        <v>9326</v>
      </c>
      <c r="X2484" s="60">
        <v>5</v>
      </c>
      <c r="Y2484" s="63">
        <v>1.21</v>
      </c>
      <c r="Z2484" s="60" t="b">
        <f>FALSE()</f>
        <v>0</v>
      </c>
      <c r="AA2484" s="60" t="b">
        <f>TRUE()</f>
        <v>1</v>
      </c>
      <c r="AB2484" s="60" t="b">
        <f>FALSE()</f>
        <v>0</v>
      </c>
      <c r="AC2484" s="60" t="b">
        <f>FALSE()</f>
        <v>0</v>
      </c>
      <c r="AD2484" s="60" t="b">
        <f>FALSE()</f>
        <v>0</v>
      </c>
      <c r="AE2484" s="60">
        <v>1</v>
      </c>
      <c r="AF2484" s="64">
        <v>14.3</v>
      </c>
      <c r="AG2484" s="60" t="s">
        <v>74</v>
      </c>
      <c r="AH2484" s="60" t="s">
        <v>9327</v>
      </c>
      <c r="AI2484">
        <f>IF(AND(OR(Company_Explorer!$B$5="All Companies",$E2484=Company_Explorer!$B$5),OR(Company_Explorer!$B$6="All Platforms",$B2484=Company_Explorer!$B$6),OR(Company_Explorer!$B$7="All Roles",$D2484=Company_Explorer!$B$7),OR(Company_Explorer!$B$8="All Ghost Labels",$AG2484=Company_Explorer!$B$8)),1,0)</f>
        <v>0</v>
      </c>
    </row>
    <row r="2485" spans="1:35" ht="15" customHeight="1" x14ac:dyDescent="0.3">
      <c r="A2485" s="65" t="s">
        <v>9328</v>
      </c>
      <c r="B2485" s="65" t="s">
        <v>82</v>
      </c>
      <c r="C2485" s="65" t="s">
        <v>9329</v>
      </c>
      <c r="D2485" s="65" t="s">
        <v>126</v>
      </c>
      <c r="E2485" s="65" t="s">
        <v>9330</v>
      </c>
      <c r="F2485" s="65" t="b">
        <f>TRUE()</f>
        <v>1</v>
      </c>
      <c r="G2485" s="65" t="s">
        <v>165</v>
      </c>
      <c r="H2485" s="65" t="s">
        <v>165</v>
      </c>
      <c r="I2485" s="66">
        <v>46201</v>
      </c>
      <c r="J2485" s="66">
        <v>46210.286048935202</v>
      </c>
      <c r="K2485" s="65">
        <v>129</v>
      </c>
      <c r="L2485" s="65" t="s">
        <v>192</v>
      </c>
      <c r="M2485" s="65" t="s">
        <v>183</v>
      </c>
      <c r="N2485" s="65" t="b">
        <f>FALSE()</f>
        <v>0</v>
      </c>
      <c r="O2485" s="65"/>
      <c r="P2485" s="65"/>
      <c r="Q2485" s="65" t="s">
        <v>3663</v>
      </c>
      <c r="R2485" s="65" t="s">
        <v>236</v>
      </c>
      <c r="S2485" s="65"/>
      <c r="T2485" s="65" t="b">
        <f>FALSE()</f>
        <v>0</v>
      </c>
      <c r="U2485" s="65" t="b">
        <f>FALSE()</f>
        <v>0</v>
      </c>
      <c r="V2485" s="65">
        <v>150</v>
      </c>
      <c r="W2485" s="67" t="s">
        <v>9331</v>
      </c>
      <c r="X2485" s="65">
        <v>1</v>
      </c>
      <c r="Y2485" s="68">
        <v>0.24</v>
      </c>
      <c r="Z2485" s="65" t="b">
        <f>FALSE()</f>
        <v>0</v>
      </c>
      <c r="AA2485" s="65" t="b">
        <f>TRUE()</f>
        <v>1</v>
      </c>
      <c r="AB2485" s="65" t="b">
        <f>TRUE()</f>
        <v>1</v>
      </c>
      <c r="AC2485" s="65" t="b">
        <f>TRUE()</f>
        <v>1</v>
      </c>
      <c r="AD2485" s="65" t="b">
        <f>FALSE()</f>
        <v>0</v>
      </c>
      <c r="AE2485" s="65">
        <v>3</v>
      </c>
      <c r="AF2485" s="69">
        <v>42.9</v>
      </c>
      <c r="AG2485" s="65" t="s">
        <v>73</v>
      </c>
      <c r="AH2485" s="65" t="s">
        <v>9332</v>
      </c>
      <c r="AI2485">
        <f>IF(AND(OR(Company_Explorer!$B$5="All Companies",$E2485=Company_Explorer!$B$5),OR(Company_Explorer!$B$6="All Platforms",$B2485=Company_Explorer!$B$6),OR(Company_Explorer!$B$7="All Roles",$D2485=Company_Explorer!$B$7),OR(Company_Explorer!$B$8="All Ghost Labels",$AG2485=Company_Explorer!$B$8)),1,0)</f>
        <v>0</v>
      </c>
    </row>
    <row r="2486" spans="1:35" ht="15" customHeight="1" x14ac:dyDescent="0.3">
      <c r="A2486" s="60" t="s">
        <v>9333</v>
      </c>
      <c r="B2486" s="60" t="s">
        <v>82</v>
      </c>
      <c r="C2486" s="60" t="s">
        <v>132</v>
      </c>
      <c r="D2486" s="60" t="s">
        <v>132</v>
      </c>
      <c r="E2486" s="60" t="s">
        <v>9334</v>
      </c>
      <c r="F2486" s="60" t="b">
        <f>TRUE()</f>
        <v>1</v>
      </c>
      <c r="G2486" s="60" t="s">
        <v>165</v>
      </c>
      <c r="H2486" s="60" t="s">
        <v>165</v>
      </c>
      <c r="I2486" s="61">
        <v>46189</v>
      </c>
      <c r="J2486" s="61">
        <v>46210.2860490046</v>
      </c>
      <c r="K2486" s="60">
        <v>21</v>
      </c>
      <c r="L2486" s="60" t="s">
        <v>183</v>
      </c>
      <c r="M2486" s="60" t="s">
        <v>183</v>
      </c>
      <c r="N2486" s="60" t="b">
        <f>FALSE()</f>
        <v>0</v>
      </c>
      <c r="O2486" s="60"/>
      <c r="P2486" s="60"/>
      <c r="Q2486" s="60" t="s">
        <v>3663</v>
      </c>
      <c r="R2486" s="60" t="s">
        <v>236</v>
      </c>
      <c r="S2486" s="60"/>
      <c r="T2486" s="60" t="b">
        <f>FALSE()</f>
        <v>0</v>
      </c>
      <c r="U2486" s="60" t="b">
        <f>FALSE()</f>
        <v>0</v>
      </c>
      <c r="V2486" s="60">
        <v>1066</v>
      </c>
      <c r="W2486" s="60" t="s">
        <v>9335</v>
      </c>
      <c r="X2486" s="60">
        <v>1</v>
      </c>
      <c r="Y2486" s="63">
        <v>0.24</v>
      </c>
      <c r="Z2486" s="60" t="b">
        <f>FALSE()</f>
        <v>0</v>
      </c>
      <c r="AA2486" s="60" t="b">
        <f>TRUE()</f>
        <v>1</v>
      </c>
      <c r="AB2486" s="60" t="b">
        <f>FALSE()</f>
        <v>0</v>
      </c>
      <c r="AC2486" s="60" t="b">
        <f>FALSE()</f>
        <v>0</v>
      </c>
      <c r="AD2486" s="60" t="b">
        <f>FALSE()</f>
        <v>0</v>
      </c>
      <c r="AE2486" s="60">
        <v>1</v>
      </c>
      <c r="AF2486" s="64">
        <v>14.3</v>
      </c>
      <c r="AG2486" s="60" t="s">
        <v>74</v>
      </c>
      <c r="AH2486" s="60" t="s">
        <v>9336</v>
      </c>
      <c r="AI2486">
        <f>IF(AND(OR(Company_Explorer!$B$5="All Companies",$E2486=Company_Explorer!$B$5),OR(Company_Explorer!$B$6="All Platforms",$B2486=Company_Explorer!$B$6),OR(Company_Explorer!$B$7="All Roles",$D2486=Company_Explorer!$B$7),OR(Company_Explorer!$B$8="All Ghost Labels",$AG2486=Company_Explorer!$B$8)),1,0)</f>
        <v>0</v>
      </c>
    </row>
    <row r="2487" spans="1:35" ht="15" customHeight="1" x14ac:dyDescent="0.3">
      <c r="A2487" s="65" t="s">
        <v>9337</v>
      </c>
      <c r="B2487" s="65" t="s">
        <v>82</v>
      </c>
      <c r="C2487" s="65" t="s">
        <v>9338</v>
      </c>
      <c r="D2487" s="65" t="s">
        <v>133</v>
      </c>
      <c r="E2487" s="65" t="s">
        <v>9339</v>
      </c>
      <c r="F2487" s="65" t="b">
        <f>TRUE()</f>
        <v>1</v>
      </c>
      <c r="G2487" s="65" t="s">
        <v>167</v>
      </c>
      <c r="H2487" s="65" t="s">
        <v>276</v>
      </c>
      <c r="I2487" s="66">
        <v>46202</v>
      </c>
      <c r="J2487" s="66">
        <v>46210.286049479197</v>
      </c>
      <c r="K2487" s="65">
        <v>128</v>
      </c>
      <c r="L2487" s="65" t="s">
        <v>183</v>
      </c>
      <c r="M2487" s="65" t="s">
        <v>183</v>
      </c>
      <c r="N2487" s="65" t="b">
        <f>TRUE()</f>
        <v>1</v>
      </c>
      <c r="O2487" s="71">
        <v>774000</v>
      </c>
      <c r="P2487" s="71">
        <v>888500</v>
      </c>
      <c r="Q2487" s="65" t="s">
        <v>3663</v>
      </c>
      <c r="R2487" s="65" t="s">
        <v>7351</v>
      </c>
      <c r="S2487" s="71">
        <v>831250</v>
      </c>
      <c r="T2487" s="65" t="b">
        <f>TRUE()</f>
        <v>1</v>
      </c>
      <c r="U2487" s="65" t="b">
        <f>FALSE()</f>
        <v>0</v>
      </c>
      <c r="V2487" s="65">
        <v>186</v>
      </c>
      <c r="W2487" s="67" t="s">
        <v>9340</v>
      </c>
      <c r="X2487" s="65">
        <v>1</v>
      </c>
      <c r="Y2487" s="68">
        <v>0.24</v>
      </c>
      <c r="Z2487" s="65" t="b">
        <f>FALSE()</f>
        <v>0</v>
      </c>
      <c r="AA2487" s="65" t="b">
        <f>FALSE()</f>
        <v>0</v>
      </c>
      <c r="AB2487" s="65" t="b">
        <f>TRUE()</f>
        <v>1</v>
      </c>
      <c r="AC2487" s="65" t="b">
        <f>TRUE()</f>
        <v>1</v>
      </c>
      <c r="AD2487" s="65" t="b">
        <f>FALSE()</f>
        <v>0</v>
      </c>
      <c r="AE2487" s="65">
        <v>2</v>
      </c>
      <c r="AF2487" s="69">
        <v>28.6</v>
      </c>
      <c r="AG2487" s="65" t="s">
        <v>73</v>
      </c>
      <c r="AH2487" s="65" t="s">
        <v>9341</v>
      </c>
      <c r="AI2487">
        <f>IF(AND(OR(Company_Explorer!$B$5="All Companies",$E2487=Company_Explorer!$B$5),OR(Company_Explorer!$B$6="All Platforms",$B2487=Company_Explorer!$B$6),OR(Company_Explorer!$B$7="All Roles",$D2487=Company_Explorer!$B$7),OR(Company_Explorer!$B$8="All Ghost Labels",$AG2487=Company_Explorer!$B$8)),1,0)</f>
        <v>0</v>
      </c>
    </row>
    <row r="2488" spans="1:35" ht="15" customHeight="1" x14ac:dyDescent="0.3">
      <c r="A2488" s="60" t="s">
        <v>9342</v>
      </c>
      <c r="B2488" s="60" t="s">
        <v>82</v>
      </c>
      <c r="C2488" s="60" t="s">
        <v>7378</v>
      </c>
      <c r="D2488" s="60" t="s">
        <v>128</v>
      </c>
      <c r="E2488" s="60" t="s">
        <v>9343</v>
      </c>
      <c r="F2488" s="60" t="b">
        <f>TRUE()</f>
        <v>1</v>
      </c>
      <c r="G2488" s="60" t="s">
        <v>166</v>
      </c>
      <c r="H2488" s="60" t="s">
        <v>235</v>
      </c>
      <c r="I2488" s="61">
        <v>46190</v>
      </c>
      <c r="J2488" s="61">
        <v>46210.286051134302</v>
      </c>
      <c r="K2488" s="60">
        <v>21</v>
      </c>
      <c r="L2488" s="60" t="s">
        <v>183</v>
      </c>
      <c r="M2488" s="60" t="s">
        <v>183</v>
      </c>
      <c r="N2488" s="60" t="b">
        <f>TRUE()</f>
        <v>1</v>
      </c>
      <c r="O2488" s="70">
        <v>600000</v>
      </c>
      <c r="P2488" s="70">
        <v>950000</v>
      </c>
      <c r="Q2488" s="60" t="s">
        <v>3663</v>
      </c>
      <c r="R2488" s="60" t="s">
        <v>7351</v>
      </c>
      <c r="S2488" s="70">
        <v>775000</v>
      </c>
      <c r="T2488" s="60" t="b">
        <f>TRUE()</f>
        <v>1</v>
      </c>
      <c r="U2488" s="60" t="b">
        <f>FALSE()</f>
        <v>0</v>
      </c>
      <c r="V2488" s="60">
        <v>828</v>
      </c>
      <c r="W2488" s="62" t="s">
        <v>9344</v>
      </c>
      <c r="X2488" s="60">
        <v>1</v>
      </c>
      <c r="Y2488" s="63">
        <v>0.24</v>
      </c>
      <c r="Z2488" s="60" t="b">
        <f>FALSE()</f>
        <v>0</v>
      </c>
      <c r="AA2488" s="60" t="b">
        <f>FALSE()</f>
        <v>0</v>
      </c>
      <c r="AB2488" s="60" t="b">
        <f>FALSE()</f>
        <v>0</v>
      </c>
      <c r="AC2488" s="60" t="b">
        <f>FALSE()</f>
        <v>0</v>
      </c>
      <c r="AD2488" s="60" t="b">
        <f>FALSE()</f>
        <v>0</v>
      </c>
      <c r="AE2488" s="60">
        <v>0</v>
      </c>
      <c r="AF2488" s="64">
        <v>0</v>
      </c>
      <c r="AG2488" s="60" t="s">
        <v>74</v>
      </c>
      <c r="AH2488" s="60" t="s">
        <v>9345</v>
      </c>
      <c r="AI2488">
        <f>IF(AND(OR(Company_Explorer!$B$5="All Companies",$E2488=Company_Explorer!$B$5),OR(Company_Explorer!$B$6="All Platforms",$B2488=Company_Explorer!$B$6),OR(Company_Explorer!$B$7="All Roles",$D2488=Company_Explorer!$B$7),OR(Company_Explorer!$B$8="All Ghost Labels",$AG2488=Company_Explorer!$B$8)),1,0)</f>
        <v>0</v>
      </c>
    </row>
    <row r="2489" spans="1:35" ht="15" customHeight="1" x14ac:dyDescent="0.3">
      <c r="A2489" s="65" t="s">
        <v>9346</v>
      </c>
      <c r="B2489" s="65" t="s">
        <v>82</v>
      </c>
      <c r="C2489" s="65" t="s">
        <v>9347</v>
      </c>
      <c r="D2489" s="65" t="s">
        <v>126</v>
      </c>
      <c r="E2489" s="65" t="s">
        <v>9348</v>
      </c>
      <c r="F2489" s="65" t="b">
        <f>TRUE()</f>
        <v>1</v>
      </c>
      <c r="G2489" s="65" t="s">
        <v>165</v>
      </c>
      <c r="H2489" s="65" t="s">
        <v>165</v>
      </c>
      <c r="I2489" s="66">
        <v>46210</v>
      </c>
      <c r="J2489" s="66">
        <v>46210.286053518503</v>
      </c>
      <c r="K2489" s="65">
        <v>122</v>
      </c>
      <c r="L2489" s="65" t="s">
        <v>183</v>
      </c>
      <c r="M2489" s="65" t="s">
        <v>183</v>
      </c>
      <c r="N2489" s="65" t="b">
        <f>FALSE()</f>
        <v>0</v>
      </c>
      <c r="O2489" s="65"/>
      <c r="P2489" s="65"/>
      <c r="Q2489" s="65" t="s">
        <v>3663</v>
      </c>
      <c r="R2489" s="65" t="s">
        <v>236</v>
      </c>
      <c r="S2489" s="65"/>
      <c r="T2489" s="65" t="b">
        <f>FALSE()</f>
        <v>0</v>
      </c>
      <c r="U2489" s="65" t="b">
        <f>FALSE()</f>
        <v>0</v>
      </c>
      <c r="V2489" s="65">
        <v>1284</v>
      </c>
      <c r="W2489" s="67" t="s">
        <v>9349</v>
      </c>
      <c r="X2489" s="65">
        <v>1</v>
      </c>
      <c r="Y2489" s="68">
        <v>0.24</v>
      </c>
      <c r="Z2489" s="65" t="b">
        <f>FALSE()</f>
        <v>0</v>
      </c>
      <c r="AA2489" s="65" t="b">
        <f>TRUE()</f>
        <v>1</v>
      </c>
      <c r="AB2489" s="65" t="b">
        <f>FALSE()</f>
        <v>0</v>
      </c>
      <c r="AC2489" s="65" t="b">
        <f>TRUE()</f>
        <v>1</v>
      </c>
      <c r="AD2489" s="65" t="b">
        <f>FALSE()</f>
        <v>0</v>
      </c>
      <c r="AE2489" s="65">
        <v>2</v>
      </c>
      <c r="AF2489" s="69">
        <v>28.6</v>
      </c>
      <c r="AG2489" s="65" t="s">
        <v>73</v>
      </c>
      <c r="AH2489" s="65" t="s">
        <v>9350</v>
      </c>
      <c r="AI2489">
        <f>IF(AND(OR(Company_Explorer!$B$5="All Companies",$E2489=Company_Explorer!$B$5),OR(Company_Explorer!$B$6="All Platforms",$B2489=Company_Explorer!$B$6),OR(Company_Explorer!$B$7="All Roles",$D2489=Company_Explorer!$B$7),OR(Company_Explorer!$B$8="All Ghost Labels",$AG2489=Company_Explorer!$B$8)),1,0)</f>
        <v>0</v>
      </c>
    </row>
    <row r="2490" spans="1:35" ht="15" customHeight="1" x14ac:dyDescent="0.3">
      <c r="A2490" s="60" t="s">
        <v>9351</v>
      </c>
      <c r="B2490" s="60" t="s">
        <v>82</v>
      </c>
      <c r="C2490" s="60" t="s">
        <v>8751</v>
      </c>
      <c r="D2490" s="60" t="s">
        <v>128</v>
      </c>
      <c r="E2490" s="60" t="s">
        <v>9241</v>
      </c>
      <c r="F2490" s="60" t="b">
        <f>TRUE()</f>
        <v>1</v>
      </c>
      <c r="G2490" s="60" t="s">
        <v>175</v>
      </c>
      <c r="H2490" s="60" t="s">
        <v>254</v>
      </c>
      <c r="I2490" s="61">
        <v>46208</v>
      </c>
      <c r="J2490" s="61">
        <v>46210.286054456003</v>
      </c>
      <c r="K2490" s="60">
        <v>124</v>
      </c>
      <c r="L2490" s="60" t="s">
        <v>192</v>
      </c>
      <c r="M2490" s="60" t="s">
        <v>183</v>
      </c>
      <c r="N2490" s="60" t="b">
        <f>TRUE()</f>
        <v>1</v>
      </c>
      <c r="O2490" s="70">
        <v>525000</v>
      </c>
      <c r="P2490" s="70">
        <v>850000</v>
      </c>
      <c r="Q2490" s="60" t="s">
        <v>3663</v>
      </c>
      <c r="R2490" s="60" t="s">
        <v>7351</v>
      </c>
      <c r="S2490" s="70">
        <v>687500</v>
      </c>
      <c r="T2490" s="60" t="b">
        <f>TRUE()</f>
        <v>1</v>
      </c>
      <c r="U2490" s="60" t="b">
        <f>FALSE()</f>
        <v>0</v>
      </c>
      <c r="V2490" s="60">
        <v>180</v>
      </c>
      <c r="W2490" s="60" t="s">
        <v>9352</v>
      </c>
      <c r="X2490" s="60">
        <v>3</v>
      </c>
      <c r="Y2490" s="63">
        <v>0.72</v>
      </c>
      <c r="Z2490" s="60" t="b">
        <f>FALSE()</f>
        <v>0</v>
      </c>
      <c r="AA2490" s="60" t="b">
        <f>FALSE()</f>
        <v>0</v>
      </c>
      <c r="AB2490" s="60" t="b">
        <f>TRUE()</f>
        <v>1</v>
      </c>
      <c r="AC2490" s="60" t="b">
        <f>TRUE()</f>
        <v>1</v>
      </c>
      <c r="AD2490" s="60" t="b">
        <f>FALSE()</f>
        <v>0</v>
      </c>
      <c r="AE2490" s="60">
        <v>2</v>
      </c>
      <c r="AF2490" s="64">
        <v>28.6</v>
      </c>
      <c r="AG2490" s="60" t="s">
        <v>73</v>
      </c>
      <c r="AH2490" s="60" t="s">
        <v>9353</v>
      </c>
      <c r="AI2490">
        <f>IF(AND(OR(Company_Explorer!$B$5="All Companies",$E2490=Company_Explorer!$B$5),OR(Company_Explorer!$B$6="All Platforms",$B2490=Company_Explorer!$B$6),OR(Company_Explorer!$B$7="All Roles",$D2490=Company_Explorer!$B$7),OR(Company_Explorer!$B$8="All Ghost Labels",$AG2490=Company_Explorer!$B$8)),1,0)</f>
        <v>0</v>
      </c>
    </row>
    <row r="2491" spans="1:35" ht="15" customHeight="1" x14ac:dyDescent="0.3">
      <c r="A2491" s="65" t="s">
        <v>9354</v>
      </c>
      <c r="B2491" s="65" t="s">
        <v>82</v>
      </c>
      <c r="C2491" s="65" t="s">
        <v>9355</v>
      </c>
      <c r="D2491" s="65" t="s">
        <v>132</v>
      </c>
      <c r="E2491" s="65" t="s">
        <v>9356</v>
      </c>
      <c r="F2491" s="65" t="b">
        <f>TRUE()</f>
        <v>1</v>
      </c>
      <c r="G2491" s="65" t="s">
        <v>167</v>
      </c>
      <c r="H2491" s="65" t="s">
        <v>276</v>
      </c>
      <c r="I2491" s="66">
        <v>46202</v>
      </c>
      <c r="J2491" s="66">
        <v>46210.286055590303</v>
      </c>
      <c r="K2491" s="65">
        <v>129</v>
      </c>
      <c r="L2491" s="65" t="s">
        <v>192</v>
      </c>
      <c r="M2491" s="65" t="s">
        <v>183</v>
      </c>
      <c r="N2491" s="65" t="b">
        <f>TRUE()</f>
        <v>1</v>
      </c>
      <c r="O2491" s="71">
        <v>940000</v>
      </c>
      <c r="P2491" s="71">
        <v>1000000</v>
      </c>
      <c r="Q2491" s="65" t="s">
        <v>3663</v>
      </c>
      <c r="R2491" s="65" t="s">
        <v>7351</v>
      </c>
      <c r="S2491" s="71">
        <v>970000</v>
      </c>
      <c r="T2491" s="65" t="b">
        <f>TRUE()</f>
        <v>1</v>
      </c>
      <c r="U2491" s="65" t="b">
        <f>FALSE()</f>
        <v>0</v>
      </c>
      <c r="V2491" s="65">
        <v>631</v>
      </c>
      <c r="W2491" s="67" t="s">
        <v>4407</v>
      </c>
      <c r="X2491" s="65">
        <v>2</v>
      </c>
      <c r="Y2491" s="68">
        <v>0.48</v>
      </c>
      <c r="Z2491" s="65" t="b">
        <f>FALSE()</f>
        <v>0</v>
      </c>
      <c r="AA2491" s="65" t="b">
        <f>FALSE()</f>
        <v>0</v>
      </c>
      <c r="AB2491" s="65" t="b">
        <f>FALSE()</f>
        <v>0</v>
      </c>
      <c r="AC2491" s="65" t="b">
        <f>TRUE()</f>
        <v>1</v>
      </c>
      <c r="AD2491" s="65" t="b">
        <f>FALSE()</f>
        <v>0</v>
      </c>
      <c r="AE2491" s="65">
        <v>1</v>
      </c>
      <c r="AF2491" s="69">
        <v>14.3</v>
      </c>
      <c r="AG2491" s="65" t="s">
        <v>74</v>
      </c>
      <c r="AH2491" s="65" t="s">
        <v>9357</v>
      </c>
      <c r="AI2491">
        <f>IF(AND(OR(Company_Explorer!$B$5="All Companies",$E2491=Company_Explorer!$B$5),OR(Company_Explorer!$B$6="All Platforms",$B2491=Company_Explorer!$B$6),OR(Company_Explorer!$B$7="All Roles",$D2491=Company_Explorer!$B$7),OR(Company_Explorer!$B$8="All Ghost Labels",$AG2491=Company_Explorer!$B$8)),1,0)</f>
        <v>0</v>
      </c>
    </row>
    <row r="2492" spans="1:35" ht="15" customHeight="1" x14ac:dyDescent="0.3">
      <c r="A2492" s="60" t="s">
        <v>9358</v>
      </c>
      <c r="B2492" s="60" t="s">
        <v>82</v>
      </c>
      <c r="C2492" s="60" t="s">
        <v>9359</v>
      </c>
      <c r="D2492" s="60" t="s">
        <v>125</v>
      </c>
      <c r="E2492" s="60" t="s">
        <v>9360</v>
      </c>
      <c r="F2492" s="60" t="b">
        <f>TRUE()</f>
        <v>1</v>
      </c>
      <c r="G2492" s="60" t="s">
        <v>165</v>
      </c>
      <c r="H2492" s="60" t="s">
        <v>165</v>
      </c>
      <c r="I2492" s="61">
        <v>46192</v>
      </c>
      <c r="J2492" s="61">
        <v>46210.286056331002</v>
      </c>
      <c r="K2492" s="60">
        <v>49</v>
      </c>
      <c r="L2492" s="60" t="s">
        <v>183</v>
      </c>
      <c r="M2492" s="60" t="s">
        <v>183</v>
      </c>
      <c r="N2492" s="60" t="b">
        <f>FALSE()</f>
        <v>0</v>
      </c>
      <c r="O2492" s="60"/>
      <c r="P2492" s="60"/>
      <c r="Q2492" s="60" t="s">
        <v>3663</v>
      </c>
      <c r="R2492" s="60" t="s">
        <v>236</v>
      </c>
      <c r="S2492" s="60"/>
      <c r="T2492" s="60" t="b">
        <f>FALSE()</f>
        <v>0</v>
      </c>
      <c r="U2492" s="60" t="b">
        <f>FALSE()</f>
        <v>0</v>
      </c>
      <c r="V2492" s="60">
        <v>708</v>
      </c>
      <c r="W2492" s="62" t="s">
        <v>9361</v>
      </c>
      <c r="X2492" s="60">
        <v>1</v>
      </c>
      <c r="Y2492" s="63">
        <v>0.24</v>
      </c>
      <c r="Z2492" s="60" t="b">
        <f>FALSE()</f>
        <v>0</v>
      </c>
      <c r="AA2492" s="60" t="b">
        <f>TRUE()</f>
        <v>1</v>
      </c>
      <c r="AB2492" s="60" t="b">
        <f>FALSE()</f>
        <v>0</v>
      </c>
      <c r="AC2492" s="60" t="b">
        <f>FALSE()</f>
        <v>0</v>
      </c>
      <c r="AD2492" s="60" t="b">
        <f>FALSE()</f>
        <v>0</v>
      </c>
      <c r="AE2492" s="60">
        <v>1</v>
      </c>
      <c r="AF2492" s="64">
        <v>14.3</v>
      </c>
      <c r="AG2492" s="60" t="s">
        <v>74</v>
      </c>
      <c r="AH2492" s="60" t="s">
        <v>9362</v>
      </c>
      <c r="AI2492">
        <f>IF(AND(OR(Company_Explorer!$B$5="All Companies",$E2492=Company_Explorer!$B$5),OR(Company_Explorer!$B$6="All Platforms",$B2492=Company_Explorer!$B$6),OR(Company_Explorer!$B$7="All Roles",$D2492=Company_Explorer!$B$7),OR(Company_Explorer!$B$8="All Ghost Labels",$AG2492=Company_Explorer!$B$8)),1,0)</f>
        <v>0</v>
      </c>
    </row>
    <row r="2493" spans="1:35" ht="15" customHeight="1" x14ac:dyDescent="0.3">
      <c r="A2493" s="65" t="s">
        <v>9363</v>
      </c>
      <c r="B2493" s="65" t="s">
        <v>82</v>
      </c>
      <c r="C2493" s="65" t="s">
        <v>9364</v>
      </c>
      <c r="D2493" s="65" t="s">
        <v>128</v>
      </c>
      <c r="E2493" s="65" t="s">
        <v>9365</v>
      </c>
      <c r="F2493" s="65" t="b">
        <f>TRUE()</f>
        <v>1</v>
      </c>
      <c r="G2493" s="65" t="s">
        <v>165</v>
      </c>
      <c r="H2493" s="65" t="s">
        <v>165</v>
      </c>
      <c r="I2493" s="66">
        <v>46196</v>
      </c>
      <c r="J2493" s="66">
        <v>46210.286056655103</v>
      </c>
      <c r="K2493" s="65">
        <v>165</v>
      </c>
      <c r="L2493" s="65" t="s">
        <v>192</v>
      </c>
      <c r="M2493" s="65" t="s">
        <v>183</v>
      </c>
      <c r="N2493" s="65" t="b">
        <f>FALSE()</f>
        <v>0</v>
      </c>
      <c r="O2493" s="65"/>
      <c r="P2493" s="65"/>
      <c r="Q2493" s="65" t="s">
        <v>3663</v>
      </c>
      <c r="R2493" s="65" t="s">
        <v>236</v>
      </c>
      <c r="S2493" s="65"/>
      <c r="T2493" s="65" t="b">
        <f>FALSE()</f>
        <v>0</v>
      </c>
      <c r="U2493" s="65" t="b">
        <f>FALSE()</f>
        <v>0</v>
      </c>
      <c r="V2493" s="65">
        <v>686</v>
      </c>
      <c r="W2493" s="67" t="s">
        <v>9366</v>
      </c>
      <c r="X2493" s="65">
        <v>1</v>
      </c>
      <c r="Y2493" s="68">
        <v>0.24</v>
      </c>
      <c r="Z2493" s="65" t="b">
        <f>FALSE()</f>
        <v>0</v>
      </c>
      <c r="AA2493" s="65" t="b">
        <f>TRUE()</f>
        <v>1</v>
      </c>
      <c r="AB2493" s="65" t="b">
        <f>FALSE()</f>
        <v>0</v>
      </c>
      <c r="AC2493" s="65" t="b">
        <f>TRUE()</f>
        <v>1</v>
      </c>
      <c r="AD2493" s="65" t="b">
        <f>FALSE()</f>
        <v>0</v>
      </c>
      <c r="AE2493" s="65">
        <v>2</v>
      </c>
      <c r="AF2493" s="69">
        <v>28.6</v>
      </c>
      <c r="AG2493" s="65" t="s">
        <v>73</v>
      </c>
      <c r="AH2493" s="65" t="s">
        <v>9367</v>
      </c>
      <c r="AI2493">
        <f>IF(AND(OR(Company_Explorer!$B$5="All Companies",$E2493=Company_Explorer!$B$5),OR(Company_Explorer!$B$6="All Platforms",$B2493=Company_Explorer!$B$6),OR(Company_Explorer!$B$7="All Roles",$D2493=Company_Explorer!$B$7),OR(Company_Explorer!$B$8="All Ghost Labels",$AG2493=Company_Explorer!$B$8)),1,0)</f>
        <v>0</v>
      </c>
    </row>
    <row r="2494" spans="1:35" ht="15" customHeight="1" x14ac:dyDescent="0.3">
      <c r="A2494" s="60" t="s">
        <v>9368</v>
      </c>
      <c r="B2494" s="60" t="s">
        <v>82</v>
      </c>
      <c r="C2494" s="60" t="s">
        <v>9369</v>
      </c>
      <c r="D2494" s="60" t="s">
        <v>125</v>
      </c>
      <c r="E2494" s="60" t="s">
        <v>7730</v>
      </c>
      <c r="F2494" s="60" t="b">
        <f>TRUE()</f>
        <v>1</v>
      </c>
      <c r="G2494" s="60" t="s">
        <v>165</v>
      </c>
      <c r="H2494" s="60" t="s">
        <v>165</v>
      </c>
      <c r="I2494" s="61">
        <v>46201</v>
      </c>
      <c r="J2494" s="61">
        <v>46210.2860574769</v>
      </c>
      <c r="K2494" s="60">
        <v>129</v>
      </c>
      <c r="L2494" s="60" t="s">
        <v>183</v>
      </c>
      <c r="M2494" s="60" t="s">
        <v>183</v>
      </c>
      <c r="N2494" s="60" t="b">
        <f>FALSE()</f>
        <v>0</v>
      </c>
      <c r="O2494" s="60"/>
      <c r="P2494" s="60"/>
      <c r="Q2494" s="60" t="s">
        <v>3663</v>
      </c>
      <c r="R2494" s="60" t="s">
        <v>236</v>
      </c>
      <c r="S2494" s="60"/>
      <c r="T2494" s="60" t="b">
        <f>FALSE()</f>
        <v>0</v>
      </c>
      <c r="U2494" s="60" t="b">
        <f>FALSE()</f>
        <v>0</v>
      </c>
      <c r="V2494" s="60">
        <v>300</v>
      </c>
      <c r="W2494" s="62" t="s">
        <v>9370</v>
      </c>
      <c r="X2494" s="60">
        <v>7</v>
      </c>
      <c r="Y2494" s="63">
        <v>1.69</v>
      </c>
      <c r="Z2494" s="60" t="b">
        <f>FALSE()</f>
        <v>0</v>
      </c>
      <c r="AA2494" s="60" t="b">
        <f>TRUE()</f>
        <v>1</v>
      </c>
      <c r="AB2494" s="60" t="b">
        <f>FALSE()</f>
        <v>0</v>
      </c>
      <c r="AC2494" s="60" t="b">
        <f>TRUE()</f>
        <v>1</v>
      </c>
      <c r="AD2494" s="60" t="b">
        <f>FALSE()</f>
        <v>0</v>
      </c>
      <c r="AE2494" s="60">
        <v>2</v>
      </c>
      <c r="AF2494" s="64">
        <v>28.6</v>
      </c>
      <c r="AG2494" s="60" t="s">
        <v>73</v>
      </c>
      <c r="AH2494" s="60" t="s">
        <v>9371</v>
      </c>
      <c r="AI2494">
        <f>IF(AND(OR(Company_Explorer!$B$5="All Companies",$E2494=Company_Explorer!$B$5),OR(Company_Explorer!$B$6="All Platforms",$B2494=Company_Explorer!$B$6),OR(Company_Explorer!$B$7="All Roles",$D2494=Company_Explorer!$B$7),OR(Company_Explorer!$B$8="All Ghost Labels",$AG2494=Company_Explorer!$B$8)),1,0)</f>
        <v>0</v>
      </c>
    </row>
    <row r="2495" spans="1:35" ht="15" customHeight="1" x14ac:dyDescent="0.3">
      <c r="A2495" s="65" t="s">
        <v>9372</v>
      </c>
      <c r="B2495" s="65" t="s">
        <v>82</v>
      </c>
      <c r="C2495" s="65" t="s">
        <v>132</v>
      </c>
      <c r="D2495" s="65" t="s">
        <v>132</v>
      </c>
      <c r="E2495" s="65" t="s">
        <v>7559</v>
      </c>
      <c r="F2495" s="65" t="b">
        <f>TRUE()</f>
        <v>1</v>
      </c>
      <c r="G2495" s="65" t="s">
        <v>167</v>
      </c>
      <c r="H2495" s="65" t="s">
        <v>276</v>
      </c>
      <c r="I2495" s="66">
        <v>46207</v>
      </c>
      <c r="J2495" s="66">
        <v>46210.286058275502</v>
      </c>
      <c r="K2495" s="65">
        <v>33</v>
      </c>
      <c r="L2495" s="65" t="s">
        <v>183</v>
      </c>
      <c r="M2495" s="65" t="s">
        <v>183</v>
      </c>
      <c r="N2495" s="65" t="b">
        <f>TRUE()</f>
        <v>1</v>
      </c>
      <c r="O2495" s="71">
        <v>600000</v>
      </c>
      <c r="P2495" s="71">
        <v>850000</v>
      </c>
      <c r="Q2495" s="65" t="s">
        <v>3663</v>
      </c>
      <c r="R2495" s="65" t="s">
        <v>7351</v>
      </c>
      <c r="S2495" s="71">
        <v>725000</v>
      </c>
      <c r="T2495" s="65" t="b">
        <f>TRUE()</f>
        <v>1</v>
      </c>
      <c r="U2495" s="65" t="b">
        <f>FALSE()</f>
        <v>0</v>
      </c>
      <c r="V2495" s="65">
        <v>127</v>
      </c>
      <c r="W2495" s="67" t="s">
        <v>9373</v>
      </c>
      <c r="X2495" s="65">
        <v>10</v>
      </c>
      <c r="Y2495" s="68">
        <v>2.41</v>
      </c>
      <c r="Z2495" s="65" t="b">
        <f>FALSE()</f>
        <v>0</v>
      </c>
      <c r="AA2495" s="65" t="b">
        <f>FALSE()</f>
        <v>0</v>
      </c>
      <c r="AB2495" s="65" t="b">
        <f>TRUE()</f>
        <v>1</v>
      </c>
      <c r="AC2495" s="65" t="b">
        <f>FALSE()</f>
        <v>0</v>
      </c>
      <c r="AD2495" s="65" t="b">
        <f>TRUE()</f>
        <v>1</v>
      </c>
      <c r="AE2495" s="65">
        <v>3</v>
      </c>
      <c r="AF2495" s="69">
        <v>42.9</v>
      </c>
      <c r="AG2495" s="65" t="s">
        <v>73</v>
      </c>
      <c r="AH2495" s="65" t="s">
        <v>9374</v>
      </c>
      <c r="AI2495">
        <f>IF(AND(OR(Company_Explorer!$B$5="All Companies",$E2495=Company_Explorer!$B$5),OR(Company_Explorer!$B$6="All Platforms",$B2495=Company_Explorer!$B$6),OR(Company_Explorer!$B$7="All Roles",$D2495=Company_Explorer!$B$7),OR(Company_Explorer!$B$8="All Ghost Labels",$AG2495=Company_Explorer!$B$8)),1,0)</f>
        <v>0</v>
      </c>
    </row>
    <row r="2496" spans="1:35" ht="15" customHeight="1" x14ac:dyDescent="0.3">
      <c r="A2496" s="60" t="s">
        <v>9375</v>
      </c>
      <c r="B2496" s="60" t="s">
        <v>82</v>
      </c>
      <c r="C2496" s="60" t="s">
        <v>9376</v>
      </c>
      <c r="D2496" s="60" t="s">
        <v>128</v>
      </c>
      <c r="E2496" s="60" t="s">
        <v>3726</v>
      </c>
      <c r="F2496" s="60" t="b">
        <f>FALSE()</f>
        <v>0</v>
      </c>
      <c r="G2496" s="60" t="s">
        <v>175</v>
      </c>
      <c r="H2496" s="60" t="s">
        <v>254</v>
      </c>
      <c r="I2496" s="61">
        <v>46210</v>
      </c>
      <c r="J2496" s="61">
        <v>46210.286059085702</v>
      </c>
      <c r="K2496" s="60">
        <v>91</v>
      </c>
      <c r="L2496" s="60" t="s">
        <v>192</v>
      </c>
      <c r="M2496" s="60" t="s">
        <v>183</v>
      </c>
      <c r="N2496" s="60" t="b">
        <f>FALSE()</f>
        <v>0</v>
      </c>
      <c r="O2496" s="60"/>
      <c r="P2496" s="60"/>
      <c r="Q2496" s="60" t="s">
        <v>3663</v>
      </c>
      <c r="R2496" s="60" t="s">
        <v>236</v>
      </c>
      <c r="S2496" s="60"/>
      <c r="T2496" s="60" t="b">
        <f>FALSE()</f>
        <v>0</v>
      </c>
      <c r="U2496" s="60" t="b">
        <f>FALSE()</f>
        <v>0</v>
      </c>
      <c r="V2496" s="60">
        <v>373</v>
      </c>
      <c r="W2496" s="62" t="s">
        <v>9377</v>
      </c>
      <c r="X2496" s="60"/>
      <c r="Y2496" s="63"/>
      <c r="Z2496" s="60" t="b">
        <f>TRUE()</f>
        <v>1</v>
      </c>
      <c r="AA2496" s="60" t="b">
        <f>TRUE()</f>
        <v>1</v>
      </c>
      <c r="AB2496" s="60" t="b">
        <f>FALSE()</f>
        <v>0</v>
      </c>
      <c r="AC2496" s="60" t="b">
        <f>FALSE()</f>
        <v>0</v>
      </c>
      <c r="AD2496" s="60" t="b">
        <f>FALSE()</f>
        <v>0</v>
      </c>
      <c r="AE2496" s="60">
        <v>3</v>
      </c>
      <c r="AF2496" s="64">
        <v>42.9</v>
      </c>
      <c r="AG2496" s="60" t="s">
        <v>73</v>
      </c>
      <c r="AH2496" s="60" t="s">
        <v>9378</v>
      </c>
      <c r="AI2496">
        <f>IF(AND(OR(Company_Explorer!$B$5="All Companies",$E2496=Company_Explorer!$B$5),OR(Company_Explorer!$B$6="All Platforms",$B2496=Company_Explorer!$B$6),OR(Company_Explorer!$B$7="All Roles",$D2496=Company_Explorer!$B$7),OR(Company_Explorer!$B$8="All Ghost Labels",$AG2496=Company_Explorer!$B$8)),1,0)</f>
        <v>0</v>
      </c>
    </row>
    <row r="2497" spans="1:35" ht="15" customHeight="1" x14ac:dyDescent="0.3">
      <c r="A2497" s="65" t="s">
        <v>9379</v>
      </c>
      <c r="B2497" s="65" t="s">
        <v>82</v>
      </c>
      <c r="C2497" s="65" t="s">
        <v>9380</v>
      </c>
      <c r="D2497" s="65" t="s">
        <v>126</v>
      </c>
      <c r="E2497" s="65" t="s">
        <v>9381</v>
      </c>
      <c r="F2497" s="65" t="b">
        <f>TRUE()</f>
        <v>1</v>
      </c>
      <c r="G2497" s="65" t="s">
        <v>9382</v>
      </c>
      <c r="H2497" s="65" t="s">
        <v>2066</v>
      </c>
      <c r="I2497" s="66">
        <v>46209</v>
      </c>
      <c r="J2497" s="66">
        <v>46210.286060983803</v>
      </c>
      <c r="K2497" s="65">
        <v>123</v>
      </c>
      <c r="L2497" s="65" t="s">
        <v>183</v>
      </c>
      <c r="M2497" s="65" t="s">
        <v>183</v>
      </c>
      <c r="N2497" s="65" t="b">
        <f>TRUE()</f>
        <v>1</v>
      </c>
      <c r="O2497" s="71">
        <v>225600</v>
      </c>
      <c r="P2497" s="71">
        <v>366000</v>
      </c>
      <c r="Q2497" s="65" t="s">
        <v>3663</v>
      </c>
      <c r="R2497" s="65" t="s">
        <v>7351</v>
      </c>
      <c r="S2497" s="71">
        <v>295800</v>
      </c>
      <c r="T2497" s="65" t="b">
        <f>TRUE()</f>
        <v>1</v>
      </c>
      <c r="U2497" s="65" t="b">
        <f>FALSE()</f>
        <v>0</v>
      </c>
      <c r="V2497" s="65">
        <v>166</v>
      </c>
      <c r="W2497" s="67" t="s">
        <v>9383</v>
      </c>
      <c r="X2497" s="65">
        <v>1</v>
      </c>
      <c r="Y2497" s="68">
        <v>0.24</v>
      </c>
      <c r="Z2497" s="65" t="b">
        <f>FALSE()</f>
        <v>0</v>
      </c>
      <c r="AA2497" s="65" t="b">
        <f>FALSE()</f>
        <v>0</v>
      </c>
      <c r="AB2497" s="65" t="b">
        <f>TRUE()</f>
        <v>1</v>
      </c>
      <c r="AC2497" s="65" t="b">
        <f>TRUE()</f>
        <v>1</v>
      </c>
      <c r="AD2497" s="65" t="b">
        <f>FALSE()</f>
        <v>0</v>
      </c>
      <c r="AE2497" s="65">
        <v>2</v>
      </c>
      <c r="AF2497" s="69">
        <v>28.6</v>
      </c>
      <c r="AG2497" s="65" t="s">
        <v>73</v>
      </c>
      <c r="AH2497" s="65" t="s">
        <v>9384</v>
      </c>
      <c r="AI2497">
        <f>IF(AND(OR(Company_Explorer!$B$5="All Companies",$E2497=Company_Explorer!$B$5),OR(Company_Explorer!$B$6="All Platforms",$B2497=Company_Explorer!$B$6),OR(Company_Explorer!$B$7="All Roles",$D2497=Company_Explorer!$B$7),OR(Company_Explorer!$B$8="All Ghost Labels",$AG2497=Company_Explorer!$B$8)),1,0)</f>
        <v>0</v>
      </c>
    </row>
    <row r="2498" spans="1:35" ht="15" customHeight="1" x14ac:dyDescent="0.3">
      <c r="A2498" s="60" t="s">
        <v>9385</v>
      </c>
      <c r="B2498" s="60" t="s">
        <v>82</v>
      </c>
      <c r="C2498" s="60" t="s">
        <v>132</v>
      </c>
      <c r="D2498" s="60" t="s">
        <v>132</v>
      </c>
      <c r="E2498" s="60" t="s">
        <v>9356</v>
      </c>
      <c r="F2498" s="60" t="b">
        <f>TRUE()</f>
        <v>1</v>
      </c>
      <c r="G2498" s="60" t="s">
        <v>167</v>
      </c>
      <c r="H2498" s="60" t="s">
        <v>276</v>
      </c>
      <c r="I2498" s="61">
        <v>46202</v>
      </c>
      <c r="J2498" s="61">
        <v>46210.2860610301</v>
      </c>
      <c r="K2498" s="60">
        <v>129</v>
      </c>
      <c r="L2498" s="60" t="s">
        <v>183</v>
      </c>
      <c r="M2498" s="60" t="s">
        <v>183</v>
      </c>
      <c r="N2498" s="60" t="b">
        <f>TRUE()</f>
        <v>1</v>
      </c>
      <c r="O2498" s="70">
        <v>940000</v>
      </c>
      <c r="P2498" s="70">
        <v>1000000</v>
      </c>
      <c r="Q2498" s="60" t="s">
        <v>3663</v>
      </c>
      <c r="R2498" s="60" t="s">
        <v>7351</v>
      </c>
      <c r="S2498" s="70">
        <v>970000</v>
      </c>
      <c r="T2498" s="60" t="b">
        <f>TRUE()</f>
        <v>1</v>
      </c>
      <c r="U2498" s="60" t="b">
        <f>FALSE()</f>
        <v>0</v>
      </c>
      <c r="V2498" s="60">
        <v>713</v>
      </c>
      <c r="W2498" s="62" t="s">
        <v>6358</v>
      </c>
      <c r="X2498" s="60">
        <v>2</v>
      </c>
      <c r="Y2498" s="63">
        <v>0.48</v>
      </c>
      <c r="Z2498" s="60" t="b">
        <f>FALSE()</f>
        <v>0</v>
      </c>
      <c r="AA2498" s="60" t="b">
        <f>FALSE()</f>
        <v>0</v>
      </c>
      <c r="AB2498" s="60" t="b">
        <f>FALSE()</f>
        <v>0</v>
      </c>
      <c r="AC2498" s="60" t="b">
        <f>TRUE()</f>
        <v>1</v>
      </c>
      <c r="AD2498" s="60" t="b">
        <f>FALSE()</f>
        <v>0</v>
      </c>
      <c r="AE2498" s="60">
        <v>1</v>
      </c>
      <c r="AF2498" s="64">
        <v>14.3</v>
      </c>
      <c r="AG2498" s="60" t="s">
        <v>74</v>
      </c>
      <c r="AH2498" s="60" t="s">
        <v>9386</v>
      </c>
      <c r="AI2498">
        <f>IF(AND(OR(Company_Explorer!$B$5="All Companies",$E2498=Company_Explorer!$B$5),OR(Company_Explorer!$B$6="All Platforms",$B2498=Company_Explorer!$B$6),OR(Company_Explorer!$B$7="All Roles",$D2498=Company_Explorer!$B$7),OR(Company_Explorer!$B$8="All Ghost Labels",$AG2498=Company_Explorer!$B$8)),1,0)</f>
        <v>0</v>
      </c>
    </row>
    <row r="2499" spans="1:35" ht="15" customHeight="1" x14ac:dyDescent="0.3">
      <c r="A2499" s="65" t="s">
        <v>9387</v>
      </c>
      <c r="B2499" s="65" t="s">
        <v>82</v>
      </c>
      <c r="C2499" s="65" t="s">
        <v>9388</v>
      </c>
      <c r="D2499" s="65" t="s">
        <v>132</v>
      </c>
      <c r="E2499" s="65" t="s">
        <v>151</v>
      </c>
      <c r="F2499" s="65" t="b">
        <f>TRUE()</f>
        <v>1</v>
      </c>
      <c r="G2499" s="65" t="s">
        <v>165</v>
      </c>
      <c r="H2499" s="65" t="s">
        <v>165</v>
      </c>
      <c r="I2499" s="66">
        <v>46192</v>
      </c>
      <c r="J2499" s="66">
        <v>46210.2860653241</v>
      </c>
      <c r="K2499" s="65">
        <v>110</v>
      </c>
      <c r="L2499" s="65" t="s">
        <v>192</v>
      </c>
      <c r="M2499" s="65" t="s">
        <v>183</v>
      </c>
      <c r="N2499" s="65" t="b">
        <f>FALSE()</f>
        <v>0</v>
      </c>
      <c r="O2499" s="65"/>
      <c r="P2499" s="65"/>
      <c r="Q2499" s="65" t="s">
        <v>3663</v>
      </c>
      <c r="R2499" s="65" t="s">
        <v>236</v>
      </c>
      <c r="S2499" s="65"/>
      <c r="T2499" s="65" t="b">
        <f>FALSE()</f>
        <v>0</v>
      </c>
      <c r="U2499" s="65" t="b">
        <f>FALSE()</f>
        <v>0</v>
      </c>
      <c r="V2499" s="65">
        <v>495</v>
      </c>
      <c r="W2499" s="67" t="s">
        <v>9389</v>
      </c>
      <c r="X2499" s="65">
        <v>17</v>
      </c>
      <c r="Y2499" s="68">
        <v>4.0999999999999996</v>
      </c>
      <c r="Z2499" s="65" t="b">
        <f>FALSE()</f>
        <v>0</v>
      </c>
      <c r="AA2499" s="65" t="b">
        <f>TRUE()</f>
        <v>1</v>
      </c>
      <c r="AB2499" s="65" t="b">
        <f>FALSE()</f>
        <v>0</v>
      </c>
      <c r="AC2499" s="65" t="b">
        <f>FALSE()</f>
        <v>0</v>
      </c>
      <c r="AD2499" s="65" t="b">
        <f>TRUE()</f>
        <v>1</v>
      </c>
      <c r="AE2499" s="65">
        <v>3</v>
      </c>
      <c r="AF2499" s="69">
        <v>42.9</v>
      </c>
      <c r="AG2499" s="65" t="s">
        <v>73</v>
      </c>
      <c r="AH2499" s="65" t="s">
        <v>9390</v>
      </c>
      <c r="AI2499">
        <f>IF(AND(OR(Company_Explorer!$B$5="All Companies",$E2499=Company_Explorer!$B$5),OR(Company_Explorer!$B$6="All Platforms",$B2499=Company_Explorer!$B$6),OR(Company_Explorer!$B$7="All Roles",$D2499=Company_Explorer!$B$7),OR(Company_Explorer!$B$8="All Ghost Labels",$AG2499=Company_Explorer!$B$8)),1,0)</f>
        <v>0</v>
      </c>
    </row>
    <row r="2500" spans="1:35" ht="15" customHeight="1" x14ac:dyDescent="0.3">
      <c r="A2500" s="60" t="s">
        <v>9391</v>
      </c>
      <c r="B2500" s="60" t="s">
        <v>82</v>
      </c>
      <c r="C2500" s="60" t="s">
        <v>9392</v>
      </c>
      <c r="D2500" s="60" t="s">
        <v>126</v>
      </c>
      <c r="E2500" s="60" t="s">
        <v>8798</v>
      </c>
      <c r="F2500" s="60" t="b">
        <f>TRUE()</f>
        <v>1</v>
      </c>
      <c r="G2500" s="60" t="s">
        <v>165</v>
      </c>
      <c r="H2500" s="60" t="s">
        <v>165</v>
      </c>
      <c r="I2500" s="61">
        <v>46199</v>
      </c>
      <c r="J2500" s="61">
        <v>46210.286066284702</v>
      </c>
      <c r="K2500" s="60">
        <v>42</v>
      </c>
      <c r="L2500" s="60" t="s">
        <v>183</v>
      </c>
      <c r="M2500" s="60" t="s">
        <v>183</v>
      </c>
      <c r="N2500" s="60" t="b">
        <f>FALSE()</f>
        <v>0</v>
      </c>
      <c r="O2500" s="60"/>
      <c r="P2500" s="60"/>
      <c r="Q2500" s="60" t="s">
        <v>3663</v>
      </c>
      <c r="R2500" s="60" t="s">
        <v>236</v>
      </c>
      <c r="S2500" s="60"/>
      <c r="T2500" s="60" t="b">
        <f>FALSE()</f>
        <v>0</v>
      </c>
      <c r="U2500" s="60" t="b">
        <f>FALSE()</f>
        <v>0</v>
      </c>
      <c r="V2500" s="60">
        <v>172</v>
      </c>
      <c r="W2500" s="62" t="s">
        <v>9393</v>
      </c>
      <c r="X2500" s="60">
        <v>4</v>
      </c>
      <c r="Y2500" s="63">
        <v>0.97</v>
      </c>
      <c r="Z2500" s="60" t="b">
        <f>FALSE()</f>
        <v>0</v>
      </c>
      <c r="AA2500" s="60" t="b">
        <f>TRUE()</f>
        <v>1</v>
      </c>
      <c r="AB2500" s="60" t="b">
        <f>TRUE()</f>
        <v>1</v>
      </c>
      <c r="AC2500" s="60" t="b">
        <f>FALSE()</f>
        <v>0</v>
      </c>
      <c r="AD2500" s="60" t="b">
        <f>FALSE()</f>
        <v>0</v>
      </c>
      <c r="AE2500" s="60">
        <v>2</v>
      </c>
      <c r="AF2500" s="64">
        <v>28.6</v>
      </c>
      <c r="AG2500" s="60" t="s">
        <v>73</v>
      </c>
      <c r="AH2500" s="60" t="s">
        <v>9394</v>
      </c>
      <c r="AI2500">
        <f>IF(AND(OR(Company_Explorer!$B$5="All Companies",$E2500=Company_Explorer!$B$5),OR(Company_Explorer!$B$6="All Platforms",$B2500=Company_Explorer!$B$6),OR(Company_Explorer!$B$7="All Roles",$D2500=Company_Explorer!$B$7),OR(Company_Explorer!$B$8="All Ghost Labels",$AG2500=Company_Explorer!$B$8)),1,0)</f>
        <v>0</v>
      </c>
    </row>
    <row r="2501" spans="1:35" ht="15" customHeight="1" x14ac:dyDescent="0.3">
      <c r="A2501" s="65" t="s">
        <v>9395</v>
      </c>
      <c r="B2501" s="65" t="s">
        <v>82</v>
      </c>
      <c r="C2501" s="65" t="s">
        <v>9396</v>
      </c>
      <c r="D2501" s="65" t="s">
        <v>128</v>
      </c>
      <c r="E2501" s="65" t="s">
        <v>150</v>
      </c>
      <c r="F2501" s="65" t="b">
        <f>TRUE()</f>
        <v>1</v>
      </c>
      <c r="G2501" s="65" t="s">
        <v>175</v>
      </c>
      <c r="H2501" s="65" t="s">
        <v>254</v>
      </c>
      <c r="I2501" s="66">
        <v>46184</v>
      </c>
      <c r="J2501" s="66">
        <v>46210.2860699421</v>
      </c>
      <c r="K2501" s="65">
        <v>87</v>
      </c>
      <c r="L2501" s="65" t="s">
        <v>192</v>
      </c>
      <c r="M2501" s="65" t="s">
        <v>183</v>
      </c>
      <c r="N2501" s="65" t="b">
        <f>TRUE()</f>
        <v>1</v>
      </c>
      <c r="O2501" s="71">
        <v>120000</v>
      </c>
      <c r="P2501" s="71">
        <v>252000</v>
      </c>
      <c r="Q2501" s="65" t="s">
        <v>3663</v>
      </c>
      <c r="R2501" s="65" t="s">
        <v>7351</v>
      </c>
      <c r="S2501" s="71">
        <v>186000</v>
      </c>
      <c r="T2501" s="65" t="b">
        <f>TRUE()</f>
        <v>1</v>
      </c>
      <c r="U2501" s="65" t="b">
        <f>FALSE()</f>
        <v>0</v>
      </c>
      <c r="V2501" s="65">
        <v>702</v>
      </c>
      <c r="W2501" s="67" t="s">
        <v>3698</v>
      </c>
      <c r="X2501" s="65">
        <v>18</v>
      </c>
      <c r="Y2501" s="68">
        <v>4.34</v>
      </c>
      <c r="Z2501" s="65" t="b">
        <f>FALSE()</f>
        <v>0</v>
      </c>
      <c r="AA2501" s="65" t="b">
        <f>FALSE()</f>
        <v>0</v>
      </c>
      <c r="AB2501" s="65" t="b">
        <f>FALSE()</f>
        <v>0</v>
      </c>
      <c r="AC2501" s="65" t="b">
        <f>FALSE()</f>
        <v>0</v>
      </c>
      <c r="AD2501" s="65" t="b">
        <f>TRUE()</f>
        <v>1</v>
      </c>
      <c r="AE2501" s="65">
        <v>2</v>
      </c>
      <c r="AF2501" s="69">
        <v>28.6</v>
      </c>
      <c r="AG2501" s="65" t="s">
        <v>73</v>
      </c>
      <c r="AH2501" s="65" t="s">
        <v>9397</v>
      </c>
      <c r="AI2501">
        <f>IF(AND(OR(Company_Explorer!$B$5="All Companies",$E2501=Company_Explorer!$B$5),OR(Company_Explorer!$B$6="All Platforms",$B2501=Company_Explorer!$B$6),OR(Company_Explorer!$B$7="All Roles",$D2501=Company_Explorer!$B$7),OR(Company_Explorer!$B$8="All Ghost Labels",$AG2501=Company_Explorer!$B$8)),1,0)</f>
        <v>0</v>
      </c>
    </row>
    <row r="2502" spans="1:35" ht="15" customHeight="1" x14ac:dyDescent="0.3">
      <c r="A2502" s="60" t="s">
        <v>9398</v>
      </c>
      <c r="B2502" s="60" t="s">
        <v>82</v>
      </c>
      <c r="C2502" s="60" t="s">
        <v>128</v>
      </c>
      <c r="D2502" s="60" t="s">
        <v>128</v>
      </c>
      <c r="E2502" s="60" t="s">
        <v>3726</v>
      </c>
      <c r="F2502" s="60" t="b">
        <f>FALSE()</f>
        <v>0</v>
      </c>
      <c r="G2502" s="60" t="s">
        <v>165</v>
      </c>
      <c r="H2502" s="60" t="s">
        <v>165</v>
      </c>
      <c r="I2502" s="61">
        <v>46202</v>
      </c>
      <c r="J2502" s="61">
        <v>46210.286070115697</v>
      </c>
      <c r="K2502" s="60">
        <v>128</v>
      </c>
      <c r="L2502" s="60" t="s">
        <v>192</v>
      </c>
      <c r="M2502" s="60" t="s">
        <v>183</v>
      </c>
      <c r="N2502" s="60" t="b">
        <f>FALSE()</f>
        <v>0</v>
      </c>
      <c r="O2502" s="60"/>
      <c r="P2502" s="60"/>
      <c r="Q2502" s="60" t="s">
        <v>3663</v>
      </c>
      <c r="R2502" s="60" t="s">
        <v>236</v>
      </c>
      <c r="S2502" s="60"/>
      <c r="T2502" s="60" t="b">
        <f>FALSE()</f>
        <v>0</v>
      </c>
      <c r="U2502" s="60" t="b">
        <f>FALSE()</f>
        <v>0</v>
      </c>
      <c r="V2502" s="60">
        <v>514</v>
      </c>
      <c r="W2502" s="62" t="s">
        <v>9399</v>
      </c>
      <c r="X2502" s="60"/>
      <c r="Y2502" s="63"/>
      <c r="Z2502" s="60" t="b">
        <f>TRUE()</f>
        <v>1</v>
      </c>
      <c r="AA2502" s="60" t="b">
        <f>TRUE()</f>
        <v>1</v>
      </c>
      <c r="AB2502" s="60" t="b">
        <f>FALSE()</f>
        <v>0</v>
      </c>
      <c r="AC2502" s="60" t="b">
        <f>TRUE()</f>
        <v>1</v>
      </c>
      <c r="AD2502" s="60" t="b">
        <f>FALSE()</f>
        <v>0</v>
      </c>
      <c r="AE2502" s="60">
        <v>4</v>
      </c>
      <c r="AF2502" s="64">
        <v>57.1</v>
      </c>
      <c r="AG2502" s="60" t="s">
        <v>72</v>
      </c>
      <c r="AH2502" s="60" t="s">
        <v>9400</v>
      </c>
      <c r="AI2502">
        <f>IF(AND(OR(Company_Explorer!$B$5="All Companies",$E2502=Company_Explorer!$B$5),OR(Company_Explorer!$B$6="All Platforms",$B2502=Company_Explorer!$B$6),OR(Company_Explorer!$B$7="All Roles",$D2502=Company_Explorer!$B$7),OR(Company_Explorer!$B$8="All Ghost Labels",$AG2502=Company_Explorer!$B$8)),1,0)</f>
        <v>0</v>
      </c>
    </row>
    <row r="2503" spans="1:35" ht="15" customHeight="1" x14ac:dyDescent="0.3">
      <c r="A2503" s="65" t="s">
        <v>9401</v>
      </c>
      <c r="B2503" s="65" t="s">
        <v>82</v>
      </c>
      <c r="C2503" s="65" t="s">
        <v>132</v>
      </c>
      <c r="D2503" s="65" t="s">
        <v>132</v>
      </c>
      <c r="E2503" s="65" t="s">
        <v>9402</v>
      </c>
      <c r="F2503" s="65" t="b">
        <f>TRUE()</f>
        <v>1</v>
      </c>
      <c r="G2503" s="65" t="s">
        <v>165</v>
      </c>
      <c r="H2503" s="65" t="s">
        <v>165</v>
      </c>
      <c r="I2503" s="66">
        <v>46197</v>
      </c>
      <c r="J2503" s="66">
        <v>46210.286070185197</v>
      </c>
      <c r="K2503" s="65">
        <v>133</v>
      </c>
      <c r="L2503" s="65" t="s">
        <v>183</v>
      </c>
      <c r="M2503" s="65" t="s">
        <v>183</v>
      </c>
      <c r="N2503" s="65" t="b">
        <f>FALSE()</f>
        <v>0</v>
      </c>
      <c r="O2503" s="65"/>
      <c r="P2503" s="65"/>
      <c r="Q2503" s="65" t="s">
        <v>3663</v>
      </c>
      <c r="R2503" s="65" t="s">
        <v>236</v>
      </c>
      <c r="S2503" s="65"/>
      <c r="T2503" s="65" t="b">
        <f>FALSE()</f>
        <v>0</v>
      </c>
      <c r="U2503" s="65" t="b">
        <f>FALSE()</f>
        <v>0</v>
      </c>
      <c r="V2503" s="65">
        <v>808</v>
      </c>
      <c r="W2503" s="67" t="s">
        <v>9403</v>
      </c>
      <c r="X2503" s="65">
        <v>1</v>
      </c>
      <c r="Y2503" s="68">
        <v>0.24</v>
      </c>
      <c r="Z2503" s="65" t="b">
        <f>FALSE()</f>
        <v>0</v>
      </c>
      <c r="AA2503" s="65" t="b">
        <f>TRUE()</f>
        <v>1</v>
      </c>
      <c r="AB2503" s="65" t="b">
        <f>FALSE()</f>
        <v>0</v>
      </c>
      <c r="AC2503" s="65" t="b">
        <f>TRUE()</f>
        <v>1</v>
      </c>
      <c r="AD2503" s="65" t="b">
        <f>FALSE()</f>
        <v>0</v>
      </c>
      <c r="AE2503" s="65">
        <v>2</v>
      </c>
      <c r="AF2503" s="69">
        <v>28.6</v>
      </c>
      <c r="AG2503" s="65" t="s">
        <v>73</v>
      </c>
      <c r="AH2503" s="65" t="s">
        <v>9404</v>
      </c>
      <c r="AI2503">
        <f>IF(AND(OR(Company_Explorer!$B$5="All Companies",$E2503=Company_Explorer!$B$5),OR(Company_Explorer!$B$6="All Platforms",$B2503=Company_Explorer!$B$6),OR(Company_Explorer!$B$7="All Roles",$D2503=Company_Explorer!$B$7),OR(Company_Explorer!$B$8="All Ghost Labels",$AG2503=Company_Explorer!$B$8)),1,0)</f>
        <v>0</v>
      </c>
    </row>
    <row r="2504" spans="1:35" ht="15" customHeight="1" x14ac:dyDescent="0.3">
      <c r="A2504" s="60" t="s">
        <v>9405</v>
      </c>
      <c r="B2504" s="60" t="s">
        <v>82</v>
      </c>
      <c r="C2504" s="60" t="s">
        <v>8474</v>
      </c>
      <c r="D2504" s="60" t="s">
        <v>128</v>
      </c>
      <c r="E2504" s="60" t="s">
        <v>9406</v>
      </c>
      <c r="F2504" s="60" t="b">
        <f>TRUE()</f>
        <v>1</v>
      </c>
      <c r="G2504" s="60" t="s">
        <v>166</v>
      </c>
      <c r="H2504" s="60" t="s">
        <v>235</v>
      </c>
      <c r="I2504" s="61">
        <v>46198</v>
      </c>
      <c r="J2504" s="61">
        <v>46210.286071678202</v>
      </c>
      <c r="K2504" s="60">
        <v>12</v>
      </c>
      <c r="L2504" s="60" t="s">
        <v>192</v>
      </c>
      <c r="M2504" s="60" t="s">
        <v>183</v>
      </c>
      <c r="N2504" s="60" t="b">
        <f>TRUE()</f>
        <v>1</v>
      </c>
      <c r="O2504" s="70">
        <v>180000</v>
      </c>
      <c r="P2504" s="70">
        <v>750000</v>
      </c>
      <c r="Q2504" s="60" t="s">
        <v>3663</v>
      </c>
      <c r="R2504" s="60" t="s">
        <v>7351</v>
      </c>
      <c r="S2504" s="70">
        <v>465000</v>
      </c>
      <c r="T2504" s="60" t="b">
        <f>TRUE()</f>
        <v>1</v>
      </c>
      <c r="U2504" s="60" t="b">
        <f>FALSE()</f>
        <v>0</v>
      </c>
      <c r="V2504" s="60">
        <v>500</v>
      </c>
      <c r="W2504" s="62" t="s">
        <v>9407</v>
      </c>
      <c r="X2504" s="60">
        <v>1</v>
      </c>
      <c r="Y2504" s="63">
        <v>0.24</v>
      </c>
      <c r="Z2504" s="60" t="b">
        <f>FALSE()</f>
        <v>0</v>
      </c>
      <c r="AA2504" s="60" t="b">
        <f>FALSE()</f>
        <v>0</v>
      </c>
      <c r="AB2504" s="60" t="b">
        <f>FALSE()</f>
        <v>0</v>
      </c>
      <c r="AC2504" s="60" t="b">
        <f>FALSE()</f>
        <v>0</v>
      </c>
      <c r="AD2504" s="60" t="b">
        <f>FALSE()</f>
        <v>0</v>
      </c>
      <c r="AE2504" s="60">
        <v>0</v>
      </c>
      <c r="AF2504" s="64">
        <v>0</v>
      </c>
      <c r="AG2504" s="60" t="s">
        <v>74</v>
      </c>
      <c r="AH2504" s="60" t="s">
        <v>9408</v>
      </c>
      <c r="AI2504">
        <f>IF(AND(OR(Company_Explorer!$B$5="All Companies",$E2504=Company_Explorer!$B$5),OR(Company_Explorer!$B$6="All Platforms",$B2504=Company_Explorer!$B$6),OR(Company_Explorer!$B$7="All Roles",$D2504=Company_Explorer!$B$7),OR(Company_Explorer!$B$8="All Ghost Labels",$AG2504=Company_Explorer!$B$8)),1,0)</f>
        <v>0</v>
      </c>
    </row>
    <row r="2505" spans="1:35" ht="15" customHeight="1" x14ac:dyDescent="0.3">
      <c r="A2505" s="65" t="s">
        <v>9409</v>
      </c>
      <c r="B2505" s="65" t="s">
        <v>82</v>
      </c>
      <c r="C2505" s="65" t="s">
        <v>9410</v>
      </c>
      <c r="D2505" s="65" t="s">
        <v>133</v>
      </c>
      <c r="E2505" s="65" t="s">
        <v>3726</v>
      </c>
      <c r="F2505" s="65" t="b">
        <f>FALSE()</f>
        <v>0</v>
      </c>
      <c r="G2505" s="65" t="s">
        <v>165</v>
      </c>
      <c r="H2505" s="65" t="s">
        <v>165</v>
      </c>
      <c r="I2505" s="66">
        <v>46200</v>
      </c>
      <c r="J2505" s="66">
        <v>46210.286071955998</v>
      </c>
      <c r="K2505" s="65">
        <v>10</v>
      </c>
      <c r="L2505" s="65" t="s">
        <v>192</v>
      </c>
      <c r="M2505" s="65" t="s">
        <v>183</v>
      </c>
      <c r="N2505" s="65" t="b">
        <f>TRUE()</f>
        <v>1</v>
      </c>
      <c r="O2505" s="71">
        <v>150000</v>
      </c>
      <c r="P2505" s="71">
        <v>200000</v>
      </c>
      <c r="Q2505" s="65" t="s">
        <v>3663</v>
      </c>
      <c r="R2505" s="65" t="s">
        <v>7445</v>
      </c>
      <c r="S2505" s="71">
        <v>2100000</v>
      </c>
      <c r="T2505" s="65" t="b">
        <f>TRUE()</f>
        <v>1</v>
      </c>
      <c r="U2505" s="65" t="b">
        <f>FALSE()</f>
        <v>0</v>
      </c>
      <c r="V2505" s="65">
        <v>142</v>
      </c>
      <c r="W2505" s="67" t="s">
        <v>9411</v>
      </c>
      <c r="X2505" s="65"/>
      <c r="Y2505" s="68"/>
      <c r="Z2505" s="65" t="b">
        <f>TRUE()</f>
        <v>1</v>
      </c>
      <c r="AA2505" s="65" t="b">
        <f>FALSE()</f>
        <v>0</v>
      </c>
      <c r="AB2505" s="65" t="b">
        <f>TRUE()</f>
        <v>1</v>
      </c>
      <c r="AC2505" s="65" t="b">
        <f>FALSE()</f>
        <v>0</v>
      </c>
      <c r="AD2505" s="65" t="b">
        <f>FALSE()</f>
        <v>0</v>
      </c>
      <c r="AE2505" s="65">
        <v>3</v>
      </c>
      <c r="AF2505" s="69">
        <v>42.9</v>
      </c>
      <c r="AG2505" s="65" t="s">
        <v>73</v>
      </c>
      <c r="AH2505" s="65" t="s">
        <v>9412</v>
      </c>
      <c r="AI2505">
        <f>IF(AND(OR(Company_Explorer!$B$5="All Companies",$E2505=Company_Explorer!$B$5),OR(Company_Explorer!$B$6="All Platforms",$B2505=Company_Explorer!$B$6),OR(Company_Explorer!$B$7="All Roles",$D2505=Company_Explorer!$B$7),OR(Company_Explorer!$B$8="All Ghost Labels",$AG2505=Company_Explorer!$B$8)),1,0)</f>
        <v>0</v>
      </c>
    </row>
    <row r="2506" spans="1:35" ht="15" customHeight="1" x14ac:dyDescent="0.3">
      <c r="A2506" s="60" t="s">
        <v>9413</v>
      </c>
      <c r="B2506" s="60" t="s">
        <v>82</v>
      </c>
      <c r="C2506" s="60" t="s">
        <v>9414</v>
      </c>
      <c r="D2506" s="60" t="s">
        <v>128</v>
      </c>
      <c r="E2506" s="60" t="s">
        <v>9415</v>
      </c>
      <c r="F2506" s="60" t="b">
        <f>TRUE()</f>
        <v>1</v>
      </c>
      <c r="G2506" s="60" t="s">
        <v>165</v>
      </c>
      <c r="H2506" s="60" t="s">
        <v>165</v>
      </c>
      <c r="I2506" s="61">
        <v>46191</v>
      </c>
      <c r="J2506" s="61">
        <v>46210.286076527802</v>
      </c>
      <c r="K2506" s="60">
        <v>19</v>
      </c>
      <c r="L2506" s="60" t="s">
        <v>192</v>
      </c>
      <c r="M2506" s="60" t="s">
        <v>183</v>
      </c>
      <c r="N2506" s="60" t="b">
        <f>FALSE()</f>
        <v>0</v>
      </c>
      <c r="O2506" s="60"/>
      <c r="P2506" s="60"/>
      <c r="Q2506" s="60" t="s">
        <v>3663</v>
      </c>
      <c r="R2506" s="60" t="s">
        <v>236</v>
      </c>
      <c r="S2506" s="60"/>
      <c r="T2506" s="60" t="b">
        <f>FALSE()</f>
        <v>0</v>
      </c>
      <c r="U2506" s="60" t="b">
        <f>FALSE()</f>
        <v>0</v>
      </c>
      <c r="V2506" s="60">
        <v>685</v>
      </c>
      <c r="W2506" s="62" t="s">
        <v>9416</v>
      </c>
      <c r="X2506" s="60">
        <v>1</v>
      </c>
      <c r="Y2506" s="63">
        <v>0.24</v>
      </c>
      <c r="Z2506" s="60" t="b">
        <f>FALSE()</f>
        <v>0</v>
      </c>
      <c r="AA2506" s="60" t="b">
        <f>TRUE()</f>
        <v>1</v>
      </c>
      <c r="AB2506" s="60" t="b">
        <f>FALSE()</f>
        <v>0</v>
      </c>
      <c r="AC2506" s="60" t="b">
        <f>FALSE()</f>
        <v>0</v>
      </c>
      <c r="AD2506" s="60" t="b">
        <f>FALSE()</f>
        <v>0</v>
      </c>
      <c r="AE2506" s="60">
        <v>1</v>
      </c>
      <c r="AF2506" s="64">
        <v>14.3</v>
      </c>
      <c r="AG2506" s="60" t="s">
        <v>74</v>
      </c>
      <c r="AH2506" s="60" t="s">
        <v>9417</v>
      </c>
      <c r="AI2506">
        <f>IF(AND(OR(Company_Explorer!$B$5="All Companies",$E2506=Company_Explorer!$B$5),OR(Company_Explorer!$B$6="All Platforms",$B2506=Company_Explorer!$B$6),OR(Company_Explorer!$B$7="All Roles",$D2506=Company_Explorer!$B$7),OR(Company_Explorer!$B$8="All Ghost Labels",$AG2506=Company_Explorer!$B$8)),1,0)</f>
        <v>0</v>
      </c>
    </row>
    <row r="2507" spans="1:35" ht="15" customHeight="1" x14ac:dyDescent="0.3">
      <c r="A2507" s="65" t="s">
        <v>9418</v>
      </c>
      <c r="B2507" s="65" t="s">
        <v>82</v>
      </c>
      <c r="C2507" s="65" t="s">
        <v>9419</v>
      </c>
      <c r="D2507" s="65" t="s">
        <v>126</v>
      </c>
      <c r="E2507" s="65" t="s">
        <v>3726</v>
      </c>
      <c r="F2507" s="65" t="b">
        <f>FALSE()</f>
        <v>0</v>
      </c>
      <c r="G2507" s="65" t="s">
        <v>166</v>
      </c>
      <c r="H2507" s="65" t="s">
        <v>235</v>
      </c>
      <c r="I2507" s="66">
        <v>46199</v>
      </c>
      <c r="J2507" s="66">
        <v>46210.286076782402</v>
      </c>
      <c r="K2507" s="65">
        <v>11</v>
      </c>
      <c r="L2507" s="65" t="s">
        <v>192</v>
      </c>
      <c r="M2507" s="65" t="s">
        <v>183</v>
      </c>
      <c r="N2507" s="65" t="b">
        <f>TRUE()</f>
        <v>1</v>
      </c>
      <c r="O2507" s="71">
        <v>25000</v>
      </c>
      <c r="P2507" s="71">
        <v>35000</v>
      </c>
      <c r="Q2507" s="65" t="s">
        <v>3663</v>
      </c>
      <c r="R2507" s="65" t="s">
        <v>7445</v>
      </c>
      <c r="S2507" s="71">
        <v>360000</v>
      </c>
      <c r="T2507" s="65" t="b">
        <f>TRUE()</f>
        <v>1</v>
      </c>
      <c r="U2507" s="65" t="b">
        <f>FALSE()</f>
        <v>0</v>
      </c>
      <c r="V2507" s="65">
        <v>229</v>
      </c>
      <c r="W2507" s="67" t="s">
        <v>9420</v>
      </c>
      <c r="X2507" s="65"/>
      <c r="Y2507" s="68"/>
      <c r="Z2507" s="65" t="b">
        <f>TRUE()</f>
        <v>1</v>
      </c>
      <c r="AA2507" s="65" t="b">
        <f>FALSE()</f>
        <v>0</v>
      </c>
      <c r="AB2507" s="65" t="b">
        <f>FALSE()</f>
        <v>0</v>
      </c>
      <c r="AC2507" s="65" t="b">
        <f>FALSE()</f>
        <v>0</v>
      </c>
      <c r="AD2507" s="65" t="b">
        <f>FALSE()</f>
        <v>0</v>
      </c>
      <c r="AE2507" s="65">
        <v>2</v>
      </c>
      <c r="AF2507" s="69">
        <v>28.6</v>
      </c>
      <c r="AG2507" s="65" t="s">
        <v>73</v>
      </c>
      <c r="AH2507" s="65" t="s">
        <v>9421</v>
      </c>
      <c r="AI2507">
        <f>IF(AND(OR(Company_Explorer!$B$5="All Companies",$E2507=Company_Explorer!$B$5),OR(Company_Explorer!$B$6="All Platforms",$B2507=Company_Explorer!$B$6),OR(Company_Explorer!$B$7="All Roles",$D2507=Company_Explorer!$B$7),OR(Company_Explorer!$B$8="All Ghost Labels",$AG2507=Company_Explorer!$B$8)),1,0)</f>
        <v>0</v>
      </c>
    </row>
    <row r="2508" spans="1:35" ht="15" customHeight="1" x14ac:dyDescent="0.3">
      <c r="A2508" s="60" t="s">
        <v>9422</v>
      </c>
      <c r="B2508" s="60" t="s">
        <v>82</v>
      </c>
      <c r="C2508" s="60" t="s">
        <v>9423</v>
      </c>
      <c r="D2508" s="60" t="s">
        <v>125</v>
      </c>
      <c r="E2508" s="60" t="s">
        <v>4865</v>
      </c>
      <c r="F2508" s="60" t="b">
        <f>TRUE()</f>
        <v>1</v>
      </c>
      <c r="G2508" s="60" t="s">
        <v>165</v>
      </c>
      <c r="H2508" s="60" t="s">
        <v>165</v>
      </c>
      <c r="I2508" s="61">
        <v>46208</v>
      </c>
      <c r="J2508" s="61">
        <v>46210.286077800898</v>
      </c>
      <c r="K2508" s="60">
        <v>125</v>
      </c>
      <c r="L2508" s="60" t="s">
        <v>192</v>
      </c>
      <c r="M2508" s="60" t="s">
        <v>183</v>
      </c>
      <c r="N2508" s="60" t="b">
        <f>FALSE()</f>
        <v>0</v>
      </c>
      <c r="O2508" s="60"/>
      <c r="P2508" s="60"/>
      <c r="Q2508" s="60" t="s">
        <v>3663</v>
      </c>
      <c r="R2508" s="60" t="s">
        <v>236</v>
      </c>
      <c r="S2508" s="60"/>
      <c r="T2508" s="60" t="b">
        <f>FALSE()</f>
        <v>0</v>
      </c>
      <c r="U2508" s="60" t="b">
        <f>FALSE()</f>
        <v>0</v>
      </c>
      <c r="V2508" s="60">
        <v>975</v>
      </c>
      <c r="W2508" s="62" t="s">
        <v>9424</v>
      </c>
      <c r="X2508" s="60">
        <v>4</v>
      </c>
      <c r="Y2508" s="63">
        <v>0.97</v>
      </c>
      <c r="Z2508" s="60" t="b">
        <f>FALSE()</f>
        <v>0</v>
      </c>
      <c r="AA2508" s="60" t="b">
        <f>TRUE()</f>
        <v>1</v>
      </c>
      <c r="AB2508" s="60" t="b">
        <f>FALSE()</f>
        <v>0</v>
      </c>
      <c r="AC2508" s="60" t="b">
        <f>TRUE()</f>
        <v>1</v>
      </c>
      <c r="AD2508" s="60" t="b">
        <f>FALSE()</f>
        <v>0</v>
      </c>
      <c r="AE2508" s="60">
        <v>2</v>
      </c>
      <c r="AF2508" s="64">
        <v>28.6</v>
      </c>
      <c r="AG2508" s="60" t="s">
        <v>73</v>
      </c>
      <c r="AH2508" s="60" t="s">
        <v>9425</v>
      </c>
      <c r="AI2508">
        <f>IF(AND(OR(Company_Explorer!$B$5="All Companies",$E2508=Company_Explorer!$B$5),OR(Company_Explorer!$B$6="All Platforms",$B2508=Company_Explorer!$B$6),OR(Company_Explorer!$B$7="All Roles",$D2508=Company_Explorer!$B$7),OR(Company_Explorer!$B$8="All Ghost Labels",$AG2508=Company_Explorer!$B$8)),1,0)</f>
        <v>0</v>
      </c>
    </row>
    <row r="2509" spans="1:35" ht="15" customHeight="1" x14ac:dyDescent="0.3">
      <c r="A2509" s="65" t="s">
        <v>9426</v>
      </c>
      <c r="B2509" s="65" t="s">
        <v>82</v>
      </c>
      <c r="C2509" s="65" t="s">
        <v>9427</v>
      </c>
      <c r="D2509" s="65" t="s">
        <v>132</v>
      </c>
      <c r="E2509" s="65" t="s">
        <v>8250</v>
      </c>
      <c r="F2509" s="65" t="b">
        <f>TRUE()</f>
        <v>1</v>
      </c>
      <c r="G2509" s="65" t="s">
        <v>165</v>
      </c>
      <c r="H2509" s="65" t="s">
        <v>165</v>
      </c>
      <c r="I2509" s="66">
        <v>46210</v>
      </c>
      <c r="J2509" s="66">
        <v>46210.286077916702</v>
      </c>
      <c r="K2509" s="65">
        <v>0</v>
      </c>
      <c r="L2509" s="65" t="s">
        <v>183</v>
      </c>
      <c r="M2509" s="65" t="s">
        <v>183</v>
      </c>
      <c r="N2509" s="65" t="b">
        <f>FALSE()</f>
        <v>0</v>
      </c>
      <c r="O2509" s="65"/>
      <c r="P2509" s="65"/>
      <c r="Q2509" s="65" t="s">
        <v>3663</v>
      </c>
      <c r="R2509" s="65" t="s">
        <v>236</v>
      </c>
      <c r="S2509" s="65"/>
      <c r="T2509" s="65" t="b">
        <f>FALSE()</f>
        <v>0</v>
      </c>
      <c r="U2509" s="65" t="b">
        <f>FALSE()</f>
        <v>0</v>
      </c>
      <c r="V2509" s="65">
        <v>1153</v>
      </c>
      <c r="W2509" s="67" t="s">
        <v>9428</v>
      </c>
      <c r="X2509" s="65">
        <v>4</v>
      </c>
      <c r="Y2509" s="68">
        <v>0.97</v>
      </c>
      <c r="Z2509" s="65" t="b">
        <f>FALSE()</f>
        <v>0</v>
      </c>
      <c r="AA2509" s="65" t="b">
        <f>TRUE()</f>
        <v>1</v>
      </c>
      <c r="AB2509" s="65" t="b">
        <f>FALSE()</f>
        <v>0</v>
      </c>
      <c r="AC2509" s="65" t="b">
        <f>FALSE()</f>
        <v>0</v>
      </c>
      <c r="AD2509" s="65" t="b">
        <f>FALSE()</f>
        <v>0</v>
      </c>
      <c r="AE2509" s="65">
        <v>1</v>
      </c>
      <c r="AF2509" s="69">
        <v>14.3</v>
      </c>
      <c r="AG2509" s="65" t="s">
        <v>74</v>
      </c>
      <c r="AH2509" s="65" t="s">
        <v>9429</v>
      </c>
      <c r="AI2509">
        <f>IF(AND(OR(Company_Explorer!$B$5="All Companies",$E2509=Company_Explorer!$B$5),OR(Company_Explorer!$B$6="All Platforms",$B2509=Company_Explorer!$B$6),OR(Company_Explorer!$B$7="All Roles",$D2509=Company_Explorer!$B$7),OR(Company_Explorer!$B$8="All Ghost Labels",$AG2509=Company_Explorer!$B$8)),1,0)</f>
        <v>0</v>
      </c>
    </row>
    <row r="2510" spans="1:35" ht="15" customHeight="1" x14ac:dyDescent="0.3">
      <c r="A2510" s="60" t="s">
        <v>9430</v>
      </c>
      <c r="B2510" s="60" t="s">
        <v>82</v>
      </c>
      <c r="C2510" s="60" t="s">
        <v>8751</v>
      </c>
      <c r="D2510" s="60" t="s">
        <v>128</v>
      </c>
      <c r="E2510" s="60" t="s">
        <v>9431</v>
      </c>
      <c r="F2510" s="60" t="b">
        <f>TRUE()</f>
        <v>1</v>
      </c>
      <c r="G2510" s="60" t="s">
        <v>598</v>
      </c>
      <c r="H2510" s="60" t="s">
        <v>598</v>
      </c>
      <c r="I2510" s="61">
        <v>46210</v>
      </c>
      <c r="J2510" s="61">
        <v>46210.286080914397</v>
      </c>
      <c r="K2510" s="60">
        <v>0</v>
      </c>
      <c r="L2510" s="60" t="s">
        <v>192</v>
      </c>
      <c r="M2510" s="60" t="s">
        <v>183</v>
      </c>
      <c r="N2510" s="60" t="b">
        <f>TRUE()</f>
        <v>1</v>
      </c>
      <c r="O2510" s="70">
        <v>300000</v>
      </c>
      <c r="P2510" s="70">
        <v>750000</v>
      </c>
      <c r="Q2510" s="60" t="s">
        <v>3663</v>
      </c>
      <c r="R2510" s="60" t="s">
        <v>7351</v>
      </c>
      <c r="S2510" s="70">
        <v>525000</v>
      </c>
      <c r="T2510" s="60" t="b">
        <f>TRUE()</f>
        <v>1</v>
      </c>
      <c r="U2510" s="60" t="b">
        <f>FALSE()</f>
        <v>0</v>
      </c>
      <c r="V2510" s="60">
        <v>121</v>
      </c>
      <c r="W2510" s="62" t="s">
        <v>9432</v>
      </c>
      <c r="X2510" s="60">
        <v>1</v>
      </c>
      <c r="Y2510" s="63">
        <v>0.24</v>
      </c>
      <c r="Z2510" s="60" t="b">
        <f>FALSE()</f>
        <v>0</v>
      </c>
      <c r="AA2510" s="60" t="b">
        <f>FALSE()</f>
        <v>0</v>
      </c>
      <c r="AB2510" s="60" t="b">
        <f>TRUE()</f>
        <v>1</v>
      </c>
      <c r="AC2510" s="60" t="b">
        <f>FALSE()</f>
        <v>0</v>
      </c>
      <c r="AD2510" s="60" t="b">
        <f>FALSE()</f>
        <v>0</v>
      </c>
      <c r="AE2510" s="60">
        <v>1</v>
      </c>
      <c r="AF2510" s="64">
        <v>14.3</v>
      </c>
      <c r="AG2510" s="60" t="s">
        <v>74</v>
      </c>
      <c r="AH2510" s="60" t="s">
        <v>9433</v>
      </c>
      <c r="AI2510">
        <f>IF(AND(OR(Company_Explorer!$B$5="All Companies",$E2510=Company_Explorer!$B$5),OR(Company_Explorer!$B$6="All Platforms",$B2510=Company_Explorer!$B$6),OR(Company_Explorer!$B$7="All Roles",$D2510=Company_Explorer!$B$7),OR(Company_Explorer!$B$8="All Ghost Labels",$AG2510=Company_Explorer!$B$8)),1,0)</f>
        <v>0</v>
      </c>
    </row>
    <row r="2511" spans="1:35" ht="15" customHeight="1" x14ac:dyDescent="0.3">
      <c r="A2511" s="65" t="s">
        <v>9434</v>
      </c>
      <c r="B2511" s="65" t="s">
        <v>82</v>
      </c>
      <c r="C2511" s="65" t="s">
        <v>9435</v>
      </c>
      <c r="D2511" s="65" t="s">
        <v>128</v>
      </c>
      <c r="E2511" s="65" t="s">
        <v>9436</v>
      </c>
      <c r="F2511" s="65" t="b">
        <f>TRUE()</f>
        <v>1</v>
      </c>
      <c r="G2511" s="65" t="s">
        <v>165</v>
      </c>
      <c r="H2511" s="65" t="s">
        <v>165</v>
      </c>
      <c r="I2511" s="66">
        <v>46201</v>
      </c>
      <c r="J2511" s="66">
        <v>46210.286081527804</v>
      </c>
      <c r="K2511" s="65">
        <v>129</v>
      </c>
      <c r="L2511" s="65" t="s">
        <v>192</v>
      </c>
      <c r="M2511" s="65" t="s">
        <v>183</v>
      </c>
      <c r="N2511" s="65" t="b">
        <f>FALSE()</f>
        <v>0</v>
      </c>
      <c r="O2511" s="65"/>
      <c r="P2511" s="65"/>
      <c r="Q2511" s="65" t="s">
        <v>3663</v>
      </c>
      <c r="R2511" s="65" t="s">
        <v>236</v>
      </c>
      <c r="S2511" s="65"/>
      <c r="T2511" s="65" t="b">
        <f>FALSE()</f>
        <v>0</v>
      </c>
      <c r="U2511" s="65" t="b">
        <f>FALSE()</f>
        <v>0</v>
      </c>
      <c r="V2511" s="65">
        <v>356</v>
      </c>
      <c r="W2511" s="67" t="s">
        <v>9437</v>
      </c>
      <c r="X2511" s="65">
        <v>1</v>
      </c>
      <c r="Y2511" s="68">
        <v>0.24</v>
      </c>
      <c r="Z2511" s="65" t="b">
        <f>FALSE()</f>
        <v>0</v>
      </c>
      <c r="AA2511" s="65" t="b">
        <f>TRUE()</f>
        <v>1</v>
      </c>
      <c r="AB2511" s="65" t="b">
        <f>FALSE()</f>
        <v>0</v>
      </c>
      <c r="AC2511" s="65" t="b">
        <f>TRUE()</f>
        <v>1</v>
      </c>
      <c r="AD2511" s="65" t="b">
        <f>FALSE()</f>
        <v>0</v>
      </c>
      <c r="AE2511" s="65">
        <v>2</v>
      </c>
      <c r="AF2511" s="69">
        <v>28.6</v>
      </c>
      <c r="AG2511" s="65" t="s">
        <v>73</v>
      </c>
      <c r="AH2511" s="65" t="s">
        <v>9438</v>
      </c>
      <c r="AI2511">
        <f>IF(AND(OR(Company_Explorer!$B$5="All Companies",$E2511=Company_Explorer!$B$5),OR(Company_Explorer!$B$6="All Platforms",$B2511=Company_Explorer!$B$6),OR(Company_Explorer!$B$7="All Roles",$D2511=Company_Explorer!$B$7),OR(Company_Explorer!$B$8="All Ghost Labels",$AG2511=Company_Explorer!$B$8)),1,0)</f>
        <v>0</v>
      </c>
    </row>
    <row r="2512" spans="1:35" ht="15" customHeight="1" x14ac:dyDescent="0.3">
      <c r="A2512" s="60" t="s">
        <v>9439</v>
      </c>
      <c r="B2512" s="60" t="s">
        <v>82</v>
      </c>
      <c r="C2512" s="60" t="s">
        <v>9440</v>
      </c>
      <c r="D2512" s="60" t="s">
        <v>133</v>
      </c>
      <c r="E2512" s="60" t="s">
        <v>157</v>
      </c>
      <c r="F2512" s="60" t="b">
        <f>TRUE()</f>
        <v>1</v>
      </c>
      <c r="G2512" s="60" t="s">
        <v>175</v>
      </c>
      <c r="H2512" s="60" t="s">
        <v>254</v>
      </c>
      <c r="I2512" s="61">
        <v>46198</v>
      </c>
      <c r="J2512" s="61">
        <v>46210.286083310202</v>
      </c>
      <c r="K2512" s="60">
        <v>12</v>
      </c>
      <c r="L2512" s="60" t="s">
        <v>192</v>
      </c>
      <c r="M2512" s="60" t="s">
        <v>183</v>
      </c>
      <c r="N2512" s="60" t="b">
        <f>TRUE()</f>
        <v>1</v>
      </c>
      <c r="O2512" s="70">
        <v>550000</v>
      </c>
      <c r="P2512" s="70">
        <v>850000</v>
      </c>
      <c r="Q2512" s="60" t="s">
        <v>3663</v>
      </c>
      <c r="R2512" s="60" t="s">
        <v>7351</v>
      </c>
      <c r="S2512" s="70">
        <v>700000</v>
      </c>
      <c r="T2512" s="60" t="b">
        <f>TRUE()</f>
        <v>1</v>
      </c>
      <c r="U2512" s="60" t="b">
        <f>FALSE()</f>
        <v>0</v>
      </c>
      <c r="V2512" s="60">
        <v>850</v>
      </c>
      <c r="W2512" s="62" t="s">
        <v>9441</v>
      </c>
      <c r="X2512" s="60">
        <v>15</v>
      </c>
      <c r="Y2512" s="63">
        <v>3.62</v>
      </c>
      <c r="Z2512" s="60" t="b">
        <f>FALSE()</f>
        <v>0</v>
      </c>
      <c r="AA2512" s="60" t="b">
        <f>FALSE()</f>
        <v>0</v>
      </c>
      <c r="AB2512" s="60" t="b">
        <f>FALSE()</f>
        <v>0</v>
      </c>
      <c r="AC2512" s="60" t="b">
        <f>FALSE()</f>
        <v>0</v>
      </c>
      <c r="AD2512" s="60" t="b">
        <f>TRUE()</f>
        <v>1</v>
      </c>
      <c r="AE2512" s="60">
        <v>2</v>
      </c>
      <c r="AF2512" s="64">
        <v>28.6</v>
      </c>
      <c r="AG2512" s="60" t="s">
        <v>73</v>
      </c>
      <c r="AH2512" s="60" t="s">
        <v>9442</v>
      </c>
      <c r="AI2512">
        <f>IF(AND(OR(Company_Explorer!$B$5="All Companies",$E2512=Company_Explorer!$B$5),OR(Company_Explorer!$B$6="All Platforms",$B2512=Company_Explorer!$B$6),OR(Company_Explorer!$B$7="All Roles",$D2512=Company_Explorer!$B$7),OR(Company_Explorer!$B$8="All Ghost Labels",$AG2512=Company_Explorer!$B$8)),1,0)</f>
        <v>0</v>
      </c>
    </row>
    <row r="2513" spans="1:35" ht="15" customHeight="1" x14ac:dyDescent="0.3">
      <c r="A2513" s="65" t="s">
        <v>9443</v>
      </c>
      <c r="B2513" s="65" t="s">
        <v>82</v>
      </c>
      <c r="C2513" s="65" t="s">
        <v>9444</v>
      </c>
      <c r="D2513" s="65" t="s">
        <v>128</v>
      </c>
      <c r="E2513" s="65" t="s">
        <v>9445</v>
      </c>
      <c r="F2513" s="65" t="b">
        <f>TRUE()</f>
        <v>1</v>
      </c>
      <c r="G2513" s="65" t="s">
        <v>753</v>
      </c>
      <c r="H2513" s="65" t="s">
        <v>754</v>
      </c>
      <c r="I2513" s="66">
        <v>46197</v>
      </c>
      <c r="J2513" s="66">
        <v>46210.286085925902</v>
      </c>
      <c r="K2513" s="65">
        <v>13</v>
      </c>
      <c r="L2513" s="65" t="s">
        <v>192</v>
      </c>
      <c r="M2513" s="65" t="s">
        <v>183</v>
      </c>
      <c r="N2513" s="65" t="b">
        <f>TRUE()</f>
        <v>1</v>
      </c>
      <c r="O2513" s="71">
        <v>500000</v>
      </c>
      <c r="P2513" s="71">
        <v>720000</v>
      </c>
      <c r="Q2513" s="65" t="s">
        <v>3663</v>
      </c>
      <c r="R2513" s="65" t="s">
        <v>7351</v>
      </c>
      <c r="S2513" s="71">
        <v>610000</v>
      </c>
      <c r="T2513" s="65" t="b">
        <f>TRUE()</f>
        <v>1</v>
      </c>
      <c r="U2513" s="65" t="b">
        <f>FALSE()</f>
        <v>0</v>
      </c>
      <c r="V2513" s="65">
        <v>375</v>
      </c>
      <c r="W2513" s="67" t="s">
        <v>9446</v>
      </c>
      <c r="X2513" s="65">
        <v>1</v>
      </c>
      <c r="Y2513" s="68">
        <v>0.24</v>
      </c>
      <c r="Z2513" s="65" t="b">
        <f>FALSE()</f>
        <v>0</v>
      </c>
      <c r="AA2513" s="65" t="b">
        <f>FALSE()</f>
        <v>0</v>
      </c>
      <c r="AB2513" s="65" t="b">
        <f>FALSE()</f>
        <v>0</v>
      </c>
      <c r="AC2513" s="65" t="b">
        <f>FALSE()</f>
        <v>0</v>
      </c>
      <c r="AD2513" s="65" t="b">
        <f>FALSE()</f>
        <v>0</v>
      </c>
      <c r="AE2513" s="65">
        <v>0</v>
      </c>
      <c r="AF2513" s="69">
        <v>0</v>
      </c>
      <c r="AG2513" s="65" t="s">
        <v>74</v>
      </c>
      <c r="AH2513" s="65" t="s">
        <v>9447</v>
      </c>
      <c r="AI2513">
        <f>IF(AND(OR(Company_Explorer!$B$5="All Companies",$E2513=Company_Explorer!$B$5),OR(Company_Explorer!$B$6="All Platforms",$B2513=Company_Explorer!$B$6),OR(Company_Explorer!$B$7="All Roles",$D2513=Company_Explorer!$B$7),OR(Company_Explorer!$B$8="All Ghost Labels",$AG2513=Company_Explorer!$B$8)),1,0)</f>
        <v>0</v>
      </c>
    </row>
    <row r="2514" spans="1:35" ht="15" customHeight="1" x14ac:dyDescent="0.3">
      <c r="A2514" s="60" t="s">
        <v>9448</v>
      </c>
      <c r="B2514" s="60" t="s">
        <v>82</v>
      </c>
      <c r="C2514" s="60" t="s">
        <v>7285</v>
      </c>
      <c r="D2514" s="60" t="s">
        <v>128</v>
      </c>
      <c r="E2514" s="60" t="s">
        <v>3726</v>
      </c>
      <c r="F2514" s="60" t="b">
        <f>FALSE()</f>
        <v>0</v>
      </c>
      <c r="G2514" s="60" t="s">
        <v>165</v>
      </c>
      <c r="H2514" s="60" t="s">
        <v>165</v>
      </c>
      <c r="I2514" s="61">
        <v>46193</v>
      </c>
      <c r="J2514" s="61">
        <v>46210.286089351903</v>
      </c>
      <c r="K2514" s="60">
        <v>17</v>
      </c>
      <c r="L2514" s="60" t="s">
        <v>192</v>
      </c>
      <c r="M2514" s="60" t="s">
        <v>183</v>
      </c>
      <c r="N2514" s="60" t="b">
        <f>TRUE()</f>
        <v>1</v>
      </c>
      <c r="O2514" s="70">
        <v>80000</v>
      </c>
      <c r="P2514" s="70">
        <v>100000</v>
      </c>
      <c r="Q2514" s="60" t="s">
        <v>3663</v>
      </c>
      <c r="R2514" s="60" t="s">
        <v>7351</v>
      </c>
      <c r="S2514" s="70">
        <v>90000</v>
      </c>
      <c r="T2514" s="60" t="b">
        <f>TRUE()</f>
        <v>1</v>
      </c>
      <c r="U2514" s="60" t="b">
        <f>TRUE()</f>
        <v>1</v>
      </c>
      <c r="V2514" s="60">
        <v>184</v>
      </c>
      <c r="W2514" s="62" t="s">
        <v>9449</v>
      </c>
      <c r="X2514" s="60"/>
      <c r="Y2514" s="63"/>
      <c r="Z2514" s="60" t="b">
        <f>TRUE()</f>
        <v>1</v>
      </c>
      <c r="AA2514" s="60" t="b">
        <f>FALSE()</f>
        <v>0</v>
      </c>
      <c r="AB2514" s="60" t="b">
        <f>TRUE()</f>
        <v>1</v>
      </c>
      <c r="AC2514" s="60" t="b">
        <f>FALSE()</f>
        <v>0</v>
      </c>
      <c r="AD2514" s="60" t="b">
        <f>FALSE()</f>
        <v>0</v>
      </c>
      <c r="AE2514" s="60">
        <v>3</v>
      </c>
      <c r="AF2514" s="64">
        <v>42.9</v>
      </c>
      <c r="AG2514" s="60" t="s">
        <v>73</v>
      </c>
      <c r="AH2514" s="60" t="s">
        <v>9450</v>
      </c>
      <c r="AI2514">
        <f>IF(AND(OR(Company_Explorer!$B$5="All Companies",$E2514=Company_Explorer!$B$5),OR(Company_Explorer!$B$6="All Platforms",$B2514=Company_Explorer!$B$6),OR(Company_Explorer!$B$7="All Roles",$D2514=Company_Explorer!$B$7),OR(Company_Explorer!$B$8="All Ghost Labels",$AG2514=Company_Explorer!$B$8)),1,0)</f>
        <v>0</v>
      </c>
    </row>
    <row r="2515" spans="1:35" ht="15" customHeight="1" x14ac:dyDescent="0.3">
      <c r="A2515" s="65" t="s">
        <v>9451</v>
      </c>
      <c r="B2515" s="65" t="s">
        <v>82</v>
      </c>
      <c r="C2515" s="65" t="s">
        <v>9452</v>
      </c>
      <c r="D2515" s="65" t="s">
        <v>125</v>
      </c>
      <c r="E2515" s="65" t="s">
        <v>7369</v>
      </c>
      <c r="F2515" s="65" t="b">
        <f>TRUE()</f>
        <v>1</v>
      </c>
      <c r="G2515" s="65" t="s">
        <v>165</v>
      </c>
      <c r="H2515" s="65" t="s">
        <v>165</v>
      </c>
      <c r="I2515" s="66">
        <v>46182</v>
      </c>
      <c r="J2515" s="66">
        <v>46210.286089432899</v>
      </c>
      <c r="K2515" s="65">
        <v>89</v>
      </c>
      <c r="L2515" s="65" t="s">
        <v>192</v>
      </c>
      <c r="M2515" s="65" t="s">
        <v>183</v>
      </c>
      <c r="N2515" s="65" t="b">
        <f>FALSE()</f>
        <v>0</v>
      </c>
      <c r="O2515" s="65"/>
      <c r="P2515" s="65"/>
      <c r="Q2515" s="65" t="s">
        <v>3663</v>
      </c>
      <c r="R2515" s="65" t="s">
        <v>236</v>
      </c>
      <c r="S2515" s="65"/>
      <c r="T2515" s="65" t="b">
        <f>FALSE()</f>
        <v>0</v>
      </c>
      <c r="U2515" s="65" t="b">
        <f>FALSE()</f>
        <v>0</v>
      </c>
      <c r="V2515" s="65">
        <v>588</v>
      </c>
      <c r="W2515" s="67" t="s">
        <v>9453</v>
      </c>
      <c r="X2515" s="65">
        <v>6</v>
      </c>
      <c r="Y2515" s="68">
        <v>1.45</v>
      </c>
      <c r="Z2515" s="65" t="b">
        <f>FALSE()</f>
        <v>0</v>
      </c>
      <c r="AA2515" s="65" t="b">
        <f>TRUE()</f>
        <v>1</v>
      </c>
      <c r="AB2515" s="65" t="b">
        <f>FALSE()</f>
        <v>0</v>
      </c>
      <c r="AC2515" s="65" t="b">
        <f>FALSE()</f>
        <v>0</v>
      </c>
      <c r="AD2515" s="65" t="b">
        <f>FALSE()</f>
        <v>0</v>
      </c>
      <c r="AE2515" s="65">
        <v>1</v>
      </c>
      <c r="AF2515" s="69">
        <v>14.3</v>
      </c>
      <c r="AG2515" s="65" t="s">
        <v>74</v>
      </c>
      <c r="AH2515" s="65" t="s">
        <v>9454</v>
      </c>
      <c r="AI2515">
        <f>IF(AND(OR(Company_Explorer!$B$5="All Companies",$E2515=Company_Explorer!$B$5),OR(Company_Explorer!$B$6="All Platforms",$B2515=Company_Explorer!$B$6),OR(Company_Explorer!$B$7="All Roles",$D2515=Company_Explorer!$B$7),OR(Company_Explorer!$B$8="All Ghost Labels",$AG2515=Company_Explorer!$B$8)),1,0)</f>
        <v>0</v>
      </c>
    </row>
    <row r="2516" spans="1:35" ht="15" customHeight="1" x14ac:dyDescent="0.3">
      <c r="A2516" s="60" t="s">
        <v>9455</v>
      </c>
      <c r="B2516" s="60" t="s">
        <v>82</v>
      </c>
      <c r="C2516" s="60" t="s">
        <v>8469</v>
      </c>
      <c r="D2516" s="60" t="s">
        <v>128</v>
      </c>
      <c r="E2516" s="60" t="s">
        <v>8470</v>
      </c>
      <c r="F2516" s="60" t="b">
        <f>TRUE()</f>
        <v>1</v>
      </c>
      <c r="G2516" s="60" t="s">
        <v>165</v>
      </c>
      <c r="H2516" s="60" t="s">
        <v>165</v>
      </c>
      <c r="I2516" s="61">
        <v>46183</v>
      </c>
      <c r="J2516" s="61">
        <v>46210.286091273199</v>
      </c>
      <c r="K2516" s="60">
        <v>27</v>
      </c>
      <c r="L2516" s="60" t="s">
        <v>183</v>
      </c>
      <c r="M2516" s="60" t="s">
        <v>183</v>
      </c>
      <c r="N2516" s="60" t="b">
        <f>FALSE()</f>
        <v>0</v>
      </c>
      <c r="O2516" s="60"/>
      <c r="P2516" s="60"/>
      <c r="Q2516" s="60" t="s">
        <v>3663</v>
      </c>
      <c r="R2516" s="60" t="s">
        <v>236</v>
      </c>
      <c r="S2516" s="60"/>
      <c r="T2516" s="60" t="b">
        <f>FALSE()</f>
        <v>0</v>
      </c>
      <c r="U2516" s="60" t="b">
        <f>FALSE()</f>
        <v>0</v>
      </c>
      <c r="V2516" s="60">
        <v>130</v>
      </c>
      <c r="W2516" s="62" t="s">
        <v>9456</v>
      </c>
      <c r="X2516" s="60">
        <v>3</v>
      </c>
      <c r="Y2516" s="63">
        <v>0.72</v>
      </c>
      <c r="Z2516" s="60" t="b">
        <f>FALSE()</f>
        <v>0</v>
      </c>
      <c r="AA2516" s="60" t="b">
        <f>TRUE()</f>
        <v>1</v>
      </c>
      <c r="AB2516" s="60" t="b">
        <f>TRUE()</f>
        <v>1</v>
      </c>
      <c r="AC2516" s="60" t="b">
        <f>FALSE()</f>
        <v>0</v>
      </c>
      <c r="AD2516" s="60" t="b">
        <f>FALSE()</f>
        <v>0</v>
      </c>
      <c r="AE2516" s="60">
        <v>2</v>
      </c>
      <c r="AF2516" s="64">
        <v>28.6</v>
      </c>
      <c r="AG2516" s="60" t="s">
        <v>73</v>
      </c>
      <c r="AH2516" s="60" t="s">
        <v>9457</v>
      </c>
      <c r="AI2516">
        <f>IF(AND(OR(Company_Explorer!$B$5="All Companies",$E2516=Company_Explorer!$B$5),OR(Company_Explorer!$B$6="All Platforms",$B2516=Company_Explorer!$B$6),OR(Company_Explorer!$B$7="All Roles",$D2516=Company_Explorer!$B$7),OR(Company_Explorer!$B$8="All Ghost Labels",$AG2516=Company_Explorer!$B$8)),1,0)</f>
        <v>0</v>
      </c>
    </row>
    <row r="2517" spans="1:35" ht="15" customHeight="1" x14ac:dyDescent="0.3">
      <c r="A2517" s="65" t="s">
        <v>9458</v>
      </c>
      <c r="B2517" s="65" t="s">
        <v>82</v>
      </c>
      <c r="C2517" s="65" t="s">
        <v>9459</v>
      </c>
      <c r="D2517" s="65" t="s">
        <v>133</v>
      </c>
      <c r="E2517" s="65" t="s">
        <v>9460</v>
      </c>
      <c r="F2517" s="65" t="b">
        <f>TRUE()</f>
        <v>1</v>
      </c>
      <c r="G2517" s="65" t="s">
        <v>165</v>
      </c>
      <c r="H2517" s="65" t="s">
        <v>165</v>
      </c>
      <c r="I2517" s="66">
        <v>46183</v>
      </c>
      <c r="J2517" s="66">
        <v>46210.286092523202</v>
      </c>
      <c r="K2517" s="65">
        <v>27</v>
      </c>
      <c r="L2517" s="65" t="s">
        <v>192</v>
      </c>
      <c r="M2517" s="65" t="s">
        <v>183</v>
      </c>
      <c r="N2517" s="65" t="b">
        <f>FALSE()</f>
        <v>0</v>
      </c>
      <c r="O2517" s="65"/>
      <c r="P2517" s="65"/>
      <c r="Q2517" s="65" t="s">
        <v>3663</v>
      </c>
      <c r="R2517" s="65" t="s">
        <v>236</v>
      </c>
      <c r="S2517" s="65"/>
      <c r="T2517" s="65" t="b">
        <f>FALSE()</f>
        <v>0</v>
      </c>
      <c r="U2517" s="65" t="b">
        <f>FALSE()</f>
        <v>0</v>
      </c>
      <c r="V2517" s="65">
        <v>810</v>
      </c>
      <c r="W2517" s="67" t="s">
        <v>9461</v>
      </c>
      <c r="X2517" s="65">
        <v>1</v>
      </c>
      <c r="Y2517" s="68">
        <v>0.24</v>
      </c>
      <c r="Z2517" s="65" t="b">
        <f>FALSE()</f>
        <v>0</v>
      </c>
      <c r="AA2517" s="65" t="b">
        <f>TRUE()</f>
        <v>1</v>
      </c>
      <c r="AB2517" s="65" t="b">
        <f>FALSE()</f>
        <v>0</v>
      </c>
      <c r="AC2517" s="65" t="b">
        <f>FALSE()</f>
        <v>0</v>
      </c>
      <c r="AD2517" s="65" t="b">
        <f>FALSE()</f>
        <v>0</v>
      </c>
      <c r="AE2517" s="65">
        <v>1</v>
      </c>
      <c r="AF2517" s="69">
        <v>14.3</v>
      </c>
      <c r="AG2517" s="65" t="s">
        <v>74</v>
      </c>
      <c r="AH2517" s="65" t="s">
        <v>9462</v>
      </c>
      <c r="AI2517">
        <f>IF(AND(OR(Company_Explorer!$B$5="All Companies",$E2517=Company_Explorer!$B$5),OR(Company_Explorer!$B$6="All Platforms",$B2517=Company_Explorer!$B$6),OR(Company_Explorer!$B$7="All Roles",$D2517=Company_Explorer!$B$7),OR(Company_Explorer!$B$8="All Ghost Labels",$AG2517=Company_Explorer!$B$8)),1,0)</f>
        <v>0</v>
      </c>
    </row>
    <row r="2518" spans="1:35" ht="15" customHeight="1" x14ac:dyDescent="0.3">
      <c r="A2518" s="60" t="s">
        <v>9463</v>
      </c>
      <c r="B2518" s="60" t="s">
        <v>82</v>
      </c>
      <c r="C2518" s="60" t="s">
        <v>9464</v>
      </c>
      <c r="D2518" s="60" t="s">
        <v>125</v>
      </c>
      <c r="E2518" s="60" t="s">
        <v>9465</v>
      </c>
      <c r="F2518" s="60" t="b">
        <f>TRUE()</f>
        <v>1</v>
      </c>
      <c r="G2518" s="60" t="s">
        <v>9466</v>
      </c>
      <c r="H2518" s="60" t="s">
        <v>270</v>
      </c>
      <c r="I2518" s="61">
        <v>46201</v>
      </c>
      <c r="J2518" s="61">
        <v>46210.286094687501</v>
      </c>
      <c r="K2518" s="60">
        <v>9</v>
      </c>
      <c r="L2518" s="60" t="s">
        <v>195</v>
      </c>
      <c r="M2518" s="60" t="s">
        <v>183</v>
      </c>
      <c r="N2518" s="60" t="b">
        <f>TRUE()</f>
        <v>1</v>
      </c>
      <c r="O2518" s="70">
        <v>255000</v>
      </c>
      <c r="P2518" s="70">
        <v>775000</v>
      </c>
      <c r="Q2518" s="60" t="s">
        <v>3663</v>
      </c>
      <c r="R2518" s="60" t="s">
        <v>7351</v>
      </c>
      <c r="S2518" s="70">
        <v>515000</v>
      </c>
      <c r="T2518" s="60" t="b">
        <f>TRUE()</f>
        <v>1</v>
      </c>
      <c r="U2518" s="60" t="b">
        <f>FALSE()</f>
        <v>0</v>
      </c>
      <c r="V2518" s="60">
        <v>29</v>
      </c>
      <c r="W2518" s="62" t="s">
        <v>9467</v>
      </c>
      <c r="X2518" s="60">
        <v>1</v>
      </c>
      <c r="Y2518" s="63">
        <v>0.24</v>
      </c>
      <c r="Z2518" s="60" t="b">
        <f>FALSE()</f>
        <v>0</v>
      </c>
      <c r="AA2518" s="60" t="b">
        <f>FALSE()</f>
        <v>0</v>
      </c>
      <c r="AB2518" s="60" t="b">
        <f>TRUE()</f>
        <v>1</v>
      </c>
      <c r="AC2518" s="60" t="b">
        <f>FALSE()</f>
        <v>0</v>
      </c>
      <c r="AD2518" s="60" t="b">
        <f>FALSE()</f>
        <v>0</v>
      </c>
      <c r="AE2518" s="60">
        <v>1</v>
      </c>
      <c r="AF2518" s="64">
        <v>14.3</v>
      </c>
      <c r="AG2518" s="60" t="s">
        <v>74</v>
      </c>
      <c r="AH2518" s="60" t="s">
        <v>9468</v>
      </c>
      <c r="AI2518">
        <f>IF(AND(OR(Company_Explorer!$B$5="All Companies",$E2518=Company_Explorer!$B$5),OR(Company_Explorer!$B$6="All Platforms",$B2518=Company_Explorer!$B$6),OR(Company_Explorer!$B$7="All Roles",$D2518=Company_Explorer!$B$7),OR(Company_Explorer!$B$8="All Ghost Labels",$AG2518=Company_Explorer!$B$8)),1,0)</f>
        <v>0</v>
      </c>
    </row>
    <row r="2519" spans="1:35" ht="15" customHeight="1" x14ac:dyDescent="0.3">
      <c r="A2519" s="65" t="s">
        <v>9469</v>
      </c>
      <c r="B2519" s="65" t="s">
        <v>82</v>
      </c>
      <c r="C2519" s="65" t="s">
        <v>9470</v>
      </c>
      <c r="D2519" s="65" t="s">
        <v>128</v>
      </c>
      <c r="E2519" s="65" t="s">
        <v>9471</v>
      </c>
      <c r="F2519" s="65" t="b">
        <f>TRUE()</f>
        <v>1</v>
      </c>
      <c r="G2519" s="65" t="s">
        <v>165</v>
      </c>
      <c r="H2519" s="65" t="s">
        <v>165</v>
      </c>
      <c r="I2519" s="66">
        <v>46196</v>
      </c>
      <c r="J2519" s="66">
        <v>46210.286095069401</v>
      </c>
      <c r="K2519" s="65">
        <v>75</v>
      </c>
      <c r="L2519" s="65" t="s">
        <v>183</v>
      </c>
      <c r="M2519" s="65" t="s">
        <v>183</v>
      </c>
      <c r="N2519" s="65" t="b">
        <f>FALSE()</f>
        <v>0</v>
      </c>
      <c r="O2519" s="65"/>
      <c r="P2519" s="65"/>
      <c r="Q2519" s="65" t="s">
        <v>3663</v>
      </c>
      <c r="R2519" s="65" t="s">
        <v>236</v>
      </c>
      <c r="S2519" s="65"/>
      <c r="T2519" s="65" t="b">
        <f>FALSE()</f>
        <v>0</v>
      </c>
      <c r="U2519" s="65" t="b">
        <f>FALSE()</f>
        <v>0</v>
      </c>
      <c r="V2519" s="65">
        <v>321</v>
      </c>
      <c r="W2519" s="67" t="s">
        <v>9472</v>
      </c>
      <c r="X2519" s="65">
        <v>1</v>
      </c>
      <c r="Y2519" s="68">
        <v>0.24</v>
      </c>
      <c r="Z2519" s="65" t="b">
        <f>FALSE()</f>
        <v>0</v>
      </c>
      <c r="AA2519" s="65" t="b">
        <f>TRUE()</f>
        <v>1</v>
      </c>
      <c r="AB2519" s="65" t="b">
        <f>FALSE()</f>
        <v>0</v>
      </c>
      <c r="AC2519" s="65" t="b">
        <f>FALSE()</f>
        <v>0</v>
      </c>
      <c r="AD2519" s="65" t="b">
        <f>FALSE()</f>
        <v>0</v>
      </c>
      <c r="AE2519" s="65">
        <v>1</v>
      </c>
      <c r="AF2519" s="69">
        <v>14.3</v>
      </c>
      <c r="AG2519" s="65" t="s">
        <v>74</v>
      </c>
      <c r="AH2519" s="65" t="s">
        <v>9473</v>
      </c>
      <c r="AI2519">
        <f>IF(AND(OR(Company_Explorer!$B$5="All Companies",$E2519=Company_Explorer!$B$5),OR(Company_Explorer!$B$6="All Platforms",$B2519=Company_Explorer!$B$6),OR(Company_Explorer!$B$7="All Roles",$D2519=Company_Explorer!$B$7),OR(Company_Explorer!$B$8="All Ghost Labels",$AG2519=Company_Explorer!$B$8)),1,0)</f>
        <v>0</v>
      </c>
    </row>
    <row r="2520" spans="1:35" ht="15" customHeight="1" x14ac:dyDescent="0.3">
      <c r="A2520" s="60" t="s">
        <v>9474</v>
      </c>
      <c r="B2520" s="60" t="s">
        <v>82</v>
      </c>
      <c r="C2520" s="60" t="s">
        <v>9475</v>
      </c>
      <c r="D2520" s="60" t="s">
        <v>126</v>
      </c>
      <c r="E2520" s="60" t="s">
        <v>9476</v>
      </c>
      <c r="F2520" s="60" t="b">
        <f>TRUE()</f>
        <v>1</v>
      </c>
      <c r="G2520" s="60" t="s">
        <v>165</v>
      </c>
      <c r="H2520" s="60" t="s">
        <v>165</v>
      </c>
      <c r="I2520" s="61">
        <v>46183</v>
      </c>
      <c r="J2520" s="61">
        <v>46210.286096712996</v>
      </c>
      <c r="K2520" s="60">
        <v>28</v>
      </c>
      <c r="L2520" s="60" t="s">
        <v>183</v>
      </c>
      <c r="M2520" s="60" t="s">
        <v>183</v>
      </c>
      <c r="N2520" s="60" t="b">
        <f>FALSE()</f>
        <v>0</v>
      </c>
      <c r="O2520" s="60"/>
      <c r="P2520" s="60"/>
      <c r="Q2520" s="60" t="s">
        <v>3663</v>
      </c>
      <c r="R2520" s="60" t="s">
        <v>236</v>
      </c>
      <c r="S2520" s="60"/>
      <c r="T2520" s="60" t="b">
        <f>FALSE()</f>
        <v>0</v>
      </c>
      <c r="U2520" s="60" t="b">
        <f>FALSE()</f>
        <v>0</v>
      </c>
      <c r="V2520" s="60">
        <v>1192</v>
      </c>
      <c r="W2520" s="62" t="s">
        <v>4842</v>
      </c>
      <c r="X2520" s="60">
        <v>1</v>
      </c>
      <c r="Y2520" s="63">
        <v>0.24</v>
      </c>
      <c r="Z2520" s="60" t="b">
        <f>FALSE()</f>
        <v>0</v>
      </c>
      <c r="AA2520" s="60" t="b">
        <f>TRUE()</f>
        <v>1</v>
      </c>
      <c r="AB2520" s="60" t="b">
        <f>FALSE()</f>
        <v>0</v>
      </c>
      <c r="AC2520" s="60" t="b">
        <f>FALSE()</f>
        <v>0</v>
      </c>
      <c r="AD2520" s="60" t="b">
        <f>FALSE()</f>
        <v>0</v>
      </c>
      <c r="AE2520" s="60">
        <v>1</v>
      </c>
      <c r="AF2520" s="64">
        <v>14.3</v>
      </c>
      <c r="AG2520" s="60" t="s">
        <v>74</v>
      </c>
      <c r="AH2520" s="60" t="s">
        <v>9477</v>
      </c>
      <c r="AI2520">
        <f>IF(AND(OR(Company_Explorer!$B$5="All Companies",$E2520=Company_Explorer!$B$5),OR(Company_Explorer!$B$6="All Platforms",$B2520=Company_Explorer!$B$6),OR(Company_Explorer!$B$7="All Roles",$D2520=Company_Explorer!$B$7),OR(Company_Explorer!$B$8="All Ghost Labels",$AG2520=Company_Explorer!$B$8)),1,0)</f>
        <v>0</v>
      </c>
    </row>
    <row r="2521" spans="1:35" ht="15" customHeight="1" x14ac:dyDescent="0.3">
      <c r="A2521" s="65" t="s">
        <v>9478</v>
      </c>
      <c r="B2521" s="65" t="s">
        <v>82</v>
      </c>
      <c r="C2521" s="65" t="s">
        <v>8215</v>
      </c>
      <c r="D2521" s="65" t="s">
        <v>128</v>
      </c>
      <c r="E2521" s="65" t="s">
        <v>9479</v>
      </c>
      <c r="F2521" s="65" t="b">
        <f>TRUE()</f>
        <v>1</v>
      </c>
      <c r="G2521" s="65" t="s">
        <v>166</v>
      </c>
      <c r="H2521" s="65" t="s">
        <v>235</v>
      </c>
      <c r="I2521" s="66">
        <v>46203</v>
      </c>
      <c r="J2521" s="66">
        <v>46210.286098009303</v>
      </c>
      <c r="K2521" s="65">
        <v>38</v>
      </c>
      <c r="L2521" s="65" t="s">
        <v>192</v>
      </c>
      <c r="M2521" s="65" t="s">
        <v>183</v>
      </c>
      <c r="N2521" s="65" t="b">
        <f>TRUE()</f>
        <v>1</v>
      </c>
      <c r="O2521" s="71">
        <v>450000</v>
      </c>
      <c r="P2521" s="71">
        <v>830000</v>
      </c>
      <c r="Q2521" s="65" t="s">
        <v>3663</v>
      </c>
      <c r="R2521" s="65" t="s">
        <v>7351</v>
      </c>
      <c r="S2521" s="71">
        <v>640000</v>
      </c>
      <c r="T2521" s="65" t="b">
        <f>TRUE()</f>
        <v>1</v>
      </c>
      <c r="U2521" s="65" t="b">
        <f>FALSE()</f>
        <v>0</v>
      </c>
      <c r="V2521" s="65">
        <v>577</v>
      </c>
      <c r="W2521" s="67" t="s">
        <v>9480</v>
      </c>
      <c r="X2521" s="65">
        <v>1</v>
      </c>
      <c r="Y2521" s="68">
        <v>0.24</v>
      </c>
      <c r="Z2521" s="65" t="b">
        <f>FALSE()</f>
        <v>0</v>
      </c>
      <c r="AA2521" s="65" t="b">
        <f>FALSE()</f>
        <v>0</v>
      </c>
      <c r="AB2521" s="65" t="b">
        <f>FALSE()</f>
        <v>0</v>
      </c>
      <c r="AC2521" s="65" t="b">
        <f>FALSE()</f>
        <v>0</v>
      </c>
      <c r="AD2521" s="65" t="b">
        <f>FALSE()</f>
        <v>0</v>
      </c>
      <c r="AE2521" s="65">
        <v>0</v>
      </c>
      <c r="AF2521" s="69">
        <v>0</v>
      </c>
      <c r="AG2521" s="65" t="s">
        <v>74</v>
      </c>
      <c r="AH2521" s="65" t="s">
        <v>9481</v>
      </c>
      <c r="AI2521">
        <f>IF(AND(OR(Company_Explorer!$B$5="All Companies",$E2521=Company_Explorer!$B$5),OR(Company_Explorer!$B$6="All Platforms",$B2521=Company_Explorer!$B$6),OR(Company_Explorer!$B$7="All Roles",$D2521=Company_Explorer!$B$7),OR(Company_Explorer!$B$8="All Ghost Labels",$AG2521=Company_Explorer!$B$8)),1,0)</f>
        <v>0</v>
      </c>
    </row>
    <row r="2522" spans="1:35" ht="15" customHeight="1" x14ac:dyDescent="0.3">
      <c r="A2522" s="60" t="s">
        <v>9482</v>
      </c>
      <c r="B2522" s="60" t="s">
        <v>82</v>
      </c>
      <c r="C2522" s="60" t="s">
        <v>9483</v>
      </c>
      <c r="D2522" s="60" t="s">
        <v>133</v>
      </c>
      <c r="E2522" s="60" t="s">
        <v>9484</v>
      </c>
      <c r="F2522" s="60" t="b">
        <f>TRUE()</f>
        <v>1</v>
      </c>
      <c r="G2522" s="60" t="s">
        <v>176</v>
      </c>
      <c r="H2522" s="60" t="s">
        <v>302</v>
      </c>
      <c r="I2522" s="61">
        <v>46204</v>
      </c>
      <c r="J2522" s="61">
        <v>46210.286099884303</v>
      </c>
      <c r="K2522" s="60">
        <v>67</v>
      </c>
      <c r="L2522" s="60" t="s">
        <v>183</v>
      </c>
      <c r="M2522" s="60" t="s">
        <v>183</v>
      </c>
      <c r="N2522" s="60" t="b">
        <f>FALSE()</f>
        <v>0</v>
      </c>
      <c r="O2522" s="60"/>
      <c r="P2522" s="60"/>
      <c r="Q2522" s="60" t="s">
        <v>3663</v>
      </c>
      <c r="R2522" s="60" t="s">
        <v>236</v>
      </c>
      <c r="S2522" s="60"/>
      <c r="T2522" s="60" t="b">
        <f>FALSE()</f>
        <v>0</v>
      </c>
      <c r="U2522" s="60" t="b">
        <f>FALSE()</f>
        <v>0</v>
      </c>
      <c r="V2522" s="60">
        <v>270</v>
      </c>
      <c r="W2522" s="62" t="s">
        <v>9485</v>
      </c>
      <c r="X2522" s="60">
        <v>1</v>
      </c>
      <c r="Y2522" s="63">
        <v>0.24</v>
      </c>
      <c r="Z2522" s="60" t="b">
        <f>FALSE()</f>
        <v>0</v>
      </c>
      <c r="AA2522" s="60" t="b">
        <f>TRUE()</f>
        <v>1</v>
      </c>
      <c r="AB2522" s="60" t="b">
        <f>FALSE()</f>
        <v>0</v>
      </c>
      <c r="AC2522" s="60" t="b">
        <f>FALSE()</f>
        <v>0</v>
      </c>
      <c r="AD2522" s="60" t="b">
        <f>FALSE()</f>
        <v>0</v>
      </c>
      <c r="AE2522" s="60">
        <v>1</v>
      </c>
      <c r="AF2522" s="64">
        <v>14.3</v>
      </c>
      <c r="AG2522" s="60" t="s">
        <v>74</v>
      </c>
      <c r="AH2522" s="60" t="s">
        <v>9486</v>
      </c>
      <c r="AI2522">
        <f>IF(AND(OR(Company_Explorer!$B$5="All Companies",$E2522=Company_Explorer!$B$5),OR(Company_Explorer!$B$6="All Platforms",$B2522=Company_Explorer!$B$6),OR(Company_Explorer!$B$7="All Roles",$D2522=Company_Explorer!$B$7),OR(Company_Explorer!$B$8="All Ghost Labels",$AG2522=Company_Explorer!$B$8)),1,0)</f>
        <v>0</v>
      </c>
    </row>
    <row r="2523" spans="1:35" ht="15" customHeight="1" x14ac:dyDescent="0.3">
      <c r="A2523" s="65" t="s">
        <v>9487</v>
      </c>
      <c r="B2523" s="65" t="s">
        <v>82</v>
      </c>
      <c r="C2523" s="65" t="s">
        <v>9488</v>
      </c>
      <c r="D2523" s="65" t="s">
        <v>132</v>
      </c>
      <c r="E2523" s="65" t="s">
        <v>157</v>
      </c>
      <c r="F2523" s="65" t="b">
        <f>TRUE()</f>
        <v>1</v>
      </c>
      <c r="G2523" s="65" t="s">
        <v>176</v>
      </c>
      <c r="H2523" s="65" t="s">
        <v>302</v>
      </c>
      <c r="I2523" s="66">
        <v>46193</v>
      </c>
      <c r="J2523" s="66">
        <v>46210.286101099497</v>
      </c>
      <c r="K2523" s="65">
        <v>137</v>
      </c>
      <c r="L2523" s="65" t="s">
        <v>192</v>
      </c>
      <c r="M2523" s="65" t="s">
        <v>183</v>
      </c>
      <c r="N2523" s="65" t="b">
        <f>TRUE()</f>
        <v>1</v>
      </c>
      <c r="O2523" s="71">
        <v>600000</v>
      </c>
      <c r="P2523" s="71">
        <v>887500</v>
      </c>
      <c r="Q2523" s="65" t="s">
        <v>3663</v>
      </c>
      <c r="R2523" s="65" t="s">
        <v>7351</v>
      </c>
      <c r="S2523" s="71">
        <v>743750</v>
      </c>
      <c r="T2523" s="65" t="b">
        <f>TRUE()</f>
        <v>1</v>
      </c>
      <c r="U2523" s="65" t="b">
        <f>FALSE()</f>
        <v>0</v>
      </c>
      <c r="V2523" s="65">
        <v>526</v>
      </c>
      <c r="W2523" s="65" t="s">
        <v>9489</v>
      </c>
      <c r="X2523" s="65">
        <v>15</v>
      </c>
      <c r="Y2523" s="68">
        <v>3.62</v>
      </c>
      <c r="Z2523" s="65" t="b">
        <f>FALSE()</f>
        <v>0</v>
      </c>
      <c r="AA2523" s="65" t="b">
        <f>FALSE()</f>
        <v>0</v>
      </c>
      <c r="AB2523" s="65" t="b">
        <f>FALSE()</f>
        <v>0</v>
      </c>
      <c r="AC2523" s="65" t="b">
        <f>TRUE()</f>
        <v>1</v>
      </c>
      <c r="AD2523" s="65" t="b">
        <f>TRUE()</f>
        <v>1</v>
      </c>
      <c r="AE2523" s="65">
        <v>3</v>
      </c>
      <c r="AF2523" s="69">
        <v>42.9</v>
      </c>
      <c r="AG2523" s="65" t="s">
        <v>73</v>
      </c>
      <c r="AH2523" s="65" t="s">
        <v>9490</v>
      </c>
      <c r="AI2523">
        <f>IF(AND(OR(Company_Explorer!$B$5="All Companies",$E2523=Company_Explorer!$B$5),OR(Company_Explorer!$B$6="All Platforms",$B2523=Company_Explorer!$B$6),OR(Company_Explorer!$B$7="All Roles",$D2523=Company_Explorer!$B$7),OR(Company_Explorer!$B$8="All Ghost Labels",$AG2523=Company_Explorer!$B$8)),1,0)</f>
        <v>0</v>
      </c>
    </row>
    <row r="2524" spans="1:35" ht="15" customHeight="1" x14ac:dyDescent="0.3">
      <c r="A2524" s="60" t="s">
        <v>9491</v>
      </c>
      <c r="B2524" s="60" t="s">
        <v>82</v>
      </c>
      <c r="C2524" s="60" t="s">
        <v>9492</v>
      </c>
      <c r="D2524" s="60" t="s">
        <v>126</v>
      </c>
      <c r="E2524" s="60" t="s">
        <v>9493</v>
      </c>
      <c r="F2524" s="60" t="b">
        <f>TRUE()</f>
        <v>1</v>
      </c>
      <c r="G2524" s="60" t="s">
        <v>165</v>
      </c>
      <c r="H2524" s="60" t="s">
        <v>165</v>
      </c>
      <c r="I2524" s="61">
        <v>46209</v>
      </c>
      <c r="J2524" s="61">
        <v>46210.286102476901</v>
      </c>
      <c r="K2524" s="60">
        <v>1</v>
      </c>
      <c r="L2524" s="60" t="s">
        <v>192</v>
      </c>
      <c r="M2524" s="60" t="s">
        <v>183</v>
      </c>
      <c r="N2524" s="60" t="b">
        <f>FALSE()</f>
        <v>0</v>
      </c>
      <c r="O2524" s="60"/>
      <c r="P2524" s="60"/>
      <c r="Q2524" s="60" t="s">
        <v>3663</v>
      </c>
      <c r="R2524" s="60" t="s">
        <v>236</v>
      </c>
      <c r="S2524" s="60"/>
      <c r="T2524" s="60" t="b">
        <f>FALSE()</f>
        <v>0</v>
      </c>
      <c r="U2524" s="60" t="b">
        <f>FALSE()</f>
        <v>0</v>
      </c>
      <c r="V2524" s="60">
        <v>344</v>
      </c>
      <c r="W2524" s="60" t="s">
        <v>9494</v>
      </c>
      <c r="X2524" s="60">
        <v>1</v>
      </c>
      <c r="Y2524" s="63">
        <v>0.24</v>
      </c>
      <c r="Z2524" s="60" t="b">
        <f>FALSE()</f>
        <v>0</v>
      </c>
      <c r="AA2524" s="60" t="b">
        <f>TRUE()</f>
        <v>1</v>
      </c>
      <c r="AB2524" s="60" t="b">
        <f>FALSE()</f>
        <v>0</v>
      </c>
      <c r="AC2524" s="60" t="b">
        <f>FALSE()</f>
        <v>0</v>
      </c>
      <c r="AD2524" s="60" t="b">
        <f>FALSE()</f>
        <v>0</v>
      </c>
      <c r="AE2524" s="60">
        <v>1</v>
      </c>
      <c r="AF2524" s="64">
        <v>14.3</v>
      </c>
      <c r="AG2524" s="60" t="s">
        <v>74</v>
      </c>
      <c r="AH2524" s="60" t="s">
        <v>9495</v>
      </c>
      <c r="AI2524">
        <f>IF(AND(OR(Company_Explorer!$B$5="All Companies",$E2524=Company_Explorer!$B$5),OR(Company_Explorer!$B$6="All Platforms",$B2524=Company_Explorer!$B$6),OR(Company_Explorer!$B$7="All Roles",$D2524=Company_Explorer!$B$7),OR(Company_Explorer!$B$8="All Ghost Labels",$AG2524=Company_Explorer!$B$8)),1,0)</f>
        <v>0</v>
      </c>
    </row>
    <row r="2525" spans="1:35" ht="15" customHeight="1" x14ac:dyDescent="0.3">
      <c r="A2525" s="65" t="s">
        <v>9496</v>
      </c>
      <c r="B2525" s="65" t="s">
        <v>82</v>
      </c>
      <c r="C2525" s="65" t="s">
        <v>9497</v>
      </c>
      <c r="D2525" s="65" t="s">
        <v>128</v>
      </c>
      <c r="E2525" s="65" t="s">
        <v>157</v>
      </c>
      <c r="F2525" s="65" t="b">
        <f>TRUE()</f>
        <v>1</v>
      </c>
      <c r="G2525" s="65" t="s">
        <v>753</v>
      </c>
      <c r="H2525" s="65" t="s">
        <v>754</v>
      </c>
      <c r="I2525" s="66">
        <v>46185</v>
      </c>
      <c r="J2525" s="66">
        <v>46210.286107581</v>
      </c>
      <c r="K2525" s="65">
        <v>118</v>
      </c>
      <c r="L2525" s="65" t="s">
        <v>192</v>
      </c>
      <c r="M2525" s="65" t="s">
        <v>183</v>
      </c>
      <c r="N2525" s="65" t="b">
        <f>TRUE()</f>
        <v>1</v>
      </c>
      <c r="O2525" s="71">
        <v>780000</v>
      </c>
      <c r="P2525" s="71">
        <v>844000</v>
      </c>
      <c r="Q2525" s="65" t="s">
        <v>3663</v>
      </c>
      <c r="R2525" s="65" t="s">
        <v>7351</v>
      </c>
      <c r="S2525" s="71">
        <v>812000</v>
      </c>
      <c r="T2525" s="65" t="b">
        <f>TRUE()</f>
        <v>1</v>
      </c>
      <c r="U2525" s="65" t="b">
        <f>FALSE()</f>
        <v>0</v>
      </c>
      <c r="V2525" s="65">
        <v>213</v>
      </c>
      <c r="W2525" s="67" t="s">
        <v>9498</v>
      </c>
      <c r="X2525" s="65">
        <v>15</v>
      </c>
      <c r="Y2525" s="68">
        <v>3.62</v>
      </c>
      <c r="Z2525" s="65" t="b">
        <f>FALSE()</f>
        <v>0</v>
      </c>
      <c r="AA2525" s="65" t="b">
        <f>FALSE()</f>
        <v>0</v>
      </c>
      <c r="AB2525" s="65" t="b">
        <f>TRUE()</f>
        <v>1</v>
      </c>
      <c r="AC2525" s="65" t="b">
        <f>FALSE()</f>
        <v>0</v>
      </c>
      <c r="AD2525" s="65" t="b">
        <f>TRUE()</f>
        <v>1</v>
      </c>
      <c r="AE2525" s="65">
        <v>3</v>
      </c>
      <c r="AF2525" s="69">
        <v>42.9</v>
      </c>
      <c r="AG2525" s="65" t="s">
        <v>73</v>
      </c>
      <c r="AH2525" s="65" t="s">
        <v>9499</v>
      </c>
      <c r="AI2525">
        <f>IF(AND(OR(Company_Explorer!$B$5="All Companies",$E2525=Company_Explorer!$B$5),OR(Company_Explorer!$B$6="All Platforms",$B2525=Company_Explorer!$B$6),OR(Company_Explorer!$B$7="All Roles",$D2525=Company_Explorer!$B$7),OR(Company_Explorer!$B$8="All Ghost Labels",$AG2525=Company_Explorer!$B$8)),1,0)</f>
        <v>0</v>
      </c>
    </row>
    <row r="2526" spans="1:35" ht="15" customHeight="1" x14ac:dyDescent="0.3">
      <c r="A2526" s="60" t="s">
        <v>9500</v>
      </c>
      <c r="B2526" s="60" t="s">
        <v>82</v>
      </c>
      <c r="C2526" s="60" t="s">
        <v>9501</v>
      </c>
      <c r="D2526" s="60" t="s">
        <v>126</v>
      </c>
      <c r="E2526" s="60" t="s">
        <v>9502</v>
      </c>
      <c r="F2526" s="60" t="b">
        <f>TRUE()</f>
        <v>1</v>
      </c>
      <c r="G2526" s="60" t="s">
        <v>9503</v>
      </c>
      <c r="H2526" s="60" t="s">
        <v>430</v>
      </c>
      <c r="I2526" s="61">
        <v>46210</v>
      </c>
      <c r="J2526" s="61">
        <v>46210.286109363398</v>
      </c>
      <c r="K2526" s="60">
        <v>0</v>
      </c>
      <c r="L2526" s="60" t="s">
        <v>192</v>
      </c>
      <c r="M2526" s="60" t="s">
        <v>183</v>
      </c>
      <c r="N2526" s="60" t="b">
        <f>TRUE()</f>
        <v>1</v>
      </c>
      <c r="O2526" s="70">
        <v>400000</v>
      </c>
      <c r="P2526" s="70">
        <v>1000000</v>
      </c>
      <c r="Q2526" s="60" t="s">
        <v>3663</v>
      </c>
      <c r="R2526" s="60" t="s">
        <v>7351</v>
      </c>
      <c r="S2526" s="70">
        <v>700000</v>
      </c>
      <c r="T2526" s="60" t="b">
        <f>TRUE()</f>
        <v>1</v>
      </c>
      <c r="U2526" s="60" t="b">
        <f>FALSE()</f>
        <v>0</v>
      </c>
      <c r="V2526" s="60">
        <v>283</v>
      </c>
      <c r="W2526" s="60" t="s">
        <v>9504</v>
      </c>
      <c r="X2526" s="60">
        <v>1</v>
      </c>
      <c r="Y2526" s="63">
        <v>0.24</v>
      </c>
      <c r="Z2526" s="60" t="b">
        <f>FALSE()</f>
        <v>0</v>
      </c>
      <c r="AA2526" s="60" t="b">
        <f>FALSE()</f>
        <v>0</v>
      </c>
      <c r="AB2526" s="60" t="b">
        <f>FALSE()</f>
        <v>0</v>
      </c>
      <c r="AC2526" s="60" t="b">
        <f>FALSE()</f>
        <v>0</v>
      </c>
      <c r="AD2526" s="60" t="b">
        <f>FALSE()</f>
        <v>0</v>
      </c>
      <c r="AE2526" s="60">
        <v>0</v>
      </c>
      <c r="AF2526" s="64">
        <v>0</v>
      </c>
      <c r="AG2526" s="60" t="s">
        <v>74</v>
      </c>
      <c r="AH2526" s="60" t="s">
        <v>9505</v>
      </c>
      <c r="AI2526">
        <f>IF(AND(OR(Company_Explorer!$B$5="All Companies",$E2526=Company_Explorer!$B$5),OR(Company_Explorer!$B$6="All Platforms",$B2526=Company_Explorer!$B$6),OR(Company_Explorer!$B$7="All Roles",$D2526=Company_Explorer!$B$7),OR(Company_Explorer!$B$8="All Ghost Labels",$AG2526=Company_Explorer!$B$8)),1,0)</f>
        <v>0</v>
      </c>
    </row>
    <row r="2527" spans="1:35" ht="15" customHeight="1" x14ac:dyDescent="0.3">
      <c r="A2527" s="65" t="s">
        <v>9506</v>
      </c>
      <c r="B2527" s="65" t="s">
        <v>82</v>
      </c>
      <c r="C2527" s="65" t="s">
        <v>9507</v>
      </c>
      <c r="D2527" s="65" t="s">
        <v>125</v>
      </c>
      <c r="E2527" s="65" t="s">
        <v>3726</v>
      </c>
      <c r="F2527" s="65" t="b">
        <f>FALSE()</f>
        <v>0</v>
      </c>
      <c r="G2527" s="65" t="s">
        <v>165</v>
      </c>
      <c r="H2527" s="65" t="s">
        <v>165</v>
      </c>
      <c r="I2527" s="66">
        <v>46203</v>
      </c>
      <c r="J2527" s="66">
        <v>46210.286109513901</v>
      </c>
      <c r="K2527" s="65">
        <v>8</v>
      </c>
      <c r="L2527" s="65" t="s">
        <v>194</v>
      </c>
      <c r="M2527" s="65" t="s">
        <v>183</v>
      </c>
      <c r="N2527" s="65" t="b">
        <f>TRUE()</f>
        <v>1</v>
      </c>
      <c r="O2527" s="71">
        <v>500</v>
      </c>
      <c r="P2527" s="71">
        <v>500</v>
      </c>
      <c r="Q2527" s="65" t="s">
        <v>3663</v>
      </c>
      <c r="R2527" s="65" t="s">
        <v>8002</v>
      </c>
      <c r="S2527" s="71">
        <v>1056000</v>
      </c>
      <c r="T2527" s="65" t="b">
        <f>TRUE()</f>
        <v>1</v>
      </c>
      <c r="U2527" s="65" t="b">
        <f>FALSE()</f>
        <v>0</v>
      </c>
      <c r="V2527" s="65">
        <v>313</v>
      </c>
      <c r="W2527" s="67" t="s">
        <v>9508</v>
      </c>
      <c r="X2527" s="65"/>
      <c r="Y2527" s="68"/>
      <c r="Z2527" s="65" t="b">
        <f>TRUE()</f>
        <v>1</v>
      </c>
      <c r="AA2527" s="65" t="b">
        <f>FALSE()</f>
        <v>0</v>
      </c>
      <c r="AB2527" s="65" t="b">
        <f>FALSE()</f>
        <v>0</v>
      </c>
      <c r="AC2527" s="65" t="b">
        <f>FALSE()</f>
        <v>0</v>
      </c>
      <c r="AD2527" s="65" t="b">
        <f>FALSE()</f>
        <v>0</v>
      </c>
      <c r="AE2527" s="65">
        <v>2</v>
      </c>
      <c r="AF2527" s="69">
        <v>28.6</v>
      </c>
      <c r="AG2527" s="65" t="s">
        <v>73</v>
      </c>
      <c r="AH2527" s="65" t="s">
        <v>9509</v>
      </c>
      <c r="AI2527">
        <f>IF(AND(OR(Company_Explorer!$B$5="All Companies",$E2527=Company_Explorer!$B$5),OR(Company_Explorer!$B$6="All Platforms",$B2527=Company_Explorer!$B$6),OR(Company_Explorer!$B$7="All Roles",$D2527=Company_Explorer!$B$7),OR(Company_Explorer!$B$8="All Ghost Labels",$AG2527=Company_Explorer!$B$8)),1,0)</f>
        <v>0</v>
      </c>
    </row>
    <row r="2528" spans="1:35" ht="15" customHeight="1" x14ac:dyDescent="0.3">
      <c r="A2528" s="60" t="s">
        <v>9510</v>
      </c>
      <c r="B2528" s="60" t="s">
        <v>82</v>
      </c>
      <c r="C2528" s="60" t="s">
        <v>8164</v>
      </c>
      <c r="D2528" s="60" t="s">
        <v>129</v>
      </c>
      <c r="E2528" s="60" t="s">
        <v>9511</v>
      </c>
      <c r="F2528" s="60" t="b">
        <f>TRUE()</f>
        <v>1</v>
      </c>
      <c r="G2528" s="60" t="s">
        <v>175</v>
      </c>
      <c r="H2528" s="60" t="s">
        <v>254</v>
      </c>
      <c r="I2528" s="61">
        <v>46201</v>
      </c>
      <c r="J2528" s="61">
        <v>46210.2861101042</v>
      </c>
      <c r="K2528" s="60">
        <v>129</v>
      </c>
      <c r="L2528" s="60" t="s">
        <v>183</v>
      </c>
      <c r="M2528" s="60" t="s">
        <v>183</v>
      </c>
      <c r="N2528" s="60" t="b">
        <f>TRUE()</f>
        <v>1</v>
      </c>
      <c r="O2528" s="70">
        <v>240000</v>
      </c>
      <c r="P2528" s="70">
        <v>700000</v>
      </c>
      <c r="Q2528" s="60" t="s">
        <v>3663</v>
      </c>
      <c r="R2528" s="60" t="s">
        <v>7351</v>
      </c>
      <c r="S2528" s="70">
        <v>470000</v>
      </c>
      <c r="T2528" s="60" t="b">
        <f>TRUE()</f>
        <v>1</v>
      </c>
      <c r="U2528" s="60" t="b">
        <f>FALSE()</f>
        <v>0</v>
      </c>
      <c r="V2528" s="60">
        <v>72</v>
      </c>
      <c r="W2528" s="62" t="s">
        <v>9512</v>
      </c>
      <c r="X2528" s="60">
        <v>1</v>
      </c>
      <c r="Y2528" s="63">
        <v>0.24</v>
      </c>
      <c r="Z2528" s="60" t="b">
        <f>FALSE()</f>
        <v>0</v>
      </c>
      <c r="AA2528" s="60" t="b">
        <f>FALSE()</f>
        <v>0</v>
      </c>
      <c r="AB2528" s="60" t="b">
        <f>TRUE()</f>
        <v>1</v>
      </c>
      <c r="AC2528" s="60" t="b">
        <f>TRUE()</f>
        <v>1</v>
      </c>
      <c r="AD2528" s="60" t="b">
        <f>FALSE()</f>
        <v>0</v>
      </c>
      <c r="AE2528" s="60">
        <v>2</v>
      </c>
      <c r="AF2528" s="64">
        <v>28.6</v>
      </c>
      <c r="AG2528" s="60" t="s">
        <v>73</v>
      </c>
      <c r="AH2528" s="60" t="s">
        <v>9513</v>
      </c>
      <c r="AI2528">
        <f>IF(AND(OR(Company_Explorer!$B$5="All Companies",$E2528=Company_Explorer!$B$5),OR(Company_Explorer!$B$6="All Platforms",$B2528=Company_Explorer!$B$6),OR(Company_Explorer!$B$7="All Roles",$D2528=Company_Explorer!$B$7),OR(Company_Explorer!$B$8="All Ghost Labels",$AG2528=Company_Explorer!$B$8)),1,0)</f>
        <v>0</v>
      </c>
    </row>
    <row r="2529" spans="1:35" ht="15" customHeight="1" x14ac:dyDescent="0.3">
      <c r="A2529" s="65" t="s">
        <v>9514</v>
      </c>
      <c r="B2529" s="65" t="s">
        <v>82</v>
      </c>
      <c r="C2529" s="65" t="s">
        <v>9515</v>
      </c>
      <c r="D2529" s="65" t="s">
        <v>125</v>
      </c>
      <c r="E2529" s="65" t="s">
        <v>9516</v>
      </c>
      <c r="F2529" s="65" t="b">
        <f>TRUE()</f>
        <v>1</v>
      </c>
      <c r="G2529" s="65" t="s">
        <v>172</v>
      </c>
      <c r="H2529" s="65" t="s">
        <v>276</v>
      </c>
      <c r="I2529" s="66">
        <v>46201</v>
      </c>
      <c r="J2529" s="66">
        <v>46210.286110671303</v>
      </c>
      <c r="K2529" s="65">
        <v>130</v>
      </c>
      <c r="L2529" s="65" t="s">
        <v>183</v>
      </c>
      <c r="M2529" s="65" t="s">
        <v>183</v>
      </c>
      <c r="N2529" s="65" t="b">
        <f>TRUE()</f>
        <v>1</v>
      </c>
      <c r="O2529" s="71">
        <v>180000</v>
      </c>
      <c r="P2529" s="71">
        <v>180000</v>
      </c>
      <c r="Q2529" s="65" t="s">
        <v>3663</v>
      </c>
      <c r="R2529" s="65" t="s">
        <v>7351</v>
      </c>
      <c r="S2529" s="71">
        <v>180000</v>
      </c>
      <c r="T2529" s="65" t="b">
        <f>TRUE()</f>
        <v>1</v>
      </c>
      <c r="U2529" s="65" t="b">
        <f>FALSE()</f>
        <v>0</v>
      </c>
      <c r="V2529" s="65">
        <v>193</v>
      </c>
      <c r="W2529" s="67" t="s">
        <v>9517</v>
      </c>
      <c r="X2529" s="65">
        <v>1</v>
      </c>
      <c r="Y2529" s="68">
        <v>0.24</v>
      </c>
      <c r="Z2529" s="65" t="b">
        <f>FALSE()</f>
        <v>0</v>
      </c>
      <c r="AA2529" s="65" t="b">
        <f>FALSE()</f>
        <v>0</v>
      </c>
      <c r="AB2529" s="65" t="b">
        <f>TRUE()</f>
        <v>1</v>
      </c>
      <c r="AC2529" s="65" t="b">
        <f>TRUE()</f>
        <v>1</v>
      </c>
      <c r="AD2529" s="65" t="b">
        <f>FALSE()</f>
        <v>0</v>
      </c>
      <c r="AE2529" s="65">
        <v>2</v>
      </c>
      <c r="AF2529" s="69">
        <v>28.6</v>
      </c>
      <c r="AG2529" s="65" t="s">
        <v>73</v>
      </c>
      <c r="AH2529" s="65" t="s">
        <v>9518</v>
      </c>
      <c r="AI2529">
        <f>IF(AND(OR(Company_Explorer!$B$5="All Companies",$E2529=Company_Explorer!$B$5),OR(Company_Explorer!$B$6="All Platforms",$B2529=Company_Explorer!$B$6),OR(Company_Explorer!$B$7="All Roles",$D2529=Company_Explorer!$B$7),OR(Company_Explorer!$B$8="All Ghost Labels",$AG2529=Company_Explorer!$B$8)),1,0)</f>
        <v>0</v>
      </c>
    </row>
    <row r="2530" spans="1:35" ht="15" customHeight="1" x14ac:dyDescent="0.3">
      <c r="A2530" s="60" t="s">
        <v>9519</v>
      </c>
      <c r="B2530" s="60" t="s">
        <v>82</v>
      </c>
      <c r="C2530" s="60" t="s">
        <v>8474</v>
      </c>
      <c r="D2530" s="60" t="s">
        <v>128</v>
      </c>
      <c r="E2530" s="60" t="s">
        <v>7907</v>
      </c>
      <c r="F2530" s="60" t="b">
        <f>TRUE()</f>
        <v>1</v>
      </c>
      <c r="G2530" s="60" t="s">
        <v>166</v>
      </c>
      <c r="H2530" s="60" t="s">
        <v>235</v>
      </c>
      <c r="I2530" s="61">
        <v>46190</v>
      </c>
      <c r="J2530" s="61">
        <v>46210.286110868103</v>
      </c>
      <c r="K2530" s="60">
        <v>20</v>
      </c>
      <c r="L2530" s="60" t="s">
        <v>192</v>
      </c>
      <c r="M2530" s="60" t="s">
        <v>183</v>
      </c>
      <c r="N2530" s="60" t="b">
        <f>TRUE()</f>
        <v>1</v>
      </c>
      <c r="O2530" s="70">
        <v>600000</v>
      </c>
      <c r="P2530" s="70">
        <v>885000</v>
      </c>
      <c r="Q2530" s="60" t="s">
        <v>3663</v>
      </c>
      <c r="R2530" s="60" t="s">
        <v>7351</v>
      </c>
      <c r="S2530" s="70">
        <v>742500</v>
      </c>
      <c r="T2530" s="60" t="b">
        <f>TRUE()</f>
        <v>1</v>
      </c>
      <c r="U2530" s="60" t="b">
        <f>FALSE()</f>
        <v>0</v>
      </c>
      <c r="V2530" s="60">
        <v>561</v>
      </c>
      <c r="W2530" s="62" t="s">
        <v>7908</v>
      </c>
      <c r="X2530" s="60">
        <v>3</v>
      </c>
      <c r="Y2530" s="63">
        <v>0.72</v>
      </c>
      <c r="Z2530" s="60" t="b">
        <f>FALSE()</f>
        <v>0</v>
      </c>
      <c r="AA2530" s="60" t="b">
        <f>FALSE()</f>
        <v>0</v>
      </c>
      <c r="AB2530" s="60" t="b">
        <f>FALSE()</f>
        <v>0</v>
      </c>
      <c r="AC2530" s="60" t="b">
        <f>FALSE()</f>
        <v>0</v>
      </c>
      <c r="AD2530" s="60" t="b">
        <f>FALSE()</f>
        <v>0</v>
      </c>
      <c r="AE2530" s="60">
        <v>0</v>
      </c>
      <c r="AF2530" s="64">
        <v>0</v>
      </c>
      <c r="AG2530" s="60" t="s">
        <v>74</v>
      </c>
      <c r="AH2530" s="60" t="s">
        <v>9520</v>
      </c>
      <c r="AI2530">
        <f>IF(AND(OR(Company_Explorer!$B$5="All Companies",$E2530=Company_Explorer!$B$5),OR(Company_Explorer!$B$6="All Platforms",$B2530=Company_Explorer!$B$6),OR(Company_Explorer!$B$7="All Roles",$D2530=Company_Explorer!$B$7),OR(Company_Explorer!$B$8="All Ghost Labels",$AG2530=Company_Explorer!$B$8)),1,0)</f>
        <v>0</v>
      </c>
    </row>
    <row r="2531" spans="1:35" ht="15" customHeight="1" x14ac:dyDescent="0.3">
      <c r="A2531" s="65" t="s">
        <v>9521</v>
      </c>
      <c r="B2531" s="65" t="s">
        <v>82</v>
      </c>
      <c r="C2531" s="65" t="s">
        <v>9522</v>
      </c>
      <c r="D2531" s="65" t="s">
        <v>133</v>
      </c>
      <c r="E2531" s="65" t="s">
        <v>9523</v>
      </c>
      <c r="F2531" s="65" t="b">
        <f>TRUE()</f>
        <v>1</v>
      </c>
      <c r="G2531" s="65" t="s">
        <v>175</v>
      </c>
      <c r="H2531" s="65" t="s">
        <v>254</v>
      </c>
      <c r="I2531" s="66">
        <v>46206</v>
      </c>
      <c r="J2531" s="66">
        <v>46210.286111145797</v>
      </c>
      <c r="K2531" s="65">
        <v>34</v>
      </c>
      <c r="L2531" s="65" t="s">
        <v>192</v>
      </c>
      <c r="M2531" s="65" t="s">
        <v>183</v>
      </c>
      <c r="N2531" s="65" t="b">
        <f>FALSE()</f>
        <v>0</v>
      </c>
      <c r="O2531" s="65"/>
      <c r="P2531" s="65"/>
      <c r="Q2531" s="65" t="s">
        <v>3663</v>
      </c>
      <c r="R2531" s="65" t="s">
        <v>236</v>
      </c>
      <c r="S2531" s="65"/>
      <c r="T2531" s="65" t="b">
        <f>FALSE()</f>
        <v>0</v>
      </c>
      <c r="U2531" s="65" t="b">
        <f>FALSE()</f>
        <v>0</v>
      </c>
      <c r="V2531" s="65">
        <v>242</v>
      </c>
      <c r="W2531" s="67" t="s">
        <v>9524</v>
      </c>
      <c r="X2531" s="65">
        <v>1</v>
      </c>
      <c r="Y2531" s="68">
        <v>0.24</v>
      </c>
      <c r="Z2531" s="65" t="b">
        <f>FALSE()</f>
        <v>0</v>
      </c>
      <c r="AA2531" s="65" t="b">
        <f>TRUE()</f>
        <v>1</v>
      </c>
      <c r="AB2531" s="65" t="b">
        <f>FALSE()</f>
        <v>0</v>
      </c>
      <c r="AC2531" s="65" t="b">
        <f>FALSE()</f>
        <v>0</v>
      </c>
      <c r="AD2531" s="65" t="b">
        <f>FALSE()</f>
        <v>0</v>
      </c>
      <c r="AE2531" s="65">
        <v>1</v>
      </c>
      <c r="AF2531" s="69">
        <v>14.3</v>
      </c>
      <c r="AG2531" s="65" t="s">
        <v>74</v>
      </c>
      <c r="AH2531" s="65" t="s">
        <v>9525</v>
      </c>
      <c r="AI2531">
        <f>IF(AND(OR(Company_Explorer!$B$5="All Companies",$E2531=Company_Explorer!$B$5),OR(Company_Explorer!$B$6="All Platforms",$B2531=Company_Explorer!$B$6),OR(Company_Explorer!$B$7="All Roles",$D2531=Company_Explorer!$B$7),OR(Company_Explorer!$B$8="All Ghost Labels",$AG2531=Company_Explorer!$B$8)),1,0)</f>
        <v>0</v>
      </c>
    </row>
    <row r="2532" spans="1:35" ht="15" customHeight="1" x14ac:dyDescent="0.3">
      <c r="A2532" s="60" t="s">
        <v>9526</v>
      </c>
      <c r="B2532" s="60" t="s">
        <v>82</v>
      </c>
      <c r="C2532" s="60" t="s">
        <v>9527</v>
      </c>
      <c r="D2532" s="60" t="s">
        <v>129</v>
      </c>
      <c r="E2532" s="60" t="s">
        <v>8742</v>
      </c>
      <c r="F2532" s="60" t="b">
        <f>TRUE()</f>
        <v>1</v>
      </c>
      <c r="G2532" s="60" t="s">
        <v>165</v>
      </c>
      <c r="H2532" s="60" t="s">
        <v>165</v>
      </c>
      <c r="I2532" s="61">
        <v>46201</v>
      </c>
      <c r="J2532" s="61">
        <v>46210.286112696798</v>
      </c>
      <c r="K2532" s="60">
        <v>129</v>
      </c>
      <c r="L2532" s="60" t="s">
        <v>192</v>
      </c>
      <c r="M2532" s="60" t="s">
        <v>183</v>
      </c>
      <c r="N2532" s="60" t="b">
        <f>FALSE()</f>
        <v>0</v>
      </c>
      <c r="O2532" s="60"/>
      <c r="P2532" s="60"/>
      <c r="Q2532" s="60" t="s">
        <v>3663</v>
      </c>
      <c r="R2532" s="60" t="s">
        <v>236</v>
      </c>
      <c r="S2532" s="60"/>
      <c r="T2532" s="60" t="b">
        <f>FALSE()</f>
        <v>0</v>
      </c>
      <c r="U2532" s="60" t="b">
        <f>FALSE()</f>
        <v>0</v>
      </c>
      <c r="V2532" s="60">
        <v>316</v>
      </c>
      <c r="W2532" s="62" t="s">
        <v>9528</v>
      </c>
      <c r="X2532" s="60">
        <v>2</v>
      </c>
      <c r="Y2532" s="63">
        <v>0.48</v>
      </c>
      <c r="Z2532" s="60" t="b">
        <f>FALSE()</f>
        <v>0</v>
      </c>
      <c r="AA2532" s="60" t="b">
        <f>TRUE()</f>
        <v>1</v>
      </c>
      <c r="AB2532" s="60" t="b">
        <f>FALSE()</f>
        <v>0</v>
      </c>
      <c r="AC2532" s="60" t="b">
        <f>TRUE()</f>
        <v>1</v>
      </c>
      <c r="AD2532" s="60" t="b">
        <f>FALSE()</f>
        <v>0</v>
      </c>
      <c r="AE2532" s="60">
        <v>2</v>
      </c>
      <c r="AF2532" s="64">
        <v>28.6</v>
      </c>
      <c r="AG2532" s="60" t="s">
        <v>73</v>
      </c>
      <c r="AH2532" s="60" t="s">
        <v>9529</v>
      </c>
      <c r="AI2532">
        <f>IF(AND(OR(Company_Explorer!$B$5="All Companies",$E2532=Company_Explorer!$B$5),OR(Company_Explorer!$B$6="All Platforms",$B2532=Company_Explorer!$B$6),OR(Company_Explorer!$B$7="All Roles",$D2532=Company_Explorer!$B$7),OR(Company_Explorer!$B$8="All Ghost Labels",$AG2532=Company_Explorer!$B$8)),1,0)</f>
        <v>0</v>
      </c>
    </row>
    <row r="2533" spans="1:35" ht="15" customHeight="1" x14ac:dyDescent="0.3">
      <c r="A2533" s="65" t="s">
        <v>9530</v>
      </c>
      <c r="B2533" s="65" t="s">
        <v>82</v>
      </c>
      <c r="C2533" s="65" t="s">
        <v>9531</v>
      </c>
      <c r="D2533" s="65" t="s">
        <v>125</v>
      </c>
      <c r="E2533" s="65" t="s">
        <v>9532</v>
      </c>
      <c r="F2533" s="65" t="b">
        <f>TRUE()</f>
        <v>1</v>
      </c>
      <c r="G2533" s="65" t="s">
        <v>9533</v>
      </c>
      <c r="H2533" s="65" t="s">
        <v>754</v>
      </c>
      <c r="I2533" s="66">
        <v>46197</v>
      </c>
      <c r="J2533" s="66">
        <v>46210.286114050898</v>
      </c>
      <c r="K2533" s="65">
        <v>133</v>
      </c>
      <c r="L2533" s="65" t="s">
        <v>192</v>
      </c>
      <c r="M2533" s="65" t="s">
        <v>183</v>
      </c>
      <c r="N2533" s="65" t="b">
        <f>TRUE()</f>
        <v>1</v>
      </c>
      <c r="O2533" s="71">
        <v>300000</v>
      </c>
      <c r="P2533" s="71">
        <v>637500</v>
      </c>
      <c r="Q2533" s="65" t="s">
        <v>3663</v>
      </c>
      <c r="R2533" s="65" t="s">
        <v>7351</v>
      </c>
      <c r="S2533" s="71">
        <v>468750</v>
      </c>
      <c r="T2533" s="65" t="b">
        <f>TRUE()</f>
        <v>1</v>
      </c>
      <c r="U2533" s="65" t="b">
        <f>FALSE()</f>
        <v>0</v>
      </c>
      <c r="V2533" s="65">
        <v>374</v>
      </c>
      <c r="W2533" s="67" t="s">
        <v>9534</v>
      </c>
      <c r="X2533" s="65">
        <v>1</v>
      </c>
      <c r="Y2533" s="68">
        <v>0.24</v>
      </c>
      <c r="Z2533" s="65" t="b">
        <f>FALSE()</f>
        <v>0</v>
      </c>
      <c r="AA2533" s="65" t="b">
        <f>FALSE()</f>
        <v>0</v>
      </c>
      <c r="AB2533" s="65" t="b">
        <f>FALSE()</f>
        <v>0</v>
      </c>
      <c r="AC2533" s="65" t="b">
        <f>TRUE()</f>
        <v>1</v>
      </c>
      <c r="AD2533" s="65" t="b">
        <f>FALSE()</f>
        <v>0</v>
      </c>
      <c r="AE2533" s="65">
        <v>1</v>
      </c>
      <c r="AF2533" s="69">
        <v>14.3</v>
      </c>
      <c r="AG2533" s="65" t="s">
        <v>74</v>
      </c>
      <c r="AH2533" s="65" t="s">
        <v>9535</v>
      </c>
      <c r="AI2533">
        <f>IF(AND(OR(Company_Explorer!$B$5="All Companies",$E2533=Company_Explorer!$B$5),OR(Company_Explorer!$B$6="All Platforms",$B2533=Company_Explorer!$B$6),OR(Company_Explorer!$B$7="All Roles",$D2533=Company_Explorer!$B$7),OR(Company_Explorer!$B$8="All Ghost Labels",$AG2533=Company_Explorer!$B$8)),1,0)</f>
        <v>0</v>
      </c>
    </row>
    <row r="2534" spans="1:35" ht="15" customHeight="1" x14ac:dyDescent="0.3">
      <c r="A2534" s="60" t="s">
        <v>9536</v>
      </c>
      <c r="B2534" s="60" t="s">
        <v>82</v>
      </c>
      <c r="C2534" s="60" t="s">
        <v>306</v>
      </c>
      <c r="D2534" s="60" t="s">
        <v>125</v>
      </c>
      <c r="E2534" s="60" t="s">
        <v>9537</v>
      </c>
      <c r="F2534" s="60" t="b">
        <f>TRUE()</f>
        <v>1</v>
      </c>
      <c r="G2534" s="60" t="s">
        <v>165</v>
      </c>
      <c r="H2534" s="60" t="s">
        <v>165</v>
      </c>
      <c r="I2534" s="61">
        <v>46210</v>
      </c>
      <c r="J2534" s="61">
        <v>46210.286118599499</v>
      </c>
      <c r="K2534" s="60">
        <v>61</v>
      </c>
      <c r="L2534" s="60" t="s">
        <v>192</v>
      </c>
      <c r="M2534" s="60" t="s">
        <v>183</v>
      </c>
      <c r="N2534" s="60" t="b">
        <f>FALSE()</f>
        <v>0</v>
      </c>
      <c r="O2534" s="60"/>
      <c r="P2534" s="60"/>
      <c r="Q2534" s="60" t="s">
        <v>3663</v>
      </c>
      <c r="R2534" s="60" t="s">
        <v>236</v>
      </c>
      <c r="S2534" s="60"/>
      <c r="T2534" s="60" t="b">
        <f>FALSE()</f>
        <v>0</v>
      </c>
      <c r="U2534" s="60" t="b">
        <f>FALSE()</f>
        <v>0</v>
      </c>
      <c r="V2534" s="60">
        <v>418</v>
      </c>
      <c r="W2534" s="62" t="s">
        <v>9538</v>
      </c>
      <c r="X2534" s="60">
        <v>1</v>
      </c>
      <c r="Y2534" s="63">
        <v>0.24</v>
      </c>
      <c r="Z2534" s="60" t="b">
        <f>FALSE()</f>
        <v>0</v>
      </c>
      <c r="AA2534" s="60" t="b">
        <f>TRUE()</f>
        <v>1</v>
      </c>
      <c r="AB2534" s="60" t="b">
        <f>FALSE()</f>
        <v>0</v>
      </c>
      <c r="AC2534" s="60" t="b">
        <f>FALSE()</f>
        <v>0</v>
      </c>
      <c r="AD2534" s="60" t="b">
        <f>FALSE()</f>
        <v>0</v>
      </c>
      <c r="AE2534" s="60">
        <v>1</v>
      </c>
      <c r="AF2534" s="64">
        <v>14.3</v>
      </c>
      <c r="AG2534" s="60" t="s">
        <v>74</v>
      </c>
      <c r="AH2534" s="60" t="s">
        <v>9539</v>
      </c>
      <c r="AI2534">
        <f>IF(AND(OR(Company_Explorer!$B$5="All Companies",$E2534=Company_Explorer!$B$5),OR(Company_Explorer!$B$6="All Platforms",$B2534=Company_Explorer!$B$6),OR(Company_Explorer!$B$7="All Roles",$D2534=Company_Explorer!$B$7),OR(Company_Explorer!$B$8="All Ghost Labels",$AG2534=Company_Explorer!$B$8)),1,0)</f>
        <v>0</v>
      </c>
    </row>
    <row r="2535" spans="1:35" ht="15" customHeight="1" x14ac:dyDescent="0.3">
      <c r="A2535" s="65" t="s">
        <v>9540</v>
      </c>
      <c r="B2535" s="65" t="s">
        <v>82</v>
      </c>
      <c r="C2535" s="65" t="s">
        <v>9541</v>
      </c>
      <c r="D2535" s="65" t="s">
        <v>125</v>
      </c>
      <c r="E2535" s="65" t="s">
        <v>9542</v>
      </c>
      <c r="F2535" s="65" t="b">
        <f>TRUE()</f>
        <v>1</v>
      </c>
      <c r="G2535" s="65" t="s">
        <v>166</v>
      </c>
      <c r="H2535" s="65" t="s">
        <v>235</v>
      </c>
      <c r="I2535" s="66">
        <v>46205</v>
      </c>
      <c r="J2535" s="66">
        <v>46210.286119548597</v>
      </c>
      <c r="K2535" s="65">
        <v>5</v>
      </c>
      <c r="L2535" s="65" t="s">
        <v>192</v>
      </c>
      <c r="M2535" s="65" t="s">
        <v>183</v>
      </c>
      <c r="N2535" s="65" t="b">
        <f>TRUE()</f>
        <v>1</v>
      </c>
      <c r="O2535" s="71">
        <v>420000</v>
      </c>
      <c r="P2535" s="71">
        <v>840000</v>
      </c>
      <c r="Q2535" s="65" t="s">
        <v>3663</v>
      </c>
      <c r="R2535" s="65" t="s">
        <v>7351</v>
      </c>
      <c r="S2535" s="71">
        <v>630000</v>
      </c>
      <c r="T2535" s="65" t="b">
        <f>TRUE()</f>
        <v>1</v>
      </c>
      <c r="U2535" s="65" t="b">
        <f>FALSE()</f>
        <v>0</v>
      </c>
      <c r="V2535" s="65">
        <v>644</v>
      </c>
      <c r="W2535" s="65" t="s">
        <v>9543</v>
      </c>
      <c r="X2535" s="65">
        <v>1</v>
      </c>
      <c r="Y2535" s="68">
        <v>0.24</v>
      </c>
      <c r="Z2535" s="65" t="b">
        <f>FALSE()</f>
        <v>0</v>
      </c>
      <c r="AA2535" s="65" t="b">
        <f>FALSE()</f>
        <v>0</v>
      </c>
      <c r="AB2535" s="65" t="b">
        <f>FALSE()</f>
        <v>0</v>
      </c>
      <c r="AC2535" s="65" t="b">
        <f>FALSE()</f>
        <v>0</v>
      </c>
      <c r="AD2535" s="65" t="b">
        <f>FALSE()</f>
        <v>0</v>
      </c>
      <c r="AE2535" s="65">
        <v>0</v>
      </c>
      <c r="AF2535" s="69">
        <v>0</v>
      </c>
      <c r="AG2535" s="65" t="s">
        <v>74</v>
      </c>
      <c r="AH2535" s="65" t="s">
        <v>9544</v>
      </c>
      <c r="AI2535">
        <f>IF(AND(OR(Company_Explorer!$B$5="All Companies",$E2535=Company_Explorer!$B$5),OR(Company_Explorer!$B$6="All Platforms",$B2535=Company_Explorer!$B$6),OR(Company_Explorer!$B$7="All Roles",$D2535=Company_Explorer!$B$7),OR(Company_Explorer!$B$8="All Ghost Labels",$AG2535=Company_Explorer!$B$8)),1,0)</f>
        <v>0</v>
      </c>
    </row>
    <row r="2536" spans="1:35" ht="15" customHeight="1" x14ac:dyDescent="0.3">
      <c r="A2536" s="60" t="s">
        <v>9545</v>
      </c>
      <c r="B2536" s="60" t="s">
        <v>82</v>
      </c>
      <c r="C2536" s="60" t="s">
        <v>306</v>
      </c>
      <c r="D2536" s="60" t="s">
        <v>125</v>
      </c>
      <c r="E2536" s="60" t="s">
        <v>3726</v>
      </c>
      <c r="F2536" s="60" t="b">
        <f>FALSE()</f>
        <v>0</v>
      </c>
      <c r="G2536" s="60" t="s">
        <v>165</v>
      </c>
      <c r="H2536" s="60" t="s">
        <v>165</v>
      </c>
      <c r="I2536" s="61">
        <v>46207</v>
      </c>
      <c r="J2536" s="61">
        <v>46210.286122777798</v>
      </c>
      <c r="K2536" s="60">
        <v>33</v>
      </c>
      <c r="L2536" s="60" t="s">
        <v>192</v>
      </c>
      <c r="M2536" s="60" t="s">
        <v>183</v>
      </c>
      <c r="N2536" s="60" t="b">
        <f>TRUE()</f>
        <v>1</v>
      </c>
      <c r="O2536" s="70">
        <v>50000</v>
      </c>
      <c r="P2536" s="70">
        <v>60000</v>
      </c>
      <c r="Q2536" s="60" t="s">
        <v>3663</v>
      </c>
      <c r="R2536" s="60" t="s">
        <v>7445</v>
      </c>
      <c r="S2536" s="70">
        <v>660000</v>
      </c>
      <c r="T2536" s="60" t="b">
        <f>TRUE()</f>
        <v>1</v>
      </c>
      <c r="U2536" s="60" t="b">
        <f>FALSE()</f>
        <v>0</v>
      </c>
      <c r="V2536" s="60">
        <v>433</v>
      </c>
      <c r="W2536" s="62" t="s">
        <v>9546</v>
      </c>
      <c r="X2536" s="60"/>
      <c r="Y2536" s="63"/>
      <c r="Z2536" s="60" t="b">
        <f>TRUE()</f>
        <v>1</v>
      </c>
      <c r="AA2536" s="60" t="b">
        <f>FALSE()</f>
        <v>0</v>
      </c>
      <c r="AB2536" s="60" t="b">
        <f>FALSE()</f>
        <v>0</v>
      </c>
      <c r="AC2536" s="60" t="b">
        <f>FALSE()</f>
        <v>0</v>
      </c>
      <c r="AD2536" s="60" t="b">
        <f>FALSE()</f>
        <v>0</v>
      </c>
      <c r="AE2536" s="60">
        <v>2</v>
      </c>
      <c r="AF2536" s="64">
        <v>28.6</v>
      </c>
      <c r="AG2536" s="60" t="s">
        <v>73</v>
      </c>
      <c r="AH2536" s="60" t="s">
        <v>9547</v>
      </c>
      <c r="AI2536">
        <f>IF(AND(OR(Company_Explorer!$B$5="All Companies",$E2536=Company_Explorer!$B$5),OR(Company_Explorer!$B$6="All Platforms",$B2536=Company_Explorer!$B$6),OR(Company_Explorer!$B$7="All Roles",$D2536=Company_Explorer!$B$7),OR(Company_Explorer!$B$8="All Ghost Labels",$AG2536=Company_Explorer!$B$8)),1,0)</f>
        <v>0</v>
      </c>
    </row>
    <row r="2537" spans="1:35" ht="15" customHeight="1" x14ac:dyDescent="0.3">
      <c r="A2537" s="65" t="s">
        <v>9548</v>
      </c>
      <c r="B2537" s="65" t="s">
        <v>82</v>
      </c>
      <c r="C2537" s="65" t="s">
        <v>129</v>
      </c>
      <c r="D2537" s="65" t="s">
        <v>129</v>
      </c>
      <c r="E2537" s="65" t="s">
        <v>9167</v>
      </c>
      <c r="F2537" s="65" t="b">
        <f>TRUE()</f>
        <v>1</v>
      </c>
      <c r="G2537" s="65" t="s">
        <v>176</v>
      </c>
      <c r="H2537" s="65" t="s">
        <v>302</v>
      </c>
      <c r="I2537" s="66">
        <v>46193</v>
      </c>
      <c r="J2537" s="66">
        <v>46210.286125324099</v>
      </c>
      <c r="K2537" s="65">
        <v>137</v>
      </c>
      <c r="L2537" s="65" t="s">
        <v>183</v>
      </c>
      <c r="M2537" s="65" t="s">
        <v>183</v>
      </c>
      <c r="N2537" s="65" t="b">
        <f>FALSE()</f>
        <v>0</v>
      </c>
      <c r="O2537" s="65"/>
      <c r="P2537" s="65"/>
      <c r="Q2537" s="65" t="s">
        <v>3663</v>
      </c>
      <c r="R2537" s="65" t="s">
        <v>236</v>
      </c>
      <c r="S2537" s="65"/>
      <c r="T2537" s="65" t="b">
        <f>FALSE()</f>
        <v>0</v>
      </c>
      <c r="U2537" s="65" t="b">
        <f>FALSE()</f>
        <v>0</v>
      </c>
      <c r="V2537" s="65">
        <v>286</v>
      </c>
      <c r="W2537" s="67" t="s">
        <v>9168</v>
      </c>
      <c r="X2537" s="65">
        <v>2</v>
      </c>
      <c r="Y2537" s="68">
        <v>0.48</v>
      </c>
      <c r="Z2537" s="65" t="b">
        <f>FALSE()</f>
        <v>0</v>
      </c>
      <c r="AA2537" s="65" t="b">
        <f>TRUE()</f>
        <v>1</v>
      </c>
      <c r="AB2537" s="65" t="b">
        <f>FALSE()</f>
        <v>0</v>
      </c>
      <c r="AC2537" s="65" t="b">
        <f>TRUE()</f>
        <v>1</v>
      </c>
      <c r="AD2537" s="65" t="b">
        <f>FALSE()</f>
        <v>0</v>
      </c>
      <c r="AE2537" s="65">
        <v>2</v>
      </c>
      <c r="AF2537" s="69">
        <v>28.6</v>
      </c>
      <c r="AG2537" s="65" t="s">
        <v>73</v>
      </c>
      <c r="AH2537" s="65" t="s">
        <v>9549</v>
      </c>
      <c r="AI2537">
        <f>IF(AND(OR(Company_Explorer!$B$5="All Companies",$E2537=Company_Explorer!$B$5),OR(Company_Explorer!$B$6="All Platforms",$B2537=Company_Explorer!$B$6),OR(Company_Explorer!$B$7="All Roles",$D2537=Company_Explorer!$B$7),OR(Company_Explorer!$B$8="All Ghost Labels",$AG2537=Company_Explorer!$B$8)),1,0)</f>
        <v>0</v>
      </c>
    </row>
    <row r="2538" spans="1:35" ht="15" customHeight="1" x14ac:dyDescent="0.3">
      <c r="A2538" s="60" t="s">
        <v>9550</v>
      </c>
      <c r="B2538" s="60" t="s">
        <v>82</v>
      </c>
      <c r="C2538" s="60" t="s">
        <v>9551</v>
      </c>
      <c r="D2538" s="60" t="s">
        <v>125</v>
      </c>
      <c r="E2538" s="60" t="s">
        <v>9552</v>
      </c>
      <c r="F2538" s="60" t="b">
        <f>TRUE()</f>
        <v>1</v>
      </c>
      <c r="G2538" s="60" t="s">
        <v>175</v>
      </c>
      <c r="H2538" s="60" t="s">
        <v>254</v>
      </c>
      <c r="I2538" s="61">
        <v>46201</v>
      </c>
      <c r="J2538" s="61">
        <v>46210.286125925901</v>
      </c>
      <c r="K2538" s="60">
        <v>130</v>
      </c>
      <c r="L2538" s="60" t="s">
        <v>183</v>
      </c>
      <c r="M2538" s="60" t="s">
        <v>183</v>
      </c>
      <c r="N2538" s="60" t="b">
        <f>FALSE()</f>
        <v>0</v>
      </c>
      <c r="O2538" s="60"/>
      <c r="P2538" s="60"/>
      <c r="Q2538" s="60" t="s">
        <v>3663</v>
      </c>
      <c r="R2538" s="60" t="s">
        <v>236</v>
      </c>
      <c r="S2538" s="60"/>
      <c r="T2538" s="60" t="b">
        <f>FALSE()</f>
        <v>0</v>
      </c>
      <c r="U2538" s="60" t="b">
        <f>FALSE()</f>
        <v>0</v>
      </c>
      <c r="V2538" s="60">
        <v>33</v>
      </c>
      <c r="W2538" s="62" t="s">
        <v>9553</v>
      </c>
      <c r="X2538" s="60">
        <v>1</v>
      </c>
      <c r="Y2538" s="63">
        <v>0.24</v>
      </c>
      <c r="Z2538" s="60" t="b">
        <f>FALSE()</f>
        <v>0</v>
      </c>
      <c r="AA2538" s="60" t="b">
        <f>TRUE()</f>
        <v>1</v>
      </c>
      <c r="AB2538" s="60" t="b">
        <f>TRUE()</f>
        <v>1</v>
      </c>
      <c r="AC2538" s="60" t="b">
        <f>TRUE()</f>
        <v>1</v>
      </c>
      <c r="AD2538" s="60" t="b">
        <f>FALSE()</f>
        <v>0</v>
      </c>
      <c r="AE2538" s="60">
        <v>3</v>
      </c>
      <c r="AF2538" s="64">
        <v>42.9</v>
      </c>
      <c r="AG2538" s="60" t="s">
        <v>73</v>
      </c>
      <c r="AH2538" s="60" t="s">
        <v>9554</v>
      </c>
      <c r="AI2538">
        <f>IF(AND(OR(Company_Explorer!$B$5="All Companies",$E2538=Company_Explorer!$B$5),OR(Company_Explorer!$B$6="All Platforms",$B2538=Company_Explorer!$B$6),OR(Company_Explorer!$B$7="All Roles",$D2538=Company_Explorer!$B$7),OR(Company_Explorer!$B$8="All Ghost Labels",$AG2538=Company_Explorer!$B$8)),1,0)</f>
        <v>0</v>
      </c>
    </row>
    <row r="2539" spans="1:35" ht="15" customHeight="1" x14ac:dyDescent="0.3">
      <c r="A2539" s="65" t="s">
        <v>9555</v>
      </c>
      <c r="B2539" s="65" t="s">
        <v>82</v>
      </c>
      <c r="C2539" s="65" t="s">
        <v>8074</v>
      </c>
      <c r="D2539" s="65" t="s">
        <v>125</v>
      </c>
      <c r="E2539" s="65" t="s">
        <v>9556</v>
      </c>
      <c r="F2539" s="65" t="b">
        <f>TRUE()</f>
        <v>1</v>
      </c>
      <c r="G2539" s="65" t="s">
        <v>9557</v>
      </c>
      <c r="H2539" s="65" t="s">
        <v>235</v>
      </c>
      <c r="I2539" s="66">
        <v>46195</v>
      </c>
      <c r="J2539" s="66">
        <v>46210.286126400497</v>
      </c>
      <c r="K2539" s="65">
        <v>531</v>
      </c>
      <c r="L2539" s="65" t="s">
        <v>192</v>
      </c>
      <c r="M2539" s="65" t="s">
        <v>183</v>
      </c>
      <c r="N2539" s="65" t="b">
        <f>TRUE()</f>
        <v>1</v>
      </c>
      <c r="O2539" s="71">
        <v>650000</v>
      </c>
      <c r="P2539" s="71">
        <v>1400000</v>
      </c>
      <c r="Q2539" s="65" t="s">
        <v>3663</v>
      </c>
      <c r="R2539" s="65" t="s">
        <v>7351</v>
      </c>
      <c r="S2539" s="71">
        <v>1025000</v>
      </c>
      <c r="T2539" s="65" t="b">
        <f>TRUE()</f>
        <v>1</v>
      </c>
      <c r="U2539" s="65" t="b">
        <f>FALSE()</f>
        <v>0</v>
      </c>
      <c r="V2539" s="65">
        <v>265</v>
      </c>
      <c r="W2539" s="67" t="s">
        <v>9558</v>
      </c>
      <c r="X2539" s="65">
        <v>1</v>
      </c>
      <c r="Y2539" s="68">
        <v>0.24</v>
      </c>
      <c r="Z2539" s="65" t="b">
        <f>FALSE()</f>
        <v>0</v>
      </c>
      <c r="AA2539" s="65" t="b">
        <f>FALSE()</f>
        <v>0</v>
      </c>
      <c r="AB2539" s="65" t="b">
        <f>FALSE()</f>
        <v>0</v>
      </c>
      <c r="AC2539" s="65" t="b">
        <f>TRUE()</f>
        <v>1</v>
      </c>
      <c r="AD2539" s="65" t="b">
        <f>FALSE()</f>
        <v>0</v>
      </c>
      <c r="AE2539" s="65">
        <v>1</v>
      </c>
      <c r="AF2539" s="69">
        <v>14.3</v>
      </c>
      <c r="AG2539" s="65" t="s">
        <v>74</v>
      </c>
      <c r="AH2539" s="65" t="s">
        <v>9559</v>
      </c>
      <c r="AI2539">
        <f>IF(AND(OR(Company_Explorer!$B$5="All Companies",$E2539=Company_Explorer!$B$5),OR(Company_Explorer!$B$6="All Platforms",$B2539=Company_Explorer!$B$6),OR(Company_Explorer!$B$7="All Roles",$D2539=Company_Explorer!$B$7),OR(Company_Explorer!$B$8="All Ghost Labels",$AG2539=Company_Explorer!$B$8)),1,0)</f>
        <v>0</v>
      </c>
    </row>
    <row r="2540" spans="1:35" ht="15" customHeight="1" x14ac:dyDescent="0.3">
      <c r="A2540" s="60" t="s">
        <v>9560</v>
      </c>
      <c r="B2540" s="60" t="s">
        <v>82</v>
      </c>
      <c r="C2540" s="60" t="s">
        <v>306</v>
      </c>
      <c r="D2540" s="60" t="s">
        <v>125</v>
      </c>
      <c r="E2540" s="60" t="s">
        <v>9561</v>
      </c>
      <c r="F2540" s="60" t="b">
        <f>TRUE()</f>
        <v>1</v>
      </c>
      <c r="G2540" s="60" t="s">
        <v>165</v>
      </c>
      <c r="H2540" s="60" t="s">
        <v>165</v>
      </c>
      <c r="I2540" s="61">
        <v>46193</v>
      </c>
      <c r="J2540" s="61">
        <v>46210.286126921303</v>
      </c>
      <c r="K2540" s="60">
        <v>137</v>
      </c>
      <c r="L2540" s="60" t="s">
        <v>183</v>
      </c>
      <c r="M2540" s="60" t="s">
        <v>183</v>
      </c>
      <c r="N2540" s="60" t="b">
        <f>FALSE()</f>
        <v>0</v>
      </c>
      <c r="O2540" s="60"/>
      <c r="P2540" s="60"/>
      <c r="Q2540" s="60" t="s">
        <v>3663</v>
      </c>
      <c r="R2540" s="60" t="s">
        <v>236</v>
      </c>
      <c r="S2540" s="60"/>
      <c r="T2540" s="60" t="b">
        <f>FALSE()</f>
        <v>0</v>
      </c>
      <c r="U2540" s="60" t="b">
        <f>FALSE()</f>
        <v>0</v>
      </c>
      <c r="V2540" s="60">
        <v>100</v>
      </c>
      <c r="W2540" s="62" t="s">
        <v>9562</v>
      </c>
      <c r="X2540" s="60">
        <v>1</v>
      </c>
      <c r="Y2540" s="63">
        <v>0.24</v>
      </c>
      <c r="Z2540" s="60" t="b">
        <f>FALSE()</f>
        <v>0</v>
      </c>
      <c r="AA2540" s="60" t="b">
        <f>TRUE()</f>
        <v>1</v>
      </c>
      <c r="AB2540" s="60" t="b">
        <f>TRUE()</f>
        <v>1</v>
      </c>
      <c r="AC2540" s="60" t="b">
        <f>TRUE()</f>
        <v>1</v>
      </c>
      <c r="AD2540" s="60" t="b">
        <f>FALSE()</f>
        <v>0</v>
      </c>
      <c r="AE2540" s="60">
        <v>3</v>
      </c>
      <c r="AF2540" s="64">
        <v>42.9</v>
      </c>
      <c r="AG2540" s="60" t="s">
        <v>73</v>
      </c>
      <c r="AH2540" s="60" t="s">
        <v>9563</v>
      </c>
      <c r="AI2540">
        <f>IF(AND(OR(Company_Explorer!$B$5="All Companies",$E2540=Company_Explorer!$B$5),OR(Company_Explorer!$B$6="All Platforms",$B2540=Company_Explorer!$B$6),OR(Company_Explorer!$B$7="All Roles",$D2540=Company_Explorer!$B$7),OR(Company_Explorer!$B$8="All Ghost Labels",$AG2540=Company_Explorer!$B$8)),1,0)</f>
        <v>0</v>
      </c>
    </row>
    <row r="2541" spans="1:35" ht="15" customHeight="1" x14ac:dyDescent="0.3">
      <c r="A2541" s="65" t="s">
        <v>9564</v>
      </c>
      <c r="B2541" s="65" t="s">
        <v>82</v>
      </c>
      <c r="C2541" s="65" t="s">
        <v>8164</v>
      </c>
      <c r="D2541" s="65" t="s">
        <v>129</v>
      </c>
      <c r="E2541" s="65" t="s">
        <v>9565</v>
      </c>
      <c r="F2541" s="65" t="b">
        <f>TRUE()</f>
        <v>1</v>
      </c>
      <c r="G2541" s="65" t="s">
        <v>165</v>
      </c>
      <c r="H2541" s="65" t="s">
        <v>165</v>
      </c>
      <c r="I2541" s="66">
        <v>46206</v>
      </c>
      <c r="J2541" s="66">
        <v>46210.286131180597</v>
      </c>
      <c r="K2541" s="65">
        <v>34</v>
      </c>
      <c r="L2541" s="65" t="s">
        <v>183</v>
      </c>
      <c r="M2541" s="65" t="s">
        <v>183</v>
      </c>
      <c r="N2541" s="65" t="b">
        <f>FALSE()</f>
        <v>0</v>
      </c>
      <c r="O2541" s="65"/>
      <c r="P2541" s="65"/>
      <c r="Q2541" s="65" t="s">
        <v>3663</v>
      </c>
      <c r="R2541" s="65" t="s">
        <v>236</v>
      </c>
      <c r="S2541" s="65"/>
      <c r="T2541" s="65" t="b">
        <f>FALSE()</f>
        <v>0</v>
      </c>
      <c r="U2541" s="65" t="b">
        <f>FALSE()</f>
        <v>0</v>
      </c>
      <c r="V2541" s="65">
        <v>256</v>
      </c>
      <c r="W2541" s="67" t="s">
        <v>9566</v>
      </c>
      <c r="X2541" s="65">
        <v>1</v>
      </c>
      <c r="Y2541" s="68">
        <v>0.24</v>
      </c>
      <c r="Z2541" s="65" t="b">
        <f>FALSE()</f>
        <v>0</v>
      </c>
      <c r="AA2541" s="65" t="b">
        <f>TRUE()</f>
        <v>1</v>
      </c>
      <c r="AB2541" s="65" t="b">
        <f>FALSE()</f>
        <v>0</v>
      </c>
      <c r="AC2541" s="65" t="b">
        <f>FALSE()</f>
        <v>0</v>
      </c>
      <c r="AD2541" s="65" t="b">
        <f>FALSE()</f>
        <v>0</v>
      </c>
      <c r="AE2541" s="65">
        <v>1</v>
      </c>
      <c r="AF2541" s="69">
        <v>14.3</v>
      </c>
      <c r="AG2541" s="65" t="s">
        <v>74</v>
      </c>
      <c r="AH2541" s="65" t="s">
        <v>9567</v>
      </c>
      <c r="AI2541">
        <f>IF(AND(OR(Company_Explorer!$B$5="All Companies",$E2541=Company_Explorer!$B$5),OR(Company_Explorer!$B$6="All Platforms",$B2541=Company_Explorer!$B$6),OR(Company_Explorer!$B$7="All Roles",$D2541=Company_Explorer!$B$7),OR(Company_Explorer!$B$8="All Ghost Labels",$AG2541=Company_Explorer!$B$8)),1,0)</f>
        <v>0</v>
      </c>
    </row>
    <row r="2542" spans="1:35" ht="15" customHeight="1" x14ac:dyDescent="0.3">
      <c r="A2542" s="60" t="s">
        <v>9568</v>
      </c>
      <c r="B2542" s="60" t="s">
        <v>82</v>
      </c>
      <c r="C2542" s="60" t="s">
        <v>306</v>
      </c>
      <c r="D2542" s="60" t="s">
        <v>125</v>
      </c>
      <c r="E2542" s="60" t="s">
        <v>8426</v>
      </c>
      <c r="F2542" s="60" t="b">
        <f>TRUE()</f>
        <v>1</v>
      </c>
      <c r="G2542" s="60" t="s">
        <v>165</v>
      </c>
      <c r="H2542" s="60" t="s">
        <v>165</v>
      </c>
      <c r="I2542" s="61">
        <v>46200</v>
      </c>
      <c r="J2542" s="61">
        <v>46210.286132627298</v>
      </c>
      <c r="K2542" s="60">
        <v>130</v>
      </c>
      <c r="L2542" s="60" t="s">
        <v>192</v>
      </c>
      <c r="M2542" s="60" t="s">
        <v>183</v>
      </c>
      <c r="N2542" s="60" t="b">
        <f>FALSE()</f>
        <v>0</v>
      </c>
      <c r="O2542" s="60"/>
      <c r="P2542" s="60"/>
      <c r="Q2542" s="60" t="s">
        <v>3663</v>
      </c>
      <c r="R2542" s="60" t="s">
        <v>236</v>
      </c>
      <c r="S2542" s="60"/>
      <c r="T2542" s="60" t="b">
        <f>FALSE()</f>
        <v>0</v>
      </c>
      <c r="U2542" s="60" t="b">
        <f>FALSE()</f>
        <v>0</v>
      </c>
      <c r="V2542" s="60">
        <v>1280</v>
      </c>
      <c r="W2542" s="62" t="s">
        <v>8427</v>
      </c>
      <c r="X2542" s="60">
        <v>3</v>
      </c>
      <c r="Y2542" s="63">
        <v>0.72</v>
      </c>
      <c r="Z2542" s="60" t="b">
        <f>FALSE()</f>
        <v>0</v>
      </c>
      <c r="AA2542" s="60" t="b">
        <f>TRUE()</f>
        <v>1</v>
      </c>
      <c r="AB2542" s="60" t="b">
        <f>FALSE()</f>
        <v>0</v>
      </c>
      <c r="AC2542" s="60" t="b">
        <f>TRUE()</f>
        <v>1</v>
      </c>
      <c r="AD2542" s="60" t="b">
        <f>FALSE()</f>
        <v>0</v>
      </c>
      <c r="AE2542" s="60">
        <v>2</v>
      </c>
      <c r="AF2542" s="64">
        <v>28.6</v>
      </c>
      <c r="AG2542" s="60" t="s">
        <v>73</v>
      </c>
      <c r="AH2542" s="60" t="s">
        <v>9569</v>
      </c>
      <c r="AI2542">
        <f>IF(AND(OR(Company_Explorer!$B$5="All Companies",$E2542=Company_Explorer!$B$5),OR(Company_Explorer!$B$6="All Platforms",$B2542=Company_Explorer!$B$6),OR(Company_Explorer!$B$7="All Roles",$D2542=Company_Explorer!$B$7),OR(Company_Explorer!$B$8="All Ghost Labels",$AG2542=Company_Explorer!$B$8)),1,0)</f>
        <v>0</v>
      </c>
    </row>
    <row r="2543" spans="1:35" ht="15" customHeight="1" x14ac:dyDescent="0.3">
      <c r="A2543" s="65" t="s">
        <v>9570</v>
      </c>
      <c r="B2543" s="65" t="s">
        <v>82</v>
      </c>
      <c r="C2543" s="65" t="s">
        <v>9571</v>
      </c>
      <c r="D2543" s="65" t="s">
        <v>130</v>
      </c>
      <c r="E2543" s="65" t="s">
        <v>7487</v>
      </c>
      <c r="F2543" s="65" t="b">
        <f>TRUE()</f>
        <v>1</v>
      </c>
      <c r="G2543" s="65" t="s">
        <v>165</v>
      </c>
      <c r="H2543" s="65" t="s">
        <v>165</v>
      </c>
      <c r="I2543" s="66">
        <v>46192</v>
      </c>
      <c r="J2543" s="66">
        <v>46210.286136354203</v>
      </c>
      <c r="K2543" s="65">
        <v>110</v>
      </c>
      <c r="L2543" s="65" t="s">
        <v>183</v>
      </c>
      <c r="M2543" s="65" t="s">
        <v>183</v>
      </c>
      <c r="N2543" s="65" t="b">
        <f>FALSE()</f>
        <v>0</v>
      </c>
      <c r="O2543" s="65"/>
      <c r="P2543" s="65"/>
      <c r="Q2543" s="65" t="s">
        <v>3663</v>
      </c>
      <c r="R2543" s="65" t="s">
        <v>236</v>
      </c>
      <c r="S2543" s="65"/>
      <c r="T2543" s="65" t="b">
        <f>FALSE()</f>
        <v>0</v>
      </c>
      <c r="U2543" s="65" t="b">
        <f>FALSE()</f>
        <v>0</v>
      </c>
      <c r="V2543" s="65">
        <v>364</v>
      </c>
      <c r="W2543" s="67" t="s">
        <v>9572</v>
      </c>
      <c r="X2543" s="65">
        <v>5</v>
      </c>
      <c r="Y2543" s="68">
        <v>1.21</v>
      </c>
      <c r="Z2543" s="65" t="b">
        <f>FALSE()</f>
        <v>0</v>
      </c>
      <c r="AA2543" s="65" t="b">
        <f>TRUE()</f>
        <v>1</v>
      </c>
      <c r="AB2543" s="65" t="b">
        <f>FALSE()</f>
        <v>0</v>
      </c>
      <c r="AC2543" s="65" t="b">
        <f>FALSE()</f>
        <v>0</v>
      </c>
      <c r="AD2543" s="65" t="b">
        <f>FALSE()</f>
        <v>0</v>
      </c>
      <c r="AE2543" s="65">
        <v>1</v>
      </c>
      <c r="AF2543" s="69">
        <v>14.3</v>
      </c>
      <c r="AG2543" s="65" t="s">
        <v>74</v>
      </c>
      <c r="AH2543" s="65" t="s">
        <v>9573</v>
      </c>
      <c r="AI2543">
        <f>IF(AND(OR(Company_Explorer!$B$5="All Companies",$E2543=Company_Explorer!$B$5),OR(Company_Explorer!$B$6="All Platforms",$B2543=Company_Explorer!$B$6),OR(Company_Explorer!$B$7="All Roles",$D2543=Company_Explorer!$B$7),OR(Company_Explorer!$B$8="All Ghost Labels",$AG2543=Company_Explorer!$B$8)),1,0)</f>
        <v>0</v>
      </c>
    </row>
    <row r="2544" spans="1:35" ht="15" customHeight="1" x14ac:dyDescent="0.3">
      <c r="A2544" s="60" t="s">
        <v>9574</v>
      </c>
      <c r="B2544" s="60" t="s">
        <v>82</v>
      </c>
      <c r="C2544" s="60" t="s">
        <v>8840</v>
      </c>
      <c r="D2544" s="60" t="s">
        <v>125</v>
      </c>
      <c r="E2544" s="60" t="s">
        <v>9575</v>
      </c>
      <c r="F2544" s="60" t="b">
        <f>TRUE()</f>
        <v>1</v>
      </c>
      <c r="G2544" s="60" t="s">
        <v>165</v>
      </c>
      <c r="H2544" s="60" t="s">
        <v>165</v>
      </c>
      <c r="I2544" s="61">
        <v>46200</v>
      </c>
      <c r="J2544" s="61">
        <v>46210.286136955998</v>
      </c>
      <c r="K2544" s="60">
        <v>130</v>
      </c>
      <c r="L2544" s="60" t="s">
        <v>183</v>
      </c>
      <c r="M2544" s="60" t="s">
        <v>183</v>
      </c>
      <c r="N2544" s="60" t="b">
        <f>FALSE()</f>
        <v>0</v>
      </c>
      <c r="O2544" s="60"/>
      <c r="P2544" s="60"/>
      <c r="Q2544" s="60" t="s">
        <v>3663</v>
      </c>
      <c r="R2544" s="60" t="s">
        <v>236</v>
      </c>
      <c r="S2544" s="60"/>
      <c r="T2544" s="60" t="b">
        <f>FALSE()</f>
        <v>0</v>
      </c>
      <c r="U2544" s="60" t="b">
        <f>FALSE()</f>
        <v>0</v>
      </c>
      <c r="V2544" s="60">
        <v>212</v>
      </c>
      <c r="W2544" s="60" t="s">
        <v>9576</v>
      </c>
      <c r="X2544" s="60">
        <v>1</v>
      </c>
      <c r="Y2544" s="63">
        <v>0.24</v>
      </c>
      <c r="Z2544" s="60" t="b">
        <f>FALSE()</f>
        <v>0</v>
      </c>
      <c r="AA2544" s="60" t="b">
        <f>TRUE()</f>
        <v>1</v>
      </c>
      <c r="AB2544" s="60" t="b">
        <f>TRUE()</f>
        <v>1</v>
      </c>
      <c r="AC2544" s="60" t="b">
        <f>TRUE()</f>
        <v>1</v>
      </c>
      <c r="AD2544" s="60" t="b">
        <f>FALSE()</f>
        <v>0</v>
      </c>
      <c r="AE2544" s="60">
        <v>3</v>
      </c>
      <c r="AF2544" s="64">
        <v>42.9</v>
      </c>
      <c r="AG2544" s="60" t="s">
        <v>73</v>
      </c>
      <c r="AH2544" s="60" t="s">
        <v>9577</v>
      </c>
      <c r="AI2544">
        <f>IF(AND(OR(Company_Explorer!$B$5="All Companies",$E2544=Company_Explorer!$B$5),OR(Company_Explorer!$B$6="All Platforms",$B2544=Company_Explorer!$B$6),OR(Company_Explorer!$B$7="All Roles",$D2544=Company_Explorer!$B$7),OR(Company_Explorer!$B$8="All Ghost Labels",$AG2544=Company_Explorer!$B$8)),1,0)</f>
        <v>0</v>
      </c>
    </row>
    <row r="2545" spans="1:35" ht="15" customHeight="1" x14ac:dyDescent="0.3">
      <c r="A2545" s="65" t="s">
        <v>9578</v>
      </c>
      <c r="B2545" s="65" t="s">
        <v>82</v>
      </c>
      <c r="C2545" s="65" t="s">
        <v>9579</v>
      </c>
      <c r="D2545" s="65" t="s">
        <v>125</v>
      </c>
      <c r="E2545" s="65" t="s">
        <v>9580</v>
      </c>
      <c r="F2545" s="65" t="b">
        <f>TRUE()</f>
        <v>1</v>
      </c>
      <c r="G2545" s="65" t="s">
        <v>165</v>
      </c>
      <c r="H2545" s="65" t="s">
        <v>165</v>
      </c>
      <c r="I2545" s="66">
        <v>46197</v>
      </c>
      <c r="J2545" s="66">
        <v>46210.286137222203</v>
      </c>
      <c r="K2545" s="65">
        <v>590</v>
      </c>
      <c r="L2545" s="65" t="s">
        <v>192</v>
      </c>
      <c r="M2545" s="65" t="s">
        <v>183</v>
      </c>
      <c r="N2545" s="65" t="b">
        <f>FALSE()</f>
        <v>0</v>
      </c>
      <c r="O2545" s="65"/>
      <c r="P2545" s="65"/>
      <c r="Q2545" s="65" t="s">
        <v>3663</v>
      </c>
      <c r="R2545" s="65" t="s">
        <v>236</v>
      </c>
      <c r="S2545" s="65"/>
      <c r="T2545" s="65" t="b">
        <f>FALSE()</f>
        <v>0</v>
      </c>
      <c r="U2545" s="65" t="b">
        <f>FALSE()</f>
        <v>0</v>
      </c>
      <c r="V2545" s="65">
        <v>383</v>
      </c>
      <c r="W2545" s="65" t="s">
        <v>9581</v>
      </c>
      <c r="X2545" s="65">
        <v>1</v>
      </c>
      <c r="Y2545" s="68">
        <v>0.24</v>
      </c>
      <c r="Z2545" s="65" t="b">
        <f>FALSE()</f>
        <v>0</v>
      </c>
      <c r="AA2545" s="65" t="b">
        <f>TRUE()</f>
        <v>1</v>
      </c>
      <c r="AB2545" s="65" t="b">
        <f>FALSE()</f>
        <v>0</v>
      </c>
      <c r="AC2545" s="65" t="b">
        <f>TRUE()</f>
        <v>1</v>
      </c>
      <c r="AD2545" s="65" t="b">
        <f>FALSE()</f>
        <v>0</v>
      </c>
      <c r="AE2545" s="65">
        <v>2</v>
      </c>
      <c r="AF2545" s="69">
        <v>28.6</v>
      </c>
      <c r="AG2545" s="65" t="s">
        <v>73</v>
      </c>
      <c r="AH2545" s="65" t="s">
        <v>9582</v>
      </c>
      <c r="AI2545">
        <f>IF(AND(OR(Company_Explorer!$B$5="All Companies",$E2545=Company_Explorer!$B$5),OR(Company_Explorer!$B$6="All Platforms",$B2545=Company_Explorer!$B$6),OR(Company_Explorer!$B$7="All Roles",$D2545=Company_Explorer!$B$7),OR(Company_Explorer!$B$8="All Ghost Labels",$AG2545=Company_Explorer!$B$8)),1,0)</f>
        <v>0</v>
      </c>
    </row>
    <row r="2546" spans="1:35" ht="15" customHeight="1" x14ac:dyDescent="0.3">
      <c r="A2546" s="60" t="s">
        <v>9583</v>
      </c>
      <c r="B2546" s="60" t="s">
        <v>82</v>
      </c>
      <c r="C2546" s="60" t="s">
        <v>7350</v>
      </c>
      <c r="D2546" s="60" t="s">
        <v>129</v>
      </c>
      <c r="E2546" s="60" t="s">
        <v>7952</v>
      </c>
      <c r="F2546" s="60" t="b">
        <f>TRUE()</f>
        <v>1</v>
      </c>
      <c r="G2546" s="60" t="s">
        <v>165</v>
      </c>
      <c r="H2546" s="60" t="s">
        <v>165</v>
      </c>
      <c r="I2546" s="61">
        <v>46210</v>
      </c>
      <c r="J2546" s="61">
        <v>46210.286137789401</v>
      </c>
      <c r="K2546" s="60">
        <v>61</v>
      </c>
      <c r="L2546" s="60" t="s">
        <v>192</v>
      </c>
      <c r="M2546" s="60" t="s">
        <v>183</v>
      </c>
      <c r="N2546" s="60" t="b">
        <f>TRUE()</f>
        <v>1</v>
      </c>
      <c r="O2546" s="70">
        <v>900000</v>
      </c>
      <c r="P2546" s="70">
        <v>1100000</v>
      </c>
      <c r="Q2546" s="60" t="s">
        <v>3663</v>
      </c>
      <c r="R2546" s="60" t="s">
        <v>7351</v>
      </c>
      <c r="S2546" s="70">
        <v>1000000</v>
      </c>
      <c r="T2546" s="60" t="b">
        <f>TRUE()</f>
        <v>1</v>
      </c>
      <c r="U2546" s="60" t="b">
        <f>FALSE()</f>
        <v>0</v>
      </c>
      <c r="V2546" s="60">
        <v>306</v>
      </c>
      <c r="W2546" s="62" t="s">
        <v>9584</v>
      </c>
      <c r="X2546" s="60">
        <v>2</v>
      </c>
      <c r="Y2546" s="63">
        <v>0.48</v>
      </c>
      <c r="Z2546" s="60" t="b">
        <f>FALSE()</f>
        <v>0</v>
      </c>
      <c r="AA2546" s="60" t="b">
        <f>FALSE()</f>
        <v>0</v>
      </c>
      <c r="AB2546" s="60" t="b">
        <f>FALSE()</f>
        <v>0</v>
      </c>
      <c r="AC2546" s="60" t="b">
        <f>FALSE()</f>
        <v>0</v>
      </c>
      <c r="AD2546" s="60" t="b">
        <f>FALSE()</f>
        <v>0</v>
      </c>
      <c r="AE2546" s="60">
        <v>0</v>
      </c>
      <c r="AF2546" s="64">
        <v>0</v>
      </c>
      <c r="AG2546" s="60" t="s">
        <v>74</v>
      </c>
      <c r="AH2546" s="60" t="s">
        <v>9585</v>
      </c>
      <c r="AI2546">
        <f>IF(AND(OR(Company_Explorer!$B$5="All Companies",$E2546=Company_Explorer!$B$5),OR(Company_Explorer!$B$6="All Platforms",$B2546=Company_Explorer!$B$6),OR(Company_Explorer!$B$7="All Roles",$D2546=Company_Explorer!$B$7),OR(Company_Explorer!$B$8="All Ghost Labels",$AG2546=Company_Explorer!$B$8)),1,0)</f>
        <v>0</v>
      </c>
    </row>
    <row r="2547" spans="1:35" ht="15" customHeight="1" x14ac:dyDescent="0.3">
      <c r="A2547" s="65" t="s">
        <v>9586</v>
      </c>
      <c r="B2547" s="65" t="s">
        <v>82</v>
      </c>
      <c r="C2547" s="65" t="s">
        <v>9587</v>
      </c>
      <c r="D2547" s="65" t="s">
        <v>129</v>
      </c>
      <c r="E2547" s="65" t="s">
        <v>9588</v>
      </c>
      <c r="F2547" s="65" t="b">
        <f>TRUE()</f>
        <v>1</v>
      </c>
      <c r="G2547" s="65" t="s">
        <v>171</v>
      </c>
      <c r="H2547" s="65" t="s">
        <v>254</v>
      </c>
      <c r="I2547" s="66">
        <v>46193</v>
      </c>
      <c r="J2547" s="66">
        <v>46210.286140335702</v>
      </c>
      <c r="K2547" s="65">
        <v>137</v>
      </c>
      <c r="L2547" s="65" t="s">
        <v>192</v>
      </c>
      <c r="M2547" s="65" t="s">
        <v>183</v>
      </c>
      <c r="N2547" s="65" t="b">
        <f>TRUE()</f>
        <v>1</v>
      </c>
      <c r="O2547" s="71">
        <v>300000</v>
      </c>
      <c r="P2547" s="71">
        <v>852500</v>
      </c>
      <c r="Q2547" s="65" t="s">
        <v>3663</v>
      </c>
      <c r="R2547" s="65" t="s">
        <v>7351</v>
      </c>
      <c r="S2547" s="71">
        <v>576250</v>
      </c>
      <c r="T2547" s="65" t="b">
        <f>TRUE()</f>
        <v>1</v>
      </c>
      <c r="U2547" s="65" t="b">
        <f>FALSE()</f>
        <v>0</v>
      </c>
      <c r="V2547" s="65">
        <v>164</v>
      </c>
      <c r="W2547" s="67" t="s">
        <v>9589</v>
      </c>
      <c r="X2547" s="65">
        <v>2</v>
      </c>
      <c r="Y2547" s="68">
        <v>0.48</v>
      </c>
      <c r="Z2547" s="65" t="b">
        <f>FALSE()</f>
        <v>0</v>
      </c>
      <c r="AA2547" s="65" t="b">
        <f>FALSE()</f>
        <v>0</v>
      </c>
      <c r="AB2547" s="65" t="b">
        <f>TRUE()</f>
        <v>1</v>
      </c>
      <c r="AC2547" s="65" t="b">
        <f>TRUE()</f>
        <v>1</v>
      </c>
      <c r="AD2547" s="65" t="b">
        <f>FALSE()</f>
        <v>0</v>
      </c>
      <c r="AE2547" s="65">
        <v>2</v>
      </c>
      <c r="AF2547" s="69">
        <v>28.6</v>
      </c>
      <c r="AG2547" s="65" t="s">
        <v>73</v>
      </c>
      <c r="AH2547" s="65" t="s">
        <v>9590</v>
      </c>
      <c r="AI2547">
        <f>IF(AND(OR(Company_Explorer!$B$5="All Companies",$E2547=Company_Explorer!$B$5),OR(Company_Explorer!$B$6="All Platforms",$B2547=Company_Explorer!$B$6),OR(Company_Explorer!$B$7="All Roles",$D2547=Company_Explorer!$B$7),OR(Company_Explorer!$B$8="All Ghost Labels",$AG2547=Company_Explorer!$B$8)),1,0)</f>
        <v>0</v>
      </c>
    </row>
    <row r="2548" spans="1:35" ht="15" customHeight="1" x14ac:dyDescent="0.3">
      <c r="A2548" s="60" t="s">
        <v>9591</v>
      </c>
      <c r="B2548" s="60" t="s">
        <v>82</v>
      </c>
      <c r="C2548" s="60" t="s">
        <v>3323</v>
      </c>
      <c r="D2548" s="60" t="s">
        <v>129</v>
      </c>
      <c r="E2548" s="60" t="s">
        <v>9592</v>
      </c>
      <c r="F2548" s="60" t="b">
        <f>TRUE()</f>
        <v>1</v>
      </c>
      <c r="G2548" s="60" t="s">
        <v>9593</v>
      </c>
      <c r="H2548" s="60" t="s">
        <v>326</v>
      </c>
      <c r="I2548" s="61">
        <v>46197</v>
      </c>
      <c r="J2548" s="61">
        <v>46210.286140844903</v>
      </c>
      <c r="K2548" s="60">
        <v>133</v>
      </c>
      <c r="L2548" s="60" t="s">
        <v>183</v>
      </c>
      <c r="M2548" s="60" t="s">
        <v>183</v>
      </c>
      <c r="N2548" s="60" t="b">
        <f>TRUE()</f>
        <v>1</v>
      </c>
      <c r="O2548" s="70">
        <v>276000</v>
      </c>
      <c r="P2548" s="70">
        <v>392000</v>
      </c>
      <c r="Q2548" s="60" t="s">
        <v>3663</v>
      </c>
      <c r="R2548" s="60" t="s">
        <v>7351</v>
      </c>
      <c r="S2548" s="70">
        <v>334000</v>
      </c>
      <c r="T2548" s="60" t="b">
        <f>TRUE()</f>
        <v>1</v>
      </c>
      <c r="U2548" s="60" t="b">
        <f>FALSE()</f>
        <v>0</v>
      </c>
      <c r="V2548" s="60">
        <v>96</v>
      </c>
      <c r="W2548" s="62" t="s">
        <v>9594</v>
      </c>
      <c r="X2548" s="60">
        <v>1</v>
      </c>
      <c r="Y2548" s="63">
        <v>0.24</v>
      </c>
      <c r="Z2548" s="60" t="b">
        <f>FALSE()</f>
        <v>0</v>
      </c>
      <c r="AA2548" s="60" t="b">
        <f>FALSE()</f>
        <v>0</v>
      </c>
      <c r="AB2548" s="60" t="b">
        <f>TRUE()</f>
        <v>1</v>
      </c>
      <c r="AC2548" s="60" t="b">
        <f>TRUE()</f>
        <v>1</v>
      </c>
      <c r="AD2548" s="60" t="b">
        <f>FALSE()</f>
        <v>0</v>
      </c>
      <c r="AE2548" s="60">
        <v>2</v>
      </c>
      <c r="AF2548" s="64">
        <v>28.6</v>
      </c>
      <c r="AG2548" s="60" t="s">
        <v>73</v>
      </c>
      <c r="AH2548" s="60" t="s">
        <v>9595</v>
      </c>
      <c r="AI2548">
        <f>IF(AND(OR(Company_Explorer!$B$5="All Companies",$E2548=Company_Explorer!$B$5),OR(Company_Explorer!$B$6="All Platforms",$B2548=Company_Explorer!$B$6),OR(Company_Explorer!$B$7="All Roles",$D2548=Company_Explorer!$B$7),OR(Company_Explorer!$B$8="All Ghost Labels",$AG2548=Company_Explorer!$B$8)),1,0)</f>
        <v>0</v>
      </c>
    </row>
    <row r="2549" spans="1:35" ht="15" customHeight="1" x14ac:dyDescent="0.3">
      <c r="A2549" s="65" t="s">
        <v>9596</v>
      </c>
      <c r="B2549" s="65" t="s">
        <v>82</v>
      </c>
      <c r="C2549" s="65" t="s">
        <v>3465</v>
      </c>
      <c r="D2549" s="65" t="s">
        <v>129</v>
      </c>
      <c r="E2549" s="65" t="s">
        <v>1839</v>
      </c>
      <c r="F2549" s="65" t="b">
        <f>TRUE()</f>
        <v>1</v>
      </c>
      <c r="G2549" s="65" t="s">
        <v>165</v>
      </c>
      <c r="H2549" s="65" t="s">
        <v>165</v>
      </c>
      <c r="I2549" s="66">
        <v>46192</v>
      </c>
      <c r="J2549" s="66">
        <v>46210.286144305603</v>
      </c>
      <c r="K2549" s="65">
        <v>49</v>
      </c>
      <c r="L2549" s="65" t="s">
        <v>183</v>
      </c>
      <c r="M2549" s="65" t="s">
        <v>183</v>
      </c>
      <c r="N2549" s="65" t="b">
        <f>FALSE()</f>
        <v>0</v>
      </c>
      <c r="O2549" s="65"/>
      <c r="P2549" s="65"/>
      <c r="Q2549" s="65" t="s">
        <v>3663</v>
      </c>
      <c r="R2549" s="65" t="s">
        <v>236</v>
      </c>
      <c r="S2549" s="65"/>
      <c r="T2549" s="65" t="b">
        <f>FALSE()</f>
        <v>0</v>
      </c>
      <c r="U2549" s="65" t="b">
        <f>FALSE()</f>
        <v>0</v>
      </c>
      <c r="V2549" s="65">
        <v>1800</v>
      </c>
      <c r="W2549" s="67" t="s">
        <v>9597</v>
      </c>
      <c r="X2549" s="65">
        <v>1</v>
      </c>
      <c r="Y2549" s="68">
        <v>0.24</v>
      </c>
      <c r="Z2549" s="65" t="b">
        <f>FALSE()</f>
        <v>0</v>
      </c>
      <c r="AA2549" s="65" t="b">
        <f>TRUE()</f>
        <v>1</v>
      </c>
      <c r="AB2549" s="65" t="b">
        <f>FALSE()</f>
        <v>0</v>
      </c>
      <c r="AC2549" s="65" t="b">
        <f>FALSE()</f>
        <v>0</v>
      </c>
      <c r="AD2549" s="65" t="b">
        <f>FALSE()</f>
        <v>0</v>
      </c>
      <c r="AE2549" s="65">
        <v>1</v>
      </c>
      <c r="AF2549" s="69">
        <v>14.3</v>
      </c>
      <c r="AG2549" s="65" t="s">
        <v>74</v>
      </c>
      <c r="AH2549" s="65" t="s">
        <v>9598</v>
      </c>
      <c r="AI2549">
        <f>IF(AND(OR(Company_Explorer!$B$5="All Companies",$E2549=Company_Explorer!$B$5),OR(Company_Explorer!$B$6="All Platforms",$B2549=Company_Explorer!$B$6),OR(Company_Explorer!$B$7="All Roles",$D2549=Company_Explorer!$B$7),OR(Company_Explorer!$B$8="All Ghost Labels",$AG2549=Company_Explorer!$B$8)),1,0)</f>
        <v>0</v>
      </c>
    </row>
    <row r="2550" spans="1:35" ht="15" customHeight="1" x14ac:dyDescent="0.3">
      <c r="A2550" s="60" t="s">
        <v>9599</v>
      </c>
      <c r="B2550" s="60" t="s">
        <v>82</v>
      </c>
      <c r="C2550" s="60" t="s">
        <v>9188</v>
      </c>
      <c r="D2550" s="60" t="s">
        <v>125</v>
      </c>
      <c r="E2550" s="60" t="s">
        <v>9128</v>
      </c>
      <c r="F2550" s="60" t="b">
        <f>TRUE()</f>
        <v>1</v>
      </c>
      <c r="G2550" s="60" t="s">
        <v>165</v>
      </c>
      <c r="H2550" s="60" t="s">
        <v>165</v>
      </c>
      <c r="I2550" s="61">
        <v>46201</v>
      </c>
      <c r="J2550" s="61">
        <v>46210.286145208302</v>
      </c>
      <c r="K2550" s="60">
        <v>130</v>
      </c>
      <c r="L2550" s="60" t="s">
        <v>183</v>
      </c>
      <c r="M2550" s="60" t="s">
        <v>183</v>
      </c>
      <c r="N2550" s="60" t="b">
        <f>FALSE()</f>
        <v>0</v>
      </c>
      <c r="O2550" s="60"/>
      <c r="P2550" s="60"/>
      <c r="Q2550" s="60" t="s">
        <v>3663</v>
      </c>
      <c r="R2550" s="60" t="s">
        <v>236</v>
      </c>
      <c r="S2550" s="60"/>
      <c r="T2550" s="60" t="b">
        <f>FALSE()</f>
        <v>0</v>
      </c>
      <c r="U2550" s="60" t="b">
        <f>FALSE()</f>
        <v>0</v>
      </c>
      <c r="V2550" s="60">
        <v>63</v>
      </c>
      <c r="W2550" s="62" t="s">
        <v>9600</v>
      </c>
      <c r="X2550" s="60">
        <v>2</v>
      </c>
      <c r="Y2550" s="63">
        <v>0.48</v>
      </c>
      <c r="Z2550" s="60" t="b">
        <f>FALSE()</f>
        <v>0</v>
      </c>
      <c r="AA2550" s="60" t="b">
        <f>TRUE()</f>
        <v>1</v>
      </c>
      <c r="AB2550" s="60" t="b">
        <f>TRUE()</f>
        <v>1</v>
      </c>
      <c r="AC2550" s="60" t="b">
        <f>TRUE()</f>
        <v>1</v>
      </c>
      <c r="AD2550" s="60" t="b">
        <f>FALSE()</f>
        <v>0</v>
      </c>
      <c r="AE2550" s="60">
        <v>3</v>
      </c>
      <c r="AF2550" s="64">
        <v>42.9</v>
      </c>
      <c r="AG2550" s="60" t="s">
        <v>73</v>
      </c>
      <c r="AH2550" s="60" t="s">
        <v>9601</v>
      </c>
      <c r="AI2550">
        <f>IF(AND(OR(Company_Explorer!$B$5="All Companies",$E2550=Company_Explorer!$B$5),OR(Company_Explorer!$B$6="All Platforms",$B2550=Company_Explorer!$B$6),OR(Company_Explorer!$B$7="All Roles",$D2550=Company_Explorer!$B$7),OR(Company_Explorer!$B$8="All Ghost Labels",$AG2550=Company_Explorer!$B$8)),1,0)</f>
        <v>0</v>
      </c>
    </row>
    <row r="2551" spans="1:35" ht="15" customHeight="1" x14ac:dyDescent="0.3">
      <c r="A2551" s="65" t="s">
        <v>9602</v>
      </c>
      <c r="B2551" s="65" t="s">
        <v>82</v>
      </c>
      <c r="C2551" s="65" t="s">
        <v>9603</v>
      </c>
      <c r="D2551" s="65" t="s">
        <v>129</v>
      </c>
      <c r="E2551" s="65" t="s">
        <v>9604</v>
      </c>
      <c r="F2551" s="65" t="b">
        <f>TRUE()</f>
        <v>1</v>
      </c>
      <c r="G2551" s="65" t="s">
        <v>753</v>
      </c>
      <c r="H2551" s="65" t="s">
        <v>754</v>
      </c>
      <c r="I2551" s="66">
        <v>46193</v>
      </c>
      <c r="J2551" s="66">
        <v>46210.286147974497</v>
      </c>
      <c r="K2551" s="65">
        <v>137</v>
      </c>
      <c r="L2551" s="65" t="s">
        <v>183</v>
      </c>
      <c r="M2551" s="65" t="s">
        <v>183</v>
      </c>
      <c r="N2551" s="65" t="b">
        <f>TRUE()</f>
        <v>1</v>
      </c>
      <c r="O2551" s="71">
        <v>622500</v>
      </c>
      <c r="P2551" s="71">
        <v>877500</v>
      </c>
      <c r="Q2551" s="65" t="s">
        <v>3663</v>
      </c>
      <c r="R2551" s="65" t="s">
        <v>7351</v>
      </c>
      <c r="S2551" s="71">
        <v>750000</v>
      </c>
      <c r="T2551" s="65" t="b">
        <f>TRUE()</f>
        <v>1</v>
      </c>
      <c r="U2551" s="65" t="b">
        <f>FALSE()</f>
        <v>0</v>
      </c>
      <c r="V2551" s="65">
        <v>172</v>
      </c>
      <c r="W2551" s="67" t="s">
        <v>9605</v>
      </c>
      <c r="X2551" s="65">
        <v>1</v>
      </c>
      <c r="Y2551" s="68">
        <v>0.24</v>
      </c>
      <c r="Z2551" s="65" t="b">
        <f>FALSE()</f>
        <v>0</v>
      </c>
      <c r="AA2551" s="65" t="b">
        <f>FALSE()</f>
        <v>0</v>
      </c>
      <c r="AB2551" s="65" t="b">
        <f>TRUE()</f>
        <v>1</v>
      </c>
      <c r="AC2551" s="65" t="b">
        <f>TRUE()</f>
        <v>1</v>
      </c>
      <c r="AD2551" s="65" t="b">
        <f>FALSE()</f>
        <v>0</v>
      </c>
      <c r="AE2551" s="65">
        <v>2</v>
      </c>
      <c r="AF2551" s="69">
        <v>28.6</v>
      </c>
      <c r="AG2551" s="65" t="s">
        <v>73</v>
      </c>
      <c r="AH2551" s="65" t="s">
        <v>9606</v>
      </c>
      <c r="AI2551">
        <f>IF(AND(OR(Company_Explorer!$B$5="All Companies",$E2551=Company_Explorer!$B$5),OR(Company_Explorer!$B$6="All Platforms",$B2551=Company_Explorer!$B$6),OR(Company_Explorer!$B$7="All Roles",$D2551=Company_Explorer!$B$7),OR(Company_Explorer!$B$8="All Ghost Labels",$AG2551=Company_Explorer!$B$8)),1,0)</f>
        <v>0</v>
      </c>
    </row>
    <row r="2552" spans="1:35" ht="15" customHeight="1" x14ac:dyDescent="0.3">
      <c r="A2552" s="60" t="s">
        <v>9607</v>
      </c>
      <c r="B2552" s="60" t="s">
        <v>82</v>
      </c>
      <c r="C2552" s="60" t="s">
        <v>9608</v>
      </c>
      <c r="D2552" s="60" t="s">
        <v>129</v>
      </c>
      <c r="E2552" s="60" t="s">
        <v>152</v>
      </c>
      <c r="F2552" s="60" t="b">
        <f>TRUE()</f>
        <v>1</v>
      </c>
      <c r="G2552" s="60" t="s">
        <v>8648</v>
      </c>
      <c r="H2552" s="60" t="s">
        <v>2066</v>
      </c>
      <c r="I2552" s="61">
        <v>46207</v>
      </c>
      <c r="J2552" s="61">
        <v>46210.286149201398</v>
      </c>
      <c r="K2552" s="60">
        <v>4</v>
      </c>
      <c r="L2552" s="60" t="s">
        <v>192</v>
      </c>
      <c r="M2552" s="60" t="s">
        <v>183</v>
      </c>
      <c r="N2552" s="60" t="b">
        <f>TRUE()</f>
        <v>1</v>
      </c>
      <c r="O2552" s="70">
        <v>120000</v>
      </c>
      <c r="P2552" s="70">
        <v>682500</v>
      </c>
      <c r="Q2552" s="60" t="s">
        <v>3663</v>
      </c>
      <c r="R2552" s="60" t="s">
        <v>7351</v>
      </c>
      <c r="S2552" s="70">
        <v>401250</v>
      </c>
      <c r="T2552" s="60" t="b">
        <f>TRUE()</f>
        <v>1</v>
      </c>
      <c r="U2552" s="60" t="b">
        <f>FALSE()</f>
        <v>0</v>
      </c>
      <c r="V2552" s="60">
        <v>399</v>
      </c>
      <c r="W2552" s="62" t="s">
        <v>9609</v>
      </c>
      <c r="X2552" s="60">
        <v>17</v>
      </c>
      <c r="Y2552" s="63">
        <v>4.0999999999999996</v>
      </c>
      <c r="Z2552" s="60" t="b">
        <f>FALSE()</f>
        <v>0</v>
      </c>
      <c r="AA2552" s="60" t="b">
        <f>FALSE()</f>
        <v>0</v>
      </c>
      <c r="AB2552" s="60" t="b">
        <f>FALSE()</f>
        <v>0</v>
      </c>
      <c r="AC2552" s="60" t="b">
        <f>FALSE()</f>
        <v>0</v>
      </c>
      <c r="AD2552" s="60" t="b">
        <f>TRUE()</f>
        <v>1</v>
      </c>
      <c r="AE2552" s="60">
        <v>2</v>
      </c>
      <c r="AF2552" s="64">
        <v>28.6</v>
      </c>
      <c r="AG2552" s="60" t="s">
        <v>73</v>
      </c>
      <c r="AH2552" s="60" t="s">
        <v>9610</v>
      </c>
      <c r="AI2552">
        <f>IF(AND(OR(Company_Explorer!$B$5="All Companies",$E2552=Company_Explorer!$B$5),OR(Company_Explorer!$B$6="All Platforms",$B2552=Company_Explorer!$B$6),OR(Company_Explorer!$B$7="All Roles",$D2552=Company_Explorer!$B$7),OR(Company_Explorer!$B$8="All Ghost Labels",$AG2552=Company_Explorer!$B$8)),1,0)</f>
        <v>0</v>
      </c>
    </row>
    <row r="2553" spans="1:35" ht="15" customHeight="1" x14ac:dyDescent="0.3">
      <c r="A2553" s="65" t="s">
        <v>9611</v>
      </c>
      <c r="B2553" s="65" t="s">
        <v>82</v>
      </c>
      <c r="C2553" s="65" t="s">
        <v>7350</v>
      </c>
      <c r="D2553" s="65" t="s">
        <v>129</v>
      </c>
      <c r="E2553" s="65" t="s">
        <v>9612</v>
      </c>
      <c r="F2553" s="65" t="b">
        <f>TRUE()</f>
        <v>1</v>
      </c>
      <c r="G2553" s="65" t="s">
        <v>165</v>
      </c>
      <c r="H2553" s="65" t="s">
        <v>165</v>
      </c>
      <c r="I2553" s="66">
        <v>46205</v>
      </c>
      <c r="J2553" s="66">
        <v>46210.286149560197</v>
      </c>
      <c r="K2553" s="65">
        <v>96</v>
      </c>
      <c r="L2553" s="65" t="s">
        <v>192</v>
      </c>
      <c r="M2553" s="65" t="s">
        <v>183</v>
      </c>
      <c r="N2553" s="65" t="b">
        <f>FALSE()</f>
        <v>0</v>
      </c>
      <c r="O2553" s="65"/>
      <c r="P2553" s="65"/>
      <c r="Q2553" s="65" t="s">
        <v>3663</v>
      </c>
      <c r="R2553" s="65" t="s">
        <v>236</v>
      </c>
      <c r="S2553" s="65"/>
      <c r="T2553" s="65" t="b">
        <f>FALSE()</f>
        <v>0</v>
      </c>
      <c r="U2553" s="65" t="b">
        <f>FALSE()</f>
        <v>0</v>
      </c>
      <c r="V2553" s="65">
        <v>1166</v>
      </c>
      <c r="W2553" s="67" t="s">
        <v>9613</v>
      </c>
      <c r="X2553" s="65">
        <v>1</v>
      </c>
      <c r="Y2553" s="68">
        <v>0.24</v>
      </c>
      <c r="Z2553" s="65" t="b">
        <f>FALSE()</f>
        <v>0</v>
      </c>
      <c r="AA2553" s="65" t="b">
        <f>TRUE()</f>
        <v>1</v>
      </c>
      <c r="AB2553" s="65" t="b">
        <f>FALSE()</f>
        <v>0</v>
      </c>
      <c r="AC2553" s="65" t="b">
        <f>FALSE()</f>
        <v>0</v>
      </c>
      <c r="AD2553" s="65" t="b">
        <f>FALSE()</f>
        <v>0</v>
      </c>
      <c r="AE2553" s="65">
        <v>1</v>
      </c>
      <c r="AF2553" s="69">
        <v>14.3</v>
      </c>
      <c r="AG2553" s="65" t="s">
        <v>74</v>
      </c>
      <c r="AH2553" s="65" t="s">
        <v>9614</v>
      </c>
      <c r="AI2553">
        <f>IF(AND(OR(Company_Explorer!$B$5="All Companies",$E2553=Company_Explorer!$B$5),OR(Company_Explorer!$B$6="All Platforms",$B2553=Company_Explorer!$B$6),OR(Company_Explorer!$B$7="All Roles",$D2553=Company_Explorer!$B$7),OR(Company_Explorer!$B$8="All Ghost Labels",$AG2553=Company_Explorer!$B$8)),1,0)</f>
        <v>0</v>
      </c>
    </row>
    <row r="2554" spans="1:35" ht="15" customHeight="1" x14ac:dyDescent="0.3">
      <c r="A2554" s="60" t="s">
        <v>9615</v>
      </c>
      <c r="B2554" s="60" t="s">
        <v>82</v>
      </c>
      <c r="C2554" s="60" t="s">
        <v>8074</v>
      </c>
      <c r="D2554" s="60" t="s">
        <v>125</v>
      </c>
      <c r="E2554" s="60" t="s">
        <v>9616</v>
      </c>
      <c r="F2554" s="60" t="b">
        <f>TRUE()</f>
        <v>1</v>
      </c>
      <c r="G2554" s="60" t="s">
        <v>545</v>
      </c>
      <c r="H2554" s="60" t="s">
        <v>270</v>
      </c>
      <c r="I2554" s="61">
        <v>46201</v>
      </c>
      <c r="J2554" s="61">
        <v>46210.2861521991</v>
      </c>
      <c r="K2554" s="60">
        <v>129</v>
      </c>
      <c r="L2554" s="60" t="s">
        <v>183</v>
      </c>
      <c r="M2554" s="60" t="s">
        <v>183</v>
      </c>
      <c r="N2554" s="60" t="b">
        <f>TRUE()</f>
        <v>1</v>
      </c>
      <c r="O2554" s="70">
        <v>320320</v>
      </c>
      <c r="P2554" s="70">
        <v>600000</v>
      </c>
      <c r="Q2554" s="60" t="s">
        <v>3663</v>
      </c>
      <c r="R2554" s="60" t="s">
        <v>7351</v>
      </c>
      <c r="S2554" s="70">
        <v>460160</v>
      </c>
      <c r="T2554" s="60" t="b">
        <f>TRUE()</f>
        <v>1</v>
      </c>
      <c r="U2554" s="60" t="b">
        <f>FALSE()</f>
        <v>0</v>
      </c>
      <c r="V2554" s="60">
        <v>100</v>
      </c>
      <c r="W2554" s="62" t="s">
        <v>9617</v>
      </c>
      <c r="X2554" s="60">
        <v>1</v>
      </c>
      <c r="Y2554" s="63">
        <v>0.24</v>
      </c>
      <c r="Z2554" s="60" t="b">
        <f>FALSE()</f>
        <v>0</v>
      </c>
      <c r="AA2554" s="60" t="b">
        <f>FALSE()</f>
        <v>0</v>
      </c>
      <c r="AB2554" s="60" t="b">
        <f>TRUE()</f>
        <v>1</v>
      </c>
      <c r="AC2554" s="60" t="b">
        <f>TRUE()</f>
        <v>1</v>
      </c>
      <c r="AD2554" s="60" t="b">
        <f>FALSE()</f>
        <v>0</v>
      </c>
      <c r="AE2554" s="60">
        <v>2</v>
      </c>
      <c r="AF2554" s="64">
        <v>28.6</v>
      </c>
      <c r="AG2554" s="60" t="s">
        <v>73</v>
      </c>
      <c r="AH2554" s="60" t="s">
        <v>9618</v>
      </c>
      <c r="AI2554">
        <f>IF(AND(OR(Company_Explorer!$B$5="All Companies",$E2554=Company_Explorer!$B$5),OR(Company_Explorer!$B$6="All Platforms",$B2554=Company_Explorer!$B$6),OR(Company_Explorer!$B$7="All Roles",$D2554=Company_Explorer!$B$7),OR(Company_Explorer!$B$8="All Ghost Labels",$AG2554=Company_Explorer!$B$8)),1,0)</f>
        <v>0</v>
      </c>
    </row>
    <row r="2555" spans="1:35" ht="15" customHeight="1" x14ac:dyDescent="0.3">
      <c r="A2555" s="65" t="s">
        <v>9619</v>
      </c>
      <c r="B2555" s="65" t="s">
        <v>82</v>
      </c>
      <c r="C2555" s="65" t="s">
        <v>9620</v>
      </c>
      <c r="D2555" s="65" t="s">
        <v>126</v>
      </c>
      <c r="E2555" s="65" t="s">
        <v>7559</v>
      </c>
      <c r="F2555" s="65" t="b">
        <f>TRUE()</f>
        <v>1</v>
      </c>
      <c r="G2555" s="65" t="s">
        <v>167</v>
      </c>
      <c r="H2555" s="65" t="s">
        <v>276</v>
      </c>
      <c r="I2555" s="66">
        <v>46207</v>
      </c>
      <c r="J2555" s="66">
        <v>46210.286157222203</v>
      </c>
      <c r="K2555" s="65">
        <v>125</v>
      </c>
      <c r="L2555" s="65" t="s">
        <v>183</v>
      </c>
      <c r="M2555" s="65" t="s">
        <v>183</v>
      </c>
      <c r="N2555" s="65" t="b">
        <f>FALSE()</f>
        <v>0</v>
      </c>
      <c r="O2555" s="65"/>
      <c r="P2555" s="65"/>
      <c r="Q2555" s="65" t="s">
        <v>3663</v>
      </c>
      <c r="R2555" s="65" t="s">
        <v>236</v>
      </c>
      <c r="S2555" s="65"/>
      <c r="T2555" s="65" t="b">
        <f>FALSE()</f>
        <v>0</v>
      </c>
      <c r="U2555" s="65" t="b">
        <f>FALSE()</f>
        <v>0</v>
      </c>
      <c r="V2555" s="65">
        <v>125</v>
      </c>
      <c r="W2555" s="65" t="s">
        <v>9621</v>
      </c>
      <c r="X2555" s="65">
        <v>10</v>
      </c>
      <c r="Y2555" s="68">
        <v>2.41</v>
      </c>
      <c r="Z2555" s="65" t="b">
        <f>FALSE()</f>
        <v>0</v>
      </c>
      <c r="AA2555" s="65" t="b">
        <f>TRUE()</f>
        <v>1</v>
      </c>
      <c r="AB2555" s="65" t="b">
        <f>TRUE()</f>
        <v>1</v>
      </c>
      <c r="AC2555" s="65" t="b">
        <f>TRUE()</f>
        <v>1</v>
      </c>
      <c r="AD2555" s="65" t="b">
        <f>TRUE()</f>
        <v>1</v>
      </c>
      <c r="AE2555" s="65">
        <v>5</v>
      </c>
      <c r="AF2555" s="69">
        <v>71.400000000000006</v>
      </c>
      <c r="AG2555" s="65" t="s">
        <v>72</v>
      </c>
      <c r="AH2555" s="65" t="s">
        <v>9622</v>
      </c>
      <c r="AI2555">
        <f>IF(AND(OR(Company_Explorer!$B$5="All Companies",$E2555=Company_Explorer!$B$5),OR(Company_Explorer!$B$6="All Platforms",$B2555=Company_Explorer!$B$6),OR(Company_Explorer!$B$7="All Roles",$D2555=Company_Explorer!$B$7),OR(Company_Explorer!$B$8="All Ghost Labels",$AG2555=Company_Explorer!$B$8)),1,0)</f>
        <v>0</v>
      </c>
    </row>
    <row r="2556" spans="1:35" ht="15" customHeight="1" x14ac:dyDescent="0.3">
      <c r="A2556" s="60" t="s">
        <v>9623</v>
      </c>
      <c r="B2556" s="60" t="s">
        <v>82</v>
      </c>
      <c r="C2556" s="60" t="s">
        <v>8164</v>
      </c>
      <c r="D2556" s="60" t="s">
        <v>129</v>
      </c>
      <c r="E2556" s="60" t="s">
        <v>3726</v>
      </c>
      <c r="F2556" s="60" t="b">
        <f>FALSE()</f>
        <v>0</v>
      </c>
      <c r="G2556" s="60" t="s">
        <v>166</v>
      </c>
      <c r="H2556" s="60" t="s">
        <v>235</v>
      </c>
      <c r="I2556" s="61">
        <v>46200</v>
      </c>
      <c r="J2556" s="61">
        <v>46210.286158414398</v>
      </c>
      <c r="K2556" s="60">
        <v>130</v>
      </c>
      <c r="L2556" s="60" t="s">
        <v>183</v>
      </c>
      <c r="M2556" s="60" t="s">
        <v>183</v>
      </c>
      <c r="N2556" s="60" t="b">
        <f>FALSE()</f>
        <v>0</v>
      </c>
      <c r="O2556" s="60"/>
      <c r="P2556" s="60"/>
      <c r="Q2556" s="60" t="s">
        <v>3663</v>
      </c>
      <c r="R2556" s="60" t="s">
        <v>236</v>
      </c>
      <c r="S2556" s="60"/>
      <c r="T2556" s="60" t="b">
        <f>FALSE()</f>
        <v>0</v>
      </c>
      <c r="U2556" s="60" t="b">
        <f>FALSE()</f>
        <v>0</v>
      </c>
      <c r="V2556" s="60">
        <v>305</v>
      </c>
      <c r="W2556" s="60" t="s">
        <v>9624</v>
      </c>
      <c r="X2556" s="60"/>
      <c r="Y2556" s="63"/>
      <c r="Z2556" s="60" t="b">
        <f>TRUE()</f>
        <v>1</v>
      </c>
      <c r="AA2556" s="60" t="b">
        <f>TRUE()</f>
        <v>1</v>
      </c>
      <c r="AB2556" s="60" t="b">
        <f>FALSE()</f>
        <v>0</v>
      </c>
      <c r="AC2556" s="60" t="b">
        <f>TRUE()</f>
        <v>1</v>
      </c>
      <c r="AD2556" s="60" t="b">
        <f>FALSE()</f>
        <v>0</v>
      </c>
      <c r="AE2556" s="60">
        <v>4</v>
      </c>
      <c r="AF2556" s="64">
        <v>57.1</v>
      </c>
      <c r="AG2556" s="60" t="s">
        <v>72</v>
      </c>
      <c r="AH2556" s="60" t="s">
        <v>9625</v>
      </c>
      <c r="AI2556">
        <f>IF(AND(OR(Company_Explorer!$B$5="All Companies",$E2556=Company_Explorer!$B$5),OR(Company_Explorer!$B$6="All Platforms",$B2556=Company_Explorer!$B$6),OR(Company_Explorer!$B$7="All Roles",$D2556=Company_Explorer!$B$7),OR(Company_Explorer!$B$8="All Ghost Labels",$AG2556=Company_Explorer!$B$8)),1,0)</f>
        <v>0</v>
      </c>
    </row>
    <row r="2557" spans="1:35" ht="15" customHeight="1" x14ac:dyDescent="0.3">
      <c r="A2557" s="65" t="s">
        <v>9626</v>
      </c>
      <c r="B2557" s="65" t="s">
        <v>82</v>
      </c>
      <c r="C2557" s="65" t="s">
        <v>8191</v>
      </c>
      <c r="D2557" s="65" t="s">
        <v>125</v>
      </c>
      <c r="E2557" s="65" t="s">
        <v>9627</v>
      </c>
      <c r="F2557" s="65" t="b">
        <f>TRUE()</f>
        <v>1</v>
      </c>
      <c r="G2557" s="65" t="s">
        <v>165</v>
      </c>
      <c r="H2557" s="65" t="s">
        <v>165</v>
      </c>
      <c r="I2557" s="66">
        <v>46196</v>
      </c>
      <c r="J2557" s="66">
        <v>46210.286158993098</v>
      </c>
      <c r="K2557" s="65">
        <v>135</v>
      </c>
      <c r="L2557" s="65" t="s">
        <v>183</v>
      </c>
      <c r="M2557" s="65" t="s">
        <v>183</v>
      </c>
      <c r="N2557" s="65" t="b">
        <f>FALSE()</f>
        <v>0</v>
      </c>
      <c r="O2557" s="65"/>
      <c r="P2557" s="65"/>
      <c r="Q2557" s="65" t="s">
        <v>3663</v>
      </c>
      <c r="R2557" s="65" t="s">
        <v>236</v>
      </c>
      <c r="S2557" s="65"/>
      <c r="T2557" s="65" t="b">
        <f>FALSE()</f>
        <v>0</v>
      </c>
      <c r="U2557" s="65" t="b">
        <f>FALSE()</f>
        <v>0</v>
      </c>
      <c r="V2557" s="65">
        <v>105</v>
      </c>
      <c r="W2557" s="67" t="s">
        <v>9628</v>
      </c>
      <c r="X2557" s="65">
        <v>1</v>
      </c>
      <c r="Y2557" s="68">
        <v>0.24</v>
      </c>
      <c r="Z2557" s="65" t="b">
        <f>FALSE()</f>
        <v>0</v>
      </c>
      <c r="AA2557" s="65" t="b">
        <f>TRUE()</f>
        <v>1</v>
      </c>
      <c r="AB2557" s="65" t="b">
        <f>TRUE()</f>
        <v>1</v>
      </c>
      <c r="AC2557" s="65" t="b">
        <f>TRUE()</f>
        <v>1</v>
      </c>
      <c r="AD2557" s="65" t="b">
        <f>FALSE()</f>
        <v>0</v>
      </c>
      <c r="AE2557" s="65">
        <v>3</v>
      </c>
      <c r="AF2557" s="69">
        <v>42.9</v>
      </c>
      <c r="AG2557" s="65" t="s">
        <v>73</v>
      </c>
      <c r="AH2557" s="65" t="s">
        <v>9629</v>
      </c>
      <c r="AI2557">
        <f>IF(AND(OR(Company_Explorer!$B$5="All Companies",$E2557=Company_Explorer!$B$5),OR(Company_Explorer!$B$6="All Platforms",$B2557=Company_Explorer!$B$6),OR(Company_Explorer!$B$7="All Roles",$D2557=Company_Explorer!$B$7),OR(Company_Explorer!$B$8="All Ghost Labels",$AG2557=Company_Explorer!$B$8)),1,0)</f>
        <v>0</v>
      </c>
    </row>
    <row r="2558" spans="1:35" ht="15" customHeight="1" x14ac:dyDescent="0.3">
      <c r="A2558" s="60" t="s">
        <v>9630</v>
      </c>
      <c r="B2558" s="60" t="s">
        <v>82</v>
      </c>
      <c r="C2558" s="60" t="s">
        <v>306</v>
      </c>
      <c r="D2558" s="60" t="s">
        <v>125</v>
      </c>
      <c r="E2558" s="60" t="s">
        <v>3726</v>
      </c>
      <c r="F2558" s="60" t="b">
        <f>FALSE()</f>
        <v>0</v>
      </c>
      <c r="G2558" s="60" t="s">
        <v>8607</v>
      </c>
      <c r="H2558" s="60" t="s">
        <v>263</v>
      </c>
      <c r="I2558" s="61">
        <v>46210</v>
      </c>
      <c r="J2558" s="61">
        <v>46210.286159490701</v>
      </c>
      <c r="K2558" s="60">
        <v>0</v>
      </c>
      <c r="L2558" s="60" t="s">
        <v>192</v>
      </c>
      <c r="M2558" s="60" t="s">
        <v>183</v>
      </c>
      <c r="N2558" s="60" t="b">
        <f>FALSE()</f>
        <v>0</v>
      </c>
      <c r="O2558" s="60"/>
      <c r="P2558" s="60"/>
      <c r="Q2558" s="60" t="s">
        <v>3663</v>
      </c>
      <c r="R2558" s="60" t="s">
        <v>236</v>
      </c>
      <c r="S2558" s="60"/>
      <c r="T2558" s="60" t="b">
        <f>FALSE()</f>
        <v>0</v>
      </c>
      <c r="U2558" s="60" t="b">
        <f>FALSE()</f>
        <v>0</v>
      </c>
      <c r="V2558" s="60">
        <v>325</v>
      </c>
      <c r="W2558" s="60" t="s">
        <v>9631</v>
      </c>
      <c r="X2558" s="60"/>
      <c r="Y2558" s="63"/>
      <c r="Z2558" s="60" t="b">
        <f>TRUE()</f>
        <v>1</v>
      </c>
      <c r="AA2558" s="60" t="b">
        <f>TRUE()</f>
        <v>1</v>
      </c>
      <c r="AB2558" s="60" t="b">
        <f>FALSE()</f>
        <v>0</v>
      </c>
      <c r="AC2558" s="60" t="b">
        <f>FALSE()</f>
        <v>0</v>
      </c>
      <c r="AD2558" s="60" t="b">
        <f>FALSE()</f>
        <v>0</v>
      </c>
      <c r="AE2558" s="60">
        <v>3</v>
      </c>
      <c r="AF2558" s="64">
        <v>42.9</v>
      </c>
      <c r="AG2558" s="60" t="s">
        <v>73</v>
      </c>
      <c r="AH2558" s="60" t="s">
        <v>9632</v>
      </c>
      <c r="AI2558">
        <f>IF(AND(OR(Company_Explorer!$B$5="All Companies",$E2558=Company_Explorer!$B$5),OR(Company_Explorer!$B$6="All Platforms",$B2558=Company_Explorer!$B$6),OR(Company_Explorer!$B$7="All Roles",$D2558=Company_Explorer!$B$7),OR(Company_Explorer!$B$8="All Ghost Labels",$AG2558=Company_Explorer!$B$8)),1,0)</f>
        <v>0</v>
      </c>
    </row>
    <row r="2559" spans="1:35" ht="15" customHeight="1" x14ac:dyDescent="0.3">
      <c r="A2559" s="65" t="s">
        <v>9633</v>
      </c>
      <c r="B2559" s="65" t="s">
        <v>82</v>
      </c>
      <c r="C2559" s="65" t="s">
        <v>3328</v>
      </c>
      <c r="D2559" s="65" t="s">
        <v>129</v>
      </c>
      <c r="E2559" s="65" t="s">
        <v>9634</v>
      </c>
      <c r="F2559" s="65" t="b">
        <f>TRUE()</f>
        <v>1</v>
      </c>
      <c r="G2559" s="65" t="s">
        <v>269</v>
      </c>
      <c r="H2559" s="65" t="s">
        <v>270</v>
      </c>
      <c r="I2559" s="66">
        <v>46193</v>
      </c>
      <c r="J2559" s="66">
        <v>46210.286161643497</v>
      </c>
      <c r="K2559" s="65">
        <v>137</v>
      </c>
      <c r="L2559" s="65" t="s">
        <v>183</v>
      </c>
      <c r="M2559" s="65" t="s">
        <v>183</v>
      </c>
      <c r="N2559" s="65" t="b">
        <f>TRUE()</f>
        <v>1</v>
      </c>
      <c r="O2559" s="71">
        <v>266400</v>
      </c>
      <c r="P2559" s="71">
        <v>644000</v>
      </c>
      <c r="Q2559" s="65" t="s">
        <v>3663</v>
      </c>
      <c r="R2559" s="65" t="s">
        <v>7351</v>
      </c>
      <c r="S2559" s="71">
        <v>455200</v>
      </c>
      <c r="T2559" s="65" t="b">
        <f>TRUE()</f>
        <v>1</v>
      </c>
      <c r="U2559" s="65" t="b">
        <f>FALSE()</f>
        <v>0</v>
      </c>
      <c r="V2559" s="65">
        <v>267</v>
      </c>
      <c r="W2559" s="67" t="s">
        <v>9635</v>
      </c>
      <c r="X2559" s="65">
        <v>1</v>
      </c>
      <c r="Y2559" s="68">
        <v>0.24</v>
      </c>
      <c r="Z2559" s="65" t="b">
        <f>FALSE()</f>
        <v>0</v>
      </c>
      <c r="AA2559" s="65" t="b">
        <f>FALSE()</f>
        <v>0</v>
      </c>
      <c r="AB2559" s="65" t="b">
        <f>FALSE()</f>
        <v>0</v>
      </c>
      <c r="AC2559" s="65" t="b">
        <f>TRUE()</f>
        <v>1</v>
      </c>
      <c r="AD2559" s="65" t="b">
        <f>FALSE()</f>
        <v>0</v>
      </c>
      <c r="AE2559" s="65">
        <v>1</v>
      </c>
      <c r="AF2559" s="69">
        <v>14.3</v>
      </c>
      <c r="AG2559" s="65" t="s">
        <v>74</v>
      </c>
      <c r="AH2559" s="65" t="s">
        <v>9636</v>
      </c>
      <c r="AI2559">
        <f>IF(AND(OR(Company_Explorer!$B$5="All Companies",$E2559=Company_Explorer!$B$5),OR(Company_Explorer!$B$6="All Platforms",$B2559=Company_Explorer!$B$6),OR(Company_Explorer!$B$7="All Roles",$D2559=Company_Explorer!$B$7),OR(Company_Explorer!$B$8="All Ghost Labels",$AG2559=Company_Explorer!$B$8)),1,0)</f>
        <v>0</v>
      </c>
    </row>
    <row r="2560" spans="1:35" ht="15" customHeight="1" x14ac:dyDescent="0.3">
      <c r="A2560" s="60" t="s">
        <v>9637</v>
      </c>
      <c r="B2560" s="60" t="s">
        <v>82</v>
      </c>
      <c r="C2560" s="60" t="s">
        <v>7922</v>
      </c>
      <c r="D2560" s="60" t="s">
        <v>125</v>
      </c>
      <c r="E2560" s="60" t="s">
        <v>9638</v>
      </c>
      <c r="F2560" s="60" t="b">
        <f>TRUE()</f>
        <v>1</v>
      </c>
      <c r="G2560" s="60" t="s">
        <v>165</v>
      </c>
      <c r="H2560" s="60" t="s">
        <v>165</v>
      </c>
      <c r="I2560" s="61">
        <v>46204</v>
      </c>
      <c r="J2560" s="61">
        <v>46210.286165254598</v>
      </c>
      <c r="K2560" s="60">
        <v>6</v>
      </c>
      <c r="L2560" s="60" t="s">
        <v>192</v>
      </c>
      <c r="M2560" s="60" t="s">
        <v>183</v>
      </c>
      <c r="N2560" s="60" t="b">
        <f>TRUE()</f>
        <v>1</v>
      </c>
      <c r="O2560" s="70">
        <v>18000</v>
      </c>
      <c r="P2560" s="70">
        <v>20000</v>
      </c>
      <c r="Q2560" s="60" t="s">
        <v>3663</v>
      </c>
      <c r="R2560" s="60" t="s">
        <v>7445</v>
      </c>
      <c r="S2560" s="70">
        <v>228000</v>
      </c>
      <c r="T2560" s="60" t="b">
        <f>TRUE()</f>
        <v>1</v>
      </c>
      <c r="U2560" s="60" t="b">
        <f>FALSE()</f>
        <v>0</v>
      </c>
      <c r="V2560" s="60">
        <v>94</v>
      </c>
      <c r="W2560" s="62" t="s">
        <v>9639</v>
      </c>
      <c r="X2560" s="60">
        <v>1</v>
      </c>
      <c r="Y2560" s="63">
        <v>0.24</v>
      </c>
      <c r="Z2560" s="60" t="b">
        <f>FALSE()</f>
        <v>0</v>
      </c>
      <c r="AA2560" s="60" t="b">
        <f>FALSE()</f>
        <v>0</v>
      </c>
      <c r="AB2560" s="60" t="b">
        <f>TRUE()</f>
        <v>1</v>
      </c>
      <c r="AC2560" s="60" t="b">
        <f>FALSE()</f>
        <v>0</v>
      </c>
      <c r="AD2560" s="60" t="b">
        <f>FALSE()</f>
        <v>0</v>
      </c>
      <c r="AE2560" s="60">
        <v>1</v>
      </c>
      <c r="AF2560" s="64">
        <v>14.3</v>
      </c>
      <c r="AG2560" s="60" t="s">
        <v>74</v>
      </c>
      <c r="AH2560" s="60" t="s">
        <v>9640</v>
      </c>
      <c r="AI2560">
        <f>IF(AND(OR(Company_Explorer!$B$5="All Companies",$E2560=Company_Explorer!$B$5),OR(Company_Explorer!$B$6="All Platforms",$B2560=Company_Explorer!$B$6),OR(Company_Explorer!$B$7="All Roles",$D2560=Company_Explorer!$B$7),OR(Company_Explorer!$B$8="All Ghost Labels",$AG2560=Company_Explorer!$B$8)),1,0)</f>
        <v>0</v>
      </c>
    </row>
    <row r="2561" spans="1:35" ht="15" customHeight="1" x14ac:dyDescent="0.3">
      <c r="A2561" s="65" t="s">
        <v>9641</v>
      </c>
      <c r="B2561" s="65" t="s">
        <v>82</v>
      </c>
      <c r="C2561" s="65" t="s">
        <v>9642</v>
      </c>
      <c r="D2561" s="65" t="s">
        <v>129</v>
      </c>
      <c r="E2561" s="65" t="s">
        <v>9643</v>
      </c>
      <c r="F2561" s="65" t="b">
        <f>TRUE()</f>
        <v>1</v>
      </c>
      <c r="G2561" s="65" t="s">
        <v>176</v>
      </c>
      <c r="H2561" s="65" t="s">
        <v>302</v>
      </c>
      <c r="I2561" s="66">
        <v>46193</v>
      </c>
      <c r="J2561" s="66">
        <v>46210.286165324098</v>
      </c>
      <c r="K2561" s="65">
        <v>137</v>
      </c>
      <c r="L2561" s="65" t="s">
        <v>183</v>
      </c>
      <c r="M2561" s="65" t="s">
        <v>183</v>
      </c>
      <c r="N2561" s="65" t="b">
        <f>TRUE()</f>
        <v>1</v>
      </c>
      <c r="O2561" s="71">
        <v>300000</v>
      </c>
      <c r="P2561" s="71">
        <v>890000</v>
      </c>
      <c r="Q2561" s="65" t="s">
        <v>3663</v>
      </c>
      <c r="R2561" s="65" t="s">
        <v>7351</v>
      </c>
      <c r="S2561" s="71">
        <v>595000</v>
      </c>
      <c r="T2561" s="65" t="b">
        <f>TRUE()</f>
        <v>1</v>
      </c>
      <c r="U2561" s="65" t="b">
        <f>FALSE()</f>
        <v>0</v>
      </c>
      <c r="V2561" s="65">
        <v>149</v>
      </c>
      <c r="W2561" s="67" t="s">
        <v>9644</v>
      </c>
      <c r="X2561" s="65">
        <v>1</v>
      </c>
      <c r="Y2561" s="68">
        <v>0.24</v>
      </c>
      <c r="Z2561" s="65" t="b">
        <f>FALSE()</f>
        <v>0</v>
      </c>
      <c r="AA2561" s="65" t="b">
        <f>FALSE()</f>
        <v>0</v>
      </c>
      <c r="AB2561" s="65" t="b">
        <f>TRUE()</f>
        <v>1</v>
      </c>
      <c r="AC2561" s="65" t="b">
        <f>TRUE()</f>
        <v>1</v>
      </c>
      <c r="AD2561" s="65" t="b">
        <f>FALSE()</f>
        <v>0</v>
      </c>
      <c r="AE2561" s="65">
        <v>2</v>
      </c>
      <c r="AF2561" s="69">
        <v>28.6</v>
      </c>
      <c r="AG2561" s="65" t="s">
        <v>73</v>
      </c>
      <c r="AH2561" s="65" t="s">
        <v>9645</v>
      </c>
      <c r="AI2561">
        <f>IF(AND(OR(Company_Explorer!$B$5="All Companies",$E2561=Company_Explorer!$B$5),OR(Company_Explorer!$B$6="All Platforms",$B2561=Company_Explorer!$B$6),OR(Company_Explorer!$B$7="All Roles",$D2561=Company_Explorer!$B$7),OR(Company_Explorer!$B$8="All Ghost Labels",$AG2561=Company_Explorer!$B$8)),1,0)</f>
        <v>0</v>
      </c>
    </row>
    <row r="2562" spans="1:35" ht="15" customHeight="1" x14ac:dyDescent="0.3">
      <c r="A2562" s="60" t="s">
        <v>9646</v>
      </c>
      <c r="B2562" s="60" t="s">
        <v>82</v>
      </c>
      <c r="C2562" s="60" t="s">
        <v>9647</v>
      </c>
      <c r="D2562" s="60" t="s">
        <v>129</v>
      </c>
      <c r="E2562" s="60" t="s">
        <v>9648</v>
      </c>
      <c r="F2562" s="60" t="b">
        <f>TRUE()</f>
        <v>1</v>
      </c>
      <c r="G2562" s="60" t="s">
        <v>165</v>
      </c>
      <c r="H2562" s="60" t="s">
        <v>165</v>
      </c>
      <c r="I2562" s="61">
        <v>46203</v>
      </c>
      <c r="J2562" s="61">
        <v>46210.2861670602</v>
      </c>
      <c r="K2562" s="60">
        <v>38</v>
      </c>
      <c r="L2562" s="60" t="s">
        <v>183</v>
      </c>
      <c r="M2562" s="60" t="s">
        <v>183</v>
      </c>
      <c r="N2562" s="60" t="b">
        <f>FALSE()</f>
        <v>0</v>
      </c>
      <c r="O2562" s="60"/>
      <c r="P2562" s="60"/>
      <c r="Q2562" s="60" t="s">
        <v>3663</v>
      </c>
      <c r="R2562" s="60" t="s">
        <v>236</v>
      </c>
      <c r="S2562" s="60"/>
      <c r="T2562" s="60" t="b">
        <f>FALSE()</f>
        <v>0</v>
      </c>
      <c r="U2562" s="60" t="b">
        <f>FALSE()</f>
        <v>0</v>
      </c>
      <c r="V2562" s="60">
        <v>633</v>
      </c>
      <c r="W2562" s="62" t="s">
        <v>9649</v>
      </c>
      <c r="X2562" s="60">
        <v>1</v>
      </c>
      <c r="Y2562" s="63">
        <v>0.24</v>
      </c>
      <c r="Z2562" s="60" t="b">
        <f>FALSE()</f>
        <v>0</v>
      </c>
      <c r="AA2562" s="60" t="b">
        <f>TRUE()</f>
        <v>1</v>
      </c>
      <c r="AB2562" s="60" t="b">
        <f>FALSE()</f>
        <v>0</v>
      </c>
      <c r="AC2562" s="60" t="b">
        <f>FALSE()</f>
        <v>0</v>
      </c>
      <c r="AD2562" s="60" t="b">
        <f>FALSE()</f>
        <v>0</v>
      </c>
      <c r="AE2562" s="60">
        <v>1</v>
      </c>
      <c r="AF2562" s="64">
        <v>14.3</v>
      </c>
      <c r="AG2562" s="60" t="s">
        <v>74</v>
      </c>
      <c r="AH2562" s="60" t="s">
        <v>9650</v>
      </c>
      <c r="AI2562">
        <f>IF(AND(OR(Company_Explorer!$B$5="All Companies",$E2562=Company_Explorer!$B$5),OR(Company_Explorer!$B$6="All Platforms",$B2562=Company_Explorer!$B$6),OR(Company_Explorer!$B$7="All Roles",$D2562=Company_Explorer!$B$7),OR(Company_Explorer!$B$8="All Ghost Labels",$AG2562=Company_Explorer!$B$8)),1,0)</f>
        <v>0</v>
      </c>
    </row>
    <row r="2563" spans="1:35" ht="15" customHeight="1" x14ac:dyDescent="0.3">
      <c r="A2563" s="65" t="s">
        <v>9651</v>
      </c>
      <c r="B2563" s="65" t="s">
        <v>82</v>
      </c>
      <c r="C2563" s="65" t="s">
        <v>9652</v>
      </c>
      <c r="D2563" s="65" t="s">
        <v>129</v>
      </c>
      <c r="E2563" s="65" t="s">
        <v>9653</v>
      </c>
      <c r="F2563" s="65" t="b">
        <f>TRUE()</f>
        <v>1</v>
      </c>
      <c r="G2563" s="65" t="s">
        <v>2302</v>
      </c>
      <c r="H2563" s="65" t="s">
        <v>270</v>
      </c>
      <c r="I2563" s="66">
        <v>46201</v>
      </c>
      <c r="J2563" s="66">
        <v>46210.286169120402</v>
      </c>
      <c r="K2563" s="65">
        <v>129</v>
      </c>
      <c r="L2563" s="65" t="s">
        <v>183</v>
      </c>
      <c r="M2563" s="65" t="s">
        <v>183</v>
      </c>
      <c r="N2563" s="65" t="b">
        <f>TRUE()</f>
        <v>1</v>
      </c>
      <c r="O2563" s="71">
        <v>315000</v>
      </c>
      <c r="P2563" s="71">
        <v>830990</v>
      </c>
      <c r="Q2563" s="65" t="s">
        <v>3663</v>
      </c>
      <c r="R2563" s="65" t="s">
        <v>7351</v>
      </c>
      <c r="S2563" s="71">
        <v>572995</v>
      </c>
      <c r="T2563" s="65" t="b">
        <f>TRUE()</f>
        <v>1</v>
      </c>
      <c r="U2563" s="65" t="b">
        <f>FALSE()</f>
        <v>0</v>
      </c>
      <c r="V2563" s="65">
        <v>26</v>
      </c>
      <c r="W2563" s="67" t="s">
        <v>9654</v>
      </c>
      <c r="X2563" s="65">
        <v>1</v>
      </c>
      <c r="Y2563" s="68">
        <v>0.24</v>
      </c>
      <c r="Z2563" s="65" t="b">
        <f>FALSE()</f>
        <v>0</v>
      </c>
      <c r="AA2563" s="65" t="b">
        <f>FALSE()</f>
        <v>0</v>
      </c>
      <c r="AB2563" s="65" t="b">
        <f>TRUE()</f>
        <v>1</v>
      </c>
      <c r="AC2563" s="65" t="b">
        <f>TRUE()</f>
        <v>1</v>
      </c>
      <c r="AD2563" s="65" t="b">
        <f>FALSE()</f>
        <v>0</v>
      </c>
      <c r="AE2563" s="65">
        <v>2</v>
      </c>
      <c r="AF2563" s="69">
        <v>28.6</v>
      </c>
      <c r="AG2563" s="65" t="s">
        <v>73</v>
      </c>
      <c r="AH2563" s="65" t="s">
        <v>9655</v>
      </c>
      <c r="AI2563">
        <f>IF(AND(OR(Company_Explorer!$B$5="All Companies",$E2563=Company_Explorer!$B$5),OR(Company_Explorer!$B$6="All Platforms",$B2563=Company_Explorer!$B$6),OR(Company_Explorer!$B$7="All Roles",$D2563=Company_Explorer!$B$7),OR(Company_Explorer!$B$8="All Ghost Labels",$AG2563=Company_Explorer!$B$8)),1,0)</f>
        <v>0</v>
      </c>
    </row>
    <row r="2564" spans="1:35" ht="15" customHeight="1" x14ac:dyDescent="0.3">
      <c r="A2564" s="60" t="s">
        <v>9656</v>
      </c>
      <c r="B2564" s="60" t="s">
        <v>82</v>
      </c>
      <c r="C2564" s="60" t="s">
        <v>306</v>
      </c>
      <c r="D2564" s="60" t="s">
        <v>125</v>
      </c>
      <c r="E2564" s="60" t="s">
        <v>9657</v>
      </c>
      <c r="F2564" s="60" t="b">
        <f>TRUE()</f>
        <v>1</v>
      </c>
      <c r="G2564" s="60" t="s">
        <v>2713</v>
      </c>
      <c r="H2564" s="60" t="s">
        <v>326</v>
      </c>
      <c r="I2564" s="61">
        <v>46200</v>
      </c>
      <c r="J2564" s="61">
        <v>46210.286171006897</v>
      </c>
      <c r="K2564" s="60">
        <v>130</v>
      </c>
      <c r="L2564" s="60" t="s">
        <v>183</v>
      </c>
      <c r="M2564" s="60" t="s">
        <v>183</v>
      </c>
      <c r="N2564" s="60" t="b">
        <f>TRUE()</f>
        <v>1</v>
      </c>
      <c r="O2564" s="70">
        <v>210000</v>
      </c>
      <c r="P2564" s="70">
        <v>675000</v>
      </c>
      <c r="Q2564" s="60" t="s">
        <v>3663</v>
      </c>
      <c r="R2564" s="60" t="s">
        <v>7351</v>
      </c>
      <c r="S2564" s="70">
        <v>442500</v>
      </c>
      <c r="T2564" s="60" t="b">
        <f>TRUE()</f>
        <v>1</v>
      </c>
      <c r="U2564" s="60" t="b">
        <f>FALSE()</f>
        <v>0</v>
      </c>
      <c r="V2564" s="60">
        <v>109</v>
      </c>
      <c r="W2564" s="62" t="s">
        <v>9658</v>
      </c>
      <c r="X2564" s="60">
        <v>1</v>
      </c>
      <c r="Y2564" s="63">
        <v>0.24</v>
      </c>
      <c r="Z2564" s="60" t="b">
        <f>FALSE()</f>
        <v>0</v>
      </c>
      <c r="AA2564" s="60" t="b">
        <f>FALSE()</f>
        <v>0</v>
      </c>
      <c r="AB2564" s="60" t="b">
        <f>TRUE()</f>
        <v>1</v>
      </c>
      <c r="AC2564" s="60" t="b">
        <f>TRUE()</f>
        <v>1</v>
      </c>
      <c r="AD2564" s="60" t="b">
        <f>FALSE()</f>
        <v>0</v>
      </c>
      <c r="AE2564" s="60">
        <v>2</v>
      </c>
      <c r="AF2564" s="64">
        <v>28.6</v>
      </c>
      <c r="AG2564" s="60" t="s">
        <v>73</v>
      </c>
      <c r="AH2564" s="60" t="s">
        <v>9659</v>
      </c>
      <c r="AI2564">
        <f>IF(AND(OR(Company_Explorer!$B$5="All Companies",$E2564=Company_Explorer!$B$5),OR(Company_Explorer!$B$6="All Platforms",$B2564=Company_Explorer!$B$6),OR(Company_Explorer!$B$7="All Roles",$D2564=Company_Explorer!$B$7),OR(Company_Explorer!$B$8="All Ghost Labels",$AG2564=Company_Explorer!$B$8)),1,0)</f>
        <v>0</v>
      </c>
    </row>
    <row r="2565" spans="1:35" ht="15" customHeight="1" x14ac:dyDescent="0.3">
      <c r="A2565" s="65" t="s">
        <v>9660</v>
      </c>
      <c r="B2565" s="65" t="s">
        <v>82</v>
      </c>
      <c r="C2565" s="65" t="s">
        <v>9661</v>
      </c>
      <c r="D2565" s="65" t="s">
        <v>129</v>
      </c>
      <c r="E2565" s="65" t="s">
        <v>9662</v>
      </c>
      <c r="F2565" s="65" t="b">
        <f>TRUE()</f>
        <v>1</v>
      </c>
      <c r="G2565" s="65" t="s">
        <v>9663</v>
      </c>
      <c r="H2565" s="65" t="s">
        <v>263</v>
      </c>
      <c r="I2565" s="66">
        <v>46200</v>
      </c>
      <c r="J2565" s="66">
        <v>46210.286172280103</v>
      </c>
      <c r="K2565" s="65">
        <v>130</v>
      </c>
      <c r="L2565" s="65" t="s">
        <v>192</v>
      </c>
      <c r="M2565" s="65" t="s">
        <v>183</v>
      </c>
      <c r="N2565" s="65" t="b">
        <f>TRUE()</f>
        <v>1</v>
      </c>
      <c r="O2565" s="71">
        <v>240000</v>
      </c>
      <c r="P2565" s="71">
        <v>360000</v>
      </c>
      <c r="Q2565" s="65" t="s">
        <v>3663</v>
      </c>
      <c r="R2565" s="65" t="s">
        <v>7351</v>
      </c>
      <c r="S2565" s="71">
        <v>300000</v>
      </c>
      <c r="T2565" s="65" t="b">
        <f>TRUE()</f>
        <v>1</v>
      </c>
      <c r="U2565" s="65" t="b">
        <f>FALSE()</f>
        <v>0</v>
      </c>
      <c r="V2565" s="65">
        <v>167</v>
      </c>
      <c r="W2565" s="67" t="s">
        <v>9664</v>
      </c>
      <c r="X2565" s="65">
        <v>1</v>
      </c>
      <c r="Y2565" s="68">
        <v>0.24</v>
      </c>
      <c r="Z2565" s="65" t="b">
        <f>FALSE()</f>
        <v>0</v>
      </c>
      <c r="AA2565" s="65" t="b">
        <f>FALSE()</f>
        <v>0</v>
      </c>
      <c r="AB2565" s="65" t="b">
        <f>TRUE()</f>
        <v>1</v>
      </c>
      <c r="AC2565" s="65" t="b">
        <f>TRUE()</f>
        <v>1</v>
      </c>
      <c r="AD2565" s="65" t="b">
        <f>FALSE()</f>
        <v>0</v>
      </c>
      <c r="AE2565" s="65">
        <v>2</v>
      </c>
      <c r="AF2565" s="69">
        <v>28.6</v>
      </c>
      <c r="AG2565" s="65" t="s">
        <v>73</v>
      </c>
      <c r="AH2565" s="65" t="s">
        <v>9665</v>
      </c>
      <c r="AI2565">
        <f>IF(AND(OR(Company_Explorer!$B$5="All Companies",$E2565=Company_Explorer!$B$5),OR(Company_Explorer!$B$6="All Platforms",$B2565=Company_Explorer!$B$6),OR(Company_Explorer!$B$7="All Roles",$D2565=Company_Explorer!$B$7),OR(Company_Explorer!$B$8="All Ghost Labels",$AG2565=Company_Explorer!$B$8)),1,0)</f>
        <v>0</v>
      </c>
    </row>
    <row r="2566" spans="1:35" ht="15" customHeight="1" x14ac:dyDescent="0.3">
      <c r="A2566" s="60" t="s">
        <v>9666</v>
      </c>
      <c r="B2566" s="60" t="s">
        <v>82</v>
      </c>
      <c r="C2566" s="60" t="s">
        <v>9667</v>
      </c>
      <c r="D2566" s="60" t="s">
        <v>129</v>
      </c>
      <c r="E2566" s="60" t="s">
        <v>9668</v>
      </c>
      <c r="F2566" s="60" t="b">
        <f>TRUE()</f>
        <v>1</v>
      </c>
      <c r="G2566" s="60" t="s">
        <v>165</v>
      </c>
      <c r="H2566" s="60" t="s">
        <v>165</v>
      </c>
      <c r="I2566" s="61">
        <v>46201</v>
      </c>
      <c r="J2566" s="61">
        <v>46210.286174768502</v>
      </c>
      <c r="K2566" s="60">
        <v>130</v>
      </c>
      <c r="L2566" s="60" t="s">
        <v>183</v>
      </c>
      <c r="M2566" s="60" t="s">
        <v>183</v>
      </c>
      <c r="N2566" s="60" t="b">
        <f>FALSE()</f>
        <v>0</v>
      </c>
      <c r="O2566" s="60"/>
      <c r="P2566" s="60"/>
      <c r="Q2566" s="60" t="s">
        <v>3663</v>
      </c>
      <c r="R2566" s="60" t="s">
        <v>236</v>
      </c>
      <c r="S2566" s="60"/>
      <c r="T2566" s="60" t="b">
        <f>FALSE()</f>
        <v>0</v>
      </c>
      <c r="U2566" s="60" t="b">
        <f>FALSE()</f>
        <v>0</v>
      </c>
      <c r="V2566" s="60">
        <v>676</v>
      </c>
      <c r="W2566" s="62" t="s">
        <v>9669</v>
      </c>
      <c r="X2566" s="60">
        <v>1</v>
      </c>
      <c r="Y2566" s="63">
        <v>0.24</v>
      </c>
      <c r="Z2566" s="60" t="b">
        <f>FALSE()</f>
        <v>0</v>
      </c>
      <c r="AA2566" s="60" t="b">
        <f>TRUE()</f>
        <v>1</v>
      </c>
      <c r="AB2566" s="60" t="b">
        <f>FALSE()</f>
        <v>0</v>
      </c>
      <c r="AC2566" s="60" t="b">
        <f>TRUE()</f>
        <v>1</v>
      </c>
      <c r="AD2566" s="60" t="b">
        <f>FALSE()</f>
        <v>0</v>
      </c>
      <c r="AE2566" s="60">
        <v>2</v>
      </c>
      <c r="AF2566" s="64">
        <v>28.6</v>
      </c>
      <c r="AG2566" s="60" t="s">
        <v>73</v>
      </c>
      <c r="AH2566" s="60" t="s">
        <v>9670</v>
      </c>
      <c r="AI2566">
        <f>IF(AND(OR(Company_Explorer!$B$5="All Companies",$E2566=Company_Explorer!$B$5),OR(Company_Explorer!$B$6="All Platforms",$B2566=Company_Explorer!$B$6),OR(Company_Explorer!$B$7="All Roles",$D2566=Company_Explorer!$B$7),OR(Company_Explorer!$B$8="All Ghost Labels",$AG2566=Company_Explorer!$B$8)),1,0)</f>
        <v>0</v>
      </c>
    </row>
    <row r="2567" spans="1:35" ht="15" customHeight="1" x14ac:dyDescent="0.3">
      <c r="A2567" s="65" t="s">
        <v>9671</v>
      </c>
      <c r="B2567" s="65" t="s">
        <v>82</v>
      </c>
      <c r="C2567" s="65" t="s">
        <v>8164</v>
      </c>
      <c r="D2567" s="65" t="s">
        <v>129</v>
      </c>
      <c r="E2567" s="65" t="s">
        <v>3726</v>
      </c>
      <c r="F2567" s="65" t="b">
        <f>FALSE()</f>
        <v>0</v>
      </c>
      <c r="G2567" s="65" t="s">
        <v>165</v>
      </c>
      <c r="H2567" s="65" t="s">
        <v>165</v>
      </c>
      <c r="I2567" s="66">
        <v>46183</v>
      </c>
      <c r="J2567" s="66">
        <v>46210.286175393499</v>
      </c>
      <c r="K2567" s="65">
        <v>28</v>
      </c>
      <c r="L2567" s="65" t="s">
        <v>192</v>
      </c>
      <c r="M2567" s="65" t="s">
        <v>183</v>
      </c>
      <c r="N2567" s="65" t="b">
        <f>TRUE()</f>
        <v>1</v>
      </c>
      <c r="O2567" s="71">
        <v>300000</v>
      </c>
      <c r="P2567" s="71">
        <v>400000</v>
      </c>
      <c r="Q2567" s="65" t="s">
        <v>3663</v>
      </c>
      <c r="R2567" s="65" t="s">
        <v>7351</v>
      </c>
      <c r="S2567" s="71">
        <v>350000</v>
      </c>
      <c r="T2567" s="65" t="b">
        <f>TRUE()</f>
        <v>1</v>
      </c>
      <c r="U2567" s="65" t="b">
        <f>FALSE()</f>
        <v>0</v>
      </c>
      <c r="V2567" s="65">
        <v>205</v>
      </c>
      <c r="W2567" s="65" t="s">
        <v>9672</v>
      </c>
      <c r="X2567" s="65"/>
      <c r="Y2567" s="68"/>
      <c r="Z2567" s="65" t="b">
        <f>TRUE()</f>
        <v>1</v>
      </c>
      <c r="AA2567" s="65" t="b">
        <f>FALSE()</f>
        <v>0</v>
      </c>
      <c r="AB2567" s="65" t="b">
        <f>TRUE()</f>
        <v>1</v>
      </c>
      <c r="AC2567" s="65" t="b">
        <f>FALSE()</f>
        <v>0</v>
      </c>
      <c r="AD2567" s="65" t="b">
        <f>FALSE()</f>
        <v>0</v>
      </c>
      <c r="AE2567" s="65">
        <v>3</v>
      </c>
      <c r="AF2567" s="69">
        <v>42.9</v>
      </c>
      <c r="AG2567" s="65" t="s">
        <v>73</v>
      </c>
      <c r="AH2567" s="65" t="s">
        <v>9673</v>
      </c>
      <c r="AI2567">
        <f>IF(AND(OR(Company_Explorer!$B$5="All Companies",$E2567=Company_Explorer!$B$5),OR(Company_Explorer!$B$6="All Platforms",$B2567=Company_Explorer!$B$6),OR(Company_Explorer!$B$7="All Roles",$D2567=Company_Explorer!$B$7),OR(Company_Explorer!$B$8="All Ghost Labels",$AG2567=Company_Explorer!$B$8)),1,0)</f>
        <v>0</v>
      </c>
    </row>
    <row r="2568" spans="1:35" ht="15" customHeight="1" x14ac:dyDescent="0.3">
      <c r="A2568" s="60" t="s">
        <v>9674</v>
      </c>
      <c r="B2568" s="60" t="s">
        <v>82</v>
      </c>
      <c r="C2568" s="60" t="s">
        <v>9675</v>
      </c>
      <c r="D2568" s="60" t="s">
        <v>125</v>
      </c>
      <c r="E2568" s="60" t="s">
        <v>3726</v>
      </c>
      <c r="F2568" s="60" t="b">
        <f>FALSE()</f>
        <v>0</v>
      </c>
      <c r="G2568" s="60" t="s">
        <v>165</v>
      </c>
      <c r="H2568" s="60" t="s">
        <v>165</v>
      </c>
      <c r="I2568" s="61">
        <v>46206</v>
      </c>
      <c r="J2568" s="61">
        <v>46210.286176180598</v>
      </c>
      <c r="K2568" s="60">
        <v>4</v>
      </c>
      <c r="L2568" s="60" t="s">
        <v>192</v>
      </c>
      <c r="M2568" s="60" t="s">
        <v>183</v>
      </c>
      <c r="N2568" s="60" t="b">
        <f>TRUE()</f>
        <v>1</v>
      </c>
      <c r="O2568" s="70">
        <v>40000</v>
      </c>
      <c r="P2568" s="70">
        <v>50000</v>
      </c>
      <c r="Q2568" s="60" t="s">
        <v>3663</v>
      </c>
      <c r="R2568" s="60" t="s">
        <v>7445</v>
      </c>
      <c r="S2568" s="70">
        <v>540000</v>
      </c>
      <c r="T2568" s="60" t="b">
        <f>TRUE()</f>
        <v>1</v>
      </c>
      <c r="U2568" s="60" t="b">
        <f>FALSE()</f>
        <v>0</v>
      </c>
      <c r="V2568" s="60">
        <v>292</v>
      </c>
      <c r="W2568" s="62" t="s">
        <v>9676</v>
      </c>
      <c r="X2568" s="60"/>
      <c r="Y2568" s="63"/>
      <c r="Z2568" s="60" t="b">
        <f>TRUE()</f>
        <v>1</v>
      </c>
      <c r="AA2568" s="60" t="b">
        <f>FALSE()</f>
        <v>0</v>
      </c>
      <c r="AB2568" s="60" t="b">
        <f>FALSE()</f>
        <v>0</v>
      </c>
      <c r="AC2568" s="60" t="b">
        <f>FALSE()</f>
        <v>0</v>
      </c>
      <c r="AD2568" s="60" t="b">
        <f>FALSE()</f>
        <v>0</v>
      </c>
      <c r="AE2568" s="60">
        <v>2</v>
      </c>
      <c r="AF2568" s="64">
        <v>28.6</v>
      </c>
      <c r="AG2568" s="60" t="s">
        <v>73</v>
      </c>
      <c r="AH2568" s="60" t="s">
        <v>9677</v>
      </c>
      <c r="AI2568">
        <f>IF(AND(OR(Company_Explorer!$B$5="All Companies",$E2568=Company_Explorer!$B$5),OR(Company_Explorer!$B$6="All Platforms",$B2568=Company_Explorer!$B$6),OR(Company_Explorer!$B$7="All Roles",$D2568=Company_Explorer!$B$7),OR(Company_Explorer!$B$8="All Ghost Labels",$AG2568=Company_Explorer!$B$8)),1,0)</f>
        <v>0</v>
      </c>
    </row>
    <row r="2569" spans="1:35" ht="15" customHeight="1" x14ac:dyDescent="0.3">
      <c r="A2569" s="65" t="s">
        <v>9678</v>
      </c>
      <c r="B2569" s="65" t="s">
        <v>82</v>
      </c>
      <c r="C2569" s="65" t="s">
        <v>2672</v>
      </c>
      <c r="D2569" s="65" t="s">
        <v>125</v>
      </c>
      <c r="E2569" s="65" t="s">
        <v>9679</v>
      </c>
      <c r="F2569" s="65" t="b">
        <f>TRUE()</f>
        <v>1</v>
      </c>
      <c r="G2569" s="65" t="s">
        <v>179</v>
      </c>
      <c r="H2569" s="65" t="s">
        <v>254</v>
      </c>
      <c r="I2569" s="66">
        <v>46193</v>
      </c>
      <c r="J2569" s="66">
        <v>46210.286178599497</v>
      </c>
      <c r="K2569" s="65">
        <v>137</v>
      </c>
      <c r="L2569" s="65" t="s">
        <v>183</v>
      </c>
      <c r="M2569" s="65" t="s">
        <v>183</v>
      </c>
      <c r="N2569" s="65" t="b">
        <f>TRUE()</f>
        <v>1</v>
      </c>
      <c r="O2569" s="71">
        <v>300000</v>
      </c>
      <c r="P2569" s="71">
        <v>396000</v>
      </c>
      <c r="Q2569" s="65" t="s">
        <v>3663</v>
      </c>
      <c r="R2569" s="65" t="s">
        <v>7351</v>
      </c>
      <c r="S2569" s="71">
        <v>348000</v>
      </c>
      <c r="T2569" s="65" t="b">
        <f>TRUE()</f>
        <v>1</v>
      </c>
      <c r="U2569" s="65" t="b">
        <f>FALSE()</f>
        <v>0</v>
      </c>
      <c r="V2569" s="65">
        <v>143</v>
      </c>
      <c r="W2569" s="65" t="s">
        <v>9680</v>
      </c>
      <c r="X2569" s="65">
        <v>1</v>
      </c>
      <c r="Y2569" s="68">
        <v>0.24</v>
      </c>
      <c r="Z2569" s="65" t="b">
        <f>FALSE()</f>
        <v>0</v>
      </c>
      <c r="AA2569" s="65" t="b">
        <f>FALSE()</f>
        <v>0</v>
      </c>
      <c r="AB2569" s="65" t="b">
        <f>TRUE()</f>
        <v>1</v>
      </c>
      <c r="AC2569" s="65" t="b">
        <f>TRUE()</f>
        <v>1</v>
      </c>
      <c r="AD2569" s="65" t="b">
        <f>FALSE()</f>
        <v>0</v>
      </c>
      <c r="AE2569" s="65">
        <v>2</v>
      </c>
      <c r="AF2569" s="69">
        <v>28.6</v>
      </c>
      <c r="AG2569" s="65" t="s">
        <v>73</v>
      </c>
      <c r="AH2569" s="65" t="s">
        <v>9681</v>
      </c>
      <c r="AI2569">
        <f>IF(AND(OR(Company_Explorer!$B$5="All Companies",$E2569=Company_Explorer!$B$5),OR(Company_Explorer!$B$6="All Platforms",$B2569=Company_Explorer!$B$6),OR(Company_Explorer!$B$7="All Roles",$D2569=Company_Explorer!$B$7),OR(Company_Explorer!$B$8="All Ghost Labels",$AG2569=Company_Explorer!$B$8)),1,0)</f>
        <v>0</v>
      </c>
    </row>
    <row r="2570" spans="1:35" ht="15" customHeight="1" x14ac:dyDescent="0.3">
      <c r="A2570" s="60" t="s">
        <v>9682</v>
      </c>
      <c r="B2570" s="60" t="s">
        <v>82</v>
      </c>
      <c r="C2570" s="60" t="s">
        <v>9683</v>
      </c>
      <c r="D2570" s="60" t="s">
        <v>125</v>
      </c>
      <c r="E2570" s="60" t="s">
        <v>9684</v>
      </c>
      <c r="F2570" s="60" t="b">
        <f>TRUE()</f>
        <v>1</v>
      </c>
      <c r="G2570" s="60" t="s">
        <v>172</v>
      </c>
      <c r="H2570" s="60" t="s">
        <v>276</v>
      </c>
      <c r="I2570" s="61">
        <v>46201</v>
      </c>
      <c r="J2570" s="61">
        <v>46210.286179710703</v>
      </c>
      <c r="K2570" s="60">
        <v>130</v>
      </c>
      <c r="L2570" s="60" t="s">
        <v>183</v>
      </c>
      <c r="M2570" s="60" t="s">
        <v>183</v>
      </c>
      <c r="N2570" s="60" t="b">
        <f>TRUE()</f>
        <v>1</v>
      </c>
      <c r="O2570" s="70">
        <v>210000</v>
      </c>
      <c r="P2570" s="70">
        <v>675000</v>
      </c>
      <c r="Q2570" s="60" t="s">
        <v>3663</v>
      </c>
      <c r="R2570" s="60" t="s">
        <v>7351</v>
      </c>
      <c r="S2570" s="70">
        <v>442500</v>
      </c>
      <c r="T2570" s="60" t="b">
        <f>TRUE()</f>
        <v>1</v>
      </c>
      <c r="U2570" s="60" t="b">
        <f>FALSE()</f>
        <v>0</v>
      </c>
      <c r="V2570" s="60">
        <v>185</v>
      </c>
      <c r="W2570" s="62" t="s">
        <v>9685</v>
      </c>
      <c r="X2570" s="60">
        <v>1</v>
      </c>
      <c r="Y2570" s="63">
        <v>0.24</v>
      </c>
      <c r="Z2570" s="60" t="b">
        <f>FALSE()</f>
        <v>0</v>
      </c>
      <c r="AA2570" s="60" t="b">
        <f>FALSE()</f>
        <v>0</v>
      </c>
      <c r="AB2570" s="60" t="b">
        <f>TRUE()</f>
        <v>1</v>
      </c>
      <c r="AC2570" s="60" t="b">
        <f>TRUE()</f>
        <v>1</v>
      </c>
      <c r="AD2570" s="60" t="b">
        <f>FALSE()</f>
        <v>0</v>
      </c>
      <c r="AE2570" s="60">
        <v>2</v>
      </c>
      <c r="AF2570" s="64">
        <v>28.6</v>
      </c>
      <c r="AG2570" s="60" t="s">
        <v>73</v>
      </c>
      <c r="AH2570" s="60" t="s">
        <v>9686</v>
      </c>
      <c r="AI2570">
        <f>IF(AND(OR(Company_Explorer!$B$5="All Companies",$E2570=Company_Explorer!$B$5),OR(Company_Explorer!$B$6="All Platforms",$B2570=Company_Explorer!$B$6),OR(Company_Explorer!$B$7="All Roles",$D2570=Company_Explorer!$B$7),OR(Company_Explorer!$B$8="All Ghost Labels",$AG2570=Company_Explorer!$B$8)),1,0)</f>
        <v>0</v>
      </c>
    </row>
    <row r="2571" spans="1:35" ht="15" customHeight="1" x14ac:dyDescent="0.3">
      <c r="A2571" s="65" t="s">
        <v>9687</v>
      </c>
      <c r="B2571" s="65" t="s">
        <v>82</v>
      </c>
      <c r="C2571" s="65" t="s">
        <v>9688</v>
      </c>
      <c r="D2571" s="65" t="s">
        <v>125</v>
      </c>
      <c r="E2571" s="65" t="s">
        <v>9689</v>
      </c>
      <c r="F2571" s="65" t="b">
        <f>TRUE()</f>
        <v>1</v>
      </c>
      <c r="G2571" s="65" t="s">
        <v>9690</v>
      </c>
      <c r="H2571" s="65" t="s">
        <v>7450</v>
      </c>
      <c r="I2571" s="66">
        <v>46197</v>
      </c>
      <c r="J2571" s="66">
        <v>46210.2861807523</v>
      </c>
      <c r="K2571" s="65">
        <v>590</v>
      </c>
      <c r="L2571" s="65" t="s">
        <v>183</v>
      </c>
      <c r="M2571" s="65" t="s">
        <v>183</v>
      </c>
      <c r="N2571" s="65" t="b">
        <f>TRUE()</f>
        <v>1</v>
      </c>
      <c r="O2571" s="71">
        <v>600000</v>
      </c>
      <c r="P2571" s="71">
        <v>720000</v>
      </c>
      <c r="Q2571" s="65" t="s">
        <v>3663</v>
      </c>
      <c r="R2571" s="65" t="s">
        <v>7351</v>
      </c>
      <c r="S2571" s="71">
        <v>660000</v>
      </c>
      <c r="T2571" s="65" t="b">
        <f>TRUE()</f>
        <v>1</v>
      </c>
      <c r="U2571" s="65" t="b">
        <f>FALSE()</f>
        <v>0</v>
      </c>
      <c r="V2571" s="65">
        <v>308</v>
      </c>
      <c r="W2571" s="65" t="s">
        <v>9691</v>
      </c>
      <c r="X2571" s="65">
        <v>1</v>
      </c>
      <c r="Y2571" s="68">
        <v>0.24</v>
      </c>
      <c r="Z2571" s="65" t="b">
        <f>FALSE()</f>
        <v>0</v>
      </c>
      <c r="AA2571" s="65" t="b">
        <f>FALSE()</f>
        <v>0</v>
      </c>
      <c r="AB2571" s="65" t="b">
        <f>FALSE()</f>
        <v>0</v>
      </c>
      <c r="AC2571" s="65" t="b">
        <f>TRUE()</f>
        <v>1</v>
      </c>
      <c r="AD2571" s="65" t="b">
        <f>FALSE()</f>
        <v>0</v>
      </c>
      <c r="AE2571" s="65">
        <v>1</v>
      </c>
      <c r="AF2571" s="69">
        <v>14.3</v>
      </c>
      <c r="AG2571" s="65" t="s">
        <v>74</v>
      </c>
      <c r="AH2571" s="65" t="s">
        <v>9692</v>
      </c>
      <c r="AI2571">
        <f>IF(AND(OR(Company_Explorer!$B$5="All Companies",$E2571=Company_Explorer!$B$5),OR(Company_Explorer!$B$6="All Platforms",$B2571=Company_Explorer!$B$6),OR(Company_Explorer!$B$7="All Roles",$D2571=Company_Explorer!$B$7),OR(Company_Explorer!$B$8="All Ghost Labels",$AG2571=Company_Explorer!$B$8)),1,0)</f>
        <v>0</v>
      </c>
    </row>
    <row r="2572" spans="1:35" ht="15" customHeight="1" x14ac:dyDescent="0.3">
      <c r="A2572" s="60" t="s">
        <v>9693</v>
      </c>
      <c r="B2572" s="60" t="s">
        <v>82</v>
      </c>
      <c r="C2572" s="60" t="s">
        <v>7917</v>
      </c>
      <c r="D2572" s="60" t="s">
        <v>125</v>
      </c>
      <c r="E2572" s="60" t="s">
        <v>9694</v>
      </c>
      <c r="F2572" s="60" t="b">
        <f>TRUE()</f>
        <v>1</v>
      </c>
      <c r="G2572" s="60" t="s">
        <v>2302</v>
      </c>
      <c r="H2572" s="60" t="s">
        <v>270</v>
      </c>
      <c r="I2572" s="61">
        <v>46207</v>
      </c>
      <c r="J2572" s="61">
        <v>46210.286183541699</v>
      </c>
      <c r="K2572" s="60">
        <v>125</v>
      </c>
      <c r="L2572" s="60" t="s">
        <v>183</v>
      </c>
      <c r="M2572" s="60" t="s">
        <v>183</v>
      </c>
      <c r="N2572" s="60" t="b">
        <f>TRUE()</f>
        <v>1</v>
      </c>
      <c r="O2572" s="70">
        <v>315000</v>
      </c>
      <c r="P2572" s="70">
        <v>830990</v>
      </c>
      <c r="Q2572" s="60" t="s">
        <v>3663</v>
      </c>
      <c r="R2572" s="60" t="s">
        <v>7351</v>
      </c>
      <c r="S2572" s="70">
        <v>572995</v>
      </c>
      <c r="T2572" s="60" t="b">
        <f>TRUE()</f>
        <v>1</v>
      </c>
      <c r="U2572" s="60" t="b">
        <f>FALSE()</f>
        <v>0</v>
      </c>
      <c r="V2572" s="60">
        <v>186</v>
      </c>
      <c r="W2572" s="62" t="s">
        <v>9695</v>
      </c>
      <c r="X2572" s="60">
        <v>1</v>
      </c>
      <c r="Y2572" s="63">
        <v>0.24</v>
      </c>
      <c r="Z2572" s="60" t="b">
        <f>FALSE()</f>
        <v>0</v>
      </c>
      <c r="AA2572" s="60" t="b">
        <f>FALSE()</f>
        <v>0</v>
      </c>
      <c r="AB2572" s="60" t="b">
        <f>TRUE()</f>
        <v>1</v>
      </c>
      <c r="AC2572" s="60" t="b">
        <f>TRUE()</f>
        <v>1</v>
      </c>
      <c r="AD2572" s="60" t="b">
        <f>FALSE()</f>
        <v>0</v>
      </c>
      <c r="AE2572" s="60">
        <v>2</v>
      </c>
      <c r="AF2572" s="64">
        <v>28.6</v>
      </c>
      <c r="AG2572" s="60" t="s">
        <v>73</v>
      </c>
      <c r="AH2572" s="60" t="s">
        <v>9696</v>
      </c>
      <c r="AI2572">
        <f>IF(AND(OR(Company_Explorer!$B$5="All Companies",$E2572=Company_Explorer!$B$5),OR(Company_Explorer!$B$6="All Platforms",$B2572=Company_Explorer!$B$6),OR(Company_Explorer!$B$7="All Roles",$D2572=Company_Explorer!$B$7),OR(Company_Explorer!$B$8="All Ghost Labels",$AG2572=Company_Explorer!$B$8)),1,0)</f>
        <v>0</v>
      </c>
    </row>
    <row r="2573" spans="1:35" ht="15" customHeight="1" x14ac:dyDescent="0.3">
      <c r="A2573" s="65" t="s">
        <v>9697</v>
      </c>
      <c r="B2573" s="65" t="s">
        <v>82</v>
      </c>
      <c r="C2573" s="65" t="s">
        <v>2017</v>
      </c>
      <c r="D2573" s="65" t="s">
        <v>125</v>
      </c>
      <c r="E2573" s="65" t="s">
        <v>9698</v>
      </c>
      <c r="F2573" s="65" t="b">
        <f>TRUE()</f>
        <v>1</v>
      </c>
      <c r="G2573" s="65" t="s">
        <v>165</v>
      </c>
      <c r="H2573" s="65" t="s">
        <v>165</v>
      </c>
      <c r="I2573" s="66">
        <v>46202</v>
      </c>
      <c r="J2573" s="66">
        <v>46210.286183750002</v>
      </c>
      <c r="K2573" s="65">
        <v>129</v>
      </c>
      <c r="L2573" s="65" t="s">
        <v>192</v>
      </c>
      <c r="M2573" s="65" t="s">
        <v>183</v>
      </c>
      <c r="N2573" s="65" t="b">
        <f>FALSE()</f>
        <v>0</v>
      </c>
      <c r="O2573" s="65"/>
      <c r="P2573" s="65"/>
      <c r="Q2573" s="65" t="s">
        <v>3663</v>
      </c>
      <c r="R2573" s="65" t="s">
        <v>236</v>
      </c>
      <c r="S2573" s="65"/>
      <c r="T2573" s="65" t="b">
        <f>FALSE()</f>
        <v>0</v>
      </c>
      <c r="U2573" s="65" t="b">
        <f>FALSE()</f>
        <v>0</v>
      </c>
      <c r="V2573" s="65">
        <v>365</v>
      </c>
      <c r="W2573" s="67" t="s">
        <v>9699</v>
      </c>
      <c r="X2573" s="65">
        <v>1</v>
      </c>
      <c r="Y2573" s="68">
        <v>0.24</v>
      </c>
      <c r="Z2573" s="65" t="b">
        <f>FALSE()</f>
        <v>0</v>
      </c>
      <c r="AA2573" s="65" t="b">
        <f>TRUE()</f>
        <v>1</v>
      </c>
      <c r="AB2573" s="65" t="b">
        <f>FALSE()</f>
        <v>0</v>
      </c>
      <c r="AC2573" s="65" t="b">
        <f>TRUE()</f>
        <v>1</v>
      </c>
      <c r="AD2573" s="65" t="b">
        <f>FALSE()</f>
        <v>0</v>
      </c>
      <c r="AE2573" s="65">
        <v>2</v>
      </c>
      <c r="AF2573" s="69">
        <v>28.6</v>
      </c>
      <c r="AG2573" s="65" t="s">
        <v>73</v>
      </c>
      <c r="AH2573" s="65" t="s">
        <v>9700</v>
      </c>
      <c r="AI2573">
        <f>IF(AND(OR(Company_Explorer!$B$5="All Companies",$E2573=Company_Explorer!$B$5),OR(Company_Explorer!$B$6="All Platforms",$B2573=Company_Explorer!$B$6),OR(Company_Explorer!$B$7="All Roles",$D2573=Company_Explorer!$B$7),OR(Company_Explorer!$B$8="All Ghost Labels",$AG2573=Company_Explorer!$B$8)),1,0)</f>
        <v>0</v>
      </c>
    </row>
    <row r="2574" spans="1:35" ht="15" customHeight="1" x14ac:dyDescent="0.3">
      <c r="A2574" s="60" t="s">
        <v>9701</v>
      </c>
      <c r="B2574" s="60" t="s">
        <v>82</v>
      </c>
      <c r="C2574" s="60" t="s">
        <v>9702</v>
      </c>
      <c r="D2574" s="60" t="s">
        <v>129</v>
      </c>
      <c r="E2574" s="60" t="s">
        <v>9703</v>
      </c>
      <c r="F2574" s="60" t="b">
        <f>TRUE()</f>
        <v>1</v>
      </c>
      <c r="G2574" s="60" t="s">
        <v>9503</v>
      </c>
      <c r="H2574" s="60" t="s">
        <v>430</v>
      </c>
      <c r="I2574" s="61">
        <v>46195</v>
      </c>
      <c r="J2574" s="61">
        <v>46210.286185983801</v>
      </c>
      <c r="K2574" s="60">
        <v>76</v>
      </c>
      <c r="L2574" s="60" t="s">
        <v>192</v>
      </c>
      <c r="M2574" s="60" t="s">
        <v>183</v>
      </c>
      <c r="N2574" s="60" t="b">
        <f>TRUE()</f>
        <v>1</v>
      </c>
      <c r="O2574" s="70">
        <v>300000</v>
      </c>
      <c r="P2574" s="70">
        <v>300000</v>
      </c>
      <c r="Q2574" s="60" t="s">
        <v>3663</v>
      </c>
      <c r="R2574" s="60" t="s">
        <v>7351</v>
      </c>
      <c r="S2574" s="70">
        <v>300000</v>
      </c>
      <c r="T2574" s="60" t="b">
        <f>TRUE()</f>
        <v>1</v>
      </c>
      <c r="U2574" s="60" t="b">
        <f>FALSE()</f>
        <v>0</v>
      </c>
      <c r="V2574" s="60">
        <v>190</v>
      </c>
      <c r="W2574" s="62" t="s">
        <v>9704</v>
      </c>
      <c r="X2574" s="60">
        <v>1</v>
      </c>
      <c r="Y2574" s="63">
        <v>0.24</v>
      </c>
      <c r="Z2574" s="60" t="b">
        <f>FALSE()</f>
        <v>0</v>
      </c>
      <c r="AA2574" s="60" t="b">
        <f>FALSE()</f>
        <v>0</v>
      </c>
      <c r="AB2574" s="60" t="b">
        <f>TRUE()</f>
        <v>1</v>
      </c>
      <c r="AC2574" s="60" t="b">
        <f>FALSE()</f>
        <v>0</v>
      </c>
      <c r="AD2574" s="60" t="b">
        <f>FALSE()</f>
        <v>0</v>
      </c>
      <c r="AE2574" s="60">
        <v>1</v>
      </c>
      <c r="AF2574" s="64">
        <v>14.3</v>
      </c>
      <c r="AG2574" s="60" t="s">
        <v>74</v>
      </c>
      <c r="AH2574" s="60" t="s">
        <v>9705</v>
      </c>
      <c r="AI2574">
        <f>IF(AND(OR(Company_Explorer!$B$5="All Companies",$E2574=Company_Explorer!$B$5),OR(Company_Explorer!$B$6="All Platforms",$B2574=Company_Explorer!$B$6),OR(Company_Explorer!$B$7="All Roles",$D2574=Company_Explorer!$B$7),OR(Company_Explorer!$B$8="All Ghost Labels",$AG2574=Company_Explorer!$B$8)),1,0)</f>
        <v>0</v>
      </c>
    </row>
    <row r="2575" spans="1:35" ht="15" customHeight="1" x14ac:dyDescent="0.3">
      <c r="A2575" s="65" t="s">
        <v>9706</v>
      </c>
      <c r="B2575" s="65" t="s">
        <v>82</v>
      </c>
      <c r="C2575" s="65" t="s">
        <v>9707</v>
      </c>
      <c r="D2575" s="65" t="s">
        <v>129</v>
      </c>
      <c r="E2575" s="65" t="s">
        <v>3726</v>
      </c>
      <c r="F2575" s="65" t="b">
        <f>FALSE()</f>
        <v>0</v>
      </c>
      <c r="G2575" s="65" t="s">
        <v>171</v>
      </c>
      <c r="H2575" s="65" t="s">
        <v>254</v>
      </c>
      <c r="I2575" s="66">
        <v>46193</v>
      </c>
      <c r="J2575" s="66">
        <v>46210.286186226898</v>
      </c>
      <c r="K2575" s="65">
        <v>17</v>
      </c>
      <c r="L2575" s="65" t="s">
        <v>192</v>
      </c>
      <c r="M2575" s="65" t="s">
        <v>183</v>
      </c>
      <c r="N2575" s="65" t="b">
        <f>TRUE()</f>
        <v>1</v>
      </c>
      <c r="O2575" s="71">
        <v>400000</v>
      </c>
      <c r="P2575" s="71">
        <v>400000</v>
      </c>
      <c r="Q2575" s="65" t="s">
        <v>3663</v>
      </c>
      <c r="R2575" s="65" t="s">
        <v>7351</v>
      </c>
      <c r="S2575" s="71">
        <v>400000</v>
      </c>
      <c r="T2575" s="65" t="b">
        <f>TRUE()</f>
        <v>1</v>
      </c>
      <c r="U2575" s="65" t="b">
        <f>FALSE()</f>
        <v>0</v>
      </c>
      <c r="V2575" s="65">
        <v>406</v>
      </c>
      <c r="W2575" s="67" t="s">
        <v>9708</v>
      </c>
      <c r="X2575" s="65"/>
      <c r="Y2575" s="68"/>
      <c r="Z2575" s="65" t="b">
        <f>TRUE()</f>
        <v>1</v>
      </c>
      <c r="AA2575" s="65" t="b">
        <f>FALSE()</f>
        <v>0</v>
      </c>
      <c r="AB2575" s="65" t="b">
        <f>FALSE()</f>
        <v>0</v>
      </c>
      <c r="AC2575" s="65" t="b">
        <f>FALSE()</f>
        <v>0</v>
      </c>
      <c r="AD2575" s="65" t="b">
        <f>FALSE()</f>
        <v>0</v>
      </c>
      <c r="AE2575" s="65">
        <v>2</v>
      </c>
      <c r="AF2575" s="69">
        <v>28.6</v>
      </c>
      <c r="AG2575" s="65" t="s">
        <v>73</v>
      </c>
      <c r="AH2575" s="65" t="s">
        <v>9709</v>
      </c>
      <c r="AI2575">
        <f>IF(AND(OR(Company_Explorer!$B$5="All Companies",$E2575=Company_Explorer!$B$5),OR(Company_Explorer!$B$6="All Platforms",$B2575=Company_Explorer!$B$6),OR(Company_Explorer!$B$7="All Roles",$D2575=Company_Explorer!$B$7),OR(Company_Explorer!$B$8="All Ghost Labels",$AG2575=Company_Explorer!$B$8)),1,0)</f>
        <v>0</v>
      </c>
    </row>
    <row r="2576" spans="1:35" ht="15" customHeight="1" x14ac:dyDescent="0.3">
      <c r="A2576" s="60" t="s">
        <v>9710</v>
      </c>
      <c r="B2576" s="60" t="s">
        <v>82</v>
      </c>
      <c r="C2576" s="60" t="s">
        <v>9711</v>
      </c>
      <c r="D2576" s="60" t="s">
        <v>125</v>
      </c>
      <c r="E2576" s="60" t="s">
        <v>150</v>
      </c>
      <c r="F2576" s="60" t="b">
        <f>TRUE()</f>
        <v>1</v>
      </c>
      <c r="G2576" s="60" t="s">
        <v>167</v>
      </c>
      <c r="H2576" s="60" t="s">
        <v>276</v>
      </c>
      <c r="I2576" s="61">
        <v>46197</v>
      </c>
      <c r="J2576" s="61">
        <v>46210.286186423597</v>
      </c>
      <c r="K2576" s="60">
        <v>13</v>
      </c>
      <c r="L2576" s="60" t="s">
        <v>192</v>
      </c>
      <c r="M2576" s="60" t="s">
        <v>183</v>
      </c>
      <c r="N2576" s="60" t="b">
        <f>TRUE()</f>
        <v>1</v>
      </c>
      <c r="O2576" s="70">
        <v>305454</v>
      </c>
      <c r="P2576" s="70">
        <v>491454</v>
      </c>
      <c r="Q2576" s="60" t="s">
        <v>3663</v>
      </c>
      <c r="R2576" s="60" t="s">
        <v>7351</v>
      </c>
      <c r="S2576" s="70">
        <v>398454</v>
      </c>
      <c r="T2576" s="60" t="b">
        <f>TRUE()</f>
        <v>1</v>
      </c>
      <c r="U2576" s="60" t="b">
        <f>FALSE()</f>
        <v>0</v>
      </c>
      <c r="V2576" s="60">
        <v>729</v>
      </c>
      <c r="W2576" s="62" t="s">
        <v>3698</v>
      </c>
      <c r="X2576" s="60">
        <v>18</v>
      </c>
      <c r="Y2576" s="63">
        <v>4.34</v>
      </c>
      <c r="Z2576" s="60" t="b">
        <f>FALSE()</f>
        <v>0</v>
      </c>
      <c r="AA2576" s="60" t="b">
        <f>FALSE()</f>
        <v>0</v>
      </c>
      <c r="AB2576" s="60" t="b">
        <f>FALSE()</f>
        <v>0</v>
      </c>
      <c r="AC2576" s="60" t="b">
        <f>FALSE()</f>
        <v>0</v>
      </c>
      <c r="AD2576" s="60" t="b">
        <f>TRUE()</f>
        <v>1</v>
      </c>
      <c r="AE2576" s="60">
        <v>2</v>
      </c>
      <c r="AF2576" s="64">
        <v>28.6</v>
      </c>
      <c r="AG2576" s="60" t="s">
        <v>73</v>
      </c>
      <c r="AH2576" s="60" t="s">
        <v>9712</v>
      </c>
      <c r="AI2576">
        <f>IF(AND(OR(Company_Explorer!$B$5="All Companies",$E2576=Company_Explorer!$B$5),OR(Company_Explorer!$B$6="All Platforms",$B2576=Company_Explorer!$B$6),OR(Company_Explorer!$B$7="All Roles",$D2576=Company_Explorer!$B$7),OR(Company_Explorer!$B$8="All Ghost Labels",$AG2576=Company_Explorer!$B$8)),1,0)</f>
        <v>0</v>
      </c>
    </row>
    <row r="2577" spans="1:35" ht="15" customHeight="1" x14ac:dyDescent="0.3">
      <c r="A2577" s="65" t="s">
        <v>9713</v>
      </c>
      <c r="B2577" s="65" t="s">
        <v>82</v>
      </c>
      <c r="C2577" s="65" t="s">
        <v>9714</v>
      </c>
      <c r="D2577" s="65" t="s">
        <v>125</v>
      </c>
      <c r="E2577" s="65" t="s">
        <v>9715</v>
      </c>
      <c r="F2577" s="65" t="b">
        <f>TRUE()</f>
        <v>1</v>
      </c>
      <c r="G2577" s="65" t="s">
        <v>9716</v>
      </c>
      <c r="H2577" s="65" t="s">
        <v>754</v>
      </c>
      <c r="I2577" s="66">
        <v>46201</v>
      </c>
      <c r="J2577" s="66">
        <v>46210.286187719903</v>
      </c>
      <c r="K2577" s="65">
        <v>130</v>
      </c>
      <c r="L2577" s="65" t="s">
        <v>192</v>
      </c>
      <c r="M2577" s="65" t="s">
        <v>183</v>
      </c>
      <c r="N2577" s="65" t="b">
        <f>TRUE()</f>
        <v>1</v>
      </c>
      <c r="O2577" s="71">
        <v>130000</v>
      </c>
      <c r="P2577" s="71">
        <v>360000</v>
      </c>
      <c r="Q2577" s="65" t="s">
        <v>3663</v>
      </c>
      <c r="R2577" s="65" t="s">
        <v>7351</v>
      </c>
      <c r="S2577" s="71">
        <v>245000</v>
      </c>
      <c r="T2577" s="65" t="b">
        <f>TRUE()</f>
        <v>1</v>
      </c>
      <c r="U2577" s="65" t="b">
        <f>FALSE()</f>
        <v>0</v>
      </c>
      <c r="V2577" s="65">
        <v>319</v>
      </c>
      <c r="W2577" s="67" t="s">
        <v>9717</v>
      </c>
      <c r="X2577" s="65">
        <v>1</v>
      </c>
      <c r="Y2577" s="68">
        <v>0.24</v>
      </c>
      <c r="Z2577" s="65" t="b">
        <f>FALSE()</f>
        <v>0</v>
      </c>
      <c r="AA2577" s="65" t="b">
        <f>FALSE()</f>
        <v>0</v>
      </c>
      <c r="AB2577" s="65" t="b">
        <f>FALSE()</f>
        <v>0</v>
      </c>
      <c r="AC2577" s="65" t="b">
        <f>TRUE()</f>
        <v>1</v>
      </c>
      <c r="AD2577" s="65" t="b">
        <f>FALSE()</f>
        <v>0</v>
      </c>
      <c r="AE2577" s="65">
        <v>1</v>
      </c>
      <c r="AF2577" s="69">
        <v>14.3</v>
      </c>
      <c r="AG2577" s="65" t="s">
        <v>74</v>
      </c>
      <c r="AH2577" s="65" t="s">
        <v>9718</v>
      </c>
      <c r="AI2577">
        <f>IF(AND(OR(Company_Explorer!$B$5="All Companies",$E2577=Company_Explorer!$B$5),OR(Company_Explorer!$B$6="All Platforms",$B2577=Company_Explorer!$B$6),OR(Company_Explorer!$B$7="All Roles",$D2577=Company_Explorer!$B$7),OR(Company_Explorer!$B$8="All Ghost Labels",$AG2577=Company_Explorer!$B$8)),1,0)</f>
        <v>0</v>
      </c>
    </row>
    <row r="2578" spans="1:35" ht="15" customHeight="1" x14ac:dyDescent="0.3">
      <c r="A2578" s="60" t="s">
        <v>9719</v>
      </c>
      <c r="B2578" s="60" t="s">
        <v>82</v>
      </c>
      <c r="C2578" s="60" t="s">
        <v>9720</v>
      </c>
      <c r="D2578" s="60" t="s">
        <v>130</v>
      </c>
      <c r="E2578" s="60" t="s">
        <v>7730</v>
      </c>
      <c r="F2578" s="60" t="b">
        <f>TRUE()</f>
        <v>1</v>
      </c>
      <c r="G2578" s="60" t="s">
        <v>165</v>
      </c>
      <c r="H2578" s="60" t="s">
        <v>165</v>
      </c>
      <c r="I2578" s="61">
        <v>46197</v>
      </c>
      <c r="J2578" s="61">
        <v>46210.286188946797</v>
      </c>
      <c r="K2578" s="60">
        <v>133</v>
      </c>
      <c r="L2578" s="60" t="s">
        <v>183</v>
      </c>
      <c r="M2578" s="60" t="s">
        <v>183</v>
      </c>
      <c r="N2578" s="60" t="b">
        <f>FALSE()</f>
        <v>0</v>
      </c>
      <c r="O2578" s="60"/>
      <c r="P2578" s="60"/>
      <c r="Q2578" s="60" t="s">
        <v>3663</v>
      </c>
      <c r="R2578" s="60" t="s">
        <v>236</v>
      </c>
      <c r="S2578" s="60"/>
      <c r="T2578" s="60" t="b">
        <f>FALSE()</f>
        <v>0</v>
      </c>
      <c r="U2578" s="60" t="b">
        <f>FALSE()</f>
        <v>0</v>
      </c>
      <c r="V2578" s="60">
        <v>450</v>
      </c>
      <c r="W2578" s="62" t="s">
        <v>9721</v>
      </c>
      <c r="X2578" s="60">
        <v>7</v>
      </c>
      <c r="Y2578" s="63">
        <v>1.69</v>
      </c>
      <c r="Z2578" s="60" t="b">
        <f>FALSE()</f>
        <v>0</v>
      </c>
      <c r="AA2578" s="60" t="b">
        <f>TRUE()</f>
        <v>1</v>
      </c>
      <c r="AB2578" s="60" t="b">
        <f>FALSE()</f>
        <v>0</v>
      </c>
      <c r="AC2578" s="60" t="b">
        <f>TRUE()</f>
        <v>1</v>
      </c>
      <c r="AD2578" s="60" t="b">
        <f>FALSE()</f>
        <v>0</v>
      </c>
      <c r="AE2578" s="60">
        <v>2</v>
      </c>
      <c r="AF2578" s="64">
        <v>28.6</v>
      </c>
      <c r="AG2578" s="60" t="s">
        <v>73</v>
      </c>
      <c r="AH2578" s="60" t="s">
        <v>9722</v>
      </c>
      <c r="AI2578">
        <f>IF(AND(OR(Company_Explorer!$B$5="All Companies",$E2578=Company_Explorer!$B$5),OR(Company_Explorer!$B$6="All Platforms",$B2578=Company_Explorer!$B$6),OR(Company_Explorer!$B$7="All Roles",$D2578=Company_Explorer!$B$7),OR(Company_Explorer!$B$8="All Ghost Labels",$AG2578=Company_Explorer!$B$8)),1,0)</f>
        <v>0</v>
      </c>
    </row>
    <row r="2579" spans="1:35" ht="15" customHeight="1" x14ac:dyDescent="0.3">
      <c r="A2579" s="65" t="s">
        <v>9723</v>
      </c>
      <c r="B2579" s="65" t="s">
        <v>82</v>
      </c>
      <c r="C2579" s="65" t="s">
        <v>9724</v>
      </c>
      <c r="D2579" s="65" t="s">
        <v>131</v>
      </c>
      <c r="E2579" s="65" t="s">
        <v>9725</v>
      </c>
      <c r="F2579" s="65" t="b">
        <f>TRUE()</f>
        <v>1</v>
      </c>
      <c r="G2579" s="65" t="s">
        <v>9726</v>
      </c>
      <c r="H2579" s="65" t="s">
        <v>9727</v>
      </c>
      <c r="I2579" s="66">
        <v>46201</v>
      </c>
      <c r="J2579" s="66">
        <v>46210.286190497704</v>
      </c>
      <c r="K2579" s="65">
        <v>130</v>
      </c>
      <c r="L2579" s="65" t="s">
        <v>183</v>
      </c>
      <c r="M2579" s="65" t="s">
        <v>183</v>
      </c>
      <c r="N2579" s="65" t="b">
        <f>TRUE()</f>
        <v>1</v>
      </c>
      <c r="O2579" s="71">
        <v>250000</v>
      </c>
      <c r="P2579" s="71">
        <v>600000</v>
      </c>
      <c r="Q2579" s="65" t="s">
        <v>3663</v>
      </c>
      <c r="R2579" s="65" t="s">
        <v>7351</v>
      </c>
      <c r="S2579" s="71">
        <v>425000</v>
      </c>
      <c r="T2579" s="65" t="b">
        <f>TRUE()</f>
        <v>1</v>
      </c>
      <c r="U2579" s="65" t="b">
        <f>FALSE()</f>
        <v>0</v>
      </c>
      <c r="V2579" s="65">
        <v>202</v>
      </c>
      <c r="W2579" s="67" t="s">
        <v>9728</v>
      </c>
      <c r="X2579" s="65">
        <v>1</v>
      </c>
      <c r="Y2579" s="68">
        <v>0.24</v>
      </c>
      <c r="Z2579" s="65" t="b">
        <f>FALSE()</f>
        <v>0</v>
      </c>
      <c r="AA2579" s="65" t="b">
        <f>FALSE()</f>
        <v>0</v>
      </c>
      <c r="AB2579" s="65" t="b">
        <f>TRUE()</f>
        <v>1</v>
      </c>
      <c r="AC2579" s="65" t="b">
        <f>TRUE()</f>
        <v>1</v>
      </c>
      <c r="AD2579" s="65" t="b">
        <f>FALSE()</f>
        <v>0</v>
      </c>
      <c r="AE2579" s="65">
        <v>2</v>
      </c>
      <c r="AF2579" s="69">
        <v>28.6</v>
      </c>
      <c r="AG2579" s="65" t="s">
        <v>73</v>
      </c>
      <c r="AH2579" s="65" t="s">
        <v>9729</v>
      </c>
      <c r="AI2579">
        <f>IF(AND(OR(Company_Explorer!$B$5="All Companies",$E2579=Company_Explorer!$B$5),OR(Company_Explorer!$B$6="All Platforms",$B2579=Company_Explorer!$B$6),OR(Company_Explorer!$B$7="All Roles",$D2579=Company_Explorer!$B$7),OR(Company_Explorer!$B$8="All Ghost Labels",$AG2579=Company_Explorer!$B$8)),1,0)</f>
        <v>0</v>
      </c>
    </row>
    <row r="2580" spans="1:35" ht="15" customHeight="1" x14ac:dyDescent="0.3">
      <c r="A2580" s="60" t="s">
        <v>9730</v>
      </c>
      <c r="B2580" s="60" t="s">
        <v>82</v>
      </c>
      <c r="C2580" s="60" t="s">
        <v>9731</v>
      </c>
      <c r="D2580" s="60" t="s">
        <v>129</v>
      </c>
      <c r="E2580" s="60" t="s">
        <v>9732</v>
      </c>
      <c r="F2580" s="60" t="b">
        <f>TRUE()</f>
        <v>1</v>
      </c>
      <c r="G2580" s="60" t="s">
        <v>165</v>
      </c>
      <c r="H2580" s="60" t="s">
        <v>165</v>
      </c>
      <c r="I2580" s="61">
        <v>46204</v>
      </c>
      <c r="J2580" s="61">
        <v>46210.286192036998</v>
      </c>
      <c r="K2580" s="60">
        <v>67</v>
      </c>
      <c r="L2580" s="60" t="s">
        <v>192</v>
      </c>
      <c r="M2580" s="60" t="s">
        <v>183</v>
      </c>
      <c r="N2580" s="60" t="b">
        <f>FALSE()</f>
        <v>0</v>
      </c>
      <c r="O2580" s="60"/>
      <c r="P2580" s="60"/>
      <c r="Q2580" s="60" t="s">
        <v>3663</v>
      </c>
      <c r="R2580" s="60" t="s">
        <v>236</v>
      </c>
      <c r="S2580" s="60"/>
      <c r="T2580" s="60" t="b">
        <f>FALSE()</f>
        <v>0</v>
      </c>
      <c r="U2580" s="60" t="b">
        <f>FALSE()</f>
        <v>0</v>
      </c>
      <c r="V2580" s="60">
        <v>675</v>
      </c>
      <c r="W2580" s="60" t="s">
        <v>9733</v>
      </c>
      <c r="X2580" s="60">
        <v>1</v>
      </c>
      <c r="Y2580" s="63">
        <v>0.24</v>
      </c>
      <c r="Z2580" s="60" t="b">
        <f>FALSE()</f>
        <v>0</v>
      </c>
      <c r="AA2580" s="60" t="b">
        <f>TRUE()</f>
        <v>1</v>
      </c>
      <c r="AB2580" s="60" t="b">
        <f>FALSE()</f>
        <v>0</v>
      </c>
      <c r="AC2580" s="60" t="b">
        <f>FALSE()</f>
        <v>0</v>
      </c>
      <c r="AD2580" s="60" t="b">
        <f>FALSE()</f>
        <v>0</v>
      </c>
      <c r="AE2580" s="60">
        <v>1</v>
      </c>
      <c r="AF2580" s="64">
        <v>14.3</v>
      </c>
      <c r="AG2580" s="60" t="s">
        <v>74</v>
      </c>
      <c r="AH2580" s="60" t="s">
        <v>9734</v>
      </c>
      <c r="AI2580">
        <f>IF(AND(OR(Company_Explorer!$B$5="All Companies",$E2580=Company_Explorer!$B$5),OR(Company_Explorer!$B$6="All Platforms",$B2580=Company_Explorer!$B$6),OR(Company_Explorer!$B$7="All Roles",$D2580=Company_Explorer!$B$7),OR(Company_Explorer!$B$8="All Ghost Labels",$AG2580=Company_Explorer!$B$8)),1,0)</f>
        <v>0</v>
      </c>
    </row>
    <row r="2581" spans="1:35" ht="15" customHeight="1" x14ac:dyDescent="0.3">
      <c r="A2581" s="65" t="s">
        <v>9735</v>
      </c>
      <c r="B2581" s="65" t="s">
        <v>82</v>
      </c>
      <c r="C2581" s="65" t="s">
        <v>8840</v>
      </c>
      <c r="D2581" s="65" t="s">
        <v>125</v>
      </c>
      <c r="E2581" s="65" t="s">
        <v>9736</v>
      </c>
      <c r="F2581" s="65" t="b">
        <f>TRUE()</f>
        <v>1</v>
      </c>
      <c r="G2581" s="65" t="s">
        <v>269</v>
      </c>
      <c r="H2581" s="65" t="s">
        <v>270</v>
      </c>
      <c r="I2581" s="66">
        <v>46193</v>
      </c>
      <c r="J2581" s="66">
        <v>46210.286194687498</v>
      </c>
      <c r="K2581" s="65">
        <v>137</v>
      </c>
      <c r="L2581" s="65" t="s">
        <v>183</v>
      </c>
      <c r="M2581" s="65" t="s">
        <v>183</v>
      </c>
      <c r="N2581" s="65" t="b">
        <f>TRUE()</f>
        <v>1</v>
      </c>
      <c r="O2581" s="71">
        <v>255000</v>
      </c>
      <c r="P2581" s="71">
        <v>637500</v>
      </c>
      <c r="Q2581" s="65" t="s">
        <v>3663</v>
      </c>
      <c r="R2581" s="65" t="s">
        <v>7351</v>
      </c>
      <c r="S2581" s="71">
        <v>446250</v>
      </c>
      <c r="T2581" s="65" t="b">
        <f>TRUE()</f>
        <v>1</v>
      </c>
      <c r="U2581" s="65" t="b">
        <f>FALSE()</f>
        <v>0</v>
      </c>
      <c r="V2581" s="65">
        <v>175</v>
      </c>
      <c r="W2581" s="67" t="s">
        <v>9737</v>
      </c>
      <c r="X2581" s="65">
        <v>1</v>
      </c>
      <c r="Y2581" s="68">
        <v>0.24</v>
      </c>
      <c r="Z2581" s="65" t="b">
        <f>FALSE()</f>
        <v>0</v>
      </c>
      <c r="AA2581" s="65" t="b">
        <f>FALSE()</f>
        <v>0</v>
      </c>
      <c r="AB2581" s="65" t="b">
        <f>TRUE()</f>
        <v>1</v>
      </c>
      <c r="AC2581" s="65" t="b">
        <f>TRUE()</f>
        <v>1</v>
      </c>
      <c r="AD2581" s="65" t="b">
        <f>FALSE()</f>
        <v>0</v>
      </c>
      <c r="AE2581" s="65">
        <v>2</v>
      </c>
      <c r="AF2581" s="69">
        <v>28.6</v>
      </c>
      <c r="AG2581" s="65" t="s">
        <v>73</v>
      </c>
      <c r="AH2581" s="65" t="s">
        <v>9738</v>
      </c>
      <c r="AI2581">
        <f>IF(AND(OR(Company_Explorer!$B$5="All Companies",$E2581=Company_Explorer!$B$5),OR(Company_Explorer!$B$6="All Platforms",$B2581=Company_Explorer!$B$6),OR(Company_Explorer!$B$7="All Roles",$D2581=Company_Explorer!$B$7),OR(Company_Explorer!$B$8="All Ghost Labels",$AG2581=Company_Explorer!$B$8)),1,0)</f>
        <v>0</v>
      </c>
    </row>
    <row r="2582" spans="1:35" ht="15" customHeight="1" x14ac:dyDescent="0.3">
      <c r="A2582" s="60" t="s">
        <v>9739</v>
      </c>
      <c r="B2582" s="60" t="s">
        <v>82</v>
      </c>
      <c r="C2582" s="60" t="s">
        <v>9740</v>
      </c>
      <c r="D2582" s="60" t="s">
        <v>129</v>
      </c>
      <c r="E2582" s="60" t="s">
        <v>9741</v>
      </c>
      <c r="F2582" s="60" t="b">
        <f>TRUE()</f>
        <v>1</v>
      </c>
      <c r="G2582" s="60" t="s">
        <v>165</v>
      </c>
      <c r="H2582" s="60" t="s">
        <v>165</v>
      </c>
      <c r="I2582" s="61">
        <v>46197</v>
      </c>
      <c r="J2582" s="61">
        <v>46210.286195879598</v>
      </c>
      <c r="K2582" s="60">
        <v>590</v>
      </c>
      <c r="L2582" s="60" t="s">
        <v>192</v>
      </c>
      <c r="M2582" s="60" t="s">
        <v>183</v>
      </c>
      <c r="N2582" s="60" t="b">
        <f>FALSE()</f>
        <v>0</v>
      </c>
      <c r="O2582" s="60"/>
      <c r="P2582" s="60"/>
      <c r="Q2582" s="60" t="s">
        <v>3663</v>
      </c>
      <c r="R2582" s="60" t="s">
        <v>236</v>
      </c>
      <c r="S2582" s="60"/>
      <c r="T2582" s="60" t="b">
        <f>FALSE()</f>
        <v>0</v>
      </c>
      <c r="U2582" s="60" t="b">
        <f>FALSE()</f>
        <v>0</v>
      </c>
      <c r="V2582" s="60">
        <v>173</v>
      </c>
      <c r="W2582" s="62" t="s">
        <v>9742</v>
      </c>
      <c r="X2582" s="60">
        <v>2</v>
      </c>
      <c r="Y2582" s="63">
        <v>0.48</v>
      </c>
      <c r="Z2582" s="60" t="b">
        <f>FALSE()</f>
        <v>0</v>
      </c>
      <c r="AA2582" s="60" t="b">
        <f>TRUE()</f>
        <v>1</v>
      </c>
      <c r="AB2582" s="60" t="b">
        <f>TRUE()</f>
        <v>1</v>
      </c>
      <c r="AC2582" s="60" t="b">
        <f>TRUE()</f>
        <v>1</v>
      </c>
      <c r="AD2582" s="60" t="b">
        <f>FALSE()</f>
        <v>0</v>
      </c>
      <c r="AE2582" s="60">
        <v>3</v>
      </c>
      <c r="AF2582" s="64">
        <v>42.9</v>
      </c>
      <c r="AG2582" s="60" t="s">
        <v>73</v>
      </c>
      <c r="AH2582" s="60" t="s">
        <v>9743</v>
      </c>
      <c r="AI2582">
        <f>IF(AND(OR(Company_Explorer!$B$5="All Companies",$E2582=Company_Explorer!$B$5),OR(Company_Explorer!$B$6="All Platforms",$B2582=Company_Explorer!$B$6),OR(Company_Explorer!$B$7="All Roles",$D2582=Company_Explorer!$B$7),OR(Company_Explorer!$B$8="All Ghost Labels",$AG2582=Company_Explorer!$B$8)),1,0)</f>
        <v>0</v>
      </c>
    </row>
    <row r="2583" spans="1:35" ht="15" customHeight="1" x14ac:dyDescent="0.3">
      <c r="A2583" s="65" t="s">
        <v>9744</v>
      </c>
      <c r="B2583" s="65" t="s">
        <v>82</v>
      </c>
      <c r="C2583" s="65" t="s">
        <v>9745</v>
      </c>
      <c r="D2583" s="65" t="s">
        <v>129</v>
      </c>
      <c r="E2583" s="65" t="s">
        <v>9746</v>
      </c>
      <c r="F2583" s="65" t="b">
        <f>TRUE()</f>
        <v>1</v>
      </c>
      <c r="G2583" s="65" t="s">
        <v>165</v>
      </c>
      <c r="H2583" s="65" t="s">
        <v>165</v>
      </c>
      <c r="I2583" s="66">
        <v>46196</v>
      </c>
      <c r="J2583" s="66">
        <v>46210.286197754598</v>
      </c>
      <c r="K2583" s="65">
        <v>75</v>
      </c>
      <c r="L2583" s="65" t="s">
        <v>183</v>
      </c>
      <c r="M2583" s="65" t="s">
        <v>183</v>
      </c>
      <c r="N2583" s="65" t="b">
        <f>FALSE()</f>
        <v>0</v>
      </c>
      <c r="O2583" s="65"/>
      <c r="P2583" s="65"/>
      <c r="Q2583" s="65" t="s">
        <v>3663</v>
      </c>
      <c r="R2583" s="65" t="s">
        <v>236</v>
      </c>
      <c r="S2583" s="65"/>
      <c r="T2583" s="65" t="b">
        <f>FALSE()</f>
        <v>0</v>
      </c>
      <c r="U2583" s="65" t="b">
        <f>FALSE()</f>
        <v>0</v>
      </c>
      <c r="V2583" s="65">
        <v>172</v>
      </c>
      <c r="W2583" s="65" t="s">
        <v>9747</v>
      </c>
      <c r="X2583" s="65">
        <v>1</v>
      </c>
      <c r="Y2583" s="68">
        <v>0.24</v>
      </c>
      <c r="Z2583" s="65" t="b">
        <f>FALSE()</f>
        <v>0</v>
      </c>
      <c r="AA2583" s="65" t="b">
        <f>TRUE()</f>
        <v>1</v>
      </c>
      <c r="AB2583" s="65" t="b">
        <f>TRUE()</f>
        <v>1</v>
      </c>
      <c r="AC2583" s="65" t="b">
        <f>FALSE()</f>
        <v>0</v>
      </c>
      <c r="AD2583" s="65" t="b">
        <f>FALSE()</f>
        <v>0</v>
      </c>
      <c r="AE2583" s="65">
        <v>2</v>
      </c>
      <c r="AF2583" s="69">
        <v>28.6</v>
      </c>
      <c r="AG2583" s="65" t="s">
        <v>73</v>
      </c>
      <c r="AH2583" s="65" t="s">
        <v>9748</v>
      </c>
      <c r="AI2583">
        <f>IF(AND(OR(Company_Explorer!$B$5="All Companies",$E2583=Company_Explorer!$B$5),OR(Company_Explorer!$B$6="All Platforms",$B2583=Company_Explorer!$B$6),OR(Company_Explorer!$B$7="All Roles",$D2583=Company_Explorer!$B$7),OR(Company_Explorer!$B$8="All Ghost Labels",$AG2583=Company_Explorer!$B$8)),1,0)</f>
        <v>0</v>
      </c>
    </row>
    <row r="2584" spans="1:35" ht="15" customHeight="1" x14ac:dyDescent="0.3">
      <c r="A2584" s="60" t="s">
        <v>9749</v>
      </c>
      <c r="B2584" s="60" t="s">
        <v>82</v>
      </c>
      <c r="C2584" s="60" t="s">
        <v>9750</v>
      </c>
      <c r="D2584" s="60" t="s">
        <v>129</v>
      </c>
      <c r="E2584" s="60" t="s">
        <v>9751</v>
      </c>
      <c r="F2584" s="60" t="b">
        <f>TRUE()</f>
        <v>1</v>
      </c>
      <c r="G2584" s="60" t="s">
        <v>269</v>
      </c>
      <c r="H2584" s="60" t="s">
        <v>270</v>
      </c>
      <c r="I2584" s="61">
        <v>46193</v>
      </c>
      <c r="J2584" s="61">
        <v>46210.286197789399</v>
      </c>
      <c r="K2584" s="60">
        <v>137</v>
      </c>
      <c r="L2584" s="60" t="s">
        <v>183</v>
      </c>
      <c r="M2584" s="60" t="s">
        <v>183</v>
      </c>
      <c r="N2584" s="60" t="b">
        <f>TRUE()</f>
        <v>1</v>
      </c>
      <c r="O2584" s="70">
        <v>200000</v>
      </c>
      <c r="P2584" s="70">
        <v>250000</v>
      </c>
      <c r="Q2584" s="60" t="s">
        <v>3663</v>
      </c>
      <c r="R2584" s="60" t="s">
        <v>7351</v>
      </c>
      <c r="S2584" s="70">
        <v>225000</v>
      </c>
      <c r="T2584" s="60" t="b">
        <f>TRUE()</f>
        <v>1</v>
      </c>
      <c r="U2584" s="60" t="b">
        <f>FALSE()</f>
        <v>0</v>
      </c>
      <c r="V2584" s="60">
        <v>44</v>
      </c>
      <c r="W2584" s="62" t="s">
        <v>9752</v>
      </c>
      <c r="X2584" s="60">
        <v>1</v>
      </c>
      <c r="Y2584" s="63">
        <v>0.24</v>
      </c>
      <c r="Z2584" s="60" t="b">
        <f>FALSE()</f>
        <v>0</v>
      </c>
      <c r="AA2584" s="60" t="b">
        <f>FALSE()</f>
        <v>0</v>
      </c>
      <c r="AB2584" s="60" t="b">
        <f>TRUE()</f>
        <v>1</v>
      </c>
      <c r="AC2584" s="60" t="b">
        <f>TRUE()</f>
        <v>1</v>
      </c>
      <c r="AD2584" s="60" t="b">
        <f>FALSE()</f>
        <v>0</v>
      </c>
      <c r="AE2584" s="60">
        <v>2</v>
      </c>
      <c r="AF2584" s="64">
        <v>28.6</v>
      </c>
      <c r="AG2584" s="60" t="s">
        <v>73</v>
      </c>
      <c r="AH2584" s="60" t="s">
        <v>9753</v>
      </c>
      <c r="AI2584">
        <f>IF(AND(OR(Company_Explorer!$B$5="All Companies",$E2584=Company_Explorer!$B$5),OR(Company_Explorer!$B$6="All Platforms",$B2584=Company_Explorer!$B$6),OR(Company_Explorer!$B$7="All Roles",$D2584=Company_Explorer!$B$7),OR(Company_Explorer!$B$8="All Ghost Labels",$AG2584=Company_Explorer!$B$8)),1,0)</f>
        <v>0</v>
      </c>
    </row>
    <row r="2585" spans="1:35" ht="15" customHeight="1" x14ac:dyDescent="0.3">
      <c r="A2585" s="65" t="s">
        <v>9754</v>
      </c>
      <c r="B2585" s="65" t="s">
        <v>82</v>
      </c>
      <c r="C2585" s="65" t="s">
        <v>9755</v>
      </c>
      <c r="D2585" s="65" t="s">
        <v>129</v>
      </c>
      <c r="E2585" s="65" t="s">
        <v>9741</v>
      </c>
      <c r="F2585" s="65" t="b">
        <f>TRUE()</f>
        <v>1</v>
      </c>
      <c r="G2585" s="65" t="s">
        <v>165</v>
      </c>
      <c r="H2585" s="65" t="s">
        <v>165</v>
      </c>
      <c r="I2585" s="66">
        <v>46197</v>
      </c>
      <c r="J2585" s="66">
        <v>46210.2861984954</v>
      </c>
      <c r="K2585" s="65">
        <v>590</v>
      </c>
      <c r="L2585" s="65" t="s">
        <v>192</v>
      </c>
      <c r="M2585" s="65" t="s">
        <v>183</v>
      </c>
      <c r="N2585" s="65" t="b">
        <f>FALSE()</f>
        <v>0</v>
      </c>
      <c r="O2585" s="65"/>
      <c r="P2585" s="65"/>
      <c r="Q2585" s="65" t="s">
        <v>3663</v>
      </c>
      <c r="R2585" s="65" t="s">
        <v>236</v>
      </c>
      <c r="S2585" s="65"/>
      <c r="T2585" s="65" t="b">
        <f>FALSE()</f>
        <v>0</v>
      </c>
      <c r="U2585" s="65" t="b">
        <f>FALSE()</f>
        <v>0</v>
      </c>
      <c r="V2585" s="65">
        <v>173</v>
      </c>
      <c r="W2585" s="67" t="s">
        <v>9742</v>
      </c>
      <c r="X2585" s="65">
        <v>2</v>
      </c>
      <c r="Y2585" s="68">
        <v>0.48</v>
      </c>
      <c r="Z2585" s="65" t="b">
        <f>FALSE()</f>
        <v>0</v>
      </c>
      <c r="AA2585" s="65" t="b">
        <f>TRUE()</f>
        <v>1</v>
      </c>
      <c r="AB2585" s="65" t="b">
        <f>TRUE()</f>
        <v>1</v>
      </c>
      <c r="AC2585" s="65" t="b">
        <f>TRUE()</f>
        <v>1</v>
      </c>
      <c r="AD2585" s="65" t="b">
        <f>FALSE()</f>
        <v>0</v>
      </c>
      <c r="AE2585" s="65">
        <v>3</v>
      </c>
      <c r="AF2585" s="69">
        <v>42.9</v>
      </c>
      <c r="AG2585" s="65" t="s">
        <v>73</v>
      </c>
      <c r="AH2585" s="65" t="s">
        <v>9756</v>
      </c>
      <c r="AI2585">
        <f>IF(AND(OR(Company_Explorer!$B$5="All Companies",$E2585=Company_Explorer!$B$5),OR(Company_Explorer!$B$6="All Platforms",$B2585=Company_Explorer!$B$6),OR(Company_Explorer!$B$7="All Roles",$D2585=Company_Explorer!$B$7),OR(Company_Explorer!$B$8="All Ghost Labels",$AG2585=Company_Explorer!$B$8)),1,0)</f>
        <v>0</v>
      </c>
    </row>
    <row r="2586" spans="1:35" ht="15" customHeight="1" x14ac:dyDescent="0.3">
      <c r="A2586" s="60" t="s">
        <v>9757</v>
      </c>
      <c r="B2586" s="60" t="s">
        <v>82</v>
      </c>
      <c r="C2586" s="60" t="s">
        <v>9758</v>
      </c>
      <c r="D2586" s="60" t="s">
        <v>126</v>
      </c>
      <c r="E2586" s="60" t="s">
        <v>9759</v>
      </c>
      <c r="F2586" s="60" t="b">
        <f>TRUE()</f>
        <v>1</v>
      </c>
      <c r="G2586" s="60" t="s">
        <v>166</v>
      </c>
      <c r="H2586" s="60" t="s">
        <v>235</v>
      </c>
      <c r="I2586" s="61">
        <v>46204</v>
      </c>
      <c r="J2586" s="61">
        <v>46210.286198148198</v>
      </c>
      <c r="K2586" s="60">
        <v>6</v>
      </c>
      <c r="L2586" s="60" t="s">
        <v>183</v>
      </c>
      <c r="M2586" s="60" t="s">
        <v>183</v>
      </c>
      <c r="N2586" s="60" t="b">
        <f>TRUE()</f>
        <v>1</v>
      </c>
      <c r="O2586" s="70">
        <v>388750</v>
      </c>
      <c r="P2586" s="70">
        <v>937500</v>
      </c>
      <c r="Q2586" s="60" t="s">
        <v>3663</v>
      </c>
      <c r="R2586" s="60" t="s">
        <v>7351</v>
      </c>
      <c r="S2586" s="70">
        <v>663125</v>
      </c>
      <c r="T2586" s="60" t="b">
        <f>TRUE()</f>
        <v>1</v>
      </c>
      <c r="U2586" s="60" t="b">
        <f>FALSE()</f>
        <v>0</v>
      </c>
      <c r="V2586" s="60">
        <v>704</v>
      </c>
      <c r="W2586" s="62" t="s">
        <v>9760</v>
      </c>
      <c r="X2586" s="60">
        <v>1</v>
      </c>
      <c r="Y2586" s="63">
        <v>0.24</v>
      </c>
      <c r="Z2586" s="60" t="b">
        <f>FALSE()</f>
        <v>0</v>
      </c>
      <c r="AA2586" s="60" t="b">
        <f>FALSE()</f>
        <v>0</v>
      </c>
      <c r="AB2586" s="60" t="b">
        <f>FALSE()</f>
        <v>0</v>
      </c>
      <c r="AC2586" s="60" t="b">
        <f>FALSE()</f>
        <v>0</v>
      </c>
      <c r="AD2586" s="60" t="b">
        <f>FALSE()</f>
        <v>0</v>
      </c>
      <c r="AE2586" s="60">
        <v>0</v>
      </c>
      <c r="AF2586" s="64">
        <v>0</v>
      </c>
      <c r="AG2586" s="60" t="s">
        <v>74</v>
      </c>
      <c r="AH2586" s="60" t="s">
        <v>9761</v>
      </c>
      <c r="AI2586">
        <f>IF(AND(OR(Company_Explorer!$B$5="All Companies",$E2586=Company_Explorer!$B$5),OR(Company_Explorer!$B$6="All Platforms",$B2586=Company_Explorer!$B$6),OR(Company_Explorer!$B$7="All Roles",$D2586=Company_Explorer!$B$7),OR(Company_Explorer!$B$8="All Ghost Labels",$AG2586=Company_Explorer!$B$8)),1,0)</f>
        <v>0</v>
      </c>
    </row>
    <row r="2587" spans="1:35" ht="15" customHeight="1" x14ac:dyDescent="0.3">
      <c r="A2587" s="65" t="s">
        <v>9762</v>
      </c>
      <c r="B2587" s="65" t="s">
        <v>82</v>
      </c>
      <c r="C2587" s="65" t="s">
        <v>8840</v>
      </c>
      <c r="D2587" s="65" t="s">
        <v>125</v>
      </c>
      <c r="E2587" s="65" t="s">
        <v>9763</v>
      </c>
      <c r="F2587" s="65" t="b">
        <f>TRUE()</f>
        <v>1</v>
      </c>
      <c r="G2587" s="65" t="s">
        <v>165</v>
      </c>
      <c r="H2587" s="65" t="s">
        <v>165</v>
      </c>
      <c r="I2587" s="66">
        <v>46193</v>
      </c>
      <c r="J2587" s="66">
        <v>46210.286199710601</v>
      </c>
      <c r="K2587" s="65">
        <v>137</v>
      </c>
      <c r="L2587" s="65" t="s">
        <v>183</v>
      </c>
      <c r="M2587" s="65" t="s">
        <v>183</v>
      </c>
      <c r="N2587" s="65" t="b">
        <f>FALSE()</f>
        <v>0</v>
      </c>
      <c r="O2587" s="65"/>
      <c r="P2587" s="65"/>
      <c r="Q2587" s="65" t="s">
        <v>3663</v>
      </c>
      <c r="R2587" s="65" t="s">
        <v>236</v>
      </c>
      <c r="S2587" s="65"/>
      <c r="T2587" s="65" t="b">
        <f>FALSE()</f>
        <v>0</v>
      </c>
      <c r="U2587" s="65" t="b">
        <f>FALSE()</f>
        <v>0</v>
      </c>
      <c r="V2587" s="65">
        <v>145</v>
      </c>
      <c r="W2587" s="67" t="s">
        <v>9764</v>
      </c>
      <c r="X2587" s="65">
        <v>1</v>
      </c>
      <c r="Y2587" s="68">
        <v>0.24</v>
      </c>
      <c r="Z2587" s="65" t="b">
        <f>FALSE()</f>
        <v>0</v>
      </c>
      <c r="AA2587" s="65" t="b">
        <f>TRUE()</f>
        <v>1</v>
      </c>
      <c r="AB2587" s="65" t="b">
        <f>TRUE()</f>
        <v>1</v>
      </c>
      <c r="AC2587" s="65" t="b">
        <f>TRUE()</f>
        <v>1</v>
      </c>
      <c r="AD2587" s="65" t="b">
        <f>FALSE()</f>
        <v>0</v>
      </c>
      <c r="AE2587" s="65">
        <v>3</v>
      </c>
      <c r="AF2587" s="69">
        <v>42.9</v>
      </c>
      <c r="AG2587" s="65" t="s">
        <v>73</v>
      </c>
      <c r="AH2587" s="65" t="s">
        <v>9765</v>
      </c>
      <c r="AI2587">
        <f>IF(AND(OR(Company_Explorer!$B$5="All Companies",$E2587=Company_Explorer!$B$5),OR(Company_Explorer!$B$6="All Platforms",$B2587=Company_Explorer!$B$6),OR(Company_Explorer!$B$7="All Roles",$D2587=Company_Explorer!$B$7),OR(Company_Explorer!$B$8="All Ghost Labels",$AG2587=Company_Explorer!$B$8)),1,0)</f>
        <v>0</v>
      </c>
    </row>
    <row r="2588" spans="1:35" ht="15" customHeight="1" x14ac:dyDescent="0.3">
      <c r="A2588" s="60" t="s">
        <v>9766</v>
      </c>
      <c r="B2588" s="60" t="s">
        <v>82</v>
      </c>
      <c r="C2588" s="60" t="s">
        <v>7285</v>
      </c>
      <c r="D2588" s="60" t="s">
        <v>128</v>
      </c>
      <c r="E2588" s="60" t="s">
        <v>9767</v>
      </c>
      <c r="F2588" s="60" t="b">
        <f>TRUE()</f>
        <v>1</v>
      </c>
      <c r="G2588" s="60" t="s">
        <v>165</v>
      </c>
      <c r="H2588" s="60" t="s">
        <v>165</v>
      </c>
      <c r="I2588" s="61">
        <v>46201</v>
      </c>
      <c r="J2588" s="61">
        <v>46210.2862022107</v>
      </c>
      <c r="K2588" s="60">
        <v>129</v>
      </c>
      <c r="L2588" s="60" t="s">
        <v>192</v>
      </c>
      <c r="M2588" s="60" t="s">
        <v>183</v>
      </c>
      <c r="N2588" s="60" t="b">
        <f>FALSE()</f>
        <v>0</v>
      </c>
      <c r="O2588" s="60"/>
      <c r="P2588" s="60"/>
      <c r="Q2588" s="60" t="s">
        <v>3663</v>
      </c>
      <c r="R2588" s="60" t="s">
        <v>236</v>
      </c>
      <c r="S2588" s="60"/>
      <c r="T2588" s="60" t="b">
        <f>FALSE()</f>
        <v>0</v>
      </c>
      <c r="U2588" s="60" t="b">
        <f>FALSE()</f>
        <v>0</v>
      </c>
      <c r="V2588" s="60">
        <v>292</v>
      </c>
      <c r="W2588" s="62" t="s">
        <v>9768</v>
      </c>
      <c r="X2588" s="60">
        <v>1</v>
      </c>
      <c r="Y2588" s="63">
        <v>0.24</v>
      </c>
      <c r="Z2588" s="60" t="b">
        <f>FALSE()</f>
        <v>0</v>
      </c>
      <c r="AA2588" s="60" t="b">
        <f>TRUE()</f>
        <v>1</v>
      </c>
      <c r="AB2588" s="60" t="b">
        <f>FALSE()</f>
        <v>0</v>
      </c>
      <c r="AC2588" s="60" t="b">
        <f>TRUE()</f>
        <v>1</v>
      </c>
      <c r="AD2588" s="60" t="b">
        <f>FALSE()</f>
        <v>0</v>
      </c>
      <c r="AE2588" s="60">
        <v>2</v>
      </c>
      <c r="AF2588" s="64">
        <v>28.6</v>
      </c>
      <c r="AG2588" s="60" t="s">
        <v>73</v>
      </c>
      <c r="AH2588" s="60" t="s">
        <v>9769</v>
      </c>
      <c r="AI2588">
        <f>IF(AND(OR(Company_Explorer!$B$5="All Companies",$E2588=Company_Explorer!$B$5),OR(Company_Explorer!$B$6="All Platforms",$B2588=Company_Explorer!$B$6),OR(Company_Explorer!$B$7="All Roles",$D2588=Company_Explorer!$B$7),OR(Company_Explorer!$B$8="All Ghost Labels",$AG2588=Company_Explorer!$B$8)),1,0)</f>
        <v>0</v>
      </c>
    </row>
    <row r="2589" spans="1:35" ht="15" customHeight="1" x14ac:dyDescent="0.3">
      <c r="A2589" s="65" t="s">
        <v>9770</v>
      </c>
      <c r="B2589" s="65" t="s">
        <v>82</v>
      </c>
      <c r="C2589" s="65" t="s">
        <v>9771</v>
      </c>
      <c r="D2589" s="65" t="s">
        <v>129</v>
      </c>
      <c r="E2589" s="65" t="s">
        <v>9772</v>
      </c>
      <c r="F2589" s="65" t="b">
        <f>TRUE()</f>
        <v>1</v>
      </c>
      <c r="G2589" s="65" t="s">
        <v>165</v>
      </c>
      <c r="H2589" s="65" t="s">
        <v>165</v>
      </c>
      <c r="I2589" s="66">
        <v>46210</v>
      </c>
      <c r="J2589" s="66">
        <v>46210.286204305601</v>
      </c>
      <c r="K2589" s="65">
        <v>0</v>
      </c>
      <c r="L2589" s="65" t="s">
        <v>183</v>
      </c>
      <c r="M2589" s="65" t="s">
        <v>183</v>
      </c>
      <c r="N2589" s="65" t="b">
        <f>FALSE()</f>
        <v>0</v>
      </c>
      <c r="O2589" s="65"/>
      <c r="P2589" s="65"/>
      <c r="Q2589" s="65" t="s">
        <v>3663</v>
      </c>
      <c r="R2589" s="65" t="s">
        <v>236</v>
      </c>
      <c r="S2589" s="65"/>
      <c r="T2589" s="65" t="b">
        <f>FALSE()</f>
        <v>0</v>
      </c>
      <c r="U2589" s="65" t="b">
        <f>FALSE()</f>
        <v>0</v>
      </c>
      <c r="V2589" s="65">
        <v>305</v>
      </c>
      <c r="W2589" s="67" t="s">
        <v>9773</v>
      </c>
      <c r="X2589" s="65">
        <v>1</v>
      </c>
      <c r="Y2589" s="68">
        <v>0.24</v>
      </c>
      <c r="Z2589" s="65" t="b">
        <f>FALSE()</f>
        <v>0</v>
      </c>
      <c r="AA2589" s="65" t="b">
        <f>TRUE()</f>
        <v>1</v>
      </c>
      <c r="AB2589" s="65" t="b">
        <f>FALSE()</f>
        <v>0</v>
      </c>
      <c r="AC2589" s="65" t="b">
        <f>FALSE()</f>
        <v>0</v>
      </c>
      <c r="AD2589" s="65" t="b">
        <f>FALSE()</f>
        <v>0</v>
      </c>
      <c r="AE2589" s="65">
        <v>1</v>
      </c>
      <c r="AF2589" s="69">
        <v>14.3</v>
      </c>
      <c r="AG2589" s="65" t="s">
        <v>74</v>
      </c>
      <c r="AH2589" s="65" t="s">
        <v>9774</v>
      </c>
      <c r="AI2589">
        <f>IF(AND(OR(Company_Explorer!$B$5="All Companies",$E2589=Company_Explorer!$B$5),OR(Company_Explorer!$B$6="All Platforms",$B2589=Company_Explorer!$B$6),OR(Company_Explorer!$B$7="All Roles",$D2589=Company_Explorer!$B$7),OR(Company_Explorer!$B$8="All Ghost Labels",$AG2589=Company_Explorer!$B$8)),1,0)</f>
        <v>0</v>
      </c>
    </row>
    <row r="2590" spans="1:35" ht="15" customHeight="1" x14ac:dyDescent="0.3">
      <c r="A2590" s="60" t="s">
        <v>9775</v>
      </c>
      <c r="B2590" s="60" t="s">
        <v>82</v>
      </c>
      <c r="C2590" s="60" t="s">
        <v>9776</v>
      </c>
      <c r="D2590" s="60" t="s">
        <v>128</v>
      </c>
      <c r="E2590" s="60" t="s">
        <v>8475</v>
      </c>
      <c r="F2590" s="60" t="b">
        <f>TRUE()</f>
        <v>1</v>
      </c>
      <c r="G2590" s="60" t="s">
        <v>165</v>
      </c>
      <c r="H2590" s="60" t="s">
        <v>165</v>
      </c>
      <c r="I2590" s="61">
        <v>46189</v>
      </c>
      <c r="J2590" s="61">
        <v>46210.286206203702</v>
      </c>
      <c r="K2590" s="60">
        <v>21</v>
      </c>
      <c r="L2590" s="60" t="s">
        <v>192</v>
      </c>
      <c r="M2590" s="60" t="s">
        <v>183</v>
      </c>
      <c r="N2590" s="60" t="b">
        <f>FALSE()</f>
        <v>0</v>
      </c>
      <c r="O2590" s="60"/>
      <c r="P2590" s="60"/>
      <c r="Q2590" s="60" t="s">
        <v>3663</v>
      </c>
      <c r="R2590" s="60" t="s">
        <v>236</v>
      </c>
      <c r="S2590" s="60"/>
      <c r="T2590" s="60" t="b">
        <f>FALSE()</f>
        <v>0</v>
      </c>
      <c r="U2590" s="60" t="b">
        <f>FALSE()</f>
        <v>0</v>
      </c>
      <c r="V2590" s="60">
        <v>395</v>
      </c>
      <c r="W2590" s="60" t="s">
        <v>9777</v>
      </c>
      <c r="X2590" s="60">
        <v>2</v>
      </c>
      <c r="Y2590" s="63">
        <v>0.48</v>
      </c>
      <c r="Z2590" s="60" t="b">
        <f>FALSE()</f>
        <v>0</v>
      </c>
      <c r="AA2590" s="60" t="b">
        <f>TRUE()</f>
        <v>1</v>
      </c>
      <c r="AB2590" s="60" t="b">
        <f>FALSE()</f>
        <v>0</v>
      </c>
      <c r="AC2590" s="60" t="b">
        <f>FALSE()</f>
        <v>0</v>
      </c>
      <c r="AD2590" s="60" t="b">
        <f>FALSE()</f>
        <v>0</v>
      </c>
      <c r="AE2590" s="60">
        <v>1</v>
      </c>
      <c r="AF2590" s="64">
        <v>14.3</v>
      </c>
      <c r="AG2590" s="60" t="s">
        <v>74</v>
      </c>
      <c r="AH2590" s="60" t="s">
        <v>9778</v>
      </c>
      <c r="AI2590">
        <f>IF(AND(OR(Company_Explorer!$B$5="All Companies",$E2590=Company_Explorer!$B$5),OR(Company_Explorer!$B$6="All Platforms",$B2590=Company_Explorer!$B$6),OR(Company_Explorer!$B$7="All Roles",$D2590=Company_Explorer!$B$7),OR(Company_Explorer!$B$8="All Ghost Labels",$AG2590=Company_Explorer!$B$8)),1,0)</f>
        <v>0</v>
      </c>
    </row>
    <row r="2591" spans="1:35" ht="15" customHeight="1" x14ac:dyDescent="0.3">
      <c r="A2591" s="65" t="s">
        <v>9779</v>
      </c>
      <c r="B2591" s="65" t="s">
        <v>82</v>
      </c>
      <c r="C2591" s="65" t="s">
        <v>8955</v>
      </c>
      <c r="D2591" s="65" t="s">
        <v>125</v>
      </c>
      <c r="E2591" s="65" t="s">
        <v>3726</v>
      </c>
      <c r="F2591" s="65" t="b">
        <f>FALSE()</f>
        <v>0</v>
      </c>
      <c r="G2591" s="65" t="s">
        <v>9780</v>
      </c>
      <c r="H2591" s="65" t="s">
        <v>326</v>
      </c>
      <c r="I2591" s="66">
        <v>46200</v>
      </c>
      <c r="J2591" s="66">
        <v>46210.286208113401</v>
      </c>
      <c r="K2591" s="65">
        <v>130</v>
      </c>
      <c r="L2591" s="65" t="s">
        <v>183</v>
      </c>
      <c r="M2591" s="65" t="s">
        <v>183</v>
      </c>
      <c r="N2591" s="65" t="b">
        <f>FALSE()</f>
        <v>0</v>
      </c>
      <c r="O2591" s="65"/>
      <c r="P2591" s="65"/>
      <c r="Q2591" s="65" t="s">
        <v>3663</v>
      </c>
      <c r="R2591" s="65" t="s">
        <v>236</v>
      </c>
      <c r="S2591" s="65"/>
      <c r="T2591" s="65" t="b">
        <f>FALSE()</f>
        <v>0</v>
      </c>
      <c r="U2591" s="65" t="b">
        <f>FALSE()</f>
        <v>0</v>
      </c>
      <c r="V2591" s="65">
        <v>52</v>
      </c>
      <c r="W2591" s="67" t="s">
        <v>9781</v>
      </c>
      <c r="X2591" s="65"/>
      <c r="Y2591" s="68"/>
      <c r="Z2591" s="65" t="b">
        <f>TRUE()</f>
        <v>1</v>
      </c>
      <c r="AA2591" s="65" t="b">
        <f>TRUE()</f>
        <v>1</v>
      </c>
      <c r="AB2591" s="65" t="b">
        <f>TRUE()</f>
        <v>1</v>
      </c>
      <c r="AC2591" s="65" t="b">
        <f>TRUE()</f>
        <v>1</v>
      </c>
      <c r="AD2591" s="65" t="b">
        <f>FALSE()</f>
        <v>0</v>
      </c>
      <c r="AE2591" s="65">
        <v>5</v>
      </c>
      <c r="AF2591" s="69">
        <v>71.400000000000006</v>
      </c>
      <c r="AG2591" s="65" t="s">
        <v>72</v>
      </c>
      <c r="AH2591" s="65" t="s">
        <v>9782</v>
      </c>
      <c r="AI2591">
        <f>IF(AND(OR(Company_Explorer!$B$5="All Companies",$E2591=Company_Explorer!$B$5),OR(Company_Explorer!$B$6="All Platforms",$B2591=Company_Explorer!$B$6),OR(Company_Explorer!$B$7="All Roles",$D2591=Company_Explorer!$B$7),OR(Company_Explorer!$B$8="All Ghost Labels",$AG2591=Company_Explorer!$B$8)),1,0)</f>
        <v>0</v>
      </c>
    </row>
    <row r="2592" spans="1:35" ht="15" customHeight="1" x14ac:dyDescent="0.3">
      <c r="A2592" s="60" t="s">
        <v>9783</v>
      </c>
      <c r="B2592" s="60" t="s">
        <v>82</v>
      </c>
      <c r="C2592" s="60" t="s">
        <v>306</v>
      </c>
      <c r="D2592" s="60" t="s">
        <v>125</v>
      </c>
      <c r="E2592" s="60" t="s">
        <v>3726</v>
      </c>
      <c r="F2592" s="60" t="b">
        <f>FALSE()</f>
        <v>0</v>
      </c>
      <c r="G2592" s="60" t="s">
        <v>165</v>
      </c>
      <c r="H2592" s="60" t="s">
        <v>165</v>
      </c>
      <c r="I2592" s="61">
        <v>46210</v>
      </c>
      <c r="J2592" s="61">
        <v>46210.286209016202</v>
      </c>
      <c r="K2592" s="60">
        <v>1</v>
      </c>
      <c r="L2592" s="60" t="s">
        <v>192</v>
      </c>
      <c r="M2592" s="60" t="s">
        <v>183</v>
      </c>
      <c r="N2592" s="60" t="b">
        <f>TRUE()</f>
        <v>1</v>
      </c>
      <c r="O2592" s="70">
        <v>30000</v>
      </c>
      <c r="P2592" s="70">
        <v>40000</v>
      </c>
      <c r="Q2592" s="60" t="s">
        <v>3663</v>
      </c>
      <c r="R2592" s="60" t="s">
        <v>7445</v>
      </c>
      <c r="S2592" s="70">
        <v>420000</v>
      </c>
      <c r="T2592" s="60" t="b">
        <f>TRUE()</f>
        <v>1</v>
      </c>
      <c r="U2592" s="60" t="b">
        <f>FALSE()</f>
        <v>0</v>
      </c>
      <c r="V2592" s="60">
        <v>496</v>
      </c>
      <c r="W2592" s="60" t="s">
        <v>9784</v>
      </c>
      <c r="X2592" s="60"/>
      <c r="Y2592" s="63"/>
      <c r="Z2592" s="60" t="b">
        <f>TRUE()</f>
        <v>1</v>
      </c>
      <c r="AA2592" s="60" t="b">
        <f>FALSE()</f>
        <v>0</v>
      </c>
      <c r="AB2592" s="60" t="b">
        <f>FALSE()</f>
        <v>0</v>
      </c>
      <c r="AC2592" s="60" t="b">
        <f>FALSE()</f>
        <v>0</v>
      </c>
      <c r="AD2592" s="60" t="b">
        <f>FALSE()</f>
        <v>0</v>
      </c>
      <c r="AE2592" s="60">
        <v>2</v>
      </c>
      <c r="AF2592" s="64">
        <v>28.6</v>
      </c>
      <c r="AG2592" s="60" t="s">
        <v>73</v>
      </c>
      <c r="AH2592" s="60" t="s">
        <v>9785</v>
      </c>
      <c r="AI2592">
        <f>IF(AND(OR(Company_Explorer!$B$5="All Companies",$E2592=Company_Explorer!$B$5),OR(Company_Explorer!$B$6="All Platforms",$B2592=Company_Explorer!$B$6),OR(Company_Explorer!$B$7="All Roles",$D2592=Company_Explorer!$B$7),OR(Company_Explorer!$B$8="All Ghost Labels",$AG2592=Company_Explorer!$B$8)),1,0)</f>
        <v>0</v>
      </c>
    </row>
    <row r="2593" spans="1:35" ht="15" customHeight="1" x14ac:dyDescent="0.3">
      <c r="A2593" s="65" t="s">
        <v>9786</v>
      </c>
      <c r="B2593" s="65" t="s">
        <v>82</v>
      </c>
      <c r="C2593" s="65" t="s">
        <v>3328</v>
      </c>
      <c r="D2593" s="65" t="s">
        <v>129</v>
      </c>
      <c r="E2593" s="65" t="s">
        <v>9787</v>
      </c>
      <c r="F2593" s="65" t="b">
        <f>TRUE()</f>
        <v>1</v>
      </c>
      <c r="G2593" s="65" t="s">
        <v>166</v>
      </c>
      <c r="H2593" s="65" t="s">
        <v>235</v>
      </c>
      <c r="I2593" s="66">
        <v>46192</v>
      </c>
      <c r="J2593" s="66">
        <v>46210.286210405102</v>
      </c>
      <c r="K2593" s="65">
        <v>138</v>
      </c>
      <c r="L2593" s="65" t="s">
        <v>183</v>
      </c>
      <c r="M2593" s="65" t="s">
        <v>183</v>
      </c>
      <c r="N2593" s="65" t="b">
        <f>TRUE()</f>
        <v>1</v>
      </c>
      <c r="O2593" s="71">
        <v>390000</v>
      </c>
      <c r="P2593" s="71">
        <v>840000</v>
      </c>
      <c r="Q2593" s="65" t="s">
        <v>3663</v>
      </c>
      <c r="R2593" s="65" t="s">
        <v>7351</v>
      </c>
      <c r="S2593" s="71">
        <v>615000</v>
      </c>
      <c r="T2593" s="65" t="b">
        <f>TRUE()</f>
        <v>1</v>
      </c>
      <c r="U2593" s="65" t="b">
        <f>FALSE()</f>
        <v>0</v>
      </c>
      <c r="V2593" s="65">
        <v>118</v>
      </c>
      <c r="W2593" s="67" t="s">
        <v>9788</v>
      </c>
      <c r="X2593" s="65">
        <v>1</v>
      </c>
      <c r="Y2593" s="68">
        <v>0.24</v>
      </c>
      <c r="Z2593" s="65" t="b">
        <f>FALSE()</f>
        <v>0</v>
      </c>
      <c r="AA2593" s="65" t="b">
        <f>FALSE()</f>
        <v>0</v>
      </c>
      <c r="AB2593" s="65" t="b">
        <f>TRUE()</f>
        <v>1</v>
      </c>
      <c r="AC2593" s="65" t="b">
        <f>TRUE()</f>
        <v>1</v>
      </c>
      <c r="AD2593" s="65" t="b">
        <f>FALSE()</f>
        <v>0</v>
      </c>
      <c r="AE2593" s="65">
        <v>2</v>
      </c>
      <c r="AF2593" s="69">
        <v>28.6</v>
      </c>
      <c r="AG2593" s="65" t="s">
        <v>73</v>
      </c>
      <c r="AH2593" s="65" t="s">
        <v>9789</v>
      </c>
      <c r="AI2593">
        <f>IF(AND(OR(Company_Explorer!$B$5="All Companies",$E2593=Company_Explorer!$B$5),OR(Company_Explorer!$B$6="All Platforms",$B2593=Company_Explorer!$B$6),OR(Company_Explorer!$B$7="All Roles",$D2593=Company_Explorer!$B$7),OR(Company_Explorer!$B$8="All Ghost Labels",$AG2593=Company_Explorer!$B$8)),1,0)</f>
        <v>0</v>
      </c>
    </row>
    <row r="2594" spans="1:35" ht="15" customHeight="1" x14ac:dyDescent="0.3">
      <c r="A2594" s="60" t="s">
        <v>9790</v>
      </c>
      <c r="B2594" s="60" t="s">
        <v>82</v>
      </c>
      <c r="C2594" s="60" t="s">
        <v>9791</v>
      </c>
      <c r="D2594" s="60" t="s">
        <v>132</v>
      </c>
      <c r="E2594" s="60" t="s">
        <v>9792</v>
      </c>
      <c r="F2594" s="60" t="b">
        <f>TRUE()</f>
        <v>1</v>
      </c>
      <c r="G2594" s="60" t="s">
        <v>165</v>
      </c>
      <c r="H2594" s="60" t="s">
        <v>165</v>
      </c>
      <c r="I2594" s="61">
        <v>46204</v>
      </c>
      <c r="J2594" s="61">
        <v>46210.286210960701</v>
      </c>
      <c r="K2594" s="60">
        <v>68</v>
      </c>
      <c r="L2594" s="60" t="s">
        <v>183</v>
      </c>
      <c r="M2594" s="60" t="s">
        <v>183</v>
      </c>
      <c r="N2594" s="60" t="b">
        <f>FALSE()</f>
        <v>0</v>
      </c>
      <c r="O2594" s="60"/>
      <c r="P2594" s="60"/>
      <c r="Q2594" s="60" t="s">
        <v>3663</v>
      </c>
      <c r="R2594" s="60" t="s">
        <v>236</v>
      </c>
      <c r="S2594" s="60"/>
      <c r="T2594" s="60" t="b">
        <f>FALSE()</f>
        <v>0</v>
      </c>
      <c r="U2594" s="60" t="b">
        <f>FALSE()</f>
        <v>0</v>
      </c>
      <c r="V2594" s="60">
        <v>488</v>
      </c>
      <c r="W2594" s="62" t="s">
        <v>4292</v>
      </c>
      <c r="X2594" s="60">
        <v>1</v>
      </c>
      <c r="Y2594" s="63">
        <v>0.24</v>
      </c>
      <c r="Z2594" s="60" t="b">
        <f>FALSE()</f>
        <v>0</v>
      </c>
      <c r="AA2594" s="60" t="b">
        <f>TRUE()</f>
        <v>1</v>
      </c>
      <c r="AB2594" s="60" t="b">
        <f>FALSE()</f>
        <v>0</v>
      </c>
      <c r="AC2594" s="60" t="b">
        <f>FALSE()</f>
        <v>0</v>
      </c>
      <c r="AD2594" s="60" t="b">
        <f>FALSE()</f>
        <v>0</v>
      </c>
      <c r="AE2594" s="60">
        <v>1</v>
      </c>
      <c r="AF2594" s="64">
        <v>14.3</v>
      </c>
      <c r="AG2594" s="60" t="s">
        <v>74</v>
      </c>
      <c r="AH2594" s="60" t="s">
        <v>9793</v>
      </c>
      <c r="AI2594">
        <f>IF(AND(OR(Company_Explorer!$B$5="All Companies",$E2594=Company_Explorer!$B$5),OR(Company_Explorer!$B$6="All Platforms",$B2594=Company_Explorer!$B$6),OR(Company_Explorer!$B$7="All Roles",$D2594=Company_Explorer!$B$7),OR(Company_Explorer!$B$8="All Ghost Labels",$AG2594=Company_Explorer!$B$8)),1,0)</f>
        <v>0</v>
      </c>
    </row>
    <row r="2595" spans="1:35" ht="15" customHeight="1" x14ac:dyDescent="0.3">
      <c r="A2595" s="65" t="s">
        <v>9794</v>
      </c>
      <c r="B2595" s="65" t="s">
        <v>82</v>
      </c>
      <c r="C2595" s="65" t="s">
        <v>3323</v>
      </c>
      <c r="D2595" s="65" t="s">
        <v>129</v>
      </c>
      <c r="E2595" s="65" t="s">
        <v>3726</v>
      </c>
      <c r="F2595" s="65" t="b">
        <f>FALSE()</f>
        <v>0</v>
      </c>
      <c r="G2595" s="65" t="s">
        <v>166</v>
      </c>
      <c r="H2595" s="65" t="s">
        <v>235</v>
      </c>
      <c r="I2595" s="66">
        <v>46196</v>
      </c>
      <c r="J2595" s="66">
        <v>46210.286211064798</v>
      </c>
      <c r="K2595" s="65">
        <v>14</v>
      </c>
      <c r="L2595" s="65" t="s">
        <v>192</v>
      </c>
      <c r="M2595" s="65" t="s">
        <v>183</v>
      </c>
      <c r="N2595" s="65" t="b">
        <f>TRUE()</f>
        <v>1</v>
      </c>
      <c r="O2595" s="71">
        <v>413151</v>
      </c>
      <c r="P2595" s="71">
        <v>650000</v>
      </c>
      <c r="Q2595" s="65" t="s">
        <v>3663</v>
      </c>
      <c r="R2595" s="65" t="s">
        <v>7351</v>
      </c>
      <c r="S2595" s="71">
        <v>531576</v>
      </c>
      <c r="T2595" s="65" t="b">
        <f>TRUE()</f>
        <v>1</v>
      </c>
      <c r="U2595" s="65" t="b">
        <f>FALSE()</f>
        <v>0</v>
      </c>
      <c r="V2595" s="65">
        <v>363</v>
      </c>
      <c r="W2595" s="67" t="s">
        <v>9795</v>
      </c>
      <c r="X2595" s="65"/>
      <c r="Y2595" s="68"/>
      <c r="Z2595" s="65" t="b">
        <f>TRUE()</f>
        <v>1</v>
      </c>
      <c r="AA2595" s="65" t="b">
        <f>FALSE()</f>
        <v>0</v>
      </c>
      <c r="AB2595" s="65" t="b">
        <f>FALSE()</f>
        <v>0</v>
      </c>
      <c r="AC2595" s="65" t="b">
        <f>FALSE()</f>
        <v>0</v>
      </c>
      <c r="AD2595" s="65" t="b">
        <f>FALSE()</f>
        <v>0</v>
      </c>
      <c r="AE2595" s="65">
        <v>2</v>
      </c>
      <c r="AF2595" s="69">
        <v>28.6</v>
      </c>
      <c r="AG2595" s="65" t="s">
        <v>73</v>
      </c>
      <c r="AH2595" s="65" t="s">
        <v>9796</v>
      </c>
      <c r="AI2595">
        <f>IF(AND(OR(Company_Explorer!$B$5="All Companies",$E2595=Company_Explorer!$B$5),OR(Company_Explorer!$B$6="All Platforms",$B2595=Company_Explorer!$B$6),OR(Company_Explorer!$B$7="All Roles",$D2595=Company_Explorer!$B$7),OR(Company_Explorer!$B$8="All Ghost Labels",$AG2595=Company_Explorer!$B$8)),1,0)</f>
        <v>0</v>
      </c>
    </row>
    <row r="2596" spans="1:35" ht="15" customHeight="1" x14ac:dyDescent="0.3">
      <c r="A2596" s="60" t="s">
        <v>9797</v>
      </c>
      <c r="B2596" s="60" t="s">
        <v>82</v>
      </c>
      <c r="C2596" s="60" t="s">
        <v>306</v>
      </c>
      <c r="D2596" s="60" t="s">
        <v>125</v>
      </c>
      <c r="E2596" s="60" t="s">
        <v>9798</v>
      </c>
      <c r="F2596" s="60" t="b">
        <f>TRUE()</f>
        <v>1</v>
      </c>
      <c r="G2596" s="60" t="s">
        <v>165</v>
      </c>
      <c r="H2596" s="60" t="s">
        <v>165</v>
      </c>
      <c r="I2596" s="61">
        <v>46201</v>
      </c>
      <c r="J2596" s="61">
        <v>46210.286215219901</v>
      </c>
      <c r="K2596" s="60">
        <v>130</v>
      </c>
      <c r="L2596" s="60" t="s">
        <v>183</v>
      </c>
      <c r="M2596" s="60" t="s">
        <v>183</v>
      </c>
      <c r="N2596" s="60" t="b">
        <f>FALSE()</f>
        <v>0</v>
      </c>
      <c r="O2596" s="60"/>
      <c r="P2596" s="60"/>
      <c r="Q2596" s="60" t="s">
        <v>3663</v>
      </c>
      <c r="R2596" s="60" t="s">
        <v>236</v>
      </c>
      <c r="S2596" s="60"/>
      <c r="T2596" s="60" t="b">
        <f>FALSE()</f>
        <v>0</v>
      </c>
      <c r="U2596" s="60" t="b">
        <f>FALSE()</f>
        <v>0</v>
      </c>
      <c r="V2596" s="60">
        <v>19</v>
      </c>
      <c r="W2596" s="62" t="s">
        <v>9799</v>
      </c>
      <c r="X2596" s="60">
        <v>1</v>
      </c>
      <c r="Y2596" s="63">
        <v>0.24</v>
      </c>
      <c r="Z2596" s="60" t="b">
        <f>FALSE()</f>
        <v>0</v>
      </c>
      <c r="AA2596" s="60" t="b">
        <f>TRUE()</f>
        <v>1</v>
      </c>
      <c r="AB2596" s="60" t="b">
        <f>TRUE()</f>
        <v>1</v>
      </c>
      <c r="AC2596" s="60" t="b">
        <f>TRUE()</f>
        <v>1</v>
      </c>
      <c r="AD2596" s="60" t="b">
        <f>FALSE()</f>
        <v>0</v>
      </c>
      <c r="AE2596" s="60">
        <v>3</v>
      </c>
      <c r="AF2596" s="64">
        <v>42.9</v>
      </c>
      <c r="AG2596" s="60" t="s">
        <v>73</v>
      </c>
      <c r="AH2596" s="60" t="s">
        <v>9800</v>
      </c>
      <c r="AI2596">
        <f>IF(AND(OR(Company_Explorer!$B$5="All Companies",$E2596=Company_Explorer!$B$5),OR(Company_Explorer!$B$6="All Platforms",$B2596=Company_Explorer!$B$6),OR(Company_Explorer!$B$7="All Roles",$D2596=Company_Explorer!$B$7),OR(Company_Explorer!$B$8="All Ghost Labels",$AG2596=Company_Explorer!$B$8)),1,0)</f>
        <v>0</v>
      </c>
    </row>
    <row r="2597" spans="1:35" ht="15" customHeight="1" x14ac:dyDescent="0.3">
      <c r="A2597" s="65" t="s">
        <v>9801</v>
      </c>
      <c r="B2597" s="65" t="s">
        <v>82</v>
      </c>
      <c r="C2597" s="65" t="s">
        <v>9802</v>
      </c>
      <c r="D2597" s="65" t="s">
        <v>128</v>
      </c>
      <c r="E2597" s="65" t="s">
        <v>9803</v>
      </c>
      <c r="F2597" s="65" t="b">
        <f>TRUE()</f>
        <v>1</v>
      </c>
      <c r="G2597" s="65" t="s">
        <v>165</v>
      </c>
      <c r="H2597" s="65" t="s">
        <v>165</v>
      </c>
      <c r="I2597" s="66">
        <v>46203</v>
      </c>
      <c r="J2597" s="66">
        <v>46210.286219155103</v>
      </c>
      <c r="K2597" s="65">
        <v>7</v>
      </c>
      <c r="L2597" s="65" t="s">
        <v>192</v>
      </c>
      <c r="M2597" s="65" t="s">
        <v>183</v>
      </c>
      <c r="N2597" s="65" t="b">
        <f>FALSE()</f>
        <v>0</v>
      </c>
      <c r="O2597" s="65"/>
      <c r="P2597" s="65"/>
      <c r="Q2597" s="65" t="s">
        <v>3663</v>
      </c>
      <c r="R2597" s="65" t="s">
        <v>236</v>
      </c>
      <c r="S2597" s="65"/>
      <c r="T2597" s="65" t="b">
        <f>FALSE()</f>
        <v>0</v>
      </c>
      <c r="U2597" s="65" t="b">
        <f>FALSE()</f>
        <v>0</v>
      </c>
      <c r="V2597" s="65">
        <v>302</v>
      </c>
      <c r="W2597" s="67" t="s">
        <v>9804</v>
      </c>
      <c r="X2597" s="65">
        <v>1</v>
      </c>
      <c r="Y2597" s="68">
        <v>0.24</v>
      </c>
      <c r="Z2597" s="65" t="b">
        <f>FALSE()</f>
        <v>0</v>
      </c>
      <c r="AA2597" s="65" t="b">
        <f>TRUE()</f>
        <v>1</v>
      </c>
      <c r="AB2597" s="65" t="b">
        <f>FALSE()</f>
        <v>0</v>
      </c>
      <c r="AC2597" s="65" t="b">
        <f>FALSE()</f>
        <v>0</v>
      </c>
      <c r="AD2597" s="65" t="b">
        <f>FALSE()</f>
        <v>0</v>
      </c>
      <c r="AE2597" s="65">
        <v>1</v>
      </c>
      <c r="AF2597" s="69">
        <v>14.3</v>
      </c>
      <c r="AG2597" s="65" t="s">
        <v>74</v>
      </c>
      <c r="AH2597" s="65" t="s">
        <v>9805</v>
      </c>
      <c r="AI2597">
        <f>IF(AND(OR(Company_Explorer!$B$5="All Companies",$E2597=Company_Explorer!$B$5),OR(Company_Explorer!$B$6="All Platforms",$B2597=Company_Explorer!$B$6),OR(Company_Explorer!$B$7="All Roles",$D2597=Company_Explorer!$B$7),OR(Company_Explorer!$B$8="All Ghost Labels",$AG2597=Company_Explorer!$B$8)),1,0)</f>
        <v>0</v>
      </c>
    </row>
    <row r="2598" spans="1:35" ht="15" customHeight="1" x14ac:dyDescent="0.3">
      <c r="A2598" s="60" t="s">
        <v>9806</v>
      </c>
      <c r="B2598" s="60" t="s">
        <v>82</v>
      </c>
      <c r="C2598" s="60" t="s">
        <v>8751</v>
      </c>
      <c r="D2598" s="60" t="s">
        <v>128</v>
      </c>
      <c r="E2598" s="60" t="s">
        <v>9807</v>
      </c>
      <c r="F2598" s="60" t="b">
        <f>TRUE()</f>
        <v>1</v>
      </c>
      <c r="G2598" s="60" t="s">
        <v>165</v>
      </c>
      <c r="H2598" s="60" t="s">
        <v>165</v>
      </c>
      <c r="I2598" s="61">
        <v>46205</v>
      </c>
      <c r="J2598" s="61">
        <v>46210.286222094903</v>
      </c>
      <c r="K2598" s="60">
        <v>127</v>
      </c>
      <c r="L2598" s="60" t="s">
        <v>183</v>
      </c>
      <c r="M2598" s="60" t="s">
        <v>183</v>
      </c>
      <c r="N2598" s="60" t="b">
        <f>FALSE()</f>
        <v>0</v>
      </c>
      <c r="O2598" s="60"/>
      <c r="P2598" s="60"/>
      <c r="Q2598" s="60" t="s">
        <v>3663</v>
      </c>
      <c r="R2598" s="60" t="s">
        <v>236</v>
      </c>
      <c r="S2598" s="60"/>
      <c r="T2598" s="60" t="b">
        <f>FALSE()</f>
        <v>0</v>
      </c>
      <c r="U2598" s="60" t="b">
        <f>FALSE()</f>
        <v>0</v>
      </c>
      <c r="V2598" s="60">
        <v>246</v>
      </c>
      <c r="W2598" s="62" t="s">
        <v>9808</v>
      </c>
      <c r="X2598" s="60">
        <v>1</v>
      </c>
      <c r="Y2598" s="63">
        <v>0.24</v>
      </c>
      <c r="Z2598" s="60" t="b">
        <f>FALSE()</f>
        <v>0</v>
      </c>
      <c r="AA2598" s="60" t="b">
        <f>TRUE()</f>
        <v>1</v>
      </c>
      <c r="AB2598" s="60" t="b">
        <f>FALSE()</f>
        <v>0</v>
      </c>
      <c r="AC2598" s="60" t="b">
        <f>TRUE()</f>
        <v>1</v>
      </c>
      <c r="AD2598" s="60" t="b">
        <f>FALSE()</f>
        <v>0</v>
      </c>
      <c r="AE2598" s="60">
        <v>2</v>
      </c>
      <c r="AF2598" s="64">
        <v>28.6</v>
      </c>
      <c r="AG2598" s="60" t="s">
        <v>73</v>
      </c>
      <c r="AH2598" s="60" t="s">
        <v>9809</v>
      </c>
      <c r="AI2598">
        <f>IF(AND(OR(Company_Explorer!$B$5="All Companies",$E2598=Company_Explorer!$B$5),OR(Company_Explorer!$B$6="All Platforms",$B2598=Company_Explorer!$B$6),OR(Company_Explorer!$B$7="All Roles",$D2598=Company_Explorer!$B$7),OR(Company_Explorer!$B$8="All Ghost Labels",$AG2598=Company_Explorer!$B$8)),1,0)</f>
        <v>0</v>
      </c>
    </row>
    <row r="2599" spans="1:35" ht="15" customHeight="1" x14ac:dyDescent="0.3">
      <c r="A2599" s="65" t="s">
        <v>9810</v>
      </c>
      <c r="B2599" s="65" t="s">
        <v>82</v>
      </c>
      <c r="C2599" s="65" t="s">
        <v>9811</v>
      </c>
      <c r="D2599" s="65" t="s">
        <v>132</v>
      </c>
      <c r="E2599" s="65" t="s">
        <v>9812</v>
      </c>
      <c r="F2599" s="65" t="b">
        <f>TRUE()</f>
        <v>1</v>
      </c>
      <c r="G2599" s="65" t="s">
        <v>165</v>
      </c>
      <c r="H2599" s="65" t="s">
        <v>165</v>
      </c>
      <c r="I2599" s="66">
        <v>46191</v>
      </c>
      <c r="J2599" s="66">
        <v>46210.286222326402</v>
      </c>
      <c r="K2599" s="65">
        <v>50</v>
      </c>
      <c r="L2599" s="65" t="s">
        <v>192</v>
      </c>
      <c r="M2599" s="65" t="s">
        <v>183</v>
      </c>
      <c r="N2599" s="65" t="b">
        <f>TRUE()</f>
        <v>1</v>
      </c>
      <c r="O2599" s="71">
        <v>20000</v>
      </c>
      <c r="P2599" s="71">
        <v>40000</v>
      </c>
      <c r="Q2599" s="65" t="s">
        <v>3663</v>
      </c>
      <c r="R2599" s="65" t="s">
        <v>7351</v>
      </c>
      <c r="S2599" s="71">
        <v>30000</v>
      </c>
      <c r="T2599" s="65" t="b">
        <f>TRUE()</f>
        <v>1</v>
      </c>
      <c r="U2599" s="65" t="b">
        <f>TRUE()</f>
        <v>1</v>
      </c>
      <c r="V2599" s="65">
        <v>759</v>
      </c>
      <c r="W2599" s="67" t="s">
        <v>9813</v>
      </c>
      <c r="X2599" s="65">
        <v>2</v>
      </c>
      <c r="Y2599" s="68">
        <v>0.48</v>
      </c>
      <c r="Z2599" s="65" t="b">
        <f>FALSE()</f>
        <v>0</v>
      </c>
      <c r="AA2599" s="65" t="b">
        <f>FALSE()</f>
        <v>0</v>
      </c>
      <c r="AB2599" s="65" t="b">
        <f>FALSE()</f>
        <v>0</v>
      </c>
      <c r="AC2599" s="65" t="b">
        <f>FALSE()</f>
        <v>0</v>
      </c>
      <c r="AD2599" s="65" t="b">
        <f>FALSE()</f>
        <v>0</v>
      </c>
      <c r="AE2599" s="65">
        <v>0</v>
      </c>
      <c r="AF2599" s="69">
        <v>0</v>
      </c>
      <c r="AG2599" s="65" t="s">
        <v>74</v>
      </c>
      <c r="AH2599" s="65" t="s">
        <v>9814</v>
      </c>
      <c r="AI2599">
        <f>IF(AND(OR(Company_Explorer!$B$5="All Companies",$E2599=Company_Explorer!$B$5),OR(Company_Explorer!$B$6="All Platforms",$B2599=Company_Explorer!$B$6),OR(Company_Explorer!$B$7="All Roles",$D2599=Company_Explorer!$B$7),OR(Company_Explorer!$B$8="All Ghost Labels",$AG2599=Company_Explorer!$B$8)),1,0)</f>
        <v>0</v>
      </c>
    </row>
    <row r="2600" spans="1:35" ht="15" customHeight="1" x14ac:dyDescent="0.3">
      <c r="A2600" s="60" t="s">
        <v>9815</v>
      </c>
      <c r="B2600" s="60" t="s">
        <v>82</v>
      </c>
      <c r="C2600" s="60" t="s">
        <v>9816</v>
      </c>
      <c r="D2600" s="60" t="s">
        <v>126</v>
      </c>
      <c r="E2600" s="60" t="s">
        <v>7361</v>
      </c>
      <c r="F2600" s="60" t="b">
        <f>TRUE()</f>
        <v>1</v>
      </c>
      <c r="G2600" s="60" t="s">
        <v>166</v>
      </c>
      <c r="H2600" s="60" t="s">
        <v>235</v>
      </c>
      <c r="I2600" s="61">
        <v>46210</v>
      </c>
      <c r="J2600" s="61">
        <v>46210.286224294003</v>
      </c>
      <c r="K2600" s="60">
        <v>122</v>
      </c>
      <c r="L2600" s="60" t="s">
        <v>183</v>
      </c>
      <c r="M2600" s="60" t="s">
        <v>183</v>
      </c>
      <c r="N2600" s="60" t="b">
        <f>TRUE()</f>
        <v>1</v>
      </c>
      <c r="O2600" s="70">
        <v>162899</v>
      </c>
      <c r="P2600" s="70">
        <v>240704</v>
      </c>
      <c r="Q2600" s="60" t="s">
        <v>3663</v>
      </c>
      <c r="R2600" s="60" t="s">
        <v>7351</v>
      </c>
      <c r="S2600" s="70">
        <v>201802</v>
      </c>
      <c r="T2600" s="60" t="b">
        <f>TRUE()</f>
        <v>1</v>
      </c>
      <c r="U2600" s="60" t="b">
        <f>FALSE()</f>
        <v>0</v>
      </c>
      <c r="V2600" s="60">
        <v>822</v>
      </c>
      <c r="W2600" s="62" t="s">
        <v>9817</v>
      </c>
      <c r="X2600" s="60">
        <v>5</v>
      </c>
      <c r="Y2600" s="63">
        <v>1.21</v>
      </c>
      <c r="Z2600" s="60" t="b">
        <f>FALSE()</f>
        <v>0</v>
      </c>
      <c r="AA2600" s="60" t="b">
        <f>FALSE()</f>
        <v>0</v>
      </c>
      <c r="AB2600" s="60" t="b">
        <f>FALSE()</f>
        <v>0</v>
      </c>
      <c r="AC2600" s="60" t="b">
        <f>TRUE()</f>
        <v>1</v>
      </c>
      <c r="AD2600" s="60" t="b">
        <f>FALSE()</f>
        <v>0</v>
      </c>
      <c r="AE2600" s="60">
        <v>1</v>
      </c>
      <c r="AF2600" s="64">
        <v>14.3</v>
      </c>
      <c r="AG2600" s="60" t="s">
        <v>74</v>
      </c>
      <c r="AH2600" s="60" t="s">
        <v>9818</v>
      </c>
      <c r="AI2600">
        <f>IF(AND(OR(Company_Explorer!$B$5="All Companies",$E2600=Company_Explorer!$B$5),OR(Company_Explorer!$B$6="All Platforms",$B2600=Company_Explorer!$B$6),OR(Company_Explorer!$B$7="All Roles",$D2600=Company_Explorer!$B$7),OR(Company_Explorer!$B$8="All Ghost Labels",$AG2600=Company_Explorer!$B$8)),1,0)</f>
        <v>0</v>
      </c>
    </row>
    <row r="2601" spans="1:35" ht="15" customHeight="1" x14ac:dyDescent="0.3">
      <c r="A2601" s="65" t="s">
        <v>9819</v>
      </c>
      <c r="B2601" s="65" t="s">
        <v>82</v>
      </c>
      <c r="C2601" s="65" t="s">
        <v>9820</v>
      </c>
      <c r="D2601" s="65" t="s">
        <v>126</v>
      </c>
      <c r="E2601" s="65" t="s">
        <v>7346</v>
      </c>
      <c r="F2601" s="65" t="b">
        <f>TRUE()</f>
        <v>1</v>
      </c>
      <c r="G2601" s="65" t="s">
        <v>165</v>
      </c>
      <c r="H2601" s="65" t="s">
        <v>165</v>
      </c>
      <c r="I2601" s="66">
        <v>46186</v>
      </c>
      <c r="J2601" s="66">
        <v>46210.2862252431</v>
      </c>
      <c r="K2601" s="65">
        <v>55</v>
      </c>
      <c r="L2601" s="65" t="s">
        <v>183</v>
      </c>
      <c r="M2601" s="65" t="s">
        <v>183</v>
      </c>
      <c r="N2601" s="65" t="b">
        <f>FALSE()</f>
        <v>0</v>
      </c>
      <c r="O2601" s="65"/>
      <c r="P2601" s="65"/>
      <c r="Q2601" s="65" t="s">
        <v>3663</v>
      </c>
      <c r="R2601" s="65" t="s">
        <v>236</v>
      </c>
      <c r="S2601" s="65"/>
      <c r="T2601" s="65" t="b">
        <f>FALSE()</f>
        <v>0</v>
      </c>
      <c r="U2601" s="65" t="b">
        <f>FALSE()</f>
        <v>0</v>
      </c>
      <c r="V2601" s="65">
        <v>1194</v>
      </c>
      <c r="W2601" s="67" t="s">
        <v>7347</v>
      </c>
      <c r="X2601" s="65">
        <v>10</v>
      </c>
      <c r="Y2601" s="68">
        <v>2.41</v>
      </c>
      <c r="Z2601" s="65" t="b">
        <f>FALSE()</f>
        <v>0</v>
      </c>
      <c r="AA2601" s="65" t="b">
        <f>TRUE()</f>
        <v>1</v>
      </c>
      <c r="AB2601" s="65" t="b">
        <f>FALSE()</f>
        <v>0</v>
      </c>
      <c r="AC2601" s="65" t="b">
        <f>FALSE()</f>
        <v>0</v>
      </c>
      <c r="AD2601" s="65" t="b">
        <f>TRUE()</f>
        <v>1</v>
      </c>
      <c r="AE2601" s="65">
        <v>3</v>
      </c>
      <c r="AF2601" s="69">
        <v>42.9</v>
      </c>
      <c r="AG2601" s="65" t="s">
        <v>73</v>
      </c>
      <c r="AH2601" s="65" t="s">
        <v>9821</v>
      </c>
      <c r="AI2601">
        <f>IF(AND(OR(Company_Explorer!$B$5="All Companies",$E2601=Company_Explorer!$B$5),OR(Company_Explorer!$B$6="All Platforms",$B2601=Company_Explorer!$B$6),OR(Company_Explorer!$B$7="All Roles",$D2601=Company_Explorer!$B$7),OR(Company_Explorer!$B$8="All Ghost Labels",$AG2601=Company_Explorer!$B$8)),1,0)</f>
        <v>0</v>
      </c>
    </row>
    <row r="2602" spans="1:35" ht="15" customHeight="1" x14ac:dyDescent="0.3">
      <c r="A2602" s="60" t="s">
        <v>9822</v>
      </c>
      <c r="B2602" s="60" t="s">
        <v>82</v>
      </c>
      <c r="C2602" s="60" t="s">
        <v>9823</v>
      </c>
      <c r="D2602" s="60" t="s">
        <v>126</v>
      </c>
      <c r="E2602" s="60" t="s">
        <v>9824</v>
      </c>
      <c r="F2602" s="60" t="b">
        <f>TRUE()</f>
        <v>1</v>
      </c>
      <c r="G2602" s="60" t="s">
        <v>167</v>
      </c>
      <c r="H2602" s="60" t="s">
        <v>276</v>
      </c>
      <c r="I2602" s="61">
        <v>46207</v>
      </c>
      <c r="J2602" s="61">
        <v>46210.286225335702</v>
      </c>
      <c r="K2602" s="60">
        <v>3</v>
      </c>
      <c r="L2602" s="60" t="s">
        <v>183</v>
      </c>
      <c r="M2602" s="60" t="s">
        <v>183</v>
      </c>
      <c r="N2602" s="60" t="b">
        <f>TRUE()</f>
        <v>1</v>
      </c>
      <c r="O2602" s="70">
        <v>637500</v>
      </c>
      <c r="P2602" s="70">
        <v>909000</v>
      </c>
      <c r="Q2602" s="60" t="s">
        <v>3663</v>
      </c>
      <c r="R2602" s="60" t="s">
        <v>7351</v>
      </c>
      <c r="S2602" s="70">
        <v>773250</v>
      </c>
      <c r="T2602" s="60" t="b">
        <f>TRUE()</f>
        <v>1</v>
      </c>
      <c r="U2602" s="60" t="b">
        <f>FALSE()</f>
        <v>0</v>
      </c>
      <c r="V2602" s="60">
        <v>781</v>
      </c>
      <c r="W2602" s="62" t="s">
        <v>5494</v>
      </c>
      <c r="X2602" s="60">
        <v>1</v>
      </c>
      <c r="Y2602" s="63">
        <v>0.24</v>
      </c>
      <c r="Z2602" s="60" t="b">
        <f>FALSE()</f>
        <v>0</v>
      </c>
      <c r="AA2602" s="60" t="b">
        <f>FALSE()</f>
        <v>0</v>
      </c>
      <c r="AB2602" s="60" t="b">
        <f>FALSE()</f>
        <v>0</v>
      </c>
      <c r="AC2602" s="60" t="b">
        <f>FALSE()</f>
        <v>0</v>
      </c>
      <c r="AD2602" s="60" t="b">
        <f>FALSE()</f>
        <v>0</v>
      </c>
      <c r="AE2602" s="60">
        <v>0</v>
      </c>
      <c r="AF2602" s="64">
        <v>0</v>
      </c>
      <c r="AG2602" s="60" t="s">
        <v>74</v>
      </c>
      <c r="AH2602" s="60" t="s">
        <v>9825</v>
      </c>
      <c r="AI2602">
        <f>IF(AND(OR(Company_Explorer!$B$5="All Companies",$E2602=Company_Explorer!$B$5),OR(Company_Explorer!$B$6="All Platforms",$B2602=Company_Explorer!$B$6),OR(Company_Explorer!$B$7="All Roles",$D2602=Company_Explorer!$B$7),OR(Company_Explorer!$B$8="All Ghost Labels",$AG2602=Company_Explorer!$B$8)),1,0)</f>
        <v>0</v>
      </c>
    </row>
    <row r="2603" spans="1:35" ht="15" customHeight="1" x14ac:dyDescent="0.3">
      <c r="A2603" s="65" t="s">
        <v>9826</v>
      </c>
      <c r="B2603" s="65" t="s">
        <v>82</v>
      </c>
      <c r="C2603" s="65" t="s">
        <v>9827</v>
      </c>
      <c r="D2603" s="65" t="s">
        <v>126</v>
      </c>
      <c r="E2603" s="65" t="s">
        <v>7431</v>
      </c>
      <c r="F2603" s="65" t="b">
        <f>TRUE()</f>
        <v>1</v>
      </c>
      <c r="G2603" s="65" t="s">
        <v>166</v>
      </c>
      <c r="H2603" s="65" t="s">
        <v>235</v>
      </c>
      <c r="I2603" s="66">
        <v>46206</v>
      </c>
      <c r="J2603" s="66">
        <v>46210.2862257292</v>
      </c>
      <c r="K2603" s="65">
        <v>4</v>
      </c>
      <c r="L2603" s="65" t="s">
        <v>183</v>
      </c>
      <c r="M2603" s="65" t="s">
        <v>183</v>
      </c>
      <c r="N2603" s="65" t="b">
        <f>TRUE()</f>
        <v>1</v>
      </c>
      <c r="O2603" s="71">
        <v>412800</v>
      </c>
      <c r="P2603" s="71">
        <v>627900</v>
      </c>
      <c r="Q2603" s="65" t="s">
        <v>3663</v>
      </c>
      <c r="R2603" s="65" t="s">
        <v>7351</v>
      </c>
      <c r="S2603" s="71">
        <v>520350</v>
      </c>
      <c r="T2603" s="65" t="b">
        <f>TRUE()</f>
        <v>1</v>
      </c>
      <c r="U2603" s="65" t="b">
        <f>FALSE()</f>
        <v>0</v>
      </c>
      <c r="V2603" s="65">
        <v>812</v>
      </c>
      <c r="W2603" s="67" t="s">
        <v>9828</v>
      </c>
      <c r="X2603" s="65">
        <v>4</v>
      </c>
      <c r="Y2603" s="68">
        <v>0.97</v>
      </c>
      <c r="Z2603" s="65" t="b">
        <f>FALSE()</f>
        <v>0</v>
      </c>
      <c r="AA2603" s="65" t="b">
        <f>FALSE()</f>
        <v>0</v>
      </c>
      <c r="AB2603" s="65" t="b">
        <f>FALSE()</f>
        <v>0</v>
      </c>
      <c r="AC2603" s="65" t="b">
        <f>FALSE()</f>
        <v>0</v>
      </c>
      <c r="AD2603" s="65" t="b">
        <f>FALSE()</f>
        <v>0</v>
      </c>
      <c r="AE2603" s="65">
        <v>0</v>
      </c>
      <c r="AF2603" s="69">
        <v>0</v>
      </c>
      <c r="AG2603" s="65" t="s">
        <v>74</v>
      </c>
      <c r="AH2603" s="65" t="s">
        <v>9829</v>
      </c>
      <c r="AI2603">
        <f>IF(AND(OR(Company_Explorer!$B$5="All Companies",$E2603=Company_Explorer!$B$5),OR(Company_Explorer!$B$6="All Platforms",$B2603=Company_Explorer!$B$6),OR(Company_Explorer!$B$7="All Roles",$D2603=Company_Explorer!$B$7),OR(Company_Explorer!$B$8="All Ghost Labels",$AG2603=Company_Explorer!$B$8)),1,0)</f>
        <v>0</v>
      </c>
    </row>
    <row r="2604" spans="1:35" ht="15" customHeight="1" x14ac:dyDescent="0.3">
      <c r="A2604" s="60" t="s">
        <v>9830</v>
      </c>
      <c r="B2604" s="60" t="s">
        <v>82</v>
      </c>
      <c r="C2604" s="60" t="s">
        <v>9831</v>
      </c>
      <c r="D2604" s="60" t="s">
        <v>126</v>
      </c>
      <c r="E2604" s="60" t="s">
        <v>9832</v>
      </c>
      <c r="F2604" s="60" t="b">
        <f>TRUE()</f>
        <v>1</v>
      </c>
      <c r="G2604" s="60" t="s">
        <v>165</v>
      </c>
      <c r="H2604" s="60" t="s">
        <v>165</v>
      </c>
      <c r="I2604" s="61">
        <v>46184</v>
      </c>
      <c r="J2604" s="61">
        <v>46210.286228750003</v>
      </c>
      <c r="K2604" s="60">
        <v>27</v>
      </c>
      <c r="L2604" s="60" t="s">
        <v>192</v>
      </c>
      <c r="M2604" s="60" t="s">
        <v>183</v>
      </c>
      <c r="N2604" s="60" t="b">
        <f>FALSE()</f>
        <v>0</v>
      </c>
      <c r="O2604" s="60"/>
      <c r="P2604" s="60"/>
      <c r="Q2604" s="60" t="s">
        <v>3663</v>
      </c>
      <c r="R2604" s="60" t="s">
        <v>236</v>
      </c>
      <c r="S2604" s="60"/>
      <c r="T2604" s="60" t="b">
        <f>FALSE()</f>
        <v>0</v>
      </c>
      <c r="U2604" s="60" t="b">
        <f>FALSE()</f>
        <v>0</v>
      </c>
      <c r="V2604" s="60">
        <v>945</v>
      </c>
      <c r="W2604" s="62" t="s">
        <v>9833</v>
      </c>
      <c r="X2604" s="60">
        <v>1</v>
      </c>
      <c r="Y2604" s="63">
        <v>0.24</v>
      </c>
      <c r="Z2604" s="60" t="b">
        <f>FALSE()</f>
        <v>0</v>
      </c>
      <c r="AA2604" s="60" t="b">
        <f>TRUE()</f>
        <v>1</v>
      </c>
      <c r="AB2604" s="60" t="b">
        <f>FALSE()</f>
        <v>0</v>
      </c>
      <c r="AC2604" s="60" t="b">
        <f>FALSE()</f>
        <v>0</v>
      </c>
      <c r="AD2604" s="60" t="b">
        <f>FALSE()</f>
        <v>0</v>
      </c>
      <c r="AE2604" s="60">
        <v>1</v>
      </c>
      <c r="AF2604" s="64">
        <v>14.3</v>
      </c>
      <c r="AG2604" s="60" t="s">
        <v>74</v>
      </c>
      <c r="AH2604" s="60" t="s">
        <v>9834</v>
      </c>
      <c r="AI2604">
        <f>IF(AND(OR(Company_Explorer!$B$5="All Companies",$E2604=Company_Explorer!$B$5),OR(Company_Explorer!$B$6="All Platforms",$B2604=Company_Explorer!$B$6),OR(Company_Explorer!$B$7="All Roles",$D2604=Company_Explorer!$B$7),OR(Company_Explorer!$B$8="All Ghost Labels",$AG2604=Company_Explorer!$B$8)),1,0)</f>
        <v>0</v>
      </c>
    </row>
    <row r="2605" spans="1:35" ht="15" customHeight="1" x14ac:dyDescent="0.3">
      <c r="A2605" s="65" t="s">
        <v>9835</v>
      </c>
      <c r="B2605" s="65" t="s">
        <v>82</v>
      </c>
      <c r="C2605" s="65" t="s">
        <v>9836</v>
      </c>
      <c r="D2605" s="65" t="s">
        <v>126</v>
      </c>
      <c r="E2605" s="65" t="s">
        <v>9837</v>
      </c>
      <c r="F2605" s="65" t="b">
        <f>TRUE()</f>
        <v>1</v>
      </c>
      <c r="G2605" s="65" t="s">
        <v>165</v>
      </c>
      <c r="H2605" s="65" t="s">
        <v>165</v>
      </c>
      <c r="I2605" s="66">
        <v>46209</v>
      </c>
      <c r="J2605" s="66">
        <v>46210.286229016201</v>
      </c>
      <c r="K2605" s="65">
        <v>124</v>
      </c>
      <c r="L2605" s="65" t="s">
        <v>183</v>
      </c>
      <c r="M2605" s="65" t="s">
        <v>183</v>
      </c>
      <c r="N2605" s="65" t="b">
        <f>FALSE()</f>
        <v>0</v>
      </c>
      <c r="O2605" s="65"/>
      <c r="P2605" s="65"/>
      <c r="Q2605" s="65" t="s">
        <v>3663</v>
      </c>
      <c r="R2605" s="65" t="s">
        <v>236</v>
      </c>
      <c r="S2605" s="65"/>
      <c r="T2605" s="65" t="b">
        <f>FALSE()</f>
        <v>0</v>
      </c>
      <c r="U2605" s="65" t="b">
        <f>FALSE()</f>
        <v>0</v>
      </c>
      <c r="V2605" s="65">
        <v>246</v>
      </c>
      <c r="W2605" s="65" t="s">
        <v>9838</v>
      </c>
      <c r="X2605" s="65">
        <v>1</v>
      </c>
      <c r="Y2605" s="68">
        <v>0.24</v>
      </c>
      <c r="Z2605" s="65" t="b">
        <f>FALSE()</f>
        <v>0</v>
      </c>
      <c r="AA2605" s="65" t="b">
        <f>TRUE()</f>
        <v>1</v>
      </c>
      <c r="AB2605" s="65" t="b">
        <f>FALSE()</f>
        <v>0</v>
      </c>
      <c r="AC2605" s="65" t="b">
        <f>TRUE()</f>
        <v>1</v>
      </c>
      <c r="AD2605" s="65" t="b">
        <f>FALSE()</f>
        <v>0</v>
      </c>
      <c r="AE2605" s="65">
        <v>2</v>
      </c>
      <c r="AF2605" s="69">
        <v>28.6</v>
      </c>
      <c r="AG2605" s="65" t="s">
        <v>73</v>
      </c>
      <c r="AH2605" s="65" t="s">
        <v>9839</v>
      </c>
      <c r="AI2605">
        <f>IF(AND(OR(Company_Explorer!$B$5="All Companies",$E2605=Company_Explorer!$B$5),OR(Company_Explorer!$B$6="All Platforms",$B2605=Company_Explorer!$B$6),OR(Company_Explorer!$B$7="All Roles",$D2605=Company_Explorer!$B$7),OR(Company_Explorer!$B$8="All Ghost Labels",$AG2605=Company_Explorer!$B$8)),1,0)</f>
        <v>0</v>
      </c>
    </row>
    <row r="2606" spans="1:35" ht="15" customHeight="1" x14ac:dyDescent="0.3">
      <c r="A2606" s="60" t="s">
        <v>9840</v>
      </c>
      <c r="B2606" s="60" t="s">
        <v>82</v>
      </c>
      <c r="C2606" s="60" t="s">
        <v>9841</v>
      </c>
      <c r="D2606" s="60" t="s">
        <v>128</v>
      </c>
      <c r="E2606" s="60" t="s">
        <v>8501</v>
      </c>
      <c r="F2606" s="60" t="b">
        <f>TRUE()</f>
        <v>1</v>
      </c>
      <c r="G2606" s="60" t="s">
        <v>165</v>
      </c>
      <c r="H2606" s="60" t="s">
        <v>165</v>
      </c>
      <c r="I2606" s="61">
        <v>46204</v>
      </c>
      <c r="J2606" s="61">
        <v>46210.286228715297</v>
      </c>
      <c r="K2606" s="60">
        <v>67</v>
      </c>
      <c r="L2606" s="60" t="s">
        <v>183</v>
      </c>
      <c r="M2606" s="60" t="s">
        <v>183</v>
      </c>
      <c r="N2606" s="60" t="b">
        <f>FALSE()</f>
        <v>0</v>
      </c>
      <c r="O2606" s="60"/>
      <c r="P2606" s="60"/>
      <c r="Q2606" s="60" t="s">
        <v>3663</v>
      </c>
      <c r="R2606" s="60" t="s">
        <v>236</v>
      </c>
      <c r="S2606" s="60"/>
      <c r="T2606" s="60" t="b">
        <f>FALSE()</f>
        <v>0</v>
      </c>
      <c r="U2606" s="60" t="b">
        <f>FALSE()</f>
        <v>0</v>
      </c>
      <c r="V2606" s="60">
        <v>1397</v>
      </c>
      <c r="W2606" s="62" t="s">
        <v>9842</v>
      </c>
      <c r="X2606" s="60">
        <v>2</v>
      </c>
      <c r="Y2606" s="63">
        <v>0.48</v>
      </c>
      <c r="Z2606" s="60" t="b">
        <f>FALSE()</f>
        <v>0</v>
      </c>
      <c r="AA2606" s="60" t="b">
        <f>TRUE()</f>
        <v>1</v>
      </c>
      <c r="AB2606" s="60" t="b">
        <f>FALSE()</f>
        <v>0</v>
      </c>
      <c r="AC2606" s="60" t="b">
        <f>FALSE()</f>
        <v>0</v>
      </c>
      <c r="AD2606" s="60" t="b">
        <f>FALSE()</f>
        <v>0</v>
      </c>
      <c r="AE2606" s="60">
        <v>1</v>
      </c>
      <c r="AF2606" s="64">
        <v>14.3</v>
      </c>
      <c r="AG2606" s="60" t="s">
        <v>74</v>
      </c>
      <c r="AH2606" s="60" t="s">
        <v>9843</v>
      </c>
      <c r="AI2606">
        <f>IF(AND(OR(Company_Explorer!$B$5="All Companies",$E2606=Company_Explorer!$B$5),OR(Company_Explorer!$B$6="All Platforms",$B2606=Company_Explorer!$B$6),OR(Company_Explorer!$B$7="All Roles",$D2606=Company_Explorer!$B$7),OR(Company_Explorer!$B$8="All Ghost Labels",$AG2606=Company_Explorer!$B$8)),1,0)</f>
        <v>0</v>
      </c>
    </row>
    <row r="2607" spans="1:35" ht="15" customHeight="1" x14ac:dyDescent="0.3">
      <c r="A2607" s="65" t="s">
        <v>9844</v>
      </c>
      <c r="B2607" s="65" t="s">
        <v>82</v>
      </c>
      <c r="C2607" s="65" t="s">
        <v>9845</v>
      </c>
      <c r="D2607" s="65" t="s">
        <v>128</v>
      </c>
      <c r="E2607" s="65" t="s">
        <v>9846</v>
      </c>
      <c r="F2607" s="65" t="b">
        <f>TRUE()</f>
        <v>1</v>
      </c>
      <c r="G2607" s="65" t="s">
        <v>165</v>
      </c>
      <c r="H2607" s="65" t="s">
        <v>165</v>
      </c>
      <c r="I2607" s="66">
        <v>46206</v>
      </c>
      <c r="J2607" s="66">
        <v>46210.286231712998</v>
      </c>
      <c r="K2607" s="65">
        <v>4</v>
      </c>
      <c r="L2607" s="65" t="s">
        <v>192</v>
      </c>
      <c r="M2607" s="65" t="s">
        <v>183</v>
      </c>
      <c r="N2607" s="65" t="b">
        <f>TRUE()</f>
        <v>1</v>
      </c>
      <c r="O2607" s="71">
        <v>50000</v>
      </c>
      <c r="P2607" s="71">
        <v>200000</v>
      </c>
      <c r="Q2607" s="65" t="s">
        <v>3663</v>
      </c>
      <c r="R2607" s="65" t="s">
        <v>7445</v>
      </c>
      <c r="S2607" s="71">
        <v>1500000</v>
      </c>
      <c r="T2607" s="65" t="b">
        <f>TRUE()</f>
        <v>1</v>
      </c>
      <c r="U2607" s="65" t="b">
        <f>FALSE()</f>
        <v>0</v>
      </c>
      <c r="V2607" s="65">
        <v>384</v>
      </c>
      <c r="W2607" s="67" t="s">
        <v>9847</v>
      </c>
      <c r="X2607" s="65">
        <v>1</v>
      </c>
      <c r="Y2607" s="68">
        <v>0.24</v>
      </c>
      <c r="Z2607" s="65" t="b">
        <f>FALSE()</f>
        <v>0</v>
      </c>
      <c r="AA2607" s="65" t="b">
        <f>FALSE()</f>
        <v>0</v>
      </c>
      <c r="AB2607" s="65" t="b">
        <f>FALSE()</f>
        <v>0</v>
      </c>
      <c r="AC2607" s="65" t="b">
        <f>FALSE()</f>
        <v>0</v>
      </c>
      <c r="AD2607" s="65" t="b">
        <f>FALSE()</f>
        <v>0</v>
      </c>
      <c r="AE2607" s="65">
        <v>0</v>
      </c>
      <c r="AF2607" s="69">
        <v>0</v>
      </c>
      <c r="AG2607" s="65" t="s">
        <v>74</v>
      </c>
      <c r="AH2607" s="65" t="s">
        <v>9848</v>
      </c>
      <c r="AI2607">
        <f>IF(AND(OR(Company_Explorer!$B$5="All Companies",$E2607=Company_Explorer!$B$5),OR(Company_Explorer!$B$6="All Platforms",$B2607=Company_Explorer!$B$6),OR(Company_Explorer!$B$7="All Roles",$D2607=Company_Explorer!$B$7),OR(Company_Explorer!$B$8="All Ghost Labels",$AG2607=Company_Explorer!$B$8)),1,0)</f>
        <v>0</v>
      </c>
    </row>
    <row r="2608" spans="1:35" ht="15" customHeight="1" x14ac:dyDescent="0.3">
      <c r="A2608" s="60" t="s">
        <v>9849</v>
      </c>
      <c r="B2608" s="60" t="s">
        <v>82</v>
      </c>
      <c r="C2608" s="60" t="s">
        <v>132</v>
      </c>
      <c r="D2608" s="60" t="s">
        <v>132</v>
      </c>
      <c r="E2608" s="60" t="s">
        <v>8798</v>
      </c>
      <c r="F2608" s="60" t="b">
        <f>TRUE()</f>
        <v>1</v>
      </c>
      <c r="G2608" s="60" t="s">
        <v>166</v>
      </c>
      <c r="H2608" s="60" t="s">
        <v>235</v>
      </c>
      <c r="I2608" s="61">
        <v>46203</v>
      </c>
      <c r="J2608" s="61">
        <v>46210.286235277803</v>
      </c>
      <c r="K2608" s="60">
        <v>7</v>
      </c>
      <c r="L2608" s="60" t="s">
        <v>183</v>
      </c>
      <c r="M2608" s="60" t="s">
        <v>183</v>
      </c>
      <c r="N2608" s="60" t="b">
        <f>TRUE()</f>
        <v>1</v>
      </c>
      <c r="O2608" s="70">
        <v>552000</v>
      </c>
      <c r="P2608" s="70">
        <v>850000</v>
      </c>
      <c r="Q2608" s="60" t="s">
        <v>3663</v>
      </c>
      <c r="R2608" s="60" t="s">
        <v>7351</v>
      </c>
      <c r="S2608" s="70">
        <v>701000</v>
      </c>
      <c r="T2608" s="60" t="b">
        <f>TRUE()</f>
        <v>1</v>
      </c>
      <c r="U2608" s="60" t="b">
        <f>FALSE()</f>
        <v>0</v>
      </c>
      <c r="V2608" s="60">
        <v>302</v>
      </c>
      <c r="W2608" s="62" t="s">
        <v>9850</v>
      </c>
      <c r="X2608" s="60">
        <v>4</v>
      </c>
      <c r="Y2608" s="63">
        <v>0.97</v>
      </c>
      <c r="Z2608" s="60" t="b">
        <f>FALSE()</f>
        <v>0</v>
      </c>
      <c r="AA2608" s="60" t="b">
        <f>FALSE()</f>
        <v>0</v>
      </c>
      <c r="AB2608" s="60" t="b">
        <f>FALSE()</f>
        <v>0</v>
      </c>
      <c r="AC2608" s="60" t="b">
        <f>FALSE()</f>
        <v>0</v>
      </c>
      <c r="AD2608" s="60" t="b">
        <f>FALSE()</f>
        <v>0</v>
      </c>
      <c r="AE2608" s="60">
        <v>0</v>
      </c>
      <c r="AF2608" s="64">
        <v>0</v>
      </c>
      <c r="AG2608" s="60" t="s">
        <v>74</v>
      </c>
      <c r="AH2608" s="60" t="s">
        <v>9851</v>
      </c>
      <c r="AI2608">
        <f>IF(AND(OR(Company_Explorer!$B$5="All Companies",$E2608=Company_Explorer!$B$5),OR(Company_Explorer!$B$6="All Platforms",$B2608=Company_Explorer!$B$6),OR(Company_Explorer!$B$7="All Roles",$D2608=Company_Explorer!$B$7),OR(Company_Explorer!$B$8="All Ghost Labels",$AG2608=Company_Explorer!$B$8)),1,0)</f>
        <v>0</v>
      </c>
    </row>
    <row r="2609" spans="1:35" ht="15" customHeight="1" x14ac:dyDescent="0.3">
      <c r="A2609" s="65" t="s">
        <v>9852</v>
      </c>
      <c r="B2609" s="65" t="s">
        <v>82</v>
      </c>
      <c r="C2609" s="65" t="s">
        <v>9853</v>
      </c>
      <c r="D2609" s="65" t="s">
        <v>126</v>
      </c>
      <c r="E2609" s="65" t="s">
        <v>3726</v>
      </c>
      <c r="F2609" s="65" t="b">
        <f>FALSE()</f>
        <v>0</v>
      </c>
      <c r="G2609" s="65" t="s">
        <v>165</v>
      </c>
      <c r="H2609" s="65" t="s">
        <v>165</v>
      </c>
      <c r="I2609" s="66">
        <v>46210</v>
      </c>
      <c r="J2609" s="66">
        <v>46210.286235358799</v>
      </c>
      <c r="K2609" s="65">
        <v>0</v>
      </c>
      <c r="L2609" s="65" t="s">
        <v>192</v>
      </c>
      <c r="M2609" s="65" t="s">
        <v>183</v>
      </c>
      <c r="N2609" s="65" t="b">
        <f>TRUE()</f>
        <v>1</v>
      </c>
      <c r="O2609" s="71">
        <v>12156.833000000001</v>
      </c>
      <c r="P2609" s="71">
        <v>53677.25</v>
      </c>
      <c r="Q2609" s="65" t="s">
        <v>3663</v>
      </c>
      <c r="R2609" s="65" t="s">
        <v>7445</v>
      </c>
      <c r="S2609" s="71">
        <v>395004</v>
      </c>
      <c r="T2609" s="65" t="b">
        <f>TRUE()</f>
        <v>1</v>
      </c>
      <c r="U2609" s="65" t="b">
        <f>FALSE()</f>
        <v>0</v>
      </c>
      <c r="V2609" s="65">
        <v>433</v>
      </c>
      <c r="W2609" s="67" t="s">
        <v>9854</v>
      </c>
      <c r="X2609" s="65"/>
      <c r="Y2609" s="68"/>
      <c r="Z2609" s="65" t="b">
        <f>TRUE()</f>
        <v>1</v>
      </c>
      <c r="AA2609" s="65" t="b">
        <f>FALSE()</f>
        <v>0</v>
      </c>
      <c r="AB2609" s="65" t="b">
        <f>FALSE()</f>
        <v>0</v>
      </c>
      <c r="AC2609" s="65" t="b">
        <f>FALSE()</f>
        <v>0</v>
      </c>
      <c r="AD2609" s="65" t="b">
        <f>FALSE()</f>
        <v>0</v>
      </c>
      <c r="AE2609" s="65">
        <v>2</v>
      </c>
      <c r="AF2609" s="69">
        <v>28.6</v>
      </c>
      <c r="AG2609" s="65" t="s">
        <v>73</v>
      </c>
      <c r="AH2609" s="65" t="s">
        <v>9855</v>
      </c>
      <c r="AI2609">
        <f>IF(AND(OR(Company_Explorer!$B$5="All Companies",$E2609=Company_Explorer!$B$5),OR(Company_Explorer!$B$6="All Platforms",$B2609=Company_Explorer!$B$6),OR(Company_Explorer!$B$7="All Roles",$D2609=Company_Explorer!$B$7),OR(Company_Explorer!$B$8="All Ghost Labels",$AG2609=Company_Explorer!$B$8)),1,0)</f>
        <v>0</v>
      </c>
    </row>
    <row r="2610" spans="1:35" ht="15" customHeight="1" x14ac:dyDescent="0.3">
      <c r="A2610" s="60" t="s">
        <v>9856</v>
      </c>
      <c r="B2610" s="60" t="s">
        <v>82</v>
      </c>
      <c r="C2610" s="60" t="s">
        <v>9857</v>
      </c>
      <c r="D2610" s="60" t="s">
        <v>128</v>
      </c>
      <c r="E2610" s="60" t="s">
        <v>9858</v>
      </c>
      <c r="F2610" s="60" t="b">
        <f>TRUE()</f>
        <v>1</v>
      </c>
      <c r="G2610" s="60" t="s">
        <v>165</v>
      </c>
      <c r="H2610" s="60" t="s">
        <v>165</v>
      </c>
      <c r="I2610" s="61">
        <v>46204</v>
      </c>
      <c r="J2610" s="61">
        <v>46210.286238588</v>
      </c>
      <c r="K2610" s="60">
        <v>6</v>
      </c>
      <c r="L2610" s="60" t="s">
        <v>192</v>
      </c>
      <c r="M2610" s="60" t="s">
        <v>183</v>
      </c>
      <c r="N2610" s="60" t="b">
        <f>FALSE()</f>
        <v>0</v>
      </c>
      <c r="O2610" s="60"/>
      <c r="P2610" s="60"/>
      <c r="Q2610" s="60" t="s">
        <v>3663</v>
      </c>
      <c r="R2610" s="60" t="s">
        <v>236</v>
      </c>
      <c r="S2610" s="60"/>
      <c r="T2610" s="60" t="b">
        <f>FALSE()</f>
        <v>0</v>
      </c>
      <c r="U2610" s="60" t="b">
        <f>FALSE()</f>
        <v>0</v>
      </c>
      <c r="V2610" s="60">
        <v>518</v>
      </c>
      <c r="W2610" s="62" t="s">
        <v>9859</v>
      </c>
      <c r="X2610" s="60">
        <v>1</v>
      </c>
      <c r="Y2610" s="63">
        <v>0.24</v>
      </c>
      <c r="Z2610" s="60" t="b">
        <f>FALSE()</f>
        <v>0</v>
      </c>
      <c r="AA2610" s="60" t="b">
        <f>TRUE()</f>
        <v>1</v>
      </c>
      <c r="AB2610" s="60" t="b">
        <f>FALSE()</f>
        <v>0</v>
      </c>
      <c r="AC2610" s="60" t="b">
        <f>FALSE()</f>
        <v>0</v>
      </c>
      <c r="AD2610" s="60" t="b">
        <f>FALSE()</f>
        <v>0</v>
      </c>
      <c r="AE2610" s="60">
        <v>1</v>
      </c>
      <c r="AF2610" s="64">
        <v>14.3</v>
      </c>
      <c r="AG2610" s="60" t="s">
        <v>74</v>
      </c>
      <c r="AH2610" s="60" t="s">
        <v>9860</v>
      </c>
      <c r="AI2610">
        <f>IF(AND(OR(Company_Explorer!$B$5="All Companies",$E2610=Company_Explorer!$B$5),OR(Company_Explorer!$B$6="All Platforms",$B2610=Company_Explorer!$B$6),OR(Company_Explorer!$B$7="All Roles",$D2610=Company_Explorer!$B$7),OR(Company_Explorer!$B$8="All Ghost Labels",$AG2610=Company_Explorer!$B$8)),1,0)</f>
        <v>0</v>
      </c>
    </row>
    <row r="2611" spans="1:35" ht="15" customHeight="1" x14ac:dyDescent="0.3">
      <c r="A2611" s="65" t="s">
        <v>9861</v>
      </c>
      <c r="B2611" s="65" t="s">
        <v>82</v>
      </c>
      <c r="C2611" s="65" t="s">
        <v>9862</v>
      </c>
      <c r="D2611" s="65" t="s">
        <v>126</v>
      </c>
      <c r="E2611" s="65" t="s">
        <v>9863</v>
      </c>
      <c r="F2611" s="65" t="b">
        <f>TRUE()</f>
        <v>1</v>
      </c>
      <c r="G2611" s="65" t="s">
        <v>165</v>
      </c>
      <c r="H2611" s="65" t="s">
        <v>165</v>
      </c>
      <c r="I2611" s="66">
        <v>46211</v>
      </c>
      <c r="J2611" s="66">
        <v>46210.286243449103</v>
      </c>
      <c r="K2611" s="65">
        <v>122</v>
      </c>
      <c r="L2611" s="65" t="s">
        <v>192</v>
      </c>
      <c r="M2611" s="65" t="s">
        <v>183</v>
      </c>
      <c r="N2611" s="65" t="b">
        <f>FALSE()</f>
        <v>0</v>
      </c>
      <c r="O2611" s="65"/>
      <c r="P2611" s="65"/>
      <c r="Q2611" s="65" t="s">
        <v>3663</v>
      </c>
      <c r="R2611" s="65" t="s">
        <v>236</v>
      </c>
      <c r="S2611" s="65"/>
      <c r="T2611" s="65" t="b">
        <f>FALSE()</f>
        <v>0</v>
      </c>
      <c r="U2611" s="65" t="b">
        <f>FALSE()</f>
        <v>0</v>
      </c>
      <c r="V2611" s="65">
        <v>723</v>
      </c>
      <c r="W2611" s="67" t="s">
        <v>9864</v>
      </c>
      <c r="X2611" s="65">
        <v>1</v>
      </c>
      <c r="Y2611" s="68">
        <v>0.24</v>
      </c>
      <c r="Z2611" s="65" t="b">
        <f>FALSE()</f>
        <v>0</v>
      </c>
      <c r="AA2611" s="65" t="b">
        <f>TRUE()</f>
        <v>1</v>
      </c>
      <c r="AB2611" s="65" t="b">
        <f>FALSE()</f>
        <v>0</v>
      </c>
      <c r="AC2611" s="65" t="b">
        <f>TRUE()</f>
        <v>1</v>
      </c>
      <c r="AD2611" s="65" t="b">
        <f>FALSE()</f>
        <v>0</v>
      </c>
      <c r="AE2611" s="65">
        <v>2</v>
      </c>
      <c r="AF2611" s="69">
        <v>28.6</v>
      </c>
      <c r="AG2611" s="65" t="s">
        <v>73</v>
      </c>
      <c r="AH2611" s="65" t="s">
        <v>9865</v>
      </c>
      <c r="AI2611">
        <f>IF(AND(OR(Company_Explorer!$B$5="All Companies",$E2611=Company_Explorer!$B$5),OR(Company_Explorer!$B$6="All Platforms",$B2611=Company_Explorer!$B$6),OR(Company_Explorer!$B$7="All Roles",$D2611=Company_Explorer!$B$7),OR(Company_Explorer!$B$8="All Ghost Labels",$AG2611=Company_Explorer!$B$8)),1,0)</f>
        <v>0</v>
      </c>
    </row>
    <row r="2612" spans="1:35" ht="15" customHeight="1" x14ac:dyDescent="0.3">
      <c r="A2612" s="60" t="s">
        <v>9866</v>
      </c>
      <c r="B2612" s="60" t="s">
        <v>82</v>
      </c>
      <c r="C2612" s="60" t="s">
        <v>9867</v>
      </c>
      <c r="D2612" s="60" t="s">
        <v>132</v>
      </c>
      <c r="E2612" s="60" t="s">
        <v>8682</v>
      </c>
      <c r="F2612" s="60" t="b">
        <f>TRUE()</f>
        <v>1</v>
      </c>
      <c r="G2612" s="60" t="s">
        <v>167</v>
      </c>
      <c r="H2612" s="60" t="s">
        <v>276</v>
      </c>
      <c r="I2612" s="61">
        <v>46200</v>
      </c>
      <c r="J2612" s="61">
        <v>46210.286243634298</v>
      </c>
      <c r="K2612" s="60">
        <v>10</v>
      </c>
      <c r="L2612" s="60" t="s">
        <v>183</v>
      </c>
      <c r="M2612" s="60" t="s">
        <v>183</v>
      </c>
      <c r="N2612" s="60" t="b">
        <f>TRUE()</f>
        <v>1</v>
      </c>
      <c r="O2612" s="70">
        <v>325000</v>
      </c>
      <c r="P2612" s="70">
        <v>775000</v>
      </c>
      <c r="Q2612" s="60" t="s">
        <v>3663</v>
      </c>
      <c r="R2612" s="60" t="s">
        <v>7351</v>
      </c>
      <c r="S2612" s="70">
        <v>550000</v>
      </c>
      <c r="T2612" s="60" t="b">
        <f>TRUE()</f>
        <v>1</v>
      </c>
      <c r="U2612" s="60" t="b">
        <f>FALSE()</f>
        <v>0</v>
      </c>
      <c r="V2612" s="60">
        <v>492</v>
      </c>
      <c r="W2612" s="62" t="s">
        <v>9868</v>
      </c>
      <c r="X2612" s="60">
        <v>7</v>
      </c>
      <c r="Y2612" s="63">
        <v>1.69</v>
      </c>
      <c r="Z2612" s="60" t="b">
        <f>FALSE()</f>
        <v>0</v>
      </c>
      <c r="AA2612" s="60" t="b">
        <f>FALSE()</f>
        <v>0</v>
      </c>
      <c r="AB2612" s="60" t="b">
        <f>FALSE()</f>
        <v>0</v>
      </c>
      <c r="AC2612" s="60" t="b">
        <f>FALSE()</f>
        <v>0</v>
      </c>
      <c r="AD2612" s="60" t="b">
        <f>FALSE()</f>
        <v>0</v>
      </c>
      <c r="AE2612" s="60">
        <v>0</v>
      </c>
      <c r="AF2612" s="64">
        <v>0</v>
      </c>
      <c r="AG2612" s="60" t="s">
        <v>74</v>
      </c>
      <c r="AH2612" s="60" t="s">
        <v>9869</v>
      </c>
      <c r="AI2612">
        <f>IF(AND(OR(Company_Explorer!$B$5="All Companies",$E2612=Company_Explorer!$B$5),OR(Company_Explorer!$B$6="All Platforms",$B2612=Company_Explorer!$B$6),OR(Company_Explorer!$B$7="All Roles",$D2612=Company_Explorer!$B$7),OR(Company_Explorer!$B$8="All Ghost Labels",$AG2612=Company_Explorer!$B$8)),1,0)</f>
        <v>0</v>
      </c>
    </row>
    <row r="2613" spans="1:35" ht="15" customHeight="1" x14ac:dyDescent="0.3">
      <c r="A2613" s="65" t="s">
        <v>9870</v>
      </c>
      <c r="B2613" s="65" t="s">
        <v>82</v>
      </c>
      <c r="C2613" s="65" t="s">
        <v>9871</v>
      </c>
      <c r="D2613" s="65" t="s">
        <v>125</v>
      </c>
      <c r="E2613" s="65" t="s">
        <v>9872</v>
      </c>
      <c r="F2613" s="65" t="b">
        <f>TRUE()</f>
        <v>1</v>
      </c>
      <c r="G2613" s="65" t="s">
        <v>2302</v>
      </c>
      <c r="H2613" s="65" t="s">
        <v>270</v>
      </c>
      <c r="I2613" s="66">
        <v>46210</v>
      </c>
      <c r="J2613" s="66">
        <v>46210.2862444329</v>
      </c>
      <c r="K2613" s="65">
        <v>1</v>
      </c>
      <c r="L2613" s="65" t="s">
        <v>183</v>
      </c>
      <c r="M2613" s="65" t="s">
        <v>183</v>
      </c>
      <c r="N2613" s="65" t="b">
        <f>FALSE()</f>
        <v>0</v>
      </c>
      <c r="O2613" s="65"/>
      <c r="P2613" s="65"/>
      <c r="Q2613" s="65" t="s">
        <v>3663</v>
      </c>
      <c r="R2613" s="65" t="s">
        <v>236</v>
      </c>
      <c r="S2613" s="65"/>
      <c r="T2613" s="65" t="b">
        <f>FALSE()</f>
        <v>0</v>
      </c>
      <c r="U2613" s="65" t="b">
        <f>FALSE()</f>
        <v>0</v>
      </c>
      <c r="V2613" s="65">
        <v>130</v>
      </c>
      <c r="W2613" s="67" t="s">
        <v>9873</v>
      </c>
      <c r="X2613" s="65">
        <v>1</v>
      </c>
      <c r="Y2613" s="68">
        <v>0.24</v>
      </c>
      <c r="Z2613" s="65" t="b">
        <f>FALSE()</f>
        <v>0</v>
      </c>
      <c r="AA2613" s="65" t="b">
        <f>TRUE()</f>
        <v>1</v>
      </c>
      <c r="AB2613" s="65" t="b">
        <f>TRUE()</f>
        <v>1</v>
      </c>
      <c r="AC2613" s="65" t="b">
        <f>FALSE()</f>
        <v>0</v>
      </c>
      <c r="AD2613" s="65" t="b">
        <f>FALSE()</f>
        <v>0</v>
      </c>
      <c r="AE2613" s="65">
        <v>2</v>
      </c>
      <c r="AF2613" s="69">
        <v>28.6</v>
      </c>
      <c r="AG2613" s="65" t="s">
        <v>73</v>
      </c>
      <c r="AH2613" s="65" t="s">
        <v>9874</v>
      </c>
      <c r="AI2613">
        <f>IF(AND(OR(Company_Explorer!$B$5="All Companies",$E2613=Company_Explorer!$B$5),OR(Company_Explorer!$B$6="All Platforms",$B2613=Company_Explorer!$B$6),OR(Company_Explorer!$B$7="All Roles",$D2613=Company_Explorer!$B$7),OR(Company_Explorer!$B$8="All Ghost Labels",$AG2613=Company_Explorer!$B$8)),1,0)</f>
        <v>0</v>
      </c>
    </row>
    <row r="2614" spans="1:35" ht="15" customHeight="1" x14ac:dyDescent="0.3">
      <c r="A2614" s="60" t="s">
        <v>9875</v>
      </c>
      <c r="B2614" s="60" t="s">
        <v>82</v>
      </c>
      <c r="C2614" s="60" t="s">
        <v>7285</v>
      </c>
      <c r="D2614" s="60" t="s">
        <v>128</v>
      </c>
      <c r="E2614" s="60" t="s">
        <v>3726</v>
      </c>
      <c r="F2614" s="60" t="b">
        <f>FALSE()</f>
        <v>0</v>
      </c>
      <c r="G2614" s="60" t="s">
        <v>165</v>
      </c>
      <c r="H2614" s="60" t="s">
        <v>165</v>
      </c>
      <c r="I2614" s="61">
        <v>46191</v>
      </c>
      <c r="J2614" s="61">
        <v>46210.286244756899</v>
      </c>
      <c r="K2614" s="60">
        <v>19</v>
      </c>
      <c r="L2614" s="60" t="s">
        <v>193</v>
      </c>
      <c r="M2614" s="60" t="s">
        <v>183</v>
      </c>
      <c r="N2614" s="60" t="b">
        <f>TRUE()</f>
        <v>1</v>
      </c>
      <c r="O2614" s="70">
        <v>150000</v>
      </c>
      <c r="P2614" s="70">
        <v>200000</v>
      </c>
      <c r="Q2614" s="60" t="s">
        <v>3663</v>
      </c>
      <c r="R2614" s="60" t="s">
        <v>7445</v>
      </c>
      <c r="S2614" s="70">
        <v>2100000</v>
      </c>
      <c r="T2614" s="60" t="b">
        <f>TRUE()</f>
        <v>1</v>
      </c>
      <c r="U2614" s="60" t="b">
        <f>FALSE()</f>
        <v>0</v>
      </c>
      <c r="V2614" s="60">
        <v>256</v>
      </c>
      <c r="W2614" s="62" t="s">
        <v>9876</v>
      </c>
      <c r="X2614" s="60"/>
      <c r="Y2614" s="63"/>
      <c r="Z2614" s="60" t="b">
        <f>TRUE()</f>
        <v>1</v>
      </c>
      <c r="AA2614" s="60" t="b">
        <f>FALSE()</f>
        <v>0</v>
      </c>
      <c r="AB2614" s="60" t="b">
        <f>FALSE()</f>
        <v>0</v>
      </c>
      <c r="AC2614" s="60" t="b">
        <f>FALSE()</f>
        <v>0</v>
      </c>
      <c r="AD2614" s="60" t="b">
        <f>FALSE()</f>
        <v>0</v>
      </c>
      <c r="AE2614" s="60">
        <v>2</v>
      </c>
      <c r="AF2614" s="64">
        <v>28.6</v>
      </c>
      <c r="AG2614" s="60" t="s">
        <v>73</v>
      </c>
      <c r="AH2614" s="60" t="s">
        <v>9877</v>
      </c>
      <c r="AI2614">
        <f>IF(AND(OR(Company_Explorer!$B$5="All Companies",$E2614=Company_Explorer!$B$5),OR(Company_Explorer!$B$6="All Platforms",$B2614=Company_Explorer!$B$6),OR(Company_Explorer!$B$7="All Roles",$D2614=Company_Explorer!$B$7),OR(Company_Explorer!$B$8="All Ghost Labels",$AG2614=Company_Explorer!$B$8)),1,0)</f>
        <v>0</v>
      </c>
    </row>
    <row r="2615" spans="1:35" ht="15" customHeight="1" x14ac:dyDescent="0.3">
      <c r="A2615" s="65" t="s">
        <v>9878</v>
      </c>
      <c r="B2615" s="65" t="s">
        <v>82</v>
      </c>
      <c r="C2615" s="65" t="s">
        <v>9879</v>
      </c>
      <c r="D2615" s="65" t="s">
        <v>128</v>
      </c>
      <c r="E2615" s="65" t="s">
        <v>8798</v>
      </c>
      <c r="F2615" s="65" t="b">
        <f>TRUE()</f>
        <v>1</v>
      </c>
      <c r="G2615" s="65" t="s">
        <v>165</v>
      </c>
      <c r="H2615" s="65" t="s">
        <v>165</v>
      </c>
      <c r="I2615" s="66">
        <v>46207</v>
      </c>
      <c r="J2615" s="66">
        <v>46210.286244872703</v>
      </c>
      <c r="K2615" s="65">
        <v>34</v>
      </c>
      <c r="L2615" s="65" t="s">
        <v>183</v>
      </c>
      <c r="M2615" s="65" t="s">
        <v>183</v>
      </c>
      <c r="N2615" s="65" t="b">
        <f>FALSE()</f>
        <v>0</v>
      </c>
      <c r="O2615" s="65"/>
      <c r="P2615" s="65"/>
      <c r="Q2615" s="65" t="s">
        <v>3663</v>
      </c>
      <c r="R2615" s="65" t="s">
        <v>236</v>
      </c>
      <c r="S2615" s="65"/>
      <c r="T2615" s="65" t="b">
        <f>FALSE()</f>
        <v>0</v>
      </c>
      <c r="U2615" s="65" t="b">
        <f>FALSE()</f>
        <v>0</v>
      </c>
      <c r="V2615" s="65">
        <v>440</v>
      </c>
      <c r="W2615" s="67" t="s">
        <v>9880</v>
      </c>
      <c r="X2615" s="65">
        <v>4</v>
      </c>
      <c r="Y2615" s="68">
        <v>0.97</v>
      </c>
      <c r="Z2615" s="65" t="b">
        <f>FALSE()</f>
        <v>0</v>
      </c>
      <c r="AA2615" s="65" t="b">
        <f>TRUE()</f>
        <v>1</v>
      </c>
      <c r="AB2615" s="65" t="b">
        <f>FALSE()</f>
        <v>0</v>
      </c>
      <c r="AC2615" s="65" t="b">
        <f>FALSE()</f>
        <v>0</v>
      </c>
      <c r="AD2615" s="65" t="b">
        <f>FALSE()</f>
        <v>0</v>
      </c>
      <c r="AE2615" s="65">
        <v>1</v>
      </c>
      <c r="AF2615" s="69">
        <v>14.3</v>
      </c>
      <c r="AG2615" s="65" t="s">
        <v>74</v>
      </c>
      <c r="AH2615" s="65" t="s">
        <v>9881</v>
      </c>
      <c r="AI2615">
        <f>IF(AND(OR(Company_Explorer!$B$5="All Companies",$E2615=Company_Explorer!$B$5),OR(Company_Explorer!$B$6="All Platforms",$B2615=Company_Explorer!$B$6),OR(Company_Explorer!$B$7="All Roles",$D2615=Company_Explorer!$B$7),OR(Company_Explorer!$B$8="All Ghost Labels",$AG2615=Company_Explorer!$B$8)),1,0)</f>
        <v>0</v>
      </c>
    </row>
    <row r="2616" spans="1:35" ht="15" customHeight="1" x14ac:dyDescent="0.3">
      <c r="A2616" s="60" t="s">
        <v>9882</v>
      </c>
      <c r="B2616" s="60" t="s">
        <v>82</v>
      </c>
      <c r="C2616" s="60" t="s">
        <v>9883</v>
      </c>
      <c r="D2616" s="60" t="s">
        <v>126</v>
      </c>
      <c r="E2616" s="60" t="s">
        <v>9884</v>
      </c>
      <c r="F2616" s="60" t="b">
        <f>TRUE()</f>
        <v>1</v>
      </c>
      <c r="G2616" s="60" t="s">
        <v>9885</v>
      </c>
      <c r="H2616" s="60" t="s">
        <v>235</v>
      </c>
      <c r="I2616" s="61">
        <v>46207</v>
      </c>
      <c r="J2616" s="61">
        <v>46210.286245127303</v>
      </c>
      <c r="K2616" s="60">
        <v>3</v>
      </c>
      <c r="L2616" s="60" t="s">
        <v>192</v>
      </c>
      <c r="M2616" s="60" t="s">
        <v>183</v>
      </c>
      <c r="N2616" s="60" t="b">
        <f>TRUE()</f>
        <v>1</v>
      </c>
      <c r="O2616" s="70">
        <v>360000</v>
      </c>
      <c r="P2616" s="70">
        <v>800000</v>
      </c>
      <c r="Q2616" s="60" t="s">
        <v>3663</v>
      </c>
      <c r="R2616" s="60" t="s">
        <v>7351</v>
      </c>
      <c r="S2616" s="70">
        <v>580000</v>
      </c>
      <c r="T2616" s="60" t="b">
        <f>TRUE()</f>
        <v>1</v>
      </c>
      <c r="U2616" s="60" t="b">
        <f>FALSE()</f>
        <v>0</v>
      </c>
      <c r="V2616" s="60">
        <v>528</v>
      </c>
      <c r="W2616" s="62" t="s">
        <v>9886</v>
      </c>
      <c r="X2616" s="60">
        <v>1</v>
      </c>
      <c r="Y2616" s="63">
        <v>0.24</v>
      </c>
      <c r="Z2616" s="60" t="b">
        <f>FALSE()</f>
        <v>0</v>
      </c>
      <c r="AA2616" s="60" t="b">
        <f>FALSE()</f>
        <v>0</v>
      </c>
      <c r="AB2616" s="60" t="b">
        <f>FALSE()</f>
        <v>0</v>
      </c>
      <c r="AC2616" s="60" t="b">
        <f>FALSE()</f>
        <v>0</v>
      </c>
      <c r="AD2616" s="60" t="b">
        <f>FALSE()</f>
        <v>0</v>
      </c>
      <c r="AE2616" s="60">
        <v>0</v>
      </c>
      <c r="AF2616" s="64">
        <v>0</v>
      </c>
      <c r="AG2616" s="60" t="s">
        <v>74</v>
      </c>
      <c r="AH2616" s="60" t="s">
        <v>9887</v>
      </c>
      <c r="AI2616">
        <f>IF(AND(OR(Company_Explorer!$B$5="All Companies",$E2616=Company_Explorer!$B$5),OR(Company_Explorer!$B$6="All Platforms",$B2616=Company_Explorer!$B$6),OR(Company_Explorer!$B$7="All Roles",$D2616=Company_Explorer!$B$7),OR(Company_Explorer!$B$8="All Ghost Labels",$AG2616=Company_Explorer!$B$8)),1,0)</f>
        <v>0</v>
      </c>
    </row>
    <row r="2617" spans="1:35" ht="15" customHeight="1" x14ac:dyDescent="0.3">
      <c r="A2617" s="65" t="s">
        <v>9888</v>
      </c>
      <c r="B2617" s="65" t="s">
        <v>82</v>
      </c>
      <c r="C2617" s="65" t="s">
        <v>9889</v>
      </c>
      <c r="D2617" s="65" t="s">
        <v>128</v>
      </c>
      <c r="E2617" s="65" t="s">
        <v>9890</v>
      </c>
      <c r="F2617" s="65" t="b">
        <f>TRUE()</f>
        <v>1</v>
      </c>
      <c r="G2617" s="65" t="s">
        <v>2302</v>
      </c>
      <c r="H2617" s="65" t="s">
        <v>270</v>
      </c>
      <c r="I2617" s="66">
        <v>46206</v>
      </c>
      <c r="J2617" s="66">
        <v>46210.286245613403</v>
      </c>
      <c r="K2617" s="65">
        <v>126</v>
      </c>
      <c r="L2617" s="65" t="s">
        <v>192</v>
      </c>
      <c r="M2617" s="65" t="s">
        <v>183</v>
      </c>
      <c r="N2617" s="65" t="b">
        <f>TRUE()</f>
        <v>1</v>
      </c>
      <c r="O2617" s="71">
        <v>243000</v>
      </c>
      <c r="P2617" s="71">
        <v>578500</v>
      </c>
      <c r="Q2617" s="65" t="s">
        <v>3663</v>
      </c>
      <c r="R2617" s="65" t="s">
        <v>7351</v>
      </c>
      <c r="S2617" s="71">
        <v>410750</v>
      </c>
      <c r="T2617" s="65" t="b">
        <f>TRUE()</f>
        <v>1</v>
      </c>
      <c r="U2617" s="65" t="b">
        <f>FALSE()</f>
        <v>0</v>
      </c>
      <c r="V2617" s="65">
        <v>306</v>
      </c>
      <c r="W2617" s="67" t="s">
        <v>9891</v>
      </c>
      <c r="X2617" s="65">
        <v>1</v>
      </c>
      <c r="Y2617" s="68">
        <v>0.24</v>
      </c>
      <c r="Z2617" s="65" t="b">
        <f>FALSE()</f>
        <v>0</v>
      </c>
      <c r="AA2617" s="65" t="b">
        <f>FALSE()</f>
        <v>0</v>
      </c>
      <c r="AB2617" s="65" t="b">
        <f>FALSE()</f>
        <v>0</v>
      </c>
      <c r="AC2617" s="65" t="b">
        <f>TRUE()</f>
        <v>1</v>
      </c>
      <c r="AD2617" s="65" t="b">
        <f>FALSE()</f>
        <v>0</v>
      </c>
      <c r="AE2617" s="65">
        <v>1</v>
      </c>
      <c r="AF2617" s="69">
        <v>14.3</v>
      </c>
      <c r="AG2617" s="65" t="s">
        <v>74</v>
      </c>
      <c r="AH2617" s="65" t="s">
        <v>9892</v>
      </c>
      <c r="AI2617">
        <f>IF(AND(OR(Company_Explorer!$B$5="All Companies",$E2617=Company_Explorer!$B$5),OR(Company_Explorer!$B$6="All Platforms",$B2617=Company_Explorer!$B$6),OR(Company_Explorer!$B$7="All Roles",$D2617=Company_Explorer!$B$7),OR(Company_Explorer!$B$8="All Ghost Labels",$AG2617=Company_Explorer!$B$8)),1,0)</f>
        <v>0</v>
      </c>
    </row>
    <row r="2618" spans="1:35" ht="15" customHeight="1" x14ac:dyDescent="0.3">
      <c r="A2618" s="60" t="s">
        <v>9893</v>
      </c>
      <c r="B2618" s="60" t="s">
        <v>82</v>
      </c>
      <c r="C2618" s="60" t="s">
        <v>9894</v>
      </c>
      <c r="D2618" s="60" t="s">
        <v>125</v>
      </c>
      <c r="E2618" s="60" t="s">
        <v>9895</v>
      </c>
      <c r="F2618" s="60" t="b">
        <f>TRUE()</f>
        <v>1</v>
      </c>
      <c r="G2618" s="60" t="s">
        <v>166</v>
      </c>
      <c r="H2618" s="60" t="s">
        <v>235</v>
      </c>
      <c r="I2618" s="61">
        <v>46185</v>
      </c>
      <c r="J2618" s="61">
        <v>46210.286252233796</v>
      </c>
      <c r="K2618" s="60">
        <v>26</v>
      </c>
      <c r="L2618" s="60" t="s">
        <v>183</v>
      </c>
      <c r="M2618" s="60" t="s">
        <v>183</v>
      </c>
      <c r="N2618" s="60" t="b">
        <f>TRUE()</f>
        <v>1</v>
      </c>
      <c r="O2618" s="70">
        <v>350000</v>
      </c>
      <c r="P2618" s="70">
        <v>1007000</v>
      </c>
      <c r="Q2618" s="60" t="s">
        <v>3663</v>
      </c>
      <c r="R2618" s="60" t="s">
        <v>7351</v>
      </c>
      <c r="S2618" s="70">
        <v>678500</v>
      </c>
      <c r="T2618" s="60" t="b">
        <f>TRUE()</f>
        <v>1</v>
      </c>
      <c r="U2618" s="60" t="b">
        <f>FALSE()</f>
        <v>0</v>
      </c>
      <c r="V2618" s="60">
        <v>306</v>
      </c>
      <c r="W2618" s="62" t="s">
        <v>9896</v>
      </c>
      <c r="X2618" s="60">
        <v>1</v>
      </c>
      <c r="Y2618" s="63">
        <v>0.24</v>
      </c>
      <c r="Z2618" s="60" t="b">
        <f>FALSE()</f>
        <v>0</v>
      </c>
      <c r="AA2618" s="60" t="b">
        <f>FALSE()</f>
        <v>0</v>
      </c>
      <c r="AB2618" s="60" t="b">
        <f>FALSE()</f>
        <v>0</v>
      </c>
      <c r="AC2618" s="60" t="b">
        <f>FALSE()</f>
        <v>0</v>
      </c>
      <c r="AD2618" s="60" t="b">
        <f>FALSE()</f>
        <v>0</v>
      </c>
      <c r="AE2618" s="60">
        <v>0</v>
      </c>
      <c r="AF2618" s="64">
        <v>0</v>
      </c>
      <c r="AG2618" s="60" t="s">
        <v>74</v>
      </c>
      <c r="AH2618" s="60" t="s">
        <v>9897</v>
      </c>
      <c r="AI2618">
        <f>IF(AND(OR(Company_Explorer!$B$5="All Companies",$E2618=Company_Explorer!$B$5),OR(Company_Explorer!$B$6="All Platforms",$B2618=Company_Explorer!$B$6),OR(Company_Explorer!$B$7="All Roles",$D2618=Company_Explorer!$B$7),OR(Company_Explorer!$B$8="All Ghost Labels",$AG2618=Company_Explorer!$B$8)),1,0)</f>
        <v>0</v>
      </c>
    </row>
    <row r="2619" spans="1:35" ht="15" customHeight="1" x14ac:dyDescent="0.3">
      <c r="A2619" s="65" t="s">
        <v>9898</v>
      </c>
      <c r="B2619" s="65" t="s">
        <v>82</v>
      </c>
      <c r="C2619" s="65" t="s">
        <v>9899</v>
      </c>
      <c r="D2619" s="65" t="s">
        <v>132</v>
      </c>
      <c r="E2619" s="65" t="s">
        <v>9900</v>
      </c>
      <c r="F2619" s="65" t="b">
        <f>TRUE()</f>
        <v>1</v>
      </c>
      <c r="G2619" s="65" t="s">
        <v>165</v>
      </c>
      <c r="H2619" s="65" t="s">
        <v>165</v>
      </c>
      <c r="I2619" s="66">
        <v>46186</v>
      </c>
      <c r="J2619" s="66">
        <v>46210.286260196801</v>
      </c>
      <c r="K2619" s="65">
        <v>55</v>
      </c>
      <c r="L2619" s="65" t="s">
        <v>192</v>
      </c>
      <c r="M2619" s="65" t="s">
        <v>183</v>
      </c>
      <c r="N2619" s="65" t="b">
        <f>FALSE()</f>
        <v>0</v>
      </c>
      <c r="O2619" s="65"/>
      <c r="P2619" s="65"/>
      <c r="Q2619" s="65" t="s">
        <v>3663</v>
      </c>
      <c r="R2619" s="65" t="s">
        <v>236</v>
      </c>
      <c r="S2619" s="65"/>
      <c r="T2619" s="65" t="b">
        <f>FALSE()</f>
        <v>0</v>
      </c>
      <c r="U2619" s="65" t="b">
        <f>FALSE()</f>
        <v>0</v>
      </c>
      <c r="V2619" s="65">
        <v>465</v>
      </c>
      <c r="W2619" s="67" t="s">
        <v>9901</v>
      </c>
      <c r="X2619" s="65">
        <v>1</v>
      </c>
      <c r="Y2619" s="68">
        <v>0.24</v>
      </c>
      <c r="Z2619" s="65" t="b">
        <f>FALSE()</f>
        <v>0</v>
      </c>
      <c r="AA2619" s="65" t="b">
        <f>TRUE()</f>
        <v>1</v>
      </c>
      <c r="AB2619" s="65" t="b">
        <f>FALSE()</f>
        <v>0</v>
      </c>
      <c r="AC2619" s="65" t="b">
        <f>FALSE()</f>
        <v>0</v>
      </c>
      <c r="AD2619" s="65" t="b">
        <f>FALSE()</f>
        <v>0</v>
      </c>
      <c r="AE2619" s="65">
        <v>1</v>
      </c>
      <c r="AF2619" s="69">
        <v>14.3</v>
      </c>
      <c r="AG2619" s="65" t="s">
        <v>74</v>
      </c>
      <c r="AH2619" s="65" t="s">
        <v>9902</v>
      </c>
      <c r="AI2619">
        <f>IF(AND(OR(Company_Explorer!$B$5="All Companies",$E2619=Company_Explorer!$B$5),OR(Company_Explorer!$B$6="All Platforms",$B2619=Company_Explorer!$B$6),OR(Company_Explorer!$B$7="All Roles",$D2619=Company_Explorer!$B$7),OR(Company_Explorer!$B$8="All Ghost Labels",$AG2619=Company_Explorer!$B$8)),1,0)</f>
        <v>0</v>
      </c>
    </row>
    <row r="2620" spans="1:35" ht="15" customHeight="1" x14ac:dyDescent="0.3">
      <c r="A2620" s="60" t="s">
        <v>9903</v>
      </c>
      <c r="B2620" s="60" t="s">
        <v>82</v>
      </c>
      <c r="C2620" s="60" t="s">
        <v>9904</v>
      </c>
      <c r="D2620" s="60" t="s">
        <v>128</v>
      </c>
      <c r="E2620" s="60" t="s">
        <v>9905</v>
      </c>
      <c r="F2620" s="60" t="b">
        <f>TRUE()</f>
        <v>1</v>
      </c>
      <c r="G2620" s="60" t="s">
        <v>165</v>
      </c>
      <c r="H2620" s="60" t="s">
        <v>165</v>
      </c>
      <c r="I2620" s="61">
        <v>46203</v>
      </c>
      <c r="J2620" s="61">
        <v>46210.286261701403</v>
      </c>
      <c r="K2620" s="60">
        <v>38</v>
      </c>
      <c r="L2620" s="60" t="s">
        <v>183</v>
      </c>
      <c r="M2620" s="60" t="s">
        <v>183</v>
      </c>
      <c r="N2620" s="60" t="b">
        <f>TRUE()</f>
        <v>1</v>
      </c>
      <c r="O2620" s="70">
        <v>4</v>
      </c>
      <c r="P2620" s="70">
        <v>5</v>
      </c>
      <c r="Q2620" s="60" t="s">
        <v>3663</v>
      </c>
      <c r="R2620" s="60" t="s">
        <v>7351</v>
      </c>
      <c r="S2620" s="70">
        <v>4</v>
      </c>
      <c r="T2620" s="60" t="b">
        <f>TRUE()</f>
        <v>1</v>
      </c>
      <c r="U2620" s="60" t="b">
        <f>TRUE()</f>
        <v>1</v>
      </c>
      <c r="V2620" s="60">
        <v>213</v>
      </c>
      <c r="W2620" s="62" t="s">
        <v>9906</v>
      </c>
      <c r="X2620" s="60">
        <v>1</v>
      </c>
      <c r="Y2620" s="63">
        <v>0.24</v>
      </c>
      <c r="Z2620" s="60" t="b">
        <f>FALSE()</f>
        <v>0</v>
      </c>
      <c r="AA2620" s="60" t="b">
        <f>FALSE()</f>
        <v>0</v>
      </c>
      <c r="AB2620" s="60" t="b">
        <f>TRUE()</f>
        <v>1</v>
      </c>
      <c r="AC2620" s="60" t="b">
        <f>FALSE()</f>
        <v>0</v>
      </c>
      <c r="AD2620" s="60" t="b">
        <f>FALSE()</f>
        <v>0</v>
      </c>
      <c r="AE2620" s="60">
        <v>1</v>
      </c>
      <c r="AF2620" s="64">
        <v>14.3</v>
      </c>
      <c r="AG2620" s="60" t="s">
        <v>74</v>
      </c>
      <c r="AH2620" s="60" t="s">
        <v>9907</v>
      </c>
      <c r="AI2620">
        <f>IF(AND(OR(Company_Explorer!$B$5="All Companies",$E2620=Company_Explorer!$B$5),OR(Company_Explorer!$B$6="All Platforms",$B2620=Company_Explorer!$B$6),OR(Company_Explorer!$B$7="All Roles",$D2620=Company_Explorer!$B$7),OR(Company_Explorer!$B$8="All Ghost Labels",$AG2620=Company_Explorer!$B$8)),1,0)</f>
        <v>0</v>
      </c>
    </row>
    <row r="2621" spans="1:35" ht="15" customHeight="1" x14ac:dyDescent="0.3">
      <c r="A2621" s="65" t="s">
        <v>9908</v>
      </c>
      <c r="B2621" s="65" t="s">
        <v>82</v>
      </c>
      <c r="C2621" s="65" t="s">
        <v>9909</v>
      </c>
      <c r="D2621" s="65" t="s">
        <v>126</v>
      </c>
      <c r="E2621" s="65" t="s">
        <v>9910</v>
      </c>
      <c r="F2621" s="65" t="b">
        <f>TRUE()</f>
        <v>1</v>
      </c>
      <c r="G2621" s="65" t="s">
        <v>165</v>
      </c>
      <c r="H2621" s="65" t="s">
        <v>165</v>
      </c>
      <c r="I2621" s="66">
        <v>46192</v>
      </c>
      <c r="J2621" s="66">
        <v>46210.286261851899</v>
      </c>
      <c r="K2621" s="65">
        <v>110</v>
      </c>
      <c r="L2621" s="65" t="s">
        <v>183</v>
      </c>
      <c r="M2621" s="65" t="s">
        <v>183</v>
      </c>
      <c r="N2621" s="65" t="b">
        <f>FALSE()</f>
        <v>0</v>
      </c>
      <c r="O2621" s="65"/>
      <c r="P2621" s="65"/>
      <c r="Q2621" s="65" t="s">
        <v>3663</v>
      </c>
      <c r="R2621" s="65" t="s">
        <v>236</v>
      </c>
      <c r="S2621" s="65"/>
      <c r="T2621" s="65" t="b">
        <f>FALSE()</f>
        <v>0</v>
      </c>
      <c r="U2621" s="65" t="b">
        <f>FALSE()</f>
        <v>0</v>
      </c>
      <c r="V2621" s="65">
        <v>200</v>
      </c>
      <c r="W2621" s="67" t="s">
        <v>9911</v>
      </c>
      <c r="X2621" s="65">
        <v>1</v>
      </c>
      <c r="Y2621" s="68">
        <v>0.24</v>
      </c>
      <c r="Z2621" s="65" t="b">
        <f>FALSE()</f>
        <v>0</v>
      </c>
      <c r="AA2621" s="65" t="b">
        <f>TRUE()</f>
        <v>1</v>
      </c>
      <c r="AB2621" s="65" t="b">
        <f>TRUE()</f>
        <v>1</v>
      </c>
      <c r="AC2621" s="65" t="b">
        <f>FALSE()</f>
        <v>0</v>
      </c>
      <c r="AD2621" s="65" t="b">
        <f>FALSE()</f>
        <v>0</v>
      </c>
      <c r="AE2621" s="65">
        <v>2</v>
      </c>
      <c r="AF2621" s="69">
        <v>28.6</v>
      </c>
      <c r="AG2621" s="65" t="s">
        <v>73</v>
      </c>
      <c r="AH2621" s="65" t="s">
        <v>9912</v>
      </c>
      <c r="AI2621">
        <f>IF(AND(OR(Company_Explorer!$B$5="All Companies",$E2621=Company_Explorer!$B$5),OR(Company_Explorer!$B$6="All Platforms",$B2621=Company_Explorer!$B$6),OR(Company_Explorer!$B$7="All Roles",$D2621=Company_Explorer!$B$7),OR(Company_Explorer!$B$8="All Ghost Labels",$AG2621=Company_Explorer!$B$8)),1,0)</f>
        <v>0</v>
      </c>
    </row>
    <row r="2622" spans="1:35" ht="15" customHeight="1" x14ac:dyDescent="0.3">
      <c r="A2622" s="60" t="s">
        <v>9913</v>
      </c>
      <c r="B2622" s="60" t="s">
        <v>82</v>
      </c>
      <c r="C2622" s="60" t="s">
        <v>7285</v>
      </c>
      <c r="D2622" s="60" t="s">
        <v>128</v>
      </c>
      <c r="E2622" s="60" t="s">
        <v>9914</v>
      </c>
      <c r="F2622" s="60" t="b">
        <f>TRUE()</f>
        <v>1</v>
      </c>
      <c r="G2622" s="60" t="s">
        <v>165</v>
      </c>
      <c r="H2622" s="60" t="s">
        <v>165</v>
      </c>
      <c r="I2622" s="61">
        <v>46209</v>
      </c>
      <c r="J2622" s="61">
        <v>46210.286264548602</v>
      </c>
      <c r="K2622" s="60">
        <v>32</v>
      </c>
      <c r="L2622" s="60" t="s">
        <v>192</v>
      </c>
      <c r="M2622" s="60" t="s">
        <v>183</v>
      </c>
      <c r="N2622" s="60" t="b">
        <f>FALSE()</f>
        <v>0</v>
      </c>
      <c r="O2622" s="60"/>
      <c r="P2622" s="60"/>
      <c r="Q2622" s="60" t="s">
        <v>3663</v>
      </c>
      <c r="R2622" s="60" t="s">
        <v>236</v>
      </c>
      <c r="S2622" s="60"/>
      <c r="T2622" s="60" t="b">
        <f>FALSE()</f>
        <v>0</v>
      </c>
      <c r="U2622" s="60" t="b">
        <f>FALSE()</f>
        <v>0</v>
      </c>
      <c r="V2622" s="60">
        <v>642</v>
      </c>
      <c r="W2622" s="62" t="s">
        <v>9915</v>
      </c>
      <c r="X2622" s="60">
        <v>1</v>
      </c>
      <c r="Y2622" s="63">
        <v>0.24</v>
      </c>
      <c r="Z2622" s="60" t="b">
        <f>FALSE()</f>
        <v>0</v>
      </c>
      <c r="AA2622" s="60" t="b">
        <f>TRUE()</f>
        <v>1</v>
      </c>
      <c r="AB2622" s="60" t="b">
        <f>FALSE()</f>
        <v>0</v>
      </c>
      <c r="AC2622" s="60" t="b">
        <f>FALSE()</f>
        <v>0</v>
      </c>
      <c r="AD2622" s="60" t="b">
        <f>FALSE()</f>
        <v>0</v>
      </c>
      <c r="AE2622" s="60">
        <v>1</v>
      </c>
      <c r="AF2622" s="64">
        <v>14.3</v>
      </c>
      <c r="AG2622" s="60" t="s">
        <v>74</v>
      </c>
      <c r="AH2622" s="60" t="s">
        <v>9916</v>
      </c>
      <c r="AI2622">
        <f>IF(AND(OR(Company_Explorer!$B$5="All Companies",$E2622=Company_Explorer!$B$5),OR(Company_Explorer!$B$6="All Platforms",$B2622=Company_Explorer!$B$6),OR(Company_Explorer!$B$7="All Roles",$D2622=Company_Explorer!$B$7),OR(Company_Explorer!$B$8="All Ghost Labels",$AG2622=Company_Explorer!$B$8)),1,0)</f>
        <v>0</v>
      </c>
    </row>
    <row r="2623" spans="1:35" ht="15" customHeight="1" x14ac:dyDescent="0.3">
      <c r="A2623" s="65" t="s">
        <v>9917</v>
      </c>
      <c r="B2623" s="65" t="s">
        <v>82</v>
      </c>
      <c r="C2623" s="65" t="s">
        <v>9918</v>
      </c>
      <c r="D2623" s="65" t="s">
        <v>128</v>
      </c>
      <c r="E2623" s="65" t="s">
        <v>150</v>
      </c>
      <c r="F2623" s="65" t="b">
        <f>TRUE()</f>
        <v>1</v>
      </c>
      <c r="G2623" s="65" t="s">
        <v>167</v>
      </c>
      <c r="H2623" s="65" t="s">
        <v>276</v>
      </c>
      <c r="I2623" s="66">
        <v>46184</v>
      </c>
      <c r="J2623" s="66">
        <v>46210.286266469899</v>
      </c>
      <c r="K2623" s="65">
        <v>26</v>
      </c>
      <c r="L2623" s="65" t="s">
        <v>192</v>
      </c>
      <c r="M2623" s="65" t="s">
        <v>183</v>
      </c>
      <c r="N2623" s="65" t="b">
        <f>TRUE()</f>
        <v>1</v>
      </c>
      <c r="O2623" s="71">
        <v>101100</v>
      </c>
      <c r="P2623" s="71">
        <v>178500</v>
      </c>
      <c r="Q2623" s="65" t="s">
        <v>3663</v>
      </c>
      <c r="R2623" s="65" t="s">
        <v>7351</v>
      </c>
      <c r="S2623" s="71">
        <v>139800</v>
      </c>
      <c r="T2623" s="65" t="b">
        <f>TRUE()</f>
        <v>1</v>
      </c>
      <c r="U2623" s="65" t="b">
        <f>FALSE()</f>
        <v>0</v>
      </c>
      <c r="V2623" s="65">
        <v>283</v>
      </c>
      <c r="W2623" s="67" t="s">
        <v>3698</v>
      </c>
      <c r="X2623" s="65">
        <v>18</v>
      </c>
      <c r="Y2623" s="68">
        <v>4.34</v>
      </c>
      <c r="Z2623" s="65" t="b">
        <f>FALSE()</f>
        <v>0</v>
      </c>
      <c r="AA2623" s="65" t="b">
        <f>FALSE()</f>
        <v>0</v>
      </c>
      <c r="AB2623" s="65" t="b">
        <f>FALSE()</f>
        <v>0</v>
      </c>
      <c r="AC2623" s="65" t="b">
        <f>FALSE()</f>
        <v>0</v>
      </c>
      <c r="AD2623" s="65" t="b">
        <f>TRUE()</f>
        <v>1</v>
      </c>
      <c r="AE2623" s="65">
        <v>2</v>
      </c>
      <c r="AF2623" s="69">
        <v>28.6</v>
      </c>
      <c r="AG2623" s="65" t="s">
        <v>73</v>
      </c>
      <c r="AH2623" s="65" t="s">
        <v>9919</v>
      </c>
      <c r="AI2623">
        <f>IF(AND(OR(Company_Explorer!$B$5="All Companies",$E2623=Company_Explorer!$B$5),OR(Company_Explorer!$B$6="All Platforms",$B2623=Company_Explorer!$B$6),OR(Company_Explorer!$B$7="All Roles",$D2623=Company_Explorer!$B$7),OR(Company_Explorer!$B$8="All Ghost Labels",$AG2623=Company_Explorer!$B$8)),1,0)</f>
        <v>0</v>
      </c>
    </row>
    <row r="2624" spans="1:35" ht="15" customHeight="1" x14ac:dyDescent="0.3">
      <c r="A2624" s="60" t="s">
        <v>9920</v>
      </c>
      <c r="B2624" s="60" t="s">
        <v>82</v>
      </c>
      <c r="C2624" s="60" t="s">
        <v>9921</v>
      </c>
      <c r="D2624" s="60" t="s">
        <v>132</v>
      </c>
      <c r="E2624" s="60" t="s">
        <v>8818</v>
      </c>
      <c r="F2624" s="60" t="b">
        <f>TRUE()</f>
        <v>1</v>
      </c>
      <c r="G2624" s="60" t="s">
        <v>165</v>
      </c>
      <c r="H2624" s="60" t="s">
        <v>165</v>
      </c>
      <c r="I2624" s="61">
        <v>46209</v>
      </c>
      <c r="J2624" s="61">
        <v>46210.286266516203</v>
      </c>
      <c r="K2624" s="60">
        <v>32</v>
      </c>
      <c r="L2624" s="60" t="s">
        <v>183</v>
      </c>
      <c r="M2624" s="60" t="s">
        <v>183</v>
      </c>
      <c r="N2624" s="60" t="b">
        <f>FALSE()</f>
        <v>0</v>
      </c>
      <c r="O2624" s="60"/>
      <c r="P2624" s="60"/>
      <c r="Q2624" s="60" t="s">
        <v>3663</v>
      </c>
      <c r="R2624" s="60" t="s">
        <v>236</v>
      </c>
      <c r="S2624" s="60"/>
      <c r="T2624" s="60" t="b">
        <f>FALSE()</f>
        <v>0</v>
      </c>
      <c r="U2624" s="60" t="b">
        <f>FALSE()</f>
        <v>0</v>
      </c>
      <c r="V2624" s="60">
        <v>889</v>
      </c>
      <c r="W2624" s="62" t="s">
        <v>9922</v>
      </c>
      <c r="X2624" s="60">
        <v>3</v>
      </c>
      <c r="Y2624" s="63">
        <v>0.72</v>
      </c>
      <c r="Z2624" s="60" t="b">
        <f>FALSE()</f>
        <v>0</v>
      </c>
      <c r="AA2624" s="60" t="b">
        <f>TRUE()</f>
        <v>1</v>
      </c>
      <c r="AB2624" s="60" t="b">
        <f>FALSE()</f>
        <v>0</v>
      </c>
      <c r="AC2624" s="60" t="b">
        <f>FALSE()</f>
        <v>0</v>
      </c>
      <c r="AD2624" s="60" t="b">
        <f>FALSE()</f>
        <v>0</v>
      </c>
      <c r="AE2624" s="60">
        <v>1</v>
      </c>
      <c r="AF2624" s="64">
        <v>14.3</v>
      </c>
      <c r="AG2624" s="60" t="s">
        <v>74</v>
      </c>
      <c r="AH2624" s="60" t="s">
        <v>9923</v>
      </c>
      <c r="AI2624">
        <f>IF(AND(OR(Company_Explorer!$B$5="All Companies",$E2624=Company_Explorer!$B$5),OR(Company_Explorer!$B$6="All Platforms",$B2624=Company_Explorer!$B$6),OR(Company_Explorer!$B$7="All Roles",$D2624=Company_Explorer!$B$7),OR(Company_Explorer!$B$8="All Ghost Labels",$AG2624=Company_Explorer!$B$8)),1,0)</f>
        <v>0</v>
      </c>
    </row>
    <row r="2625" spans="1:35" ht="15" customHeight="1" x14ac:dyDescent="0.3">
      <c r="A2625" s="65" t="s">
        <v>9924</v>
      </c>
      <c r="B2625" s="65" t="s">
        <v>82</v>
      </c>
      <c r="C2625" s="65" t="s">
        <v>9925</v>
      </c>
      <c r="D2625" s="65" t="s">
        <v>126</v>
      </c>
      <c r="E2625" s="65" t="s">
        <v>3726</v>
      </c>
      <c r="F2625" s="65" t="b">
        <f>FALSE()</f>
        <v>0</v>
      </c>
      <c r="G2625" s="65" t="s">
        <v>165</v>
      </c>
      <c r="H2625" s="65" t="s">
        <v>165</v>
      </c>
      <c r="I2625" s="66">
        <v>46189</v>
      </c>
      <c r="J2625" s="66">
        <v>46210.286267939802</v>
      </c>
      <c r="K2625" s="65">
        <v>21</v>
      </c>
      <c r="L2625" s="65" t="s">
        <v>192</v>
      </c>
      <c r="M2625" s="65" t="s">
        <v>183</v>
      </c>
      <c r="N2625" s="65" t="b">
        <f>TRUE()</f>
        <v>1</v>
      </c>
      <c r="O2625" s="71">
        <v>15000</v>
      </c>
      <c r="P2625" s="71">
        <v>25000</v>
      </c>
      <c r="Q2625" s="65" t="s">
        <v>3663</v>
      </c>
      <c r="R2625" s="65" t="s">
        <v>7445</v>
      </c>
      <c r="S2625" s="71">
        <v>240000</v>
      </c>
      <c r="T2625" s="65" t="b">
        <f>TRUE()</f>
        <v>1</v>
      </c>
      <c r="U2625" s="65" t="b">
        <f>FALSE()</f>
        <v>0</v>
      </c>
      <c r="V2625" s="65">
        <v>468</v>
      </c>
      <c r="W2625" s="67" t="s">
        <v>9926</v>
      </c>
      <c r="X2625" s="65"/>
      <c r="Y2625" s="68"/>
      <c r="Z2625" s="65" t="b">
        <f>TRUE()</f>
        <v>1</v>
      </c>
      <c r="AA2625" s="65" t="b">
        <f>FALSE()</f>
        <v>0</v>
      </c>
      <c r="AB2625" s="65" t="b">
        <f>FALSE()</f>
        <v>0</v>
      </c>
      <c r="AC2625" s="65" t="b">
        <f>FALSE()</f>
        <v>0</v>
      </c>
      <c r="AD2625" s="65" t="b">
        <f>FALSE()</f>
        <v>0</v>
      </c>
      <c r="AE2625" s="65">
        <v>2</v>
      </c>
      <c r="AF2625" s="69">
        <v>28.6</v>
      </c>
      <c r="AG2625" s="65" t="s">
        <v>73</v>
      </c>
      <c r="AH2625" s="65" t="s">
        <v>9927</v>
      </c>
      <c r="AI2625">
        <f>IF(AND(OR(Company_Explorer!$B$5="All Companies",$E2625=Company_Explorer!$B$5),OR(Company_Explorer!$B$6="All Platforms",$B2625=Company_Explorer!$B$6),OR(Company_Explorer!$B$7="All Roles",$D2625=Company_Explorer!$B$7),OR(Company_Explorer!$B$8="All Ghost Labels",$AG2625=Company_Explorer!$B$8)),1,0)</f>
        <v>0</v>
      </c>
    </row>
    <row r="2626" spans="1:35" ht="15" customHeight="1" x14ac:dyDescent="0.3">
      <c r="A2626" s="60" t="s">
        <v>9928</v>
      </c>
      <c r="B2626" s="60" t="s">
        <v>82</v>
      </c>
      <c r="C2626" s="60" t="s">
        <v>7285</v>
      </c>
      <c r="D2626" s="60" t="s">
        <v>128</v>
      </c>
      <c r="E2626" s="60" t="s">
        <v>9929</v>
      </c>
      <c r="F2626" s="60" t="b">
        <f>TRUE()</f>
        <v>1</v>
      </c>
      <c r="G2626" s="60" t="s">
        <v>165</v>
      </c>
      <c r="H2626" s="60" t="s">
        <v>165</v>
      </c>
      <c r="I2626" s="61">
        <v>46211</v>
      </c>
      <c r="J2626" s="61">
        <v>46210.286270081</v>
      </c>
      <c r="K2626" s="60">
        <v>29</v>
      </c>
      <c r="L2626" s="60" t="s">
        <v>192</v>
      </c>
      <c r="M2626" s="60" t="s">
        <v>183</v>
      </c>
      <c r="N2626" s="60" t="b">
        <f>TRUE()</f>
        <v>1</v>
      </c>
      <c r="O2626" s="70">
        <v>456647</v>
      </c>
      <c r="P2626" s="70">
        <v>1200000</v>
      </c>
      <c r="Q2626" s="60" t="s">
        <v>3663</v>
      </c>
      <c r="R2626" s="60" t="s">
        <v>7351</v>
      </c>
      <c r="S2626" s="70">
        <v>828324</v>
      </c>
      <c r="T2626" s="60" t="b">
        <f>TRUE()</f>
        <v>1</v>
      </c>
      <c r="U2626" s="60" t="b">
        <f>FALSE()</f>
        <v>0</v>
      </c>
      <c r="V2626" s="60">
        <v>297</v>
      </c>
      <c r="W2626" s="60" t="s">
        <v>9930</v>
      </c>
      <c r="X2626" s="60">
        <v>1</v>
      </c>
      <c r="Y2626" s="63">
        <v>0.24</v>
      </c>
      <c r="Z2626" s="60" t="b">
        <f>FALSE()</f>
        <v>0</v>
      </c>
      <c r="AA2626" s="60" t="b">
        <f>FALSE()</f>
        <v>0</v>
      </c>
      <c r="AB2626" s="60" t="b">
        <f>FALSE()</f>
        <v>0</v>
      </c>
      <c r="AC2626" s="60" t="b">
        <f>FALSE()</f>
        <v>0</v>
      </c>
      <c r="AD2626" s="60" t="b">
        <f>FALSE()</f>
        <v>0</v>
      </c>
      <c r="AE2626" s="60">
        <v>0</v>
      </c>
      <c r="AF2626" s="64">
        <v>0</v>
      </c>
      <c r="AG2626" s="60" t="s">
        <v>74</v>
      </c>
      <c r="AH2626" s="60" t="s">
        <v>9931</v>
      </c>
      <c r="AI2626">
        <f>IF(AND(OR(Company_Explorer!$B$5="All Companies",$E2626=Company_Explorer!$B$5),OR(Company_Explorer!$B$6="All Platforms",$B2626=Company_Explorer!$B$6),OR(Company_Explorer!$B$7="All Roles",$D2626=Company_Explorer!$B$7),OR(Company_Explorer!$B$8="All Ghost Labels",$AG2626=Company_Explorer!$B$8)),1,0)</f>
        <v>0</v>
      </c>
    </row>
    <row r="2627" spans="1:35" ht="15" customHeight="1" x14ac:dyDescent="0.3">
      <c r="A2627" s="65" t="s">
        <v>9932</v>
      </c>
      <c r="B2627" s="65" t="s">
        <v>82</v>
      </c>
      <c r="C2627" s="65" t="s">
        <v>9933</v>
      </c>
      <c r="D2627" s="65" t="s">
        <v>125</v>
      </c>
      <c r="E2627" s="65" t="s">
        <v>9934</v>
      </c>
      <c r="F2627" s="65" t="b">
        <f>TRUE()</f>
        <v>1</v>
      </c>
      <c r="G2627" s="65" t="s">
        <v>165</v>
      </c>
      <c r="H2627" s="65" t="s">
        <v>165</v>
      </c>
      <c r="I2627" s="66">
        <v>46202</v>
      </c>
      <c r="J2627" s="66">
        <v>46210.286270902798</v>
      </c>
      <c r="K2627" s="65">
        <v>128</v>
      </c>
      <c r="L2627" s="65" t="s">
        <v>183</v>
      </c>
      <c r="M2627" s="65" t="s">
        <v>183</v>
      </c>
      <c r="N2627" s="65" t="b">
        <f>FALSE()</f>
        <v>0</v>
      </c>
      <c r="O2627" s="65"/>
      <c r="P2627" s="65"/>
      <c r="Q2627" s="65" t="s">
        <v>3663</v>
      </c>
      <c r="R2627" s="65" t="s">
        <v>236</v>
      </c>
      <c r="S2627" s="65"/>
      <c r="T2627" s="65" t="b">
        <f>FALSE()</f>
        <v>0</v>
      </c>
      <c r="U2627" s="65" t="b">
        <f>FALSE()</f>
        <v>0</v>
      </c>
      <c r="V2627" s="65">
        <v>415</v>
      </c>
      <c r="W2627" s="65" t="s">
        <v>9935</v>
      </c>
      <c r="X2627" s="65">
        <v>1</v>
      </c>
      <c r="Y2627" s="68">
        <v>0.24</v>
      </c>
      <c r="Z2627" s="65" t="b">
        <f>FALSE()</f>
        <v>0</v>
      </c>
      <c r="AA2627" s="65" t="b">
        <f>TRUE()</f>
        <v>1</v>
      </c>
      <c r="AB2627" s="65" t="b">
        <f>FALSE()</f>
        <v>0</v>
      </c>
      <c r="AC2627" s="65" t="b">
        <f>TRUE()</f>
        <v>1</v>
      </c>
      <c r="AD2627" s="65" t="b">
        <f>FALSE()</f>
        <v>0</v>
      </c>
      <c r="AE2627" s="65">
        <v>2</v>
      </c>
      <c r="AF2627" s="69">
        <v>28.6</v>
      </c>
      <c r="AG2627" s="65" t="s">
        <v>73</v>
      </c>
      <c r="AH2627" s="65" t="s">
        <v>9936</v>
      </c>
      <c r="AI2627">
        <f>IF(AND(OR(Company_Explorer!$B$5="All Companies",$E2627=Company_Explorer!$B$5),OR(Company_Explorer!$B$6="All Platforms",$B2627=Company_Explorer!$B$6),OR(Company_Explorer!$B$7="All Roles",$D2627=Company_Explorer!$B$7),OR(Company_Explorer!$B$8="All Ghost Labels",$AG2627=Company_Explorer!$B$8)),1,0)</f>
        <v>0</v>
      </c>
    </row>
    <row r="2628" spans="1:35" ht="15" customHeight="1" x14ac:dyDescent="0.3">
      <c r="A2628" s="60" t="s">
        <v>9937</v>
      </c>
      <c r="B2628" s="60" t="s">
        <v>82</v>
      </c>
      <c r="C2628" s="60" t="s">
        <v>9938</v>
      </c>
      <c r="D2628" s="60" t="s">
        <v>126</v>
      </c>
      <c r="E2628" s="60" t="s">
        <v>9939</v>
      </c>
      <c r="F2628" s="60" t="b">
        <f>TRUE()</f>
        <v>1</v>
      </c>
      <c r="G2628" s="60" t="s">
        <v>165</v>
      </c>
      <c r="H2628" s="60" t="s">
        <v>165</v>
      </c>
      <c r="I2628" s="61">
        <v>46204</v>
      </c>
      <c r="J2628" s="61">
        <v>46210.286272719903</v>
      </c>
      <c r="K2628" s="60">
        <v>6</v>
      </c>
      <c r="L2628" s="60" t="s">
        <v>192</v>
      </c>
      <c r="M2628" s="60" t="s">
        <v>183</v>
      </c>
      <c r="N2628" s="60" t="b">
        <f>FALSE()</f>
        <v>0</v>
      </c>
      <c r="O2628" s="60"/>
      <c r="P2628" s="60"/>
      <c r="Q2628" s="60" t="s">
        <v>3663</v>
      </c>
      <c r="R2628" s="60" t="s">
        <v>236</v>
      </c>
      <c r="S2628" s="60"/>
      <c r="T2628" s="60" t="b">
        <f>FALSE()</f>
        <v>0</v>
      </c>
      <c r="U2628" s="60" t="b">
        <f>FALSE()</f>
        <v>0</v>
      </c>
      <c r="V2628" s="60">
        <v>700</v>
      </c>
      <c r="W2628" s="60" t="s">
        <v>9940</v>
      </c>
      <c r="X2628" s="60">
        <v>1</v>
      </c>
      <c r="Y2628" s="63">
        <v>0.24</v>
      </c>
      <c r="Z2628" s="60" t="b">
        <f>FALSE()</f>
        <v>0</v>
      </c>
      <c r="AA2628" s="60" t="b">
        <f>TRUE()</f>
        <v>1</v>
      </c>
      <c r="AB2628" s="60" t="b">
        <f>FALSE()</f>
        <v>0</v>
      </c>
      <c r="AC2628" s="60" t="b">
        <f>FALSE()</f>
        <v>0</v>
      </c>
      <c r="AD2628" s="60" t="b">
        <f>FALSE()</f>
        <v>0</v>
      </c>
      <c r="AE2628" s="60">
        <v>1</v>
      </c>
      <c r="AF2628" s="64">
        <v>14.3</v>
      </c>
      <c r="AG2628" s="60" t="s">
        <v>74</v>
      </c>
      <c r="AH2628" s="60" t="s">
        <v>9941</v>
      </c>
      <c r="AI2628">
        <f>IF(AND(OR(Company_Explorer!$B$5="All Companies",$E2628=Company_Explorer!$B$5),OR(Company_Explorer!$B$6="All Platforms",$B2628=Company_Explorer!$B$6),OR(Company_Explorer!$B$7="All Roles",$D2628=Company_Explorer!$B$7),OR(Company_Explorer!$B$8="All Ghost Labels",$AG2628=Company_Explorer!$B$8)),1,0)</f>
        <v>0</v>
      </c>
    </row>
    <row r="2629" spans="1:35" ht="15" customHeight="1" x14ac:dyDescent="0.3">
      <c r="A2629" s="65" t="s">
        <v>9942</v>
      </c>
      <c r="B2629" s="65" t="s">
        <v>82</v>
      </c>
      <c r="C2629" s="65" t="s">
        <v>9943</v>
      </c>
      <c r="D2629" s="65" t="s">
        <v>128</v>
      </c>
      <c r="E2629" s="65" t="s">
        <v>9944</v>
      </c>
      <c r="F2629" s="65" t="b">
        <f>TRUE()</f>
        <v>1</v>
      </c>
      <c r="G2629" s="65" t="s">
        <v>165</v>
      </c>
      <c r="H2629" s="65" t="s">
        <v>165</v>
      </c>
      <c r="I2629" s="66">
        <v>46201</v>
      </c>
      <c r="J2629" s="66">
        <v>46210.286273298603</v>
      </c>
      <c r="K2629" s="65">
        <v>129</v>
      </c>
      <c r="L2629" s="65" t="s">
        <v>192</v>
      </c>
      <c r="M2629" s="65" t="s">
        <v>183</v>
      </c>
      <c r="N2629" s="65" t="b">
        <f>FALSE()</f>
        <v>0</v>
      </c>
      <c r="O2629" s="65"/>
      <c r="P2629" s="65"/>
      <c r="Q2629" s="65" t="s">
        <v>3663</v>
      </c>
      <c r="R2629" s="65" t="s">
        <v>236</v>
      </c>
      <c r="S2629" s="65"/>
      <c r="T2629" s="65" t="b">
        <f>FALSE()</f>
        <v>0</v>
      </c>
      <c r="U2629" s="65" t="b">
        <f>FALSE()</f>
        <v>0</v>
      </c>
      <c r="V2629" s="65">
        <v>464</v>
      </c>
      <c r="W2629" s="67" t="s">
        <v>9945</v>
      </c>
      <c r="X2629" s="65">
        <v>1</v>
      </c>
      <c r="Y2629" s="68">
        <v>0.24</v>
      </c>
      <c r="Z2629" s="65" t="b">
        <f>FALSE()</f>
        <v>0</v>
      </c>
      <c r="AA2629" s="65" t="b">
        <f>TRUE()</f>
        <v>1</v>
      </c>
      <c r="AB2629" s="65" t="b">
        <f>FALSE()</f>
        <v>0</v>
      </c>
      <c r="AC2629" s="65" t="b">
        <f>TRUE()</f>
        <v>1</v>
      </c>
      <c r="AD2629" s="65" t="b">
        <f>FALSE()</f>
        <v>0</v>
      </c>
      <c r="AE2629" s="65">
        <v>2</v>
      </c>
      <c r="AF2629" s="69">
        <v>28.6</v>
      </c>
      <c r="AG2629" s="65" t="s">
        <v>73</v>
      </c>
      <c r="AH2629" s="65" t="s">
        <v>9946</v>
      </c>
      <c r="AI2629">
        <f>IF(AND(OR(Company_Explorer!$B$5="All Companies",$E2629=Company_Explorer!$B$5),OR(Company_Explorer!$B$6="All Platforms",$B2629=Company_Explorer!$B$6),OR(Company_Explorer!$B$7="All Roles",$D2629=Company_Explorer!$B$7),OR(Company_Explorer!$B$8="All Ghost Labels",$AG2629=Company_Explorer!$B$8)),1,0)</f>
        <v>0</v>
      </c>
    </row>
    <row r="2630" spans="1:35" ht="15" customHeight="1" x14ac:dyDescent="0.3">
      <c r="A2630" s="60" t="s">
        <v>9947</v>
      </c>
      <c r="B2630" s="60" t="s">
        <v>82</v>
      </c>
      <c r="C2630" s="60" t="s">
        <v>9948</v>
      </c>
      <c r="D2630" s="60" t="s">
        <v>126</v>
      </c>
      <c r="E2630" s="60" t="s">
        <v>9949</v>
      </c>
      <c r="F2630" s="60" t="b">
        <f>TRUE()</f>
        <v>1</v>
      </c>
      <c r="G2630" s="60" t="s">
        <v>165</v>
      </c>
      <c r="H2630" s="60" t="s">
        <v>165</v>
      </c>
      <c r="I2630" s="61">
        <v>46201</v>
      </c>
      <c r="J2630" s="61">
        <v>46210.286273669</v>
      </c>
      <c r="K2630" s="60">
        <v>130</v>
      </c>
      <c r="L2630" s="60" t="s">
        <v>192</v>
      </c>
      <c r="M2630" s="60" t="s">
        <v>183</v>
      </c>
      <c r="N2630" s="60" t="b">
        <f>FALSE()</f>
        <v>0</v>
      </c>
      <c r="O2630" s="60"/>
      <c r="P2630" s="60"/>
      <c r="Q2630" s="60" t="s">
        <v>3663</v>
      </c>
      <c r="R2630" s="60" t="s">
        <v>236</v>
      </c>
      <c r="S2630" s="60"/>
      <c r="T2630" s="60" t="b">
        <f>FALSE()</f>
        <v>0</v>
      </c>
      <c r="U2630" s="60" t="b">
        <f>FALSE()</f>
        <v>0</v>
      </c>
      <c r="V2630" s="60">
        <v>278</v>
      </c>
      <c r="W2630" s="62" t="s">
        <v>9950</v>
      </c>
      <c r="X2630" s="60">
        <v>1</v>
      </c>
      <c r="Y2630" s="63">
        <v>0.24</v>
      </c>
      <c r="Z2630" s="60" t="b">
        <f>FALSE()</f>
        <v>0</v>
      </c>
      <c r="AA2630" s="60" t="b">
        <f>TRUE()</f>
        <v>1</v>
      </c>
      <c r="AB2630" s="60" t="b">
        <f>FALSE()</f>
        <v>0</v>
      </c>
      <c r="AC2630" s="60" t="b">
        <f>TRUE()</f>
        <v>1</v>
      </c>
      <c r="AD2630" s="60" t="b">
        <f>FALSE()</f>
        <v>0</v>
      </c>
      <c r="AE2630" s="60">
        <v>2</v>
      </c>
      <c r="AF2630" s="64">
        <v>28.6</v>
      </c>
      <c r="AG2630" s="60" t="s">
        <v>73</v>
      </c>
      <c r="AH2630" s="60" t="s">
        <v>9951</v>
      </c>
      <c r="AI2630">
        <f>IF(AND(OR(Company_Explorer!$B$5="All Companies",$E2630=Company_Explorer!$B$5),OR(Company_Explorer!$B$6="All Platforms",$B2630=Company_Explorer!$B$6),OR(Company_Explorer!$B$7="All Roles",$D2630=Company_Explorer!$B$7),OR(Company_Explorer!$B$8="All Ghost Labels",$AG2630=Company_Explorer!$B$8)),1,0)</f>
        <v>0</v>
      </c>
    </row>
    <row r="2631" spans="1:35" ht="15" customHeight="1" x14ac:dyDescent="0.3">
      <c r="A2631" s="65" t="s">
        <v>9952</v>
      </c>
      <c r="B2631" s="65" t="s">
        <v>82</v>
      </c>
      <c r="C2631" s="65" t="s">
        <v>8751</v>
      </c>
      <c r="D2631" s="65" t="s">
        <v>128</v>
      </c>
      <c r="E2631" s="65" t="s">
        <v>9953</v>
      </c>
      <c r="F2631" s="65" t="b">
        <f>TRUE()</f>
        <v>1</v>
      </c>
      <c r="G2631" s="65" t="s">
        <v>753</v>
      </c>
      <c r="H2631" s="65" t="s">
        <v>754</v>
      </c>
      <c r="I2631" s="66">
        <v>46204</v>
      </c>
      <c r="J2631" s="66">
        <v>46210.286273981503</v>
      </c>
      <c r="K2631" s="65">
        <v>97</v>
      </c>
      <c r="L2631" s="65" t="s">
        <v>192</v>
      </c>
      <c r="M2631" s="65" t="s">
        <v>183</v>
      </c>
      <c r="N2631" s="65" t="b">
        <f>TRUE()</f>
        <v>1</v>
      </c>
      <c r="O2631" s="71">
        <v>600000</v>
      </c>
      <c r="P2631" s="71">
        <v>920000</v>
      </c>
      <c r="Q2631" s="65" t="s">
        <v>3663</v>
      </c>
      <c r="R2631" s="65" t="s">
        <v>7351</v>
      </c>
      <c r="S2631" s="71">
        <v>760000</v>
      </c>
      <c r="T2631" s="65" t="b">
        <f>TRUE()</f>
        <v>1</v>
      </c>
      <c r="U2631" s="65" t="b">
        <f>FALSE()</f>
        <v>0</v>
      </c>
      <c r="V2631" s="65">
        <v>95</v>
      </c>
      <c r="W2631" s="67" t="s">
        <v>9954</v>
      </c>
      <c r="X2631" s="65">
        <v>1</v>
      </c>
      <c r="Y2631" s="68">
        <v>0.24</v>
      </c>
      <c r="Z2631" s="65" t="b">
        <f>FALSE()</f>
        <v>0</v>
      </c>
      <c r="AA2631" s="65" t="b">
        <f>FALSE()</f>
        <v>0</v>
      </c>
      <c r="AB2631" s="65" t="b">
        <f>TRUE()</f>
        <v>1</v>
      </c>
      <c r="AC2631" s="65" t="b">
        <f>FALSE()</f>
        <v>0</v>
      </c>
      <c r="AD2631" s="65" t="b">
        <f>FALSE()</f>
        <v>0</v>
      </c>
      <c r="AE2631" s="65">
        <v>1</v>
      </c>
      <c r="AF2631" s="69">
        <v>14.3</v>
      </c>
      <c r="AG2631" s="65" t="s">
        <v>74</v>
      </c>
      <c r="AH2631" s="65" t="s">
        <v>9955</v>
      </c>
      <c r="AI2631">
        <f>IF(AND(OR(Company_Explorer!$B$5="All Companies",$E2631=Company_Explorer!$B$5),OR(Company_Explorer!$B$6="All Platforms",$B2631=Company_Explorer!$B$6),OR(Company_Explorer!$B$7="All Roles",$D2631=Company_Explorer!$B$7),OR(Company_Explorer!$B$8="All Ghost Labels",$AG2631=Company_Explorer!$B$8)),1,0)</f>
        <v>0</v>
      </c>
    </row>
    <row r="2632" spans="1:35" ht="15" customHeight="1" x14ac:dyDescent="0.3">
      <c r="A2632" s="60" t="s">
        <v>9956</v>
      </c>
      <c r="B2632" s="60" t="s">
        <v>82</v>
      </c>
      <c r="C2632" s="60" t="s">
        <v>9957</v>
      </c>
      <c r="D2632" s="60" t="s">
        <v>125</v>
      </c>
      <c r="E2632" s="60" t="s">
        <v>9055</v>
      </c>
      <c r="F2632" s="60" t="b">
        <f>TRUE()</f>
        <v>1</v>
      </c>
      <c r="G2632" s="60" t="s">
        <v>167</v>
      </c>
      <c r="H2632" s="60" t="s">
        <v>276</v>
      </c>
      <c r="I2632" s="61">
        <v>46202</v>
      </c>
      <c r="J2632" s="61">
        <v>46210.286274814804</v>
      </c>
      <c r="K2632" s="60">
        <v>129</v>
      </c>
      <c r="L2632" s="60" t="s">
        <v>192</v>
      </c>
      <c r="M2632" s="60" t="s">
        <v>183</v>
      </c>
      <c r="N2632" s="60" t="b">
        <f>TRUE()</f>
        <v>1</v>
      </c>
      <c r="O2632" s="70">
        <v>200000</v>
      </c>
      <c r="P2632" s="70">
        <v>800000</v>
      </c>
      <c r="Q2632" s="60" t="s">
        <v>3663</v>
      </c>
      <c r="R2632" s="60" t="s">
        <v>7351</v>
      </c>
      <c r="S2632" s="70">
        <v>500000</v>
      </c>
      <c r="T2632" s="60" t="b">
        <f>TRUE()</f>
        <v>1</v>
      </c>
      <c r="U2632" s="60" t="b">
        <f>FALSE()</f>
        <v>0</v>
      </c>
      <c r="V2632" s="60">
        <v>370</v>
      </c>
      <c r="W2632" s="62" t="s">
        <v>9958</v>
      </c>
      <c r="X2632" s="60">
        <v>2</v>
      </c>
      <c r="Y2632" s="63">
        <v>0.48</v>
      </c>
      <c r="Z2632" s="60" t="b">
        <f>FALSE()</f>
        <v>0</v>
      </c>
      <c r="AA2632" s="60" t="b">
        <f>FALSE()</f>
        <v>0</v>
      </c>
      <c r="AB2632" s="60" t="b">
        <f>FALSE()</f>
        <v>0</v>
      </c>
      <c r="AC2632" s="60" t="b">
        <f>TRUE()</f>
        <v>1</v>
      </c>
      <c r="AD2632" s="60" t="b">
        <f>FALSE()</f>
        <v>0</v>
      </c>
      <c r="AE2632" s="60">
        <v>1</v>
      </c>
      <c r="AF2632" s="64">
        <v>14.3</v>
      </c>
      <c r="AG2632" s="60" t="s">
        <v>74</v>
      </c>
      <c r="AH2632" s="60" t="s">
        <v>9959</v>
      </c>
      <c r="AI2632">
        <f>IF(AND(OR(Company_Explorer!$B$5="All Companies",$E2632=Company_Explorer!$B$5),OR(Company_Explorer!$B$6="All Platforms",$B2632=Company_Explorer!$B$6),OR(Company_Explorer!$B$7="All Roles",$D2632=Company_Explorer!$B$7),OR(Company_Explorer!$B$8="All Ghost Labels",$AG2632=Company_Explorer!$B$8)),1,0)</f>
        <v>0</v>
      </c>
    </row>
    <row r="2633" spans="1:35" ht="15" customHeight="1" x14ac:dyDescent="0.3">
      <c r="A2633" s="65" t="s">
        <v>9960</v>
      </c>
      <c r="B2633" s="65" t="s">
        <v>82</v>
      </c>
      <c r="C2633" s="65" t="s">
        <v>9961</v>
      </c>
      <c r="D2633" s="65" t="s">
        <v>132</v>
      </c>
      <c r="E2633" s="65" t="s">
        <v>8422</v>
      </c>
      <c r="F2633" s="65" t="b">
        <f>TRUE()</f>
        <v>1</v>
      </c>
      <c r="G2633" s="65" t="s">
        <v>167</v>
      </c>
      <c r="H2633" s="65" t="s">
        <v>276</v>
      </c>
      <c r="I2633" s="66">
        <v>46200</v>
      </c>
      <c r="J2633" s="66">
        <v>46210.286276400497</v>
      </c>
      <c r="K2633" s="65">
        <v>41</v>
      </c>
      <c r="L2633" s="65" t="s">
        <v>183</v>
      </c>
      <c r="M2633" s="65" t="s">
        <v>183</v>
      </c>
      <c r="N2633" s="65" t="b">
        <f>TRUE()</f>
        <v>1</v>
      </c>
      <c r="O2633" s="71">
        <v>200000</v>
      </c>
      <c r="P2633" s="71">
        <v>693000</v>
      </c>
      <c r="Q2633" s="65" t="s">
        <v>3663</v>
      </c>
      <c r="R2633" s="65" t="s">
        <v>7351</v>
      </c>
      <c r="S2633" s="71">
        <v>446500</v>
      </c>
      <c r="T2633" s="65" t="b">
        <f>TRUE()</f>
        <v>1</v>
      </c>
      <c r="U2633" s="65" t="b">
        <f>FALSE()</f>
        <v>0</v>
      </c>
      <c r="V2633" s="65">
        <v>63</v>
      </c>
      <c r="W2633" s="67" t="s">
        <v>9962</v>
      </c>
      <c r="X2633" s="65">
        <v>3</v>
      </c>
      <c r="Y2633" s="68">
        <v>0.72</v>
      </c>
      <c r="Z2633" s="65" t="b">
        <f>FALSE()</f>
        <v>0</v>
      </c>
      <c r="AA2633" s="65" t="b">
        <f>FALSE()</f>
        <v>0</v>
      </c>
      <c r="AB2633" s="65" t="b">
        <f>TRUE()</f>
        <v>1</v>
      </c>
      <c r="AC2633" s="65" t="b">
        <f>FALSE()</f>
        <v>0</v>
      </c>
      <c r="AD2633" s="65" t="b">
        <f>FALSE()</f>
        <v>0</v>
      </c>
      <c r="AE2633" s="65">
        <v>1</v>
      </c>
      <c r="AF2633" s="69">
        <v>14.3</v>
      </c>
      <c r="AG2633" s="65" t="s">
        <v>74</v>
      </c>
      <c r="AH2633" s="65" t="s">
        <v>9963</v>
      </c>
      <c r="AI2633">
        <f>IF(AND(OR(Company_Explorer!$B$5="All Companies",$E2633=Company_Explorer!$B$5),OR(Company_Explorer!$B$6="All Platforms",$B2633=Company_Explorer!$B$6),OR(Company_Explorer!$B$7="All Roles",$D2633=Company_Explorer!$B$7),OR(Company_Explorer!$B$8="All Ghost Labels",$AG2633=Company_Explorer!$B$8)),1,0)</f>
        <v>0</v>
      </c>
    </row>
    <row r="2634" spans="1:35" ht="15" customHeight="1" x14ac:dyDescent="0.3">
      <c r="A2634" s="60" t="s">
        <v>9964</v>
      </c>
      <c r="B2634" s="60" t="s">
        <v>82</v>
      </c>
      <c r="C2634" s="60" t="s">
        <v>9965</v>
      </c>
      <c r="D2634" s="60" t="s">
        <v>128</v>
      </c>
      <c r="E2634" s="60" t="s">
        <v>3726</v>
      </c>
      <c r="F2634" s="60" t="b">
        <f>FALSE()</f>
        <v>0</v>
      </c>
      <c r="G2634" s="60" t="s">
        <v>165</v>
      </c>
      <c r="H2634" s="60" t="s">
        <v>165</v>
      </c>
      <c r="I2634" s="61">
        <v>46204</v>
      </c>
      <c r="J2634" s="61">
        <v>46210.286278298598</v>
      </c>
      <c r="K2634" s="60">
        <v>7</v>
      </c>
      <c r="L2634" s="60" t="s">
        <v>192</v>
      </c>
      <c r="M2634" s="60" t="s">
        <v>183</v>
      </c>
      <c r="N2634" s="60" t="b">
        <f>TRUE()</f>
        <v>1</v>
      </c>
      <c r="O2634" s="70">
        <v>100000</v>
      </c>
      <c r="P2634" s="70">
        <v>200000</v>
      </c>
      <c r="Q2634" s="60" t="s">
        <v>3663</v>
      </c>
      <c r="R2634" s="60" t="s">
        <v>7445</v>
      </c>
      <c r="S2634" s="70">
        <v>1800000</v>
      </c>
      <c r="T2634" s="60" t="b">
        <f>TRUE()</f>
        <v>1</v>
      </c>
      <c r="U2634" s="60" t="b">
        <f>FALSE()</f>
        <v>0</v>
      </c>
      <c r="V2634" s="60">
        <v>217</v>
      </c>
      <c r="W2634" s="62" t="s">
        <v>9966</v>
      </c>
      <c r="X2634" s="60"/>
      <c r="Y2634" s="63"/>
      <c r="Z2634" s="60" t="b">
        <f>TRUE()</f>
        <v>1</v>
      </c>
      <c r="AA2634" s="60" t="b">
        <f>FALSE()</f>
        <v>0</v>
      </c>
      <c r="AB2634" s="60" t="b">
        <f>FALSE()</f>
        <v>0</v>
      </c>
      <c r="AC2634" s="60" t="b">
        <f>FALSE()</f>
        <v>0</v>
      </c>
      <c r="AD2634" s="60" t="b">
        <f>FALSE()</f>
        <v>0</v>
      </c>
      <c r="AE2634" s="60">
        <v>2</v>
      </c>
      <c r="AF2634" s="64">
        <v>28.6</v>
      </c>
      <c r="AG2634" s="60" t="s">
        <v>73</v>
      </c>
      <c r="AH2634" s="60" t="s">
        <v>9967</v>
      </c>
      <c r="AI2634">
        <f>IF(AND(OR(Company_Explorer!$B$5="All Companies",$E2634=Company_Explorer!$B$5),OR(Company_Explorer!$B$6="All Platforms",$B2634=Company_Explorer!$B$6),OR(Company_Explorer!$B$7="All Roles",$D2634=Company_Explorer!$B$7),OR(Company_Explorer!$B$8="All Ghost Labels",$AG2634=Company_Explorer!$B$8)),1,0)</f>
        <v>0</v>
      </c>
    </row>
    <row r="2635" spans="1:35" ht="15" customHeight="1" x14ac:dyDescent="0.3">
      <c r="A2635" s="65" t="s">
        <v>9968</v>
      </c>
      <c r="B2635" s="65" t="s">
        <v>82</v>
      </c>
      <c r="C2635" s="65" t="s">
        <v>9969</v>
      </c>
      <c r="D2635" s="65" t="s">
        <v>128</v>
      </c>
      <c r="E2635" s="65" t="s">
        <v>9970</v>
      </c>
      <c r="F2635" s="65" t="b">
        <f>TRUE()</f>
        <v>1</v>
      </c>
      <c r="G2635" s="65" t="s">
        <v>165</v>
      </c>
      <c r="H2635" s="65" t="s">
        <v>165</v>
      </c>
      <c r="I2635" s="66">
        <v>46190</v>
      </c>
      <c r="J2635" s="66">
        <v>46210.286278645799</v>
      </c>
      <c r="K2635" s="65">
        <v>202</v>
      </c>
      <c r="L2635" s="65" t="s">
        <v>192</v>
      </c>
      <c r="M2635" s="65" t="s">
        <v>183</v>
      </c>
      <c r="N2635" s="65" t="b">
        <f>FALSE()</f>
        <v>0</v>
      </c>
      <c r="O2635" s="65"/>
      <c r="P2635" s="65"/>
      <c r="Q2635" s="65" t="s">
        <v>3663</v>
      </c>
      <c r="R2635" s="65" t="s">
        <v>236</v>
      </c>
      <c r="S2635" s="65"/>
      <c r="T2635" s="65" t="b">
        <f>FALSE()</f>
        <v>0</v>
      </c>
      <c r="U2635" s="65" t="b">
        <f>FALSE()</f>
        <v>0</v>
      </c>
      <c r="V2635" s="65">
        <v>371</v>
      </c>
      <c r="W2635" s="67" t="s">
        <v>9971</v>
      </c>
      <c r="X2635" s="65">
        <v>1</v>
      </c>
      <c r="Y2635" s="68">
        <v>0.24</v>
      </c>
      <c r="Z2635" s="65" t="b">
        <f>FALSE()</f>
        <v>0</v>
      </c>
      <c r="AA2635" s="65" t="b">
        <f>TRUE()</f>
        <v>1</v>
      </c>
      <c r="AB2635" s="65" t="b">
        <f>FALSE()</f>
        <v>0</v>
      </c>
      <c r="AC2635" s="65" t="b">
        <f>TRUE()</f>
        <v>1</v>
      </c>
      <c r="AD2635" s="65" t="b">
        <f>FALSE()</f>
        <v>0</v>
      </c>
      <c r="AE2635" s="65">
        <v>2</v>
      </c>
      <c r="AF2635" s="69">
        <v>28.6</v>
      </c>
      <c r="AG2635" s="65" t="s">
        <v>73</v>
      </c>
      <c r="AH2635" s="65" t="s">
        <v>9972</v>
      </c>
      <c r="AI2635">
        <f>IF(AND(OR(Company_Explorer!$B$5="All Companies",$E2635=Company_Explorer!$B$5),OR(Company_Explorer!$B$6="All Platforms",$B2635=Company_Explorer!$B$6),OR(Company_Explorer!$B$7="All Roles",$D2635=Company_Explorer!$B$7),OR(Company_Explorer!$B$8="All Ghost Labels",$AG2635=Company_Explorer!$B$8)),1,0)</f>
        <v>0</v>
      </c>
    </row>
    <row r="2636" spans="1:35" ht="15" customHeight="1" x14ac:dyDescent="0.3">
      <c r="A2636" s="60" t="s">
        <v>9973</v>
      </c>
      <c r="B2636" s="60" t="s">
        <v>82</v>
      </c>
      <c r="C2636" s="60" t="s">
        <v>7355</v>
      </c>
      <c r="D2636" s="60" t="s">
        <v>128</v>
      </c>
      <c r="E2636" s="60" t="s">
        <v>9974</v>
      </c>
      <c r="F2636" s="60" t="b">
        <f>TRUE()</f>
        <v>1</v>
      </c>
      <c r="G2636" s="60" t="s">
        <v>176</v>
      </c>
      <c r="H2636" s="60" t="s">
        <v>302</v>
      </c>
      <c r="I2636" s="61">
        <v>46193</v>
      </c>
      <c r="J2636" s="61">
        <v>46210.286280243097</v>
      </c>
      <c r="K2636" s="60">
        <v>137</v>
      </c>
      <c r="L2636" s="60" t="s">
        <v>192</v>
      </c>
      <c r="M2636" s="60" t="s">
        <v>183</v>
      </c>
      <c r="N2636" s="60" t="b">
        <f>TRUE()</f>
        <v>1</v>
      </c>
      <c r="O2636" s="70">
        <v>187500</v>
      </c>
      <c r="P2636" s="70">
        <v>600000</v>
      </c>
      <c r="Q2636" s="60" t="s">
        <v>3663</v>
      </c>
      <c r="R2636" s="60" t="s">
        <v>7351</v>
      </c>
      <c r="S2636" s="70">
        <v>393750</v>
      </c>
      <c r="T2636" s="60" t="b">
        <f>TRUE()</f>
        <v>1</v>
      </c>
      <c r="U2636" s="60" t="b">
        <f>FALSE()</f>
        <v>0</v>
      </c>
      <c r="V2636" s="60">
        <v>87</v>
      </c>
      <c r="W2636" s="62" t="s">
        <v>9975</v>
      </c>
      <c r="X2636" s="60">
        <v>1</v>
      </c>
      <c r="Y2636" s="63">
        <v>0.24</v>
      </c>
      <c r="Z2636" s="60" t="b">
        <f>FALSE()</f>
        <v>0</v>
      </c>
      <c r="AA2636" s="60" t="b">
        <f>FALSE()</f>
        <v>0</v>
      </c>
      <c r="AB2636" s="60" t="b">
        <f>TRUE()</f>
        <v>1</v>
      </c>
      <c r="AC2636" s="60" t="b">
        <f>TRUE()</f>
        <v>1</v>
      </c>
      <c r="AD2636" s="60" t="b">
        <f>FALSE()</f>
        <v>0</v>
      </c>
      <c r="AE2636" s="60">
        <v>2</v>
      </c>
      <c r="AF2636" s="64">
        <v>28.6</v>
      </c>
      <c r="AG2636" s="60" t="s">
        <v>73</v>
      </c>
      <c r="AH2636" s="60" t="s">
        <v>9976</v>
      </c>
      <c r="AI2636">
        <f>IF(AND(OR(Company_Explorer!$B$5="All Companies",$E2636=Company_Explorer!$B$5),OR(Company_Explorer!$B$6="All Platforms",$B2636=Company_Explorer!$B$6),OR(Company_Explorer!$B$7="All Roles",$D2636=Company_Explorer!$B$7),OR(Company_Explorer!$B$8="All Ghost Labels",$AG2636=Company_Explorer!$B$8)),1,0)</f>
        <v>0</v>
      </c>
    </row>
    <row r="2637" spans="1:35" ht="15" customHeight="1" x14ac:dyDescent="0.3">
      <c r="A2637" s="65" t="s">
        <v>9977</v>
      </c>
      <c r="B2637" s="65" t="s">
        <v>82</v>
      </c>
      <c r="C2637" s="65" t="s">
        <v>9978</v>
      </c>
      <c r="D2637" s="65" t="s">
        <v>126</v>
      </c>
      <c r="E2637" s="65" t="s">
        <v>9979</v>
      </c>
      <c r="F2637" s="65" t="b">
        <f>TRUE()</f>
        <v>1</v>
      </c>
      <c r="G2637" s="65" t="s">
        <v>167</v>
      </c>
      <c r="H2637" s="65" t="s">
        <v>276</v>
      </c>
      <c r="I2637" s="66">
        <v>46202</v>
      </c>
      <c r="J2637" s="66">
        <v>46210.286281817098</v>
      </c>
      <c r="K2637" s="65">
        <v>129</v>
      </c>
      <c r="L2637" s="65" t="s">
        <v>192</v>
      </c>
      <c r="M2637" s="65" t="s">
        <v>183</v>
      </c>
      <c r="N2637" s="65" t="b">
        <f>TRUE()</f>
        <v>1</v>
      </c>
      <c r="O2637" s="71">
        <v>200000</v>
      </c>
      <c r="P2637" s="71">
        <v>244000</v>
      </c>
      <c r="Q2637" s="65" t="s">
        <v>3663</v>
      </c>
      <c r="R2637" s="65" t="s">
        <v>7351</v>
      </c>
      <c r="S2637" s="71">
        <v>222000</v>
      </c>
      <c r="T2637" s="65" t="b">
        <f>TRUE()</f>
        <v>1</v>
      </c>
      <c r="U2637" s="65" t="b">
        <f>FALSE()</f>
        <v>0</v>
      </c>
      <c r="V2637" s="65">
        <v>188</v>
      </c>
      <c r="W2637" s="67" t="s">
        <v>9980</v>
      </c>
      <c r="X2637" s="65">
        <v>2</v>
      </c>
      <c r="Y2637" s="68">
        <v>0.48</v>
      </c>
      <c r="Z2637" s="65" t="b">
        <f>FALSE()</f>
        <v>0</v>
      </c>
      <c r="AA2637" s="65" t="b">
        <f>FALSE()</f>
        <v>0</v>
      </c>
      <c r="AB2637" s="65" t="b">
        <f>TRUE()</f>
        <v>1</v>
      </c>
      <c r="AC2637" s="65" t="b">
        <f>TRUE()</f>
        <v>1</v>
      </c>
      <c r="AD2637" s="65" t="b">
        <f>FALSE()</f>
        <v>0</v>
      </c>
      <c r="AE2637" s="65">
        <v>2</v>
      </c>
      <c r="AF2637" s="69">
        <v>28.6</v>
      </c>
      <c r="AG2637" s="65" t="s">
        <v>73</v>
      </c>
      <c r="AH2637" s="65" t="s">
        <v>9981</v>
      </c>
      <c r="AI2637">
        <f>IF(AND(OR(Company_Explorer!$B$5="All Companies",$E2637=Company_Explorer!$B$5),OR(Company_Explorer!$B$6="All Platforms",$B2637=Company_Explorer!$B$6),OR(Company_Explorer!$B$7="All Roles",$D2637=Company_Explorer!$B$7),OR(Company_Explorer!$B$8="All Ghost Labels",$AG2637=Company_Explorer!$B$8)),1,0)</f>
        <v>0</v>
      </c>
    </row>
    <row r="2638" spans="1:35" ht="15" customHeight="1" x14ac:dyDescent="0.3">
      <c r="A2638" s="60" t="s">
        <v>9982</v>
      </c>
      <c r="B2638" s="60" t="s">
        <v>82</v>
      </c>
      <c r="C2638" s="60" t="s">
        <v>9983</v>
      </c>
      <c r="D2638" s="60" t="s">
        <v>128</v>
      </c>
      <c r="E2638" s="60" t="s">
        <v>9984</v>
      </c>
      <c r="F2638" s="60" t="b">
        <f>TRUE()</f>
        <v>1</v>
      </c>
      <c r="G2638" s="60" t="s">
        <v>165</v>
      </c>
      <c r="H2638" s="60" t="s">
        <v>165</v>
      </c>
      <c r="I2638" s="61">
        <v>46202</v>
      </c>
      <c r="J2638" s="61">
        <v>46210.286284050897</v>
      </c>
      <c r="K2638" s="60">
        <v>128</v>
      </c>
      <c r="L2638" s="60" t="s">
        <v>192</v>
      </c>
      <c r="M2638" s="60" t="s">
        <v>183</v>
      </c>
      <c r="N2638" s="60" t="b">
        <f>FALSE()</f>
        <v>0</v>
      </c>
      <c r="O2638" s="60"/>
      <c r="P2638" s="60"/>
      <c r="Q2638" s="60" t="s">
        <v>3663</v>
      </c>
      <c r="R2638" s="60" t="s">
        <v>236</v>
      </c>
      <c r="S2638" s="60"/>
      <c r="T2638" s="60" t="b">
        <f>FALSE()</f>
        <v>0</v>
      </c>
      <c r="U2638" s="60" t="b">
        <f>FALSE()</f>
        <v>0</v>
      </c>
      <c r="V2638" s="60">
        <v>319</v>
      </c>
      <c r="W2638" s="62" t="s">
        <v>9985</v>
      </c>
      <c r="X2638" s="60">
        <v>1</v>
      </c>
      <c r="Y2638" s="63">
        <v>0.24</v>
      </c>
      <c r="Z2638" s="60" t="b">
        <f>FALSE()</f>
        <v>0</v>
      </c>
      <c r="AA2638" s="60" t="b">
        <f>TRUE()</f>
        <v>1</v>
      </c>
      <c r="AB2638" s="60" t="b">
        <f>FALSE()</f>
        <v>0</v>
      </c>
      <c r="AC2638" s="60" t="b">
        <f>TRUE()</f>
        <v>1</v>
      </c>
      <c r="AD2638" s="60" t="b">
        <f>FALSE()</f>
        <v>0</v>
      </c>
      <c r="AE2638" s="60">
        <v>2</v>
      </c>
      <c r="AF2638" s="64">
        <v>28.6</v>
      </c>
      <c r="AG2638" s="60" t="s">
        <v>73</v>
      </c>
      <c r="AH2638" s="60" t="s">
        <v>9986</v>
      </c>
      <c r="AI2638">
        <f>IF(AND(OR(Company_Explorer!$B$5="All Companies",$E2638=Company_Explorer!$B$5),OR(Company_Explorer!$B$6="All Platforms",$B2638=Company_Explorer!$B$6),OR(Company_Explorer!$B$7="All Roles",$D2638=Company_Explorer!$B$7),OR(Company_Explorer!$B$8="All Ghost Labels",$AG2638=Company_Explorer!$B$8)),1,0)</f>
        <v>0</v>
      </c>
    </row>
    <row r="2639" spans="1:35" ht="15" customHeight="1" x14ac:dyDescent="0.3">
      <c r="A2639" s="65" t="s">
        <v>9987</v>
      </c>
      <c r="B2639" s="65" t="s">
        <v>82</v>
      </c>
      <c r="C2639" s="65" t="s">
        <v>9988</v>
      </c>
      <c r="D2639" s="65" t="s">
        <v>126</v>
      </c>
      <c r="E2639" s="65" t="s">
        <v>3013</v>
      </c>
      <c r="F2639" s="65" t="b">
        <f>TRUE()</f>
        <v>1</v>
      </c>
      <c r="G2639" s="65" t="s">
        <v>165</v>
      </c>
      <c r="H2639" s="65" t="s">
        <v>165</v>
      </c>
      <c r="I2639" s="66">
        <v>46203</v>
      </c>
      <c r="J2639" s="66">
        <v>46210.286286666698</v>
      </c>
      <c r="K2639" s="65">
        <v>39</v>
      </c>
      <c r="L2639" s="65" t="s">
        <v>192</v>
      </c>
      <c r="M2639" s="65" t="s">
        <v>183</v>
      </c>
      <c r="N2639" s="65" t="b">
        <f>FALSE()</f>
        <v>0</v>
      </c>
      <c r="O2639" s="65"/>
      <c r="P2639" s="65"/>
      <c r="Q2639" s="65" t="s">
        <v>3663</v>
      </c>
      <c r="R2639" s="65" t="s">
        <v>236</v>
      </c>
      <c r="S2639" s="65"/>
      <c r="T2639" s="65" t="b">
        <f>FALSE()</f>
        <v>0</v>
      </c>
      <c r="U2639" s="65" t="b">
        <f>FALSE()</f>
        <v>0</v>
      </c>
      <c r="V2639" s="65">
        <v>716</v>
      </c>
      <c r="W2639" s="65" t="s">
        <v>3014</v>
      </c>
      <c r="X2639" s="65">
        <v>5</v>
      </c>
      <c r="Y2639" s="68">
        <v>1.21</v>
      </c>
      <c r="Z2639" s="65" t="b">
        <f>FALSE()</f>
        <v>0</v>
      </c>
      <c r="AA2639" s="65" t="b">
        <f>TRUE()</f>
        <v>1</v>
      </c>
      <c r="AB2639" s="65" t="b">
        <f>FALSE()</f>
        <v>0</v>
      </c>
      <c r="AC2639" s="65" t="b">
        <f>FALSE()</f>
        <v>0</v>
      </c>
      <c r="AD2639" s="65" t="b">
        <f>FALSE()</f>
        <v>0</v>
      </c>
      <c r="AE2639" s="65">
        <v>1</v>
      </c>
      <c r="AF2639" s="69">
        <v>14.3</v>
      </c>
      <c r="AG2639" s="65" t="s">
        <v>74</v>
      </c>
      <c r="AH2639" s="65" t="s">
        <v>9989</v>
      </c>
      <c r="AI2639">
        <f>IF(AND(OR(Company_Explorer!$B$5="All Companies",$E2639=Company_Explorer!$B$5),OR(Company_Explorer!$B$6="All Platforms",$B2639=Company_Explorer!$B$6),OR(Company_Explorer!$B$7="All Roles",$D2639=Company_Explorer!$B$7),OR(Company_Explorer!$B$8="All Ghost Labels",$AG2639=Company_Explorer!$B$8)),1,0)</f>
        <v>0</v>
      </c>
    </row>
    <row r="2640" spans="1:35" ht="15" customHeight="1" x14ac:dyDescent="0.3">
      <c r="A2640" s="60" t="s">
        <v>9990</v>
      </c>
      <c r="B2640" s="60" t="s">
        <v>82</v>
      </c>
      <c r="C2640" s="60" t="s">
        <v>9991</v>
      </c>
      <c r="D2640" s="60" t="s">
        <v>125</v>
      </c>
      <c r="E2640" s="60" t="s">
        <v>9992</v>
      </c>
      <c r="F2640" s="60" t="b">
        <f>TRUE()</f>
        <v>1</v>
      </c>
      <c r="G2640" s="60" t="s">
        <v>165</v>
      </c>
      <c r="H2640" s="60" t="s">
        <v>165</v>
      </c>
      <c r="I2640" s="61">
        <v>46209</v>
      </c>
      <c r="J2640" s="61">
        <v>46210.286288993098</v>
      </c>
      <c r="K2640" s="60">
        <v>124</v>
      </c>
      <c r="L2640" s="60" t="s">
        <v>183</v>
      </c>
      <c r="M2640" s="60" t="s">
        <v>183</v>
      </c>
      <c r="N2640" s="60" t="b">
        <f>FALSE()</f>
        <v>0</v>
      </c>
      <c r="O2640" s="60"/>
      <c r="P2640" s="60"/>
      <c r="Q2640" s="60" t="s">
        <v>3663</v>
      </c>
      <c r="R2640" s="60" t="s">
        <v>236</v>
      </c>
      <c r="S2640" s="60"/>
      <c r="T2640" s="60" t="b">
        <f>FALSE()</f>
        <v>0</v>
      </c>
      <c r="U2640" s="60" t="b">
        <f>FALSE()</f>
        <v>0</v>
      </c>
      <c r="V2640" s="60">
        <v>105</v>
      </c>
      <c r="W2640" s="62" t="s">
        <v>9993</v>
      </c>
      <c r="X2640" s="60">
        <v>1</v>
      </c>
      <c r="Y2640" s="63">
        <v>0.24</v>
      </c>
      <c r="Z2640" s="60" t="b">
        <f>FALSE()</f>
        <v>0</v>
      </c>
      <c r="AA2640" s="60" t="b">
        <f>TRUE()</f>
        <v>1</v>
      </c>
      <c r="AB2640" s="60" t="b">
        <f>TRUE()</f>
        <v>1</v>
      </c>
      <c r="AC2640" s="60" t="b">
        <f>TRUE()</f>
        <v>1</v>
      </c>
      <c r="AD2640" s="60" t="b">
        <f>FALSE()</f>
        <v>0</v>
      </c>
      <c r="AE2640" s="60">
        <v>3</v>
      </c>
      <c r="AF2640" s="64">
        <v>42.9</v>
      </c>
      <c r="AG2640" s="60" t="s">
        <v>73</v>
      </c>
      <c r="AH2640" s="60" t="s">
        <v>9994</v>
      </c>
      <c r="AI2640">
        <f>IF(AND(OR(Company_Explorer!$B$5="All Companies",$E2640=Company_Explorer!$B$5),OR(Company_Explorer!$B$6="All Platforms",$B2640=Company_Explorer!$B$6),OR(Company_Explorer!$B$7="All Roles",$D2640=Company_Explorer!$B$7),OR(Company_Explorer!$B$8="All Ghost Labels",$AG2640=Company_Explorer!$B$8)),1,0)</f>
        <v>0</v>
      </c>
    </row>
    <row r="2641" spans="1:35" ht="15" customHeight="1" x14ac:dyDescent="0.3">
      <c r="A2641" s="65" t="s">
        <v>9995</v>
      </c>
      <c r="B2641" s="65" t="s">
        <v>82</v>
      </c>
      <c r="C2641" s="65" t="s">
        <v>128</v>
      </c>
      <c r="D2641" s="65" t="s">
        <v>128</v>
      </c>
      <c r="E2641" s="65" t="s">
        <v>3726</v>
      </c>
      <c r="F2641" s="65" t="b">
        <f>FALSE()</f>
        <v>0</v>
      </c>
      <c r="G2641" s="65" t="s">
        <v>165</v>
      </c>
      <c r="H2641" s="65" t="s">
        <v>165</v>
      </c>
      <c r="I2641" s="66">
        <v>46199</v>
      </c>
      <c r="J2641" s="66">
        <v>46210.286289780102</v>
      </c>
      <c r="K2641" s="65">
        <v>11</v>
      </c>
      <c r="L2641" s="65" t="s">
        <v>192</v>
      </c>
      <c r="M2641" s="65" t="s">
        <v>183</v>
      </c>
      <c r="N2641" s="65" t="b">
        <f>TRUE()</f>
        <v>1</v>
      </c>
      <c r="O2641" s="71">
        <v>90000</v>
      </c>
      <c r="P2641" s="71">
        <v>90000</v>
      </c>
      <c r="Q2641" s="65" t="s">
        <v>3663</v>
      </c>
      <c r="R2641" s="65" t="s">
        <v>7445</v>
      </c>
      <c r="S2641" s="71">
        <v>1080000</v>
      </c>
      <c r="T2641" s="65" t="b">
        <f>TRUE()</f>
        <v>1</v>
      </c>
      <c r="U2641" s="65" t="b">
        <f>FALSE()</f>
        <v>0</v>
      </c>
      <c r="V2641" s="65">
        <v>560</v>
      </c>
      <c r="W2641" s="67" t="s">
        <v>9996</v>
      </c>
      <c r="X2641" s="65"/>
      <c r="Y2641" s="68"/>
      <c r="Z2641" s="65" t="b">
        <f>TRUE()</f>
        <v>1</v>
      </c>
      <c r="AA2641" s="65" t="b">
        <f>FALSE()</f>
        <v>0</v>
      </c>
      <c r="AB2641" s="65" t="b">
        <f>FALSE()</f>
        <v>0</v>
      </c>
      <c r="AC2641" s="65" t="b">
        <f>FALSE()</f>
        <v>0</v>
      </c>
      <c r="AD2641" s="65" t="b">
        <f>FALSE()</f>
        <v>0</v>
      </c>
      <c r="AE2641" s="65">
        <v>2</v>
      </c>
      <c r="AF2641" s="69">
        <v>28.6</v>
      </c>
      <c r="AG2641" s="65" t="s">
        <v>73</v>
      </c>
      <c r="AH2641" s="65" t="s">
        <v>9997</v>
      </c>
      <c r="AI2641">
        <f>IF(AND(OR(Company_Explorer!$B$5="All Companies",$E2641=Company_Explorer!$B$5),OR(Company_Explorer!$B$6="All Platforms",$B2641=Company_Explorer!$B$6),OR(Company_Explorer!$B$7="All Roles",$D2641=Company_Explorer!$B$7),OR(Company_Explorer!$B$8="All Ghost Labels",$AG2641=Company_Explorer!$B$8)),1,0)</f>
        <v>0</v>
      </c>
    </row>
    <row r="2642" spans="1:35" ht="15" customHeight="1" x14ac:dyDescent="0.3">
      <c r="A2642" s="60" t="s">
        <v>9998</v>
      </c>
      <c r="B2642" s="60" t="s">
        <v>82</v>
      </c>
      <c r="C2642" s="60" t="s">
        <v>9999</v>
      </c>
      <c r="D2642" s="60" t="s">
        <v>128</v>
      </c>
      <c r="E2642" s="60" t="s">
        <v>10000</v>
      </c>
      <c r="F2642" s="60" t="b">
        <f>TRUE()</f>
        <v>1</v>
      </c>
      <c r="G2642" s="60" t="s">
        <v>171</v>
      </c>
      <c r="H2642" s="60" t="s">
        <v>254</v>
      </c>
      <c r="I2642" s="61">
        <v>46193</v>
      </c>
      <c r="J2642" s="61">
        <v>46210.286290231503</v>
      </c>
      <c r="K2642" s="60">
        <v>137</v>
      </c>
      <c r="L2642" s="60" t="s">
        <v>183</v>
      </c>
      <c r="M2642" s="60" t="s">
        <v>183</v>
      </c>
      <c r="N2642" s="60" t="b">
        <f>TRUE()</f>
        <v>1</v>
      </c>
      <c r="O2642" s="70">
        <v>122222</v>
      </c>
      <c r="P2642" s="70">
        <v>560000</v>
      </c>
      <c r="Q2642" s="60" t="s">
        <v>3663</v>
      </c>
      <c r="R2642" s="60" t="s">
        <v>7351</v>
      </c>
      <c r="S2642" s="70">
        <v>341111</v>
      </c>
      <c r="T2642" s="60" t="b">
        <f>TRUE()</f>
        <v>1</v>
      </c>
      <c r="U2642" s="60" t="b">
        <f>FALSE()</f>
        <v>0</v>
      </c>
      <c r="V2642" s="60">
        <v>158</v>
      </c>
      <c r="W2642" s="62" t="s">
        <v>10001</v>
      </c>
      <c r="X2642" s="60">
        <v>1</v>
      </c>
      <c r="Y2642" s="63">
        <v>0.24</v>
      </c>
      <c r="Z2642" s="60" t="b">
        <f>FALSE()</f>
        <v>0</v>
      </c>
      <c r="AA2642" s="60" t="b">
        <f>FALSE()</f>
        <v>0</v>
      </c>
      <c r="AB2642" s="60" t="b">
        <f>TRUE()</f>
        <v>1</v>
      </c>
      <c r="AC2642" s="60" t="b">
        <f>TRUE()</f>
        <v>1</v>
      </c>
      <c r="AD2642" s="60" t="b">
        <f>FALSE()</f>
        <v>0</v>
      </c>
      <c r="AE2642" s="60">
        <v>2</v>
      </c>
      <c r="AF2642" s="64">
        <v>28.6</v>
      </c>
      <c r="AG2642" s="60" t="s">
        <v>73</v>
      </c>
      <c r="AH2642" s="60" t="s">
        <v>10002</v>
      </c>
      <c r="AI2642">
        <f>IF(AND(OR(Company_Explorer!$B$5="All Companies",$E2642=Company_Explorer!$B$5),OR(Company_Explorer!$B$6="All Platforms",$B2642=Company_Explorer!$B$6),OR(Company_Explorer!$B$7="All Roles",$D2642=Company_Explorer!$B$7),OR(Company_Explorer!$B$8="All Ghost Labels",$AG2642=Company_Explorer!$B$8)),1,0)</f>
        <v>0</v>
      </c>
    </row>
    <row r="2643" spans="1:35" ht="15" customHeight="1" x14ac:dyDescent="0.3">
      <c r="A2643" s="65" t="s">
        <v>10003</v>
      </c>
      <c r="B2643" s="65" t="s">
        <v>82</v>
      </c>
      <c r="C2643" s="65" t="s">
        <v>7355</v>
      </c>
      <c r="D2643" s="65" t="s">
        <v>128</v>
      </c>
      <c r="E2643" s="65" t="s">
        <v>10004</v>
      </c>
      <c r="F2643" s="65" t="b">
        <f>TRUE()</f>
        <v>1</v>
      </c>
      <c r="G2643" s="65" t="s">
        <v>165</v>
      </c>
      <c r="H2643" s="65" t="s">
        <v>165</v>
      </c>
      <c r="I2643" s="66">
        <v>46189</v>
      </c>
      <c r="J2643" s="66">
        <v>46210.286290775497</v>
      </c>
      <c r="K2643" s="65">
        <v>21</v>
      </c>
      <c r="L2643" s="65" t="s">
        <v>192</v>
      </c>
      <c r="M2643" s="65" t="s">
        <v>183</v>
      </c>
      <c r="N2643" s="65" t="b">
        <f>FALSE()</f>
        <v>0</v>
      </c>
      <c r="O2643" s="65"/>
      <c r="P2643" s="65"/>
      <c r="Q2643" s="65" t="s">
        <v>3663</v>
      </c>
      <c r="R2643" s="65" t="s">
        <v>236</v>
      </c>
      <c r="S2643" s="65"/>
      <c r="T2643" s="65" t="b">
        <f>FALSE()</f>
        <v>0</v>
      </c>
      <c r="U2643" s="65" t="b">
        <f>FALSE()</f>
        <v>0</v>
      </c>
      <c r="V2643" s="65">
        <v>839</v>
      </c>
      <c r="W2643" s="67" t="s">
        <v>10005</v>
      </c>
      <c r="X2643" s="65">
        <v>1</v>
      </c>
      <c r="Y2643" s="68">
        <v>0.24</v>
      </c>
      <c r="Z2643" s="65" t="b">
        <f>FALSE()</f>
        <v>0</v>
      </c>
      <c r="AA2643" s="65" t="b">
        <f>TRUE()</f>
        <v>1</v>
      </c>
      <c r="AB2643" s="65" t="b">
        <f>FALSE()</f>
        <v>0</v>
      </c>
      <c r="AC2643" s="65" t="b">
        <f>FALSE()</f>
        <v>0</v>
      </c>
      <c r="AD2643" s="65" t="b">
        <f>FALSE()</f>
        <v>0</v>
      </c>
      <c r="AE2643" s="65">
        <v>1</v>
      </c>
      <c r="AF2643" s="69">
        <v>14.3</v>
      </c>
      <c r="AG2643" s="65" t="s">
        <v>74</v>
      </c>
      <c r="AH2643" s="65" t="s">
        <v>10006</v>
      </c>
      <c r="AI2643">
        <f>IF(AND(OR(Company_Explorer!$B$5="All Companies",$E2643=Company_Explorer!$B$5),OR(Company_Explorer!$B$6="All Platforms",$B2643=Company_Explorer!$B$6),OR(Company_Explorer!$B$7="All Roles",$D2643=Company_Explorer!$B$7),OR(Company_Explorer!$B$8="All Ghost Labels",$AG2643=Company_Explorer!$B$8)),1,0)</f>
        <v>0</v>
      </c>
    </row>
    <row r="2644" spans="1:35" ht="15" customHeight="1" x14ac:dyDescent="0.3">
      <c r="A2644" s="60" t="s">
        <v>10007</v>
      </c>
      <c r="B2644" s="60" t="s">
        <v>82</v>
      </c>
      <c r="C2644" s="60" t="s">
        <v>10008</v>
      </c>
      <c r="D2644" s="60" t="s">
        <v>132</v>
      </c>
      <c r="E2644" s="60" t="s">
        <v>935</v>
      </c>
      <c r="F2644" s="60" t="b">
        <f>TRUE()</f>
        <v>1</v>
      </c>
      <c r="G2644" s="60" t="s">
        <v>167</v>
      </c>
      <c r="H2644" s="60" t="s">
        <v>276</v>
      </c>
      <c r="I2644" s="61">
        <v>46202</v>
      </c>
      <c r="J2644" s="61">
        <v>46210.286294791702</v>
      </c>
      <c r="K2644" s="60">
        <v>129</v>
      </c>
      <c r="L2644" s="60" t="s">
        <v>183</v>
      </c>
      <c r="M2644" s="60" t="s">
        <v>183</v>
      </c>
      <c r="N2644" s="60" t="b">
        <f>TRUE()</f>
        <v>1</v>
      </c>
      <c r="O2644" s="70">
        <v>720000</v>
      </c>
      <c r="P2644" s="70">
        <v>900000</v>
      </c>
      <c r="Q2644" s="60" t="s">
        <v>3663</v>
      </c>
      <c r="R2644" s="60" t="s">
        <v>7351</v>
      </c>
      <c r="S2644" s="70">
        <v>810000</v>
      </c>
      <c r="T2644" s="60" t="b">
        <f>TRUE()</f>
        <v>1</v>
      </c>
      <c r="U2644" s="60" t="b">
        <f>FALSE()</f>
        <v>0</v>
      </c>
      <c r="V2644" s="60">
        <v>411</v>
      </c>
      <c r="W2644" s="62" t="s">
        <v>10009</v>
      </c>
      <c r="X2644" s="60">
        <v>1</v>
      </c>
      <c r="Y2644" s="63">
        <v>0.24</v>
      </c>
      <c r="Z2644" s="60" t="b">
        <f>FALSE()</f>
        <v>0</v>
      </c>
      <c r="AA2644" s="60" t="b">
        <f>FALSE()</f>
        <v>0</v>
      </c>
      <c r="AB2644" s="60" t="b">
        <f>FALSE()</f>
        <v>0</v>
      </c>
      <c r="AC2644" s="60" t="b">
        <f>TRUE()</f>
        <v>1</v>
      </c>
      <c r="AD2644" s="60" t="b">
        <f>FALSE()</f>
        <v>0</v>
      </c>
      <c r="AE2644" s="60">
        <v>1</v>
      </c>
      <c r="AF2644" s="64">
        <v>14.3</v>
      </c>
      <c r="AG2644" s="60" t="s">
        <v>74</v>
      </c>
      <c r="AH2644" s="60" t="s">
        <v>10010</v>
      </c>
      <c r="AI2644">
        <f>IF(AND(OR(Company_Explorer!$B$5="All Companies",$E2644=Company_Explorer!$B$5),OR(Company_Explorer!$B$6="All Platforms",$B2644=Company_Explorer!$B$6),OR(Company_Explorer!$B$7="All Roles",$D2644=Company_Explorer!$B$7),OR(Company_Explorer!$B$8="All Ghost Labels",$AG2644=Company_Explorer!$B$8)),1,0)</f>
        <v>0</v>
      </c>
    </row>
    <row r="2645" spans="1:35" ht="15" customHeight="1" x14ac:dyDescent="0.3">
      <c r="A2645" s="65" t="s">
        <v>10011</v>
      </c>
      <c r="B2645" s="65" t="s">
        <v>82</v>
      </c>
      <c r="C2645" s="65" t="s">
        <v>8751</v>
      </c>
      <c r="D2645" s="65" t="s">
        <v>128</v>
      </c>
      <c r="E2645" s="65" t="s">
        <v>10012</v>
      </c>
      <c r="F2645" s="65" t="b">
        <f>TRUE()</f>
        <v>1</v>
      </c>
      <c r="G2645" s="65" t="s">
        <v>325</v>
      </c>
      <c r="H2645" s="65" t="s">
        <v>326</v>
      </c>
      <c r="I2645" s="66">
        <v>46192</v>
      </c>
      <c r="J2645" s="66">
        <v>46210.286296643499</v>
      </c>
      <c r="K2645" s="65">
        <v>18</v>
      </c>
      <c r="L2645" s="65" t="s">
        <v>192</v>
      </c>
      <c r="M2645" s="65" t="s">
        <v>183</v>
      </c>
      <c r="N2645" s="65" t="b">
        <f>TRUE()</f>
        <v>1</v>
      </c>
      <c r="O2645" s="71">
        <v>200000</v>
      </c>
      <c r="P2645" s="71">
        <v>400000</v>
      </c>
      <c r="Q2645" s="65" t="s">
        <v>3663</v>
      </c>
      <c r="R2645" s="65" t="s">
        <v>7351</v>
      </c>
      <c r="S2645" s="71">
        <v>300000</v>
      </c>
      <c r="T2645" s="65" t="b">
        <f>TRUE()</f>
        <v>1</v>
      </c>
      <c r="U2645" s="65" t="b">
        <f>FALSE()</f>
        <v>0</v>
      </c>
      <c r="V2645" s="65">
        <v>172</v>
      </c>
      <c r="W2645" s="67" t="s">
        <v>10013</v>
      </c>
      <c r="X2645" s="65">
        <v>1</v>
      </c>
      <c r="Y2645" s="68">
        <v>0.24</v>
      </c>
      <c r="Z2645" s="65" t="b">
        <f>FALSE()</f>
        <v>0</v>
      </c>
      <c r="AA2645" s="65" t="b">
        <f>FALSE()</f>
        <v>0</v>
      </c>
      <c r="AB2645" s="65" t="b">
        <f>TRUE()</f>
        <v>1</v>
      </c>
      <c r="AC2645" s="65" t="b">
        <f>FALSE()</f>
        <v>0</v>
      </c>
      <c r="AD2645" s="65" t="b">
        <f>FALSE()</f>
        <v>0</v>
      </c>
      <c r="AE2645" s="65">
        <v>1</v>
      </c>
      <c r="AF2645" s="69">
        <v>14.3</v>
      </c>
      <c r="AG2645" s="65" t="s">
        <v>74</v>
      </c>
      <c r="AH2645" s="65" t="s">
        <v>10014</v>
      </c>
      <c r="AI2645">
        <f>IF(AND(OR(Company_Explorer!$B$5="All Companies",$E2645=Company_Explorer!$B$5),OR(Company_Explorer!$B$6="All Platforms",$B2645=Company_Explorer!$B$6),OR(Company_Explorer!$B$7="All Roles",$D2645=Company_Explorer!$B$7),OR(Company_Explorer!$B$8="All Ghost Labels",$AG2645=Company_Explorer!$B$8)),1,0)</f>
        <v>0</v>
      </c>
    </row>
    <row r="2646" spans="1:35" ht="15" customHeight="1" x14ac:dyDescent="0.3">
      <c r="A2646" s="60" t="s">
        <v>10015</v>
      </c>
      <c r="B2646" s="60" t="s">
        <v>82</v>
      </c>
      <c r="C2646" s="60" t="s">
        <v>10016</v>
      </c>
      <c r="D2646" s="60" t="s">
        <v>125</v>
      </c>
      <c r="E2646" s="60" t="s">
        <v>3726</v>
      </c>
      <c r="F2646" s="60" t="b">
        <f>FALSE()</f>
        <v>0</v>
      </c>
      <c r="G2646" s="60" t="s">
        <v>167</v>
      </c>
      <c r="H2646" s="60" t="s">
        <v>276</v>
      </c>
      <c r="I2646" s="61">
        <v>46185</v>
      </c>
      <c r="J2646" s="61">
        <v>46210.286297349499</v>
      </c>
      <c r="K2646" s="60">
        <v>25</v>
      </c>
      <c r="L2646" s="60" t="s">
        <v>192</v>
      </c>
      <c r="M2646" s="60" t="s">
        <v>183</v>
      </c>
      <c r="N2646" s="60" t="b">
        <f>TRUE()</f>
        <v>1</v>
      </c>
      <c r="O2646" s="70">
        <v>400000</v>
      </c>
      <c r="P2646" s="70">
        <v>400000</v>
      </c>
      <c r="Q2646" s="60" t="s">
        <v>3663</v>
      </c>
      <c r="R2646" s="60" t="s">
        <v>7351</v>
      </c>
      <c r="S2646" s="70">
        <v>400000</v>
      </c>
      <c r="T2646" s="60" t="b">
        <f>TRUE()</f>
        <v>1</v>
      </c>
      <c r="U2646" s="60" t="b">
        <f>FALSE()</f>
        <v>0</v>
      </c>
      <c r="V2646" s="60">
        <v>224</v>
      </c>
      <c r="W2646" s="62" t="s">
        <v>10017</v>
      </c>
      <c r="X2646" s="60"/>
      <c r="Y2646" s="63"/>
      <c r="Z2646" s="60" t="b">
        <f>TRUE()</f>
        <v>1</v>
      </c>
      <c r="AA2646" s="60" t="b">
        <f>FALSE()</f>
        <v>0</v>
      </c>
      <c r="AB2646" s="60" t="b">
        <f>FALSE()</f>
        <v>0</v>
      </c>
      <c r="AC2646" s="60" t="b">
        <f>FALSE()</f>
        <v>0</v>
      </c>
      <c r="AD2646" s="60" t="b">
        <f>FALSE()</f>
        <v>0</v>
      </c>
      <c r="AE2646" s="60">
        <v>2</v>
      </c>
      <c r="AF2646" s="64">
        <v>28.6</v>
      </c>
      <c r="AG2646" s="60" t="s">
        <v>73</v>
      </c>
      <c r="AH2646" s="60" t="s">
        <v>10018</v>
      </c>
      <c r="AI2646">
        <f>IF(AND(OR(Company_Explorer!$B$5="All Companies",$E2646=Company_Explorer!$B$5),OR(Company_Explorer!$B$6="All Platforms",$B2646=Company_Explorer!$B$6),OR(Company_Explorer!$B$7="All Roles",$D2646=Company_Explorer!$B$7),OR(Company_Explorer!$B$8="All Ghost Labels",$AG2646=Company_Explorer!$B$8)),1,0)</f>
        <v>0</v>
      </c>
    </row>
    <row r="2647" spans="1:35" ht="15" customHeight="1" x14ac:dyDescent="0.3">
      <c r="A2647" s="65" t="s">
        <v>10019</v>
      </c>
      <c r="B2647" s="65" t="s">
        <v>82</v>
      </c>
      <c r="C2647" s="65" t="s">
        <v>10020</v>
      </c>
      <c r="D2647" s="65" t="s">
        <v>128</v>
      </c>
      <c r="E2647" s="65" t="s">
        <v>10021</v>
      </c>
      <c r="F2647" s="65" t="b">
        <f>TRUE()</f>
        <v>1</v>
      </c>
      <c r="G2647" s="65" t="s">
        <v>165</v>
      </c>
      <c r="H2647" s="65" t="s">
        <v>165</v>
      </c>
      <c r="I2647" s="66">
        <v>46210</v>
      </c>
      <c r="J2647" s="66">
        <v>46210.286298472201</v>
      </c>
      <c r="K2647" s="65">
        <v>122</v>
      </c>
      <c r="L2647" s="65" t="s">
        <v>192</v>
      </c>
      <c r="M2647" s="65" t="s">
        <v>183</v>
      </c>
      <c r="N2647" s="65" t="b">
        <f>FALSE()</f>
        <v>0</v>
      </c>
      <c r="O2647" s="65"/>
      <c r="P2647" s="65"/>
      <c r="Q2647" s="65" t="s">
        <v>3663</v>
      </c>
      <c r="R2647" s="65" t="s">
        <v>236</v>
      </c>
      <c r="S2647" s="65"/>
      <c r="T2647" s="65" t="b">
        <f>FALSE()</f>
        <v>0</v>
      </c>
      <c r="U2647" s="65" t="b">
        <f>FALSE()</f>
        <v>0</v>
      </c>
      <c r="V2647" s="65">
        <v>681</v>
      </c>
      <c r="W2647" s="67" t="s">
        <v>10022</v>
      </c>
      <c r="X2647" s="65">
        <v>1</v>
      </c>
      <c r="Y2647" s="68">
        <v>0.24</v>
      </c>
      <c r="Z2647" s="65" t="b">
        <f>FALSE()</f>
        <v>0</v>
      </c>
      <c r="AA2647" s="65" t="b">
        <f>TRUE()</f>
        <v>1</v>
      </c>
      <c r="AB2647" s="65" t="b">
        <f>FALSE()</f>
        <v>0</v>
      </c>
      <c r="AC2647" s="65" t="b">
        <f>TRUE()</f>
        <v>1</v>
      </c>
      <c r="AD2647" s="65" t="b">
        <f>FALSE()</f>
        <v>0</v>
      </c>
      <c r="AE2647" s="65">
        <v>2</v>
      </c>
      <c r="AF2647" s="69">
        <v>28.6</v>
      </c>
      <c r="AG2647" s="65" t="s">
        <v>73</v>
      </c>
      <c r="AH2647" s="65" t="s">
        <v>10023</v>
      </c>
      <c r="AI2647">
        <f>IF(AND(OR(Company_Explorer!$B$5="All Companies",$E2647=Company_Explorer!$B$5),OR(Company_Explorer!$B$6="All Platforms",$B2647=Company_Explorer!$B$6),OR(Company_Explorer!$B$7="All Roles",$D2647=Company_Explorer!$B$7),OR(Company_Explorer!$B$8="All Ghost Labels",$AG2647=Company_Explorer!$B$8)),1,0)</f>
        <v>0</v>
      </c>
    </row>
    <row r="2648" spans="1:35" ht="15" customHeight="1" x14ac:dyDescent="0.3">
      <c r="A2648" s="60" t="s">
        <v>10024</v>
      </c>
      <c r="B2648" s="60" t="s">
        <v>82</v>
      </c>
      <c r="C2648" s="60" t="s">
        <v>7355</v>
      </c>
      <c r="D2648" s="60" t="s">
        <v>128</v>
      </c>
      <c r="E2648" s="60" t="s">
        <v>10025</v>
      </c>
      <c r="F2648" s="60" t="b">
        <f>TRUE()</f>
        <v>1</v>
      </c>
      <c r="G2648" s="60" t="s">
        <v>165</v>
      </c>
      <c r="H2648" s="60" t="s">
        <v>165</v>
      </c>
      <c r="I2648" s="61">
        <v>46198</v>
      </c>
      <c r="J2648" s="61">
        <v>46210.286301550899</v>
      </c>
      <c r="K2648" s="60">
        <v>132</v>
      </c>
      <c r="L2648" s="60" t="s">
        <v>192</v>
      </c>
      <c r="M2648" s="60" t="s">
        <v>183</v>
      </c>
      <c r="N2648" s="60" t="b">
        <f>FALSE()</f>
        <v>0</v>
      </c>
      <c r="O2648" s="60"/>
      <c r="P2648" s="60"/>
      <c r="Q2648" s="60" t="s">
        <v>3663</v>
      </c>
      <c r="R2648" s="60" t="s">
        <v>236</v>
      </c>
      <c r="S2648" s="60"/>
      <c r="T2648" s="60" t="b">
        <f>FALSE()</f>
        <v>0</v>
      </c>
      <c r="U2648" s="60" t="b">
        <f>FALSE()</f>
        <v>0</v>
      </c>
      <c r="V2648" s="60">
        <v>360</v>
      </c>
      <c r="W2648" s="62" t="s">
        <v>10026</v>
      </c>
      <c r="X2648" s="60">
        <v>1</v>
      </c>
      <c r="Y2648" s="63">
        <v>0.24</v>
      </c>
      <c r="Z2648" s="60" t="b">
        <f>FALSE()</f>
        <v>0</v>
      </c>
      <c r="AA2648" s="60" t="b">
        <f>TRUE()</f>
        <v>1</v>
      </c>
      <c r="AB2648" s="60" t="b">
        <f>FALSE()</f>
        <v>0</v>
      </c>
      <c r="AC2648" s="60" t="b">
        <f>TRUE()</f>
        <v>1</v>
      </c>
      <c r="AD2648" s="60" t="b">
        <f>FALSE()</f>
        <v>0</v>
      </c>
      <c r="AE2648" s="60">
        <v>2</v>
      </c>
      <c r="AF2648" s="64">
        <v>28.6</v>
      </c>
      <c r="AG2648" s="60" t="s">
        <v>73</v>
      </c>
      <c r="AH2648" s="60" t="s">
        <v>10027</v>
      </c>
      <c r="AI2648">
        <f>IF(AND(OR(Company_Explorer!$B$5="All Companies",$E2648=Company_Explorer!$B$5),OR(Company_Explorer!$B$6="All Platforms",$B2648=Company_Explorer!$B$6),OR(Company_Explorer!$B$7="All Roles",$D2648=Company_Explorer!$B$7),OR(Company_Explorer!$B$8="All Ghost Labels",$AG2648=Company_Explorer!$B$8)),1,0)</f>
        <v>0</v>
      </c>
    </row>
    <row r="2649" spans="1:35" ht="15" customHeight="1" x14ac:dyDescent="0.3">
      <c r="A2649" s="65" t="s">
        <v>10028</v>
      </c>
      <c r="B2649" s="65" t="s">
        <v>82</v>
      </c>
      <c r="C2649" s="65" t="s">
        <v>10029</v>
      </c>
      <c r="D2649" s="65" t="s">
        <v>126</v>
      </c>
      <c r="E2649" s="65" t="s">
        <v>10030</v>
      </c>
      <c r="F2649" s="65" t="b">
        <f>TRUE()</f>
        <v>1</v>
      </c>
      <c r="G2649" s="65" t="s">
        <v>165</v>
      </c>
      <c r="H2649" s="65" t="s">
        <v>165</v>
      </c>
      <c r="I2649" s="66">
        <v>46184</v>
      </c>
      <c r="J2649" s="66">
        <v>46210.286301608801</v>
      </c>
      <c r="K2649" s="65">
        <v>26</v>
      </c>
      <c r="L2649" s="65" t="s">
        <v>192</v>
      </c>
      <c r="M2649" s="65" t="s">
        <v>183</v>
      </c>
      <c r="N2649" s="65" t="b">
        <f>FALSE()</f>
        <v>0</v>
      </c>
      <c r="O2649" s="65"/>
      <c r="P2649" s="65"/>
      <c r="Q2649" s="65" t="s">
        <v>3663</v>
      </c>
      <c r="R2649" s="65" t="s">
        <v>236</v>
      </c>
      <c r="S2649" s="65"/>
      <c r="T2649" s="65" t="b">
        <f>FALSE()</f>
        <v>0</v>
      </c>
      <c r="U2649" s="65" t="b">
        <f>FALSE()</f>
        <v>0</v>
      </c>
      <c r="V2649" s="65">
        <v>1060</v>
      </c>
      <c r="W2649" s="67" t="s">
        <v>10031</v>
      </c>
      <c r="X2649" s="65">
        <v>1</v>
      </c>
      <c r="Y2649" s="68">
        <v>0.24</v>
      </c>
      <c r="Z2649" s="65" t="b">
        <f>FALSE()</f>
        <v>0</v>
      </c>
      <c r="AA2649" s="65" t="b">
        <f>TRUE()</f>
        <v>1</v>
      </c>
      <c r="AB2649" s="65" t="b">
        <f>FALSE()</f>
        <v>0</v>
      </c>
      <c r="AC2649" s="65" t="b">
        <f>FALSE()</f>
        <v>0</v>
      </c>
      <c r="AD2649" s="65" t="b">
        <f>FALSE()</f>
        <v>0</v>
      </c>
      <c r="AE2649" s="65">
        <v>1</v>
      </c>
      <c r="AF2649" s="69">
        <v>14.3</v>
      </c>
      <c r="AG2649" s="65" t="s">
        <v>74</v>
      </c>
      <c r="AH2649" s="65" t="s">
        <v>10032</v>
      </c>
      <c r="AI2649">
        <f>IF(AND(OR(Company_Explorer!$B$5="All Companies",$E2649=Company_Explorer!$B$5),OR(Company_Explorer!$B$6="All Platforms",$B2649=Company_Explorer!$B$6),OR(Company_Explorer!$B$7="All Roles",$D2649=Company_Explorer!$B$7),OR(Company_Explorer!$B$8="All Ghost Labels",$AG2649=Company_Explorer!$B$8)),1,0)</f>
        <v>0</v>
      </c>
    </row>
    <row r="2650" spans="1:35" ht="15" customHeight="1" x14ac:dyDescent="0.3">
      <c r="A2650" s="60" t="s">
        <v>10033</v>
      </c>
      <c r="B2650" s="60" t="s">
        <v>82</v>
      </c>
      <c r="C2650" s="60" t="s">
        <v>10034</v>
      </c>
      <c r="D2650" s="60" t="s">
        <v>126</v>
      </c>
      <c r="E2650" s="60" t="s">
        <v>3726</v>
      </c>
      <c r="F2650" s="60" t="b">
        <f>FALSE()</f>
        <v>0</v>
      </c>
      <c r="G2650" s="60" t="s">
        <v>165</v>
      </c>
      <c r="H2650" s="60" t="s">
        <v>165</v>
      </c>
      <c r="I2650" s="61">
        <v>46183</v>
      </c>
      <c r="J2650" s="61">
        <v>46210.286301979198</v>
      </c>
      <c r="K2650" s="60">
        <v>28</v>
      </c>
      <c r="L2650" s="60" t="s">
        <v>192</v>
      </c>
      <c r="M2650" s="60" t="s">
        <v>183</v>
      </c>
      <c r="N2650" s="60" t="b">
        <f>TRUE()</f>
        <v>1</v>
      </c>
      <c r="O2650" s="70">
        <v>700000</v>
      </c>
      <c r="P2650" s="70">
        <v>800000</v>
      </c>
      <c r="Q2650" s="60" t="s">
        <v>3663</v>
      </c>
      <c r="R2650" s="60" t="s">
        <v>7351</v>
      </c>
      <c r="S2650" s="70">
        <v>750000</v>
      </c>
      <c r="T2650" s="60" t="b">
        <f>TRUE()</f>
        <v>1</v>
      </c>
      <c r="U2650" s="60" t="b">
        <f>FALSE()</f>
        <v>0</v>
      </c>
      <c r="V2650" s="60">
        <v>141</v>
      </c>
      <c r="W2650" s="60" t="s">
        <v>10035</v>
      </c>
      <c r="X2650" s="60"/>
      <c r="Y2650" s="63"/>
      <c r="Z2650" s="60" t="b">
        <f>TRUE()</f>
        <v>1</v>
      </c>
      <c r="AA2650" s="60" t="b">
        <f>FALSE()</f>
        <v>0</v>
      </c>
      <c r="AB2650" s="60" t="b">
        <f>TRUE()</f>
        <v>1</v>
      </c>
      <c r="AC2650" s="60" t="b">
        <f>FALSE()</f>
        <v>0</v>
      </c>
      <c r="AD2650" s="60" t="b">
        <f>FALSE()</f>
        <v>0</v>
      </c>
      <c r="AE2650" s="60">
        <v>3</v>
      </c>
      <c r="AF2650" s="64">
        <v>42.9</v>
      </c>
      <c r="AG2650" s="60" t="s">
        <v>73</v>
      </c>
      <c r="AH2650" s="60" t="s">
        <v>10036</v>
      </c>
      <c r="AI2650">
        <f>IF(AND(OR(Company_Explorer!$B$5="All Companies",$E2650=Company_Explorer!$B$5),OR(Company_Explorer!$B$6="All Platforms",$B2650=Company_Explorer!$B$6),OR(Company_Explorer!$B$7="All Roles",$D2650=Company_Explorer!$B$7),OR(Company_Explorer!$B$8="All Ghost Labels",$AG2650=Company_Explorer!$B$8)),1,0)</f>
        <v>0</v>
      </c>
    </row>
    <row r="2651" spans="1:35" ht="15" customHeight="1" x14ac:dyDescent="0.3">
      <c r="A2651" s="65" t="s">
        <v>10037</v>
      </c>
      <c r="B2651" s="65" t="s">
        <v>82</v>
      </c>
      <c r="C2651" s="65" t="s">
        <v>10038</v>
      </c>
      <c r="D2651" s="65" t="s">
        <v>128</v>
      </c>
      <c r="E2651" s="65" t="s">
        <v>10039</v>
      </c>
      <c r="F2651" s="65" t="b">
        <f>TRUE()</f>
        <v>1</v>
      </c>
      <c r="G2651" s="65" t="s">
        <v>165</v>
      </c>
      <c r="H2651" s="65" t="s">
        <v>165</v>
      </c>
      <c r="I2651" s="66">
        <v>46198</v>
      </c>
      <c r="J2651" s="66">
        <v>46210.286302604203</v>
      </c>
      <c r="K2651" s="65">
        <v>12</v>
      </c>
      <c r="L2651" s="65" t="s">
        <v>192</v>
      </c>
      <c r="M2651" s="65" t="s">
        <v>183</v>
      </c>
      <c r="N2651" s="65" t="b">
        <f>FALSE()</f>
        <v>0</v>
      </c>
      <c r="O2651" s="65"/>
      <c r="P2651" s="65"/>
      <c r="Q2651" s="65" t="s">
        <v>3663</v>
      </c>
      <c r="R2651" s="65" t="s">
        <v>236</v>
      </c>
      <c r="S2651" s="65"/>
      <c r="T2651" s="65" t="b">
        <f>FALSE()</f>
        <v>0</v>
      </c>
      <c r="U2651" s="65" t="b">
        <f>FALSE()</f>
        <v>0</v>
      </c>
      <c r="V2651" s="65">
        <v>528</v>
      </c>
      <c r="W2651" s="67" t="s">
        <v>10040</v>
      </c>
      <c r="X2651" s="65">
        <v>1</v>
      </c>
      <c r="Y2651" s="68">
        <v>0.24</v>
      </c>
      <c r="Z2651" s="65" t="b">
        <f>FALSE()</f>
        <v>0</v>
      </c>
      <c r="AA2651" s="65" t="b">
        <f>TRUE()</f>
        <v>1</v>
      </c>
      <c r="AB2651" s="65" t="b">
        <f>FALSE()</f>
        <v>0</v>
      </c>
      <c r="AC2651" s="65" t="b">
        <f>FALSE()</f>
        <v>0</v>
      </c>
      <c r="AD2651" s="65" t="b">
        <f>FALSE()</f>
        <v>0</v>
      </c>
      <c r="AE2651" s="65">
        <v>1</v>
      </c>
      <c r="AF2651" s="69">
        <v>14.3</v>
      </c>
      <c r="AG2651" s="65" t="s">
        <v>74</v>
      </c>
      <c r="AH2651" s="65" t="s">
        <v>10041</v>
      </c>
      <c r="AI2651">
        <f>IF(AND(OR(Company_Explorer!$B$5="All Companies",$E2651=Company_Explorer!$B$5),OR(Company_Explorer!$B$6="All Platforms",$B2651=Company_Explorer!$B$6),OR(Company_Explorer!$B$7="All Roles",$D2651=Company_Explorer!$B$7),OR(Company_Explorer!$B$8="All Ghost Labels",$AG2651=Company_Explorer!$B$8)),1,0)</f>
        <v>0</v>
      </c>
    </row>
    <row r="2652" spans="1:35" ht="15" customHeight="1" x14ac:dyDescent="0.3">
      <c r="A2652" s="60" t="s">
        <v>10042</v>
      </c>
      <c r="B2652" s="60" t="s">
        <v>82</v>
      </c>
      <c r="C2652" s="60" t="s">
        <v>10043</v>
      </c>
      <c r="D2652" s="60" t="s">
        <v>133</v>
      </c>
      <c r="E2652" s="60" t="s">
        <v>3726</v>
      </c>
      <c r="F2652" s="60" t="b">
        <f>FALSE()</f>
        <v>0</v>
      </c>
      <c r="G2652" s="60" t="s">
        <v>165</v>
      </c>
      <c r="H2652" s="60" t="s">
        <v>165</v>
      </c>
      <c r="I2652" s="61">
        <v>46203</v>
      </c>
      <c r="J2652" s="61">
        <v>46210.286304513902</v>
      </c>
      <c r="K2652" s="60">
        <v>7</v>
      </c>
      <c r="L2652" s="60" t="s">
        <v>192</v>
      </c>
      <c r="M2652" s="60" t="s">
        <v>183</v>
      </c>
      <c r="N2652" s="60" t="b">
        <f>TRUE()</f>
        <v>1</v>
      </c>
      <c r="O2652" s="70">
        <v>130000</v>
      </c>
      <c r="P2652" s="70">
        <v>130000</v>
      </c>
      <c r="Q2652" s="60" t="s">
        <v>3663</v>
      </c>
      <c r="R2652" s="60" t="s">
        <v>7445</v>
      </c>
      <c r="S2652" s="70">
        <v>1560000</v>
      </c>
      <c r="T2652" s="60" t="b">
        <f>TRUE()</f>
        <v>1</v>
      </c>
      <c r="U2652" s="60" t="b">
        <f>FALSE()</f>
        <v>0</v>
      </c>
      <c r="V2652" s="60">
        <v>249</v>
      </c>
      <c r="W2652" s="62" t="s">
        <v>10044</v>
      </c>
      <c r="X2652" s="60"/>
      <c r="Y2652" s="63"/>
      <c r="Z2652" s="60" t="b">
        <f>TRUE()</f>
        <v>1</v>
      </c>
      <c r="AA2652" s="60" t="b">
        <f>FALSE()</f>
        <v>0</v>
      </c>
      <c r="AB2652" s="60" t="b">
        <f>FALSE()</f>
        <v>0</v>
      </c>
      <c r="AC2652" s="60" t="b">
        <f>FALSE()</f>
        <v>0</v>
      </c>
      <c r="AD2652" s="60" t="b">
        <f>FALSE()</f>
        <v>0</v>
      </c>
      <c r="AE2652" s="60">
        <v>2</v>
      </c>
      <c r="AF2652" s="64">
        <v>28.6</v>
      </c>
      <c r="AG2652" s="60" t="s">
        <v>73</v>
      </c>
      <c r="AH2652" s="60" t="s">
        <v>10045</v>
      </c>
      <c r="AI2652">
        <f>IF(AND(OR(Company_Explorer!$B$5="All Companies",$E2652=Company_Explorer!$B$5),OR(Company_Explorer!$B$6="All Platforms",$B2652=Company_Explorer!$B$6),OR(Company_Explorer!$B$7="All Roles",$D2652=Company_Explorer!$B$7),OR(Company_Explorer!$B$8="All Ghost Labels",$AG2652=Company_Explorer!$B$8)),1,0)</f>
        <v>0</v>
      </c>
    </row>
    <row r="2653" spans="1:35" ht="15" customHeight="1" x14ac:dyDescent="0.3">
      <c r="A2653" s="65" t="s">
        <v>10046</v>
      </c>
      <c r="B2653" s="65" t="s">
        <v>82</v>
      </c>
      <c r="C2653" s="65" t="s">
        <v>10047</v>
      </c>
      <c r="D2653" s="65" t="s">
        <v>126</v>
      </c>
      <c r="E2653" s="65" t="s">
        <v>10048</v>
      </c>
      <c r="F2653" s="65" t="b">
        <f>TRUE()</f>
        <v>1</v>
      </c>
      <c r="G2653" s="65" t="s">
        <v>165</v>
      </c>
      <c r="H2653" s="65" t="s">
        <v>165</v>
      </c>
      <c r="I2653" s="66">
        <v>46204</v>
      </c>
      <c r="J2653" s="66">
        <v>46210.286306238399</v>
      </c>
      <c r="K2653" s="65">
        <v>68</v>
      </c>
      <c r="L2653" s="65" t="s">
        <v>183</v>
      </c>
      <c r="M2653" s="65" t="s">
        <v>183</v>
      </c>
      <c r="N2653" s="65" t="b">
        <f>FALSE()</f>
        <v>0</v>
      </c>
      <c r="O2653" s="65"/>
      <c r="P2653" s="65"/>
      <c r="Q2653" s="65" t="s">
        <v>3663</v>
      </c>
      <c r="R2653" s="65" t="s">
        <v>236</v>
      </c>
      <c r="S2653" s="65"/>
      <c r="T2653" s="65" t="b">
        <f>FALSE()</f>
        <v>0</v>
      </c>
      <c r="U2653" s="65" t="b">
        <f>FALSE()</f>
        <v>0</v>
      </c>
      <c r="V2653" s="65">
        <v>176</v>
      </c>
      <c r="W2653" s="67" t="s">
        <v>10049</v>
      </c>
      <c r="X2653" s="65">
        <v>1</v>
      </c>
      <c r="Y2653" s="68">
        <v>0.24</v>
      </c>
      <c r="Z2653" s="65" t="b">
        <f>FALSE()</f>
        <v>0</v>
      </c>
      <c r="AA2653" s="65" t="b">
        <f>TRUE()</f>
        <v>1</v>
      </c>
      <c r="AB2653" s="65" t="b">
        <f>TRUE()</f>
        <v>1</v>
      </c>
      <c r="AC2653" s="65" t="b">
        <f>FALSE()</f>
        <v>0</v>
      </c>
      <c r="AD2653" s="65" t="b">
        <f>FALSE()</f>
        <v>0</v>
      </c>
      <c r="AE2653" s="65">
        <v>2</v>
      </c>
      <c r="AF2653" s="69">
        <v>28.6</v>
      </c>
      <c r="AG2653" s="65" t="s">
        <v>73</v>
      </c>
      <c r="AH2653" s="65" t="s">
        <v>10050</v>
      </c>
      <c r="AI2653">
        <f>IF(AND(OR(Company_Explorer!$B$5="All Companies",$E2653=Company_Explorer!$B$5),OR(Company_Explorer!$B$6="All Platforms",$B2653=Company_Explorer!$B$6),OR(Company_Explorer!$B$7="All Roles",$D2653=Company_Explorer!$B$7),OR(Company_Explorer!$B$8="All Ghost Labels",$AG2653=Company_Explorer!$B$8)),1,0)</f>
        <v>0</v>
      </c>
    </row>
    <row r="2654" spans="1:35" ht="15" customHeight="1" x14ac:dyDescent="0.3">
      <c r="A2654" s="60" t="s">
        <v>10051</v>
      </c>
      <c r="B2654" s="60" t="s">
        <v>82</v>
      </c>
      <c r="C2654" s="60" t="s">
        <v>5225</v>
      </c>
      <c r="D2654" s="60" t="s">
        <v>128</v>
      </c>
      <c r="E2654" s="60" t="s">
        <v>10052</v>
      </c>
      <c r="F2654" s="60" t="b">
        <f>TRUE()</f>
        <v>1</v>
      </c>
      <c r="G2654" s="60" t="s">
        <v>165</v>
      </c>
      <c r="H2654" s="60" t="s">
        <v>165</v>
      </c>
      <c r="I2654" s="61">
        <v>46201</v>
      </c>
      <c r="J2654" s="61">
        <v>46210.286307326402</v>
      </c>
      <c r="K2654" s="60">
        <v>130</v>
      </c>
      <c r="L2654" s="60" t="s">
        <v>183</v>
      </c>
      <c r="M2654" s="60" t="s">
        <v>183</v>
      </c>
      <c r="N2654" s="60" t="b">
        <f>FALSE()</f>
        <v>0</v>
      </c>
      <c r="O2654" s="60"/>
      <c r="P2654" s="60"/>
      <c r="Q2654" s="60" t="s">
        <v>3663</v>
      </c>
      <c r="R2654" s="60" t="s">
        <v>236</v>
      </c>
      <c r="S2654" s="60"/>
      <c r="T2654" s="60" t="b">
        <f>FALSE()</f>
        <v>0</v>
      </c>
      <c r="U2654" s="60" t="b">
        <f>FALSE()</f>
        <v>0</v>
      </c>
      <c r="V2654" s="60">
        <v>183</v>
      </c>
      <c r="W2654" s="62" t="s">
        <v>10053</v>
      </c>
      <c r="X2654" s="60">
        <v>1</v>
      </c>
      <c r="Y2654" s="63">
        <v>0.24</v>
      </c>
      <c r="Z2654" s="60" t="b">
        <f>FALSE()</f>
        <v>0</v>
      </c>
      <c r="AA2654" s="60" t="b">
        <f>TRUE()</f>
        <v>1</v>
      </c>
      <c r="AB2654" s="60" t="b">
        <f>TRUE()</f>
        <v>1</v>
      </c>
      <c r="AC2654" s="60" t="b">
        <f>TRUE()</f>
        <v>1</v>
      </c>
      <c r="AD2654" s="60" t="b">
        <f>FALSE()</f>
        <v>0</v>
      </c>
      <c r="AE2654" s="60">
        <v>3</v>
      </c>
      <c r="AF2654" s="64">
        <v>42.9</v>
      </c>
      <c r="AG2654" s="60" t="s">
        <v>73</v>
      </c>
      <c r="AH2654" s="60" t="s">
        <v>10054</v>
      </c>
      <c r="AI2654">
        <f>IF(AND(OR(Company_Explorer!$B$5="All Companies",$E2654=Company_Explorer!$B$5),OR(Company_Explorer!$B$6="All Platforms",$B2654=Company_Explorer!$B$6),OR(Company_Explorer!$B$7="All Roles",$D2654=Company_Explorer!$B$7),OR(Company_Explorer!$B$8="All Ghost Labels",$AG2654=Company_Explorer!$B$8)),1,0)</f>
        <v>0</v>
      </c>
    </row>
    <row r="2655" spans="1:35" ht="15" customHeight="1" x14ac:dyDescent="0.3">
      <c r="A2655" s="65" t="s">
        <v>10055</v>
      </c>
      <c r="B2655" s="65" t="s">
        <v>82</v>
      </c>
      <c r="C2655" s="65" t="s">
        <v>10056</v>
      </c>
      <c r="D2655" s="65" t="s">
        <v>128</v>
      </c>
      <c r="E2655" s="65" t="s">
        <v>10057</v>
      </c>
      <c r="F2655" s="65" t="b">
        <f>TRUE()</f>
        <v>1</v>
      </c>
      <c r="G2655" s="65" t="s">
        <v>165</v>
      </c>
      <c r="H2655" s="65" t="s">
        <v>165</v>
      </c>
      <c r="I2655" s="66">
        <v>46203</v>
      </c>
      <c r="J2655" s="66">
        <v>46210.2863091088</v>
      </c>
      <c r="K2655" s="65">
        <v>158</v>
      </c>
      <c r="L2655" s="65" t="s">
        <v>183</v>
      </c>
      <c r="M2655" s="65" t="s">
        <v>183</v>
      </c>
      <c r="N2655" s="65" t="b">
        <f>FALSE()</f>
        <v>0</v>
      </c>
      <c r="O2655" s="65"/>
      <c r="P2655" s="65"/>
      <c r="Q2655" s="65" t="s">
        <v>3663</v>
      </c>
      <c r="R2655" s="65" t="s">
        <v>236</v>
      </c>
      <c r="S2655" s="65"/>
      <c r="T2655" s="65" t="b">
        <f>FALSE()</f>
        <v>0</v>
      </c>
      <c r="U2655" s="65" t="b">
        <f>FALSE()</f>
        <v>0</v>
      </c>
      <c r="V2655" s="65">
        <v>171</v>
      </c>
      <c r="W2655" s="67" t="s">
        <v>10058</v>
      </c>
      <c r="X2655" s="65">
        <v>1</v>
      </c>
      <c r="Y2655" s="68">
        <v>0.24</v>
      </c>
      <c r="Z2655" s="65" t="b">
        <f>FALSE()</f>
        <v>0</v>
      </c>
      <c r="AA2655" s="65" t="b">
        <f>TRUE()</f>
        <v>1</v>
      </c>
      <c r="AB2655" s="65" t="b">
        <f>TRUE()</f>
        <v>1</v>
      </c>
      <c r="AC2655" s="65" t="b">
        <f>TRUE()</f>
        <v>1</v>
      </c>
      <c r="AD2655" s="65" t="b">
        <f>FALSE()</f>
        <v>0</v>
      </c>
      <c r="AE2655" s="65">
        <v>3</v>
      </c>
      <c r="AF2655" s="69">
        <v>42.9</v>
      </c>
      <c r="AG2655" s="65" t="s">
        <v>73</v>
      </c>
      <c r="AH2655" s="65" t="s">
        <v>10059</v>
      </c>
      <c r="AI2655">
        <f>IF(AND(OR(Company_Explorer!$B$5="All Companies",$E2655=Company_Explorer!$B$5),OR(Company_Explorer!$B$6="All Platforms",$B2655=Company_Explorer!$B$6),OR(Company_Explorer!$B$7="All Roles",$D2655=Company_Explorer!$B$7),OR(Company_Explorer!$B$8="All Ghost Labels",$AG2655=Company_Explorer!$B$8)),1,0)</f>
        <v>0</v>
      </c>
    </row>
    <row r="2656" spans="1:35" ht="15" customHeight="1" x14ac:dyDescent="0.3">
      <c r="A2656" s="60" t="s">
        <v>10060</v>
      </c>
      <c r="B2656" s="60" t="s">
        <v>82</v>
      </c>
      <c r="C2656" s="60" t="s">
        <v>10061</v>
      </c>
      <c r="D2656" s="60" t="s">
        <v>132</v>
      </c>
      <c r="E2656" s="60" t="s">
        <v>9812</v>
      </c>
      <c r="F2656" s="60" t="b">
        <f>TRUE()</f>
        <v>1</v>
      </c>
      <c r="G2656" s="60" t="s">
        <v>165</v>
      </c>
      <c r="H2656" s="60" t="s">
        <v>165</v>
      </c>
      <c r="I2656" s="61">
        <v>46191</v>
      </c>
      <c r="J2656" s="61">
        <v>46210.286309652802</v>
      </c>
      <c r="K2656" s="60">
        <v>50</v>
      </c>
      <c r="L2656" s="60" t="s">
        <v>192</v>
      </c>
      <c r="M2656" s="60" t="s">
        <v>183</v>
      </c>
      <c r="N2656" s="60" t="b">
        <f>TRUE()</f>
        <v>1</v>
      </c>
      <c r="O2656" s="70">
        <v>20000</v>
      </c>
      <c r="P2656" s="70">
        <v>40000</v>
      </c>
      <c r="Q2656" s="60" t="s">
        <v>3663</v>
      </c>
      <c r="R2656" s="60" t="s">
        <v>7351</v>
      </c>
      <c r="S2656" s="70">
        <v>30000</v>
      </c>
      <c r="T2656" s="60" t="b">
        <f>TRUE()</f>
        <v>1</v>
      </c>
      <c r="U2656" s="60" t="b">
        <f>TRUE()</f>
        <v>1</v>
      </c>
      <c r="V2656" s="60">
        <v>775</v>
      </c>
      <c r="W2656" s="62" t="s">
        <v>10062</v>
      </c>
      <c r="X2656" s="60">
        <v>2</v>
      </c>
      <c r="Y2656" s="63">
        <v>0.48</v>
      </c>
      <c r="Z2656" s="60" t="b">
        <f>FALSE()</f>
        <v>0</v>
      </c>
      <c r="AA2656" s="60" t="b">
        <f>FALSE()</f>
        <v>0</v>
      </c>
      <c r="AB2656" s="60" t="b">
        <f>FALSE()</f>
        <v>0</v>
      </c>
      <c r="AC2656" s="60" t="b">
        <f>FALSE()</f>
        <v>0</v>
      </c>
      <c r="AD2656" s="60" t="b">
        <f>FALSE()</f>
        <v>0</v>
      </c>
      <c r="AE2656" s="60">
        <v>0</v>
      </c>
      <c r="AF2656" s="64">
        <v>0</v>
      </c>
      <c r="AG2656" s="60" t="s">
        <v>74</v>
      </c>
      <c r="AH2656" s="60" t="s">
        <v>10063</v>
      </c>
      <c r="AI2656">
        <f>IF(AND(OR(Company_Explorer!$B$5="All Companies",$E2656=Company_Explorer!$B$5),OR(Company_Explorer!$B$6="All Platforms",$B2656=Company_Explorer!$B$6),OR(Company_Explorer!$B$7="All Roles",$D2656=Company_Explorer!$B$7),OR(Company_Explorer!$B$8="All Ghost Labels",$AG2656=Company_Explorer!$B$8)),1,0)</f>
        <v>0</v>
      </c>
    </row>
    <row r="2657" spans="1:35" ht="15" customHeight="1" x14ac:dyDescent="0.3">
      <c r="A2657" s="65" t="s">
        <v>10064</v>
      </c>
      <c r="B2657" s="65" t="s">
        <v>82</v>
      </c>
      <c r="C2657" s="65" t="s">
        <v>10065</v>
      </c>
      <c r="D2657" s="65" t="s">
        <v>128</v>
      </c>
      <c r="E2657" s="65" t="s">
        <v>10066</v>
      </c>
      <c r="F2657" s="65" t="b">
        <f>TRUE()</f>
        <v>1</v>
      </c>
      <c r="G2657" s="65" t="s">
        <v>165</v>
      </c>
      <c r="H2657" s="65" t="s">
        <v>165</v>
      </c>
      <c r="I2657" s="66">
        <v>46211</v>
      </c>
      <c r="J2657" s="66">
        <v>46210.286309965297</v>
      </c>
      <c r="K2657" s="65">
        <v>90</v>
      </c>
      <c r="L2657" s="65" t="s">
        <v>192</v>
      </c>
      <c r="M2657" s="65" t="s">
        <v>183</v>
      </c>
      <c r="N2657" s="65" t="b">
        <f>FALSE()</f>
        <v>0</v>
      </c>
      <c r="O2657" s="65"/>
      <c r="P2657" s="65"/>
      <c r="Q2657" s="65" t="s">
        <v>3663</v>
      </c>
      <c r="R2657" s="65" t="s">
        <v>236</v>
      </c>
      <c r="S2657" s="65"/>
      <c r="T2657" s="65" t="b">
        <f>FALSE()</f>
        <v>0</v>
      </c>
      <c r="U2657" s="65" t="b">
        <f>FALSE()</f>
        <v>0</v>
      </c>
      <c r="V2657" s="65">
        <v>813</v>
      </c>
      <c r="W2657" s="67" t="s">
        <v>10067</v>
      </c>
      <c r="X2657" s="65">
        <v>1</v>
      </c>
      <c r="Y2657" s="68">
        <v>0.24</v>
      </c>
      <c r="Z2657" s="65" t="b">
        <f>FALSE()</f>
        <v>0</v>
      </c>
      <c r="AA2657" s="65" t="b">
        <f>TRUE()</f>
        <v>1</v>
      </c>
      <c r="AB2657" s="65" t="b">
        <f>FALSE()</f>
        <v>0</v>
      </c>
      <c r="AC2657" s="65" t="b">
        <f>FALSE()</f>
        <v>0</v>
      </c>
      <c r="AD2657" s="65" t="b">
        <f>FALSE()</f>
        <v>0</v>
      </c>
      <c r="AE2657" s="65">
        <v>1</v>
      </c>
      <c r="AF2657" s="69">
        <v>14.3</v>
      </c>
      <c r="AG2657" s="65" t="s">
        <v>74</v>
      </c>
      <c r="AH2657" s="65" t="s">
        <v>10068</v>
      </c>
      <c r="AI2657">
        <f>IF(AND(OR(Company_Explorer!$B$5="All Companies",$E2657=Company_Explorer!$B$5),OR(Company_Explorer!$B$6="All Platforms",$B2657=Company_Explorer!$B$6),OR(Company_Explorer!$B$7="All Roles",$D2657=Company_Explorer!$B$7),OR(Company_Explorer!$B$8="All Ghost Labels",$AG2657=Company_Explorer!$B$8)),1,0)</f>
        <v>0</v>
      </c>
    </row>
    <row r="2658" spans="1:35" ht="15" customHeight="1" x14ac:dyDescent="0.3">
      <c r="A2658" s="60" t="s">
        <v>10069</v>
      </c>
      <c r="B2658" s="60" t="s">
        <v>82</v>
      </c>
      <c r="C2658" s="60" t="s">
        <v>8626</v>
      </c>
      <c r="D2658" s="60" t="s">
        <v>132</v>
      </c>
      <c r="E2658" s="60" t="s">
        <v>10070</v>
      </c>
      <c r="F2658" s="60" t="b">
        <f>TRUE()</f>
        <v>1</v>
      </c>
      <c r="G2658" s="60" t="s">
        <v>165</v>
      </c>
      <c r="H2658" s="60" t="s">
        <v>165</v>
      </c>
      <c r="I2658" s="61">
        <v>46207</v>
      </c>
      <c r="J2658" s="61">
        <v>46210.286311840297</v>
      </c>
      <c r="K2658" s="60">
        <v>33</v>
      </c>
      <c r="L2658" s="60" t="s">
        <v>183</v>
      </c>
      <c r="M2658" s="60" t="s">
        <v>183</v>
      </c>
      <c r="N2658" s="60" t="b">
        <f>FALSE()</f>
        <v>0</v>
      </c>
      <c r="O2658" s="60"/>
      <c r="P2658" s="60"/>
      <c r="Q2658" s="60" t="s">
        <v>3663</v>
      </c>
      <c r="R2658" s="60" t="s">
        <v>236</v>
      </c>
      <c r="S2658" s="60"/>
      <c r="T2658" s="60" t="b">
        <f>FALSE()</f>
        <v>0</v>
      </c>
      <c r="U2658" s="60" t="b">
        <f>FALSE()</f>
        <v>0</v>
      </c>
      <c r="V2658" s="60">
        <v>540</v>
      </c>
      <c r="W2658" s="60" t="s">
        <v>3910</v>
      </c>
      <c r="X2658" s="60">
        <v>1</v>
      </c>
      <c r="Y2658" s="63">
        <v>0.24</v>
      </c>
      <c r="Z2658" s="60" t="b">
        <f>FALSE()</f>
        <v>0</v>
      </c>
      <c r="AA2658" s="60" t="b">
        <f>TRUE()</f>
        <v>1</v>
      </c>
      <c r="AB2658" s="60" t="b">
        <f>FALSE()</f>
        <v>0</v>
      </c>
      <c r="AC2658" s="60" t="b">
        <f>FALSE()</f>
        <v>0</v>
      </c>
      <c r="AD2658" s="60" t="b">
        <f>FALSE()</f>
        <v>0</v>
      </c>
      <c r="AE2658" s="60">
        <v>1</v>
      </c>
      <c r="AF2658" s="64">
        <v>14.3</v>
      </c>
      <c r="AG2658" s="60" t="s">
        <v>74</v>
      </c>
      <c r="AH2658" s="60" t="s">
        <v>10071</v>
      </c>
      <c r="AI2658">
        <f>IF(AND(OR(Company_Explorer!$B$5="All Companies",$E2658=Company_Explorer!$B$5),OR(Company_Explorer!$B$6="All Platforms",$B2658=Company_Explorer!$B$6),OR(Company_Explorer!$B$7="All Roles",$D2658=Company_Explorer!$B$7),OR(Company_Explorer!$B$8="All Ghost Labels",$AG2658=Company_Explorer!$B$8)),1,0)</f>
        <v>0</v>
      </c>
    </row>
    <row r="2659" spans="1:35" ht="15" customHeight="1" x14ac:dyDescent="0.3">
      <c r="A2659" s="65" t="s">
        <v>10072</v>
      </c>
      <c r="B2659" s="65" t="s">
        <v>82</v>
      </c>
      <c r="C2659" s="65" t="s">
        <v>10073</v>
      </c>
      <c r="D2659" s="65" t="s">
        <v>126</v>
      </c>
      <c r="E2659" s="65" t="s">
        <v>10074</v>
      </c>
      <c r="F2659" s="65" t="b">
        <f>TRUE()</f>
        <v>1</v>
      </c>
      <c r="G2659" s="65" t="s">
        <v>165</v>
      </c>
      <c r="H2659" s="65" t="s">
        <v>165</v>
      </c>
      <c r="I2659" s="66">
        <v>46198</v>
      </c>
      <c r="J2659" s="66">
        <v>46210.286314270801</v>
      </c>
      <c r="K2659" s="65">
        <v>12</v>
      </c>
      <c r="L2659" s="65" t="s">
        <v>192</v>
      </c>
      <c r="M2659" s="65" t="s">
        <v>183</v>
      </c>
      <c r="N2659" s="65" t="b">
        <f>FALSE()</f>
        <v>0</v>
      </c>
      <c r="O2659" s="65"/>
      <c r="P2659" s="65"/>
      <c r="Q2659" s="65" t="s">
        <v>3663</v>
      </c>
      <c r="R2659" s="65" t="s">
        <v>236</v>
      </c>
      <c r="S2659" s="65"/>
      <c r="T2659" s="65" t="b">
        <f>FALSE()</f>
        <v>0</v>
      </c>
      <c r="U2659" s="65" t="b">
        <f>FALSE()</f>
        <v>0</v>
      </c>
      <c r="V2659" s="65">
        <v>237</v>
      </c>
      <c r="W2659" s="67" t="s">
        <v>10075</v>
      </c>
      <c r="X2659" s="65">
        <v>1</v>
      </c>
      <c r="Y2659" s="68">
        <v>0.24</v>
      </c>
      <c r="Z2659" s="65" t="b">
        <f>FALSE()</f>
        <v>0</v>
      </c>
      <c r="AA2659" s="65" t="b">
        <f>TRUE()</f>
        <v>1</v>
      </c>
      <c r="AB2659" s="65" t="b">
        <f>FALSE()</f>
        <v>0</v>
      </c>
      <c r="AC2659" s="65" t="b">
        <f>FALSE()</f>
        <v>0</v>
      </c>
      <c r="AD2659" s="65" t="b">
        <f>FALSE()</f>
        <v>0</v>
      </c>
      <c r="AE2659" s="65">
        <v>1</v>
      </c>
      <c r="AF2659" s="69">
        <v>14.3</v>
      </c>
      <c r="AG2659" s="65" t="s">
        <v>74</v>
      </c>
      <c r="AH2659" s="65" t="s">
        <v>10076</v>
      </c>
      <c r="AI2659">
        <f>IF(AND(OR(Company_Explorer!$B$5="All Companies",$E2659=Company_Explorer!$B$5),OR(Company_Explorer!$B$6="All Platforms",$B2659=Company_Explorer!$B$6),OR(Company_Explorer!$B$7="All Roles",$D2659=Company_Explorer!$B$7),OR(Company_Explorer!$B$8="All Ghost Labels",$AG2659=Company_Explorer!$B$8)),1,0)</f>
        <v>0</v>
      </c>
    </row>
    <row r="2660" spans="1:35" ht="15" customHeight="1" x14ac:dyDescent="0.3">
      <c r="A2660" s="60" t="s">
        <v>10077</v>
      </c>
      <c r="B2660" s="60" t="s">
        <v>82</v>
      </c>
      <c r="C2660" s="60" t="s">
        <v>10078</v>
      </c>
      <c r="D2660" s="60" t="s">
        <v>126</v>
      </c>
      <c r="E2660" s="60" t="s">
        <v>10079</v>
      </c>
      <c r="F2660" s="60" t="b">
        <f>TRUE()</f>
        <v>1</v>
      </c>
      <c r="G2660" s="60" t="s">
        <v>165</v>
      </c>
      <c r="H2660" s="60" t="s">
        <v>165</v>
      </c>
      <c r="I2660" s="61">
        <v>46210</v>
      </c>
      <c r="J2660" s="61">
        <v>46210.286316794001</v>
      </c>
      <c r="K2660" s="60">
        <v>122</v>
      </c>
      <c r="L2660" s="60" t="s">
        <v>183</v>
      </c>
      <c r="M2660" s="60" t="s">
        <v>183</v>
      </c>
      <c r="N2660" s="60" t="b">
        <f>FALSE()</f>
        <v>0</v>
      </c>
      <c r="O2660" s="60"/>
      <c r="P2660" s="60"/>
      <c r="Q2660" s="60" t="s">
        <v>3663</v>
      </c>
      <c r="R2660" s="60" t="s">
        <v>236</v>
      </c>
      <c r="S2660" s="60"/>
      <c r="T2660" s="60" t="b">
        <f>FALSE()</f>
        <v>0</v>
      </c>
      <c r="U2660" s="60" t="b">
        <f>FALSE()</f>
        <v>0</v>
      </c>
      <c r="V2660" s="60">
        <v>110</v>
      </c>
      <c r="W2660" s="62" t="s">
        <v>10080</v>
      </c>
      <c r="X2660" s="60">
        <v>1</v>
      </c>
      <c r="Y2660" s="63">
        <v>0.24</v>
      </c>
      <c r="Z2660" s="60" t="b">
        <f>FALSE()</f>
        <v>0</v>
      </c>
      <c r="AA2660" s="60" t="b">
        <f>TRUE()</f>
        <v>1</v>
      </c>
      <c r="AB2660" s="60" t="b">
        <f>TRUE()</f>
        <v>1</v>
      </c>
      <c r="AC2660" s="60" t="b">
        <f>TRUE()</f>
        <v>1</v>
      </c>
      <c r="AD2660" s="60" t="b">
        <f>FALSE()</f>
        <v>0</v>
      </c>
      <c r="AE2660" s="60">
        <v>3</v>
      </c>
      <c r="AF2660" s="64">
        <v>42.9</v>
      </c>
      <c r="AG2660" s="60" t="s">
        <v>73</v>
      </c>
      <c r="AH2660" s="60" t="s">
        <v>10081</v>
      </c>
      <c r="AI2660">
        <f>IF(AND(OR(Company_Explorer!$B$5="All Companies",$E2660=Company_Explorer!$B$5),OR(Company_Explorer!$B$6="All Platforms",$B2660=Company_Explorer!$B$6),OR(Company_Explorer!$B$7="All Roles",$D2660=Company_Explorer!$B$7),OR(Company_Explorer!$B$8="All Ghost Labels",$AG2660=Company_Explorer!$B$8)),1,0)</f>
        <v>0</v>
      </c>
    </row>
    <row r="2661" spans="1:35" ht="15" customHeight="1" x14ac:dyDescent="0.3">
      <c r="A2661" s="65" t="s">
        <v>10082</v>
      </c>
      <c r="B2661" s="65" t="s">
        <v>82</v>
      </c>
      <c r="C2661" s="65" t="s">
        <v>7378</v>
      </c>
      <c r="D2661" s="65" t="s">
        <v>128</v>
      </c>
      <c r="E2661" s="65" t="s">
        <v>1275</v>
      </c>
      <c r="F2661" s="65" t="b">
        <f>TRUE()</f>
        <v>1</v>
      </c>
      <c r="G2661" s="65" t="s">
        <v>165</v>
      </c>
      <c r="H2661" s="65" t="s">
        <v>165</v>
      </c>
      <c r="I2661" s="66">
        <v>46182</v>
      </c>
      <c r="J2661" s="66">
        <v>46210.286319178202</v>
      </c>
      <c r="K2661" s="65">
        <v>59</v>
      </c>
      <c r="L2661" s="65" t="s">
        <v>183</v>
      </c>
      <c r="M2661" s="65" t="s">
        <v>183</v>
      </c>
      <c r="N2661" s="65" t="b">
        <f>FALSE()</f>
        <v>0</v>
      </c>
      <c r="O2661" s="65"/>
      <c r="P2661" s="65"/>
      <c r="Q2661" s="65" t="s">
        <v>3663</v>
      </c>
      <c r="R2661" s="65" t="s">
        <v>236</v>
      </c>
      <c r="S2661" s="65"/>
      <c r="T2661" s="65" t="b">
        <f>FALSE()</f>
        <v>0</v>
      </c>
      <c r="U2661" s="65" t="b">
        <f>FALSE()</f>
        <v>0</v>
      </c>
      <c r="V2661" s="65">
        <v>662</v>
      </c>
      <c r="W2661" s="67" t="s">
        <v>10083</v>
      </c>
      <c r="X2661" s="65">
        <v>1</v>
      </c>
      <c r="Y2661" s="68">
        <v>0.24</v>
      </c>
      <c r="Z2661" s="65" t="b">
        <f>FALSE()</f>
        <v>0</v>
      </c>
      <c r="AA2661" s="65" t="b">
        <f>TRUE()</f>
        <v>1</v>
      </c>
      <c r="AB2661" s="65" t="b">
        <f>FALSE()</f>
        <v>0</v>
      </c>
      <c r="AC2661" s="65" t="b">
        <f>FALSE()</f>
        <v>0</v>
      </c>
      <c r="AD2661" s="65" t="b">
        <f>FALSE()</f>
        <v>0</v>
      </c>
      <c r="AE2661" s="65">
        <v>1</v>
      </c>
      <c r="AF2661" s="69">
        <v>14.3</v>
      </c>
      <c r="AG2661" s="65" t="s">
        <v>74</v>
      </c>
      <c r="AH2661" s="65" t="s">
        <v>10084</v>
      </c>
      <c r="AI2661">
        <f>IF(AND(OR(Company_Explorer!$B$5="All Companies",$E2661=Company_Explorer!$B$5),OR(Company_Explorer!$B$6="All Platforms",$B2661=Company_Explorer!$B$6),OR(Company_Explorer!$B$7="All Roles",$D2661=Company_Explorer!$B$7),OR(Company_Explorer!$B$8="All Ghost Labels",$AG2661=Company_Explorer!$B$8)),1,0)</f>
        <v>0</v>
      </c>
    </row>
    <row r="2662" spans="1:35" ht="15" customHeight="1" x14ac:dyDescent="0.3">
      <c r="A2662" s="60" t="s">
        <v>10085</v>
      </c>
      <c r="B2662" s="60" t="s">
        <v>82</v>
      </c>
      <c r="C2662" s="60" t="s">
        <v>7355</v>
      </c>
      <c r="D2662" s="60" t="s">
        <v>128</v>
      </c>
      <c r="E2662" s="60" t="s">
        <v>10086</v>
      </c>
      <c r="F2662" s="60" t="b">
        <f>TRUE()</f>
        <v>1</v>
      </c>
      <c r="G2662" s="60" t="s">
        <v>165</v>
      </c>
      <c r="H2662" s="60" t="s">
        <v>165</v>
      </c>
      <c r="I2662" s="61">
        <v>46200</v>
      </c>
      <c r="J2662" s="61">
        <v>46210.286320555599</v>
      </c>
      <c r="K2662" s="60">
        <v>130</v>
      </c>
      <c r="L2662" s="60" t="s">
        <v>192</v>
      </c>
      <c r="M2662" s="60" t="s">
        <v>183</v>
      </c>
      <c r="N2662" s="60" t="b">
        <f>FALSE()</f>
        <v>0</v>
      </c>
      <c r="O2662" s="60"/>
      <c r="P2662" s="60"/>
      <c r="Q2662" s="60" t="s">
        <v>3663</v>
      </c>
      <c r="R2662" s="60" t="s">
        <v>236</v>
      </c>
      <c r="S2662" s="60"/>
      <c r="T2662" s="60" t="b">
        <f>FALSE()</f>
        <v>0</v>
      </c>
      <c r="U2662" s="60" t="b">
        <f>FALSE()</f>
        <v>0</v>
      </c>
      <c r="V2662" s="60">
        <v>452</v>
      </c>
      <c r="W2662" s="60" t="s">
        <v>10087</v>
      </c>
      <c r="X2662" s="60">
        <v>1</v>
      </c>
      <c r="Y2662" s="63">
        <v>0.24</v>
      </c>
      <c r="Z2662" s="60" t="b">
        <f>FALSE()</f>
        <v>0</v>
      </c>
      <c r="AA2662" s="60" t="b">
        <f>TRUE()</f>
        <v>1</v>
      </c>
      <c r="AB2662" s="60" t="b">
        <f>FALSE()</f>
        <v>0</v>
      </c>
      <c r="AC2662" s="60" t="b">
        <f>TRUE()</f>
        <v>1</v>
      </c>
      <c r="AD2662" s="60" t="b">
        <f>FALSE()</f>
        <v>0</v>
      </c>
      <c r="AE2662" s="60">
        <v>2</v>
      </c>
      <c r="AF2662" s="64">
        <v>28.6</v>
      </c>
      <c r="AG2662" s="60" t="s">
        <v>73</v>
      </c>
      <c r="AH2662" s="60" t="s">
        <v>10088</v>
      </c>
      <c r="AI2662">
        <f>IF(AND(OR(Company_Explorer!$B$5="All Companies",$E2662=Company_Explorer!$B$5),OR(Company_Explorer!$B$6="All Platforms",$B2662=Company_Explorer!$B$6),OR(Company_Explorer!$B$7="All Roles",$D2662=Company_Explorer!$B$7),OR(Company_Explorer!$B$8="All Ghost Labels",$AG2662=Company_Explorer!$B$8)),1,0)</f>
        <v>0</v>
      </c>
    </row>
    <row r="2663" spans="1:35" ht="15" customHeight="1" x14ac:dyDescent="0.3">
      <c r="A2663" s="65" t="s">
        <v>10089</v>
      </c>
      <c r="B2663" s="65" t="s">
        <v>82</v>
      </c>
      <c r="C2663" s="65" t="s">
        <v>10090</v>
      </c>
      <c r="D2663" s="65" t="s">
        <v>125</v>
      </c>
      <c r="E2663" s="65" t="s">
        <v>10091</v>
      </c>
      <c r="F2663" s="65" t="b">
        <f>TRUE()</f>
        <v>1</v>
      </c>
      <c r="G2663" s="65" t="s">
        <v>165</v>
      </c>
      <c r="H2663" s="65" t="s">
        <v>165</v>
      </c>
      <c r="I2663" s="66">
        <v>46192</v>
      </c>
      <c r="J2663" s="66">
        <v>46210.2863207755</v>
      </c>
      <c r="K2663" s="65">
        <v>19</v>
      </c>
      <c r="L2663" s="65" t="s">
        <v>188</v>
      </c>
      <c r="M2663" s="65" t="s">
        <v>183</v>
      </c>
      <c r="N2663" s="65" t="b">
        <f>FALSE()</f>
        <v>0</v>
      </c>
      <c r="O2663" s="65"/>
      <c r="P2663" s="65"/>
      <c r="Q2663" s="65" t="s">
        <v>3663</v>
      </c>
      <c r="R2663" s="65" t="s">
        <v>236</v>
      </c>
      <c r="S2663" s="65"/>
      <c r="T2663" s="65" t="b">
        <f>FALSE()</f>
        <v>0</v>
      </c>
      <c r="U2663" s="65" t="b">
        <f>FALSE()</f>
        <v>0</v>
      </c>
      <c r="V2663" s="65">
        <v>23</v>
      </c>
      <c r="W2663" s="65" t="s">
        <v>10092</v>
      </c>
      <c r="X2663" s="65">
        <v>1</v>
      </c>
      <c r="Y2663" s="68">
        <v>0.24</v>
      </c>
      <c r="Z2663" s="65" t="b">
        <f>FALSE()</f>
        <v>0</v>
      </c>
      <c r="AA2663" s="65" t="b">
        <f>TRUE()</f>
        <v>1</v>
      </c>
      <c r="AB2663" s="65" t="b">
        <f>TRUE()</f>
        <v>1</v>
      </c>
      <c r="AC2663" s="65" t="b">
        <f>FALSE()</f>
        <v>0</v>
      </c>
      <c r="AD2663" s="65" t="b">
        <f>FALSE()</f>
        <v>0</v>
      </c>
      <c r="AE2663" s="65">
        <v>2</v>
      </c>
      <c r="AF2663" s="69">
        <v>28.6</v>
      </c>
      <c r="AG2663" s="65" t="s">
        <v>73</v>
      </c>
      <c r="AH2663" s="65" t="s">
        <v>10093</v>
      </c>
      <c r="AI2663">
        <f>IF(AND(OR(Company_Explorer!$B$5="All Companies",$E2663=Company_Explorer!$B$5),OR(Company_Explorer!$B$6="All Platforms",$B2663=Company_Explorer!$B$6),OR(Company_Explorer!$B$7="All Roles",$D2663=Company_Explorer!$B$7),OR(Company_Explorer!$B$8="All Ghost Labels",$AG2663=Company_Explorer!$B$8)),1,0)</f>
        <v>0</v>
      </c>
    </row>
    <row r="2664" spans="1:35" ht="15" customHeight="1" x14ac:dyDescent="0.3">
      <c r="A2664" s="60" t="s">
        <v>10094</v>
      </c>
      <c r="B2664" s="60" t="s">
        <v>82</v>
      </c>
      <c r="C2664" s="60" t="s">
        <v>10095</v>
      </c>
      <c r="D2664" s="60" t="s">
        <v>126</v>
      </c>
      <c r="E2664" s="60" t="s">
        <v>7365</v>
      </c>
      <c r="F2664" s="60" t="b">
        <f>TRUE()</f>
        <v>1</v>
      </c>
      <c r="G2664" s="60" t="s">
        <v>176</v>
      </c>
      <c r="H2664" s="60" t="s">
        <v>302</v>
      </c>
      <c r="I2664" s="61">
        <v>46210</v>
      </c>
      <c r="J2664" s="61">
        <v>46210.286321956002</v>
      </c>
      <c r="K2664" s="60">
        <v>0</v>
      </c>
      <c r="L2664" s="60" t="s">
        <v>183</v>
      </c>
      <c r="M2664" s="60" t="s">
        <v>183</v>
      </c>
      <c r="N2664" s="60" t="b">
        <f>FALSE()</f>
        <v>0</v>
      </c>
      <c r="O2664" s="60"/>
      <c r="P2664" s="60"/>
      <c r="Q2664" s="60" t="s">
        <v>3663</v>
      </c>
      <c r="R2664" s="60" t="s">
        <v>236</v>
      </c>
      <c r="S2664" s="60"/>
      <c r="T2664" s="60" t="b">
        <f>FALSE()</f>
        <v>0</v>
      </c>
      <c r="U2664" s="60" t="b">
        <f>FALSE()</f>
        <v>0</v>
      </c>
      <c r="V2664" s="60">
        <v>893</v>
      </c>
      <c r="W2664" s="60" t="s">
        <v>7366</v>
      </c>
      <c r="X2664" s="60">
        <v>2</v>
      </c>
      <c r="Y2664" s="63">
        <v>0.48</v>
      </c>
      <c r="Z2664" s="60" t="b">
        <f>FALSE()</f>
        <v>0</v>
      </c>
      <c r="AA2664" s="60" t="b">
        <f>TRUE()</f>
        <v>1</v>
      </c>
      <c r="AB2664" s="60" t="b">
        <f>FALSE()</f>
        <v>0</v>
      </c>
      <c r="AC2664" s="60" t="b">
        <f>FALSE()</f>
        <v>0</v>
      </c>
      <c r="AD2664" s="60" t="b">
        <f>FALSE()</f>
        <v>0</v>
      </c>
      <c r="AE2664" s="60">
        <v>1</v>
      </c>
      <c r="AF2664" s="64">
        <v>14.3</v>
      </c>
      <c r="AG2664" s="60" t="s">
        <v>74</v>
      </c>
      <c r="AH2664" s="60" t="s">
        <v>10096</v>
      </c>
      <c r="AI2664">
        <f>IF(AND(OR(Company_Explorer!$B$5="All Companies",$E2664=Company_Explorer!$B$5),OR(Company_Explorer!$B$6="All Platforms",$B2664=Company_Explorer!$B$6),OR(Company_Explorer!$B$7="All Roles",$D2664=Company_Explorer!$B$7),OR(Company_Explorer!$B$8="All Ghost Labels",$AG2664=Company_Explorer!$B$8)),1,0)</f>
        <v>0</v>
      </c>
    </row>
    <row r="2665" spans="1:35" ht="15" customHeight="1" x14ac:dyDescent="0.3">
      <c r="A2665" s="65" t="s">
        <v>10097</v>
      </c>
      <c r="B2665" s="65" t="s">
        <v>82</v>
      </c>
      <c r="C2665" s="65" t="s">
        <v>8751</v>
      </c>
      <c r="D2665" s="65" t="s">
        <v>128</v>
      </c>
      <c r="E2665" s="65" t="s">
        <v>3726</v>
      </c>
      <c r="F2665" s="65" t="b">
        <f>FALSE()</f>
        <v>0</v>
      </c>
      <c r="G2665" s="65" t="s">
        <v>165</v>
      </c>
      <c r="H2665" s="65" t="s">
        <v>165</v>
      </c>
      <c r="I2665" s="66">
        <v>46209</v>
      </c>
      <c r="J2665" s="66">
        <v>46210.286323321801</v>
      </c>
      <c r="K2665" s="65">
        <v>2</v>
      </c>
      <c r="L2665" s="65" t="s">
        <v>192</v>
      </c>
      <c r="M2665" s="65" t="s">
        <v>183</v>
      </c>
      <c r="N2665" s="65" t="b">
        <f>TRUE()</f>
        <v>1</v>
      </c>
      <c r="O2665" s="71">
        <v>300000</v>
      </c>
      <c r="P2665" s="71">
        <v>500000</v>
      </c>
      <c r="Q2665" s="65" t="s">
        <v>3663</v>
      </c>
      <c r="R2665" s="65" t="s">
        <v>7351</v>
      </c>
      <c r="S2665" s="71">
        <v>400000</v>
      </c>
      <c r="T2665" s="65" t="b">
        <f>TRUE()</f>
        <v>1</v>
      </c>
      <c r="U2665" s="65" t="b">
        <f>FALSE()</f>
        <v>0</v>
      </c>
      <c r="V2665" s="65">
        <v>128</v>
      </c>
      <c r="W2665" s="67" t="s">
        <v>10098</v>
      </c>
      <c r="X2665" s="65"/>
      <c r="Y2665" s="68"/>
      <c r="Z2665" s="65" t="b">
        <f>TRUE()</f>
        <v>1</v>
      </c>
      <c r="AA2665" s="65" t="b">
        <f>FALSE()</f>
        <v>0</v>
      </c>
      <c r="AB2665" s="65" t="b">
        <f>TRUE()</f>
        <v>1</v>
      </c>
      <c r="AC2665" s="65" t="b">
        <f>FALSE()</f>
        <v>0</v>
      </c>
      <c r="AD2665" s="65" t="b">
        <f>FALSE()</f>
        <v>0</v>
      </c>
      <c r="AE2665" s="65">
        <v>3</v>
      </c>
      <c r="AF2665" s="69">
        <v>42.9</v>
      </c>
      <c r="AG2665" s="65" t="s">
        <v>73</v>
      </c>
      <c r="AH2665" s="65" t="s">
        <v>10099</v>
      </c>
      <c r="AI2665">
        <f>IF(AND(OR(Company_Explorer!$B$5="All Companies",$E2665=Company_Explorer!$B$5),OR(Company_Explorer!$B$6="All Platforms",$B2665=Company_Explorer!$B$6),OR(Company_Explorer!$B$7="All Roles",$D2665=Company_Explorer!$B$7),OR(Company_Explorer!$B$8="All Ghost Labels",$AG2665=Company_Explorer!$B$8)),1,0)</f>
        <v>0</v>
      </c>
    </row>
    <row r="2666" spans="1:35" ht="15" customHeight="1" x14ac:dyDescent="0.3">
      <c r="A2666" s="60" t="s">
        <v>10100</v>
      </c>
      <c r="B2666" s="60" t="s">
        <v>82</v>
      </c>
      <c r="C2666" s="60" t="s">
        <v>10101</v>
      </c>
      <c r="D2666" s="60" t="s">
        <v>132</v>
      </c>
      <c r="E2666" s="60" t="s">
        <v>9304</v>
      </c>
      <c r="F2666" s="60" t="b">
        <f>TRUE()</f>
        <v>1</v>
      </c>
      <c r="G2666" s="60" t="s">
        <v>166</v>
      </c>
      <c r="H2666" s="60" t="s">
        <v>235</v>
      </c>
      <c r="I2666" s="61">
        <v>46206</v>
      </c>
      <c r="J2666" s="61">
        <v>46210.286323761597</v>
      </c>
      <c r="K2666" s="60">
        <v>34</v>
      </c>
      <c r="L2666" s="60" t="s">
        <v>192</v>
      </c>
      <c r="M2666" s="60" t="s">
        <v>183</v>
      </c>
      <c r="N2666" s="60" t="b">
        <f>TRUE()</f>
        <v>1</v>
      </c>
      <c r="O2666" s="70">
        <v>552000</v>
      </c>
      <c r="P2666" s="70">
        <v>900000</v>
      </c>
      <c r="Q2666" s="60" t="s">
        <v>3663</v>
      </c>
      <c r="R2666" s="60" t="s">
        <v>7351</v>
      </c>
      <c r="S2666" s="70">
        <v>726000</v>
      </c>
      <c r="T2666" s="60" t="b">
        <f>TRUE()</f>
        <v>1</v>
      </c>
      <c r="U2666" s="60" t="b">
        <f>FALSE()</f>
        <v>0</v>
      </c>
      <c r="V2666" s="60">
        <v>294</v>
      </c>
      <c r="W2666" s="60" t="s">
        <v>10102</v>
      </c>
      <c r="X2666" s="60">
        <v>3</v>
      </c>
      <c r="Y2666" s="63">
        <v>0.72</v>
      </c>
      <c r="Z2666" s="60" t="b">
        <f>FALSE()</f>
        <v>0</v>
      </c>
      <c r="AA2666" s="60" t="b">
        <f>FALSE()</f>
        <v>0</v>
      </c>
      <c r="AB2666" s="60" t="b">
        <f>FALSE()</f>
        <v>0</v>
      </c>
      <c r="AC2666" s="60" t="b">
        <f>FALSE()</f>
        <v>0</v>
      </c>
      <c r="AD2666" s="60" t="b">
        <f>FALSE()</f>
        <v>0</v>
      </c>
      <c r="AE2666" s="60">
        <v>0</v>
      </c>
      <c r="AF2666" s="64">
        <v>0</v>
      </c>
      <c r="AG2666" s="60" t="s">
        <v>74</v>
      </c>
      <c r="AH2666" s="60" t="s">
        <v>10103</v>
      </c>
      <c r="AI2666">
        <f>IF(AND(OR(Company_Explorer!$B$5="All Companies",$E2666=Company_Explorer!$B$5),OR(Company_Explorer!$B$6="All Platforms",$B2666=Company_Explorer!$B$6),OR(Company_Explorer!$B$7="All Roles",$D2666=Company_Explorer!$B$7),OR(Company_Explorer!$B$8="All Ghost Labels",$AG2666=Company_Explorer!$B$8)),1,0)</f>
        <v>0</v>
      </c>
    </row>
    <row r="2667" spans="1:35" ht="15" customHeight="1" x14ac:dyDescent="0.3">
      <c r="A2667" s="65" t="s">
        <v>10104</v>
      </c>
      <c r="B2667" s="65" t="s">
        <v>82</v>
      </c>
      <c r="C2667" s="65" t="s">
        <v>7285</v>
      </c>
      <c r="D2667" s="65" t="s">
        <v>128</v>
      </c>
      <c r="E2667" s="65" t="s">
        <v>9032</v>
      </c>
      <c r="F2667" s="65" t="b">
        <f>TRUE()</f>
        <v>1</v>
      </c>
      <c r="G2667" s="65" t="s">
        <v>165</v>
      </c>
      <c r="H2667" s="65" t="s">
        <v>165</v>
      </c>
      <c r="I2667" s="66">
        <v>46184</v>
      </c>
      <c r="J2667" s="66">
        <v>46210.286325520799</v>
      </c>
      <c r="K2667" s="65">
        <v>118</v>
      </c>
      <c r="L2667" s="65" t="s">
        <v>192</v>
      </c>
      <c r="M2667" s="65" t="s">
        <v>183</v>
      </c>
      <c r="N2667" s="65" t="b">
        <f>FALSE()</f>
        <v>0</v>
      </c>
      <c r="O2667" s="65"/>
      <c r="P2667" s="65"/>
      <c r="Q2667" s="65" t="s">
        <v>3663</v>
      </c>
      <c r="R2667" s="65" t="s">
        <v>236</v>
      </c>
      <c r="S2667" s="65"/>
      <c r="T2667" s="65" t="b">
        <f>FALSE()</f>
        <v>0</v>
      </c>
      <c r="U2667" s="65" t="b">
        <f>FALSE()</f>
        <v>0</v>
      </c>
      <c r="V2667" s="65">
        <v>275</v>
      </c>
      <c r="W2667" s="67" t="s">
        <v>10105</v>
      </c>
      <c r="X2667" s="65">
        <v>2</v>
      </c>
      <c r="Y2667" s="68">
        <v>0.48</v>
      </c>
      <c r="Z2667" s="65" t="b">
        <f>FALSE()</f>
        <v>0</v>
      </c>
      <c r="AA2667" s="65" t="b">
        <f>TRUE()</f>
        <v>1</v>
      </c>
      <c r="AB2667" s="65" t="b">
        <f>FALSE()</f>
        <v>0</v>
      </c>
      <c r="AC2667" s="65" t="b">
        <f>FALSE()</f>
        <v>0</v>
      </c>
      <c r="AD2667" s="65" t="b">
        <f>FALSE()</f>
        <v>0</v>
      </c>
      <c r="AE2667" s="65">
        <v>1</v>
      </c>
      <c r="AF2667" s="69">
        <v>14.3</v>
      </c>
      <c r="AG2667" s="65" t="s">
        <v>74</v>
      </c>
      <c r="AH2667" s="65" t="s">
        <v>10106</v>
      </c>
      <c r="AI2667">
        <f>IF(AND(OR(Company_Explorer!$B$5="All Companies",$E2667=Company_Explorer!$B$5),OR(Company_Explorer!$B$6="All Platforms",$B2667=Company_Explorer!$B$6),OR(Company_Explorer!$B$7="All Roles",$D2667=Company_Explorer!$B$7),OR(Company_Explorer!$B$8="All Ghost Labels",$AG2667=Company_Explorer!$B$8)),1,0)</f>
        <v>0</v>
      </c>
    </row>
    <row r="2668" spans="1:35" ht="15" customHeight="1" x14ac:dyDescent="0.3">
      <c r="A2668" s="60" t="s">
        <v>10107</v>
      </c>
      <c r="B2668" s="60" t="s">
        <v>82</v>
      </c>
      <c r="C2668" s="60" t="s">
        <v>10108</v>
      </c>
      <c r="D2668" s="60" t="s">
        <v>128</v>
      </c>
      <c r="E2668" s="60" t="s">
        <v>7899</v>
      </c>
      <c r="F2668" s="60" t="b">
        <f>TRUE()</f>
        <v>1</v>
      </c>
      <c r="G2668" s="60" t="s">
        <v>165</v>
      </c>
      <c r="H2668" s="60" t="s">
        <v>165</v>
      </c>
      <c r="I2668" s="61">
        <v>46182</v>
      </c>
      <c r="J2668" s="61">
        <v>46210.286325786998</v>
      </c>
      <c r="K2668" s="60">
        <v>28</v>
      </c>
      <c r="L2668" s="60" t="s">
        <v>192</v>
      </c>
      <c r="M2668" s="60" t="s">
        <v>183</v>
      </c>
      <c r="N2668" s="60" t="b">
        <f>FALSE()</f>
        <v>0</v>
      </c>
      <c r="O2668" s="60"/>
      <c r="P2668" s="60"/>
      <c r="Q2668" s="60" t="s">
        <v>3663</v>
      </c>
      <c r="R2668" s="60" t="s">
        <v>236</v>
      </c>
      <c r="S2668" s="60"/>
      <c r="T2668" s="60" t="b">
        <f>FALSE()</f>
        <v>0</v>
      </c>
      <c r="U2668" s="60" t="b">
        <f>FALSE()</f>
        <v>0</v>
      </c>
      <c r="V2668" s="60">
        <v>360</v>
      </c>
      <c r="W2668" s="62" t="s">
        <v>10109</v>
      </c>
      <c r="X2668" s="60">
        <v>4</v>
      </c>
      <c r="Y2668" s="63">
        <v>0.97</v>
      </c>
      <c r="Z2668" s="60" t="b">
        <f>FALSE()</f>
        <v>0</v>
      </c>
      <c r="AA2668" s="60" t="b">
        <f>TRUE()</f>
        <v>1</v>
      </c>
      <c r="AB2668" s="60" t="b">
        <f>FALSE()</f>
        <v>0</v>
      </c>
      <c r="AC2668" s="60" t="b">
        <f>FALSE()</f>
        <v>0</v>
      </c>
      <c r="AD2668" s="60" t="b">
        <f>FALSE()</f>
        <v>0</v>
      </c>
      <c r="AE2668" s="60">
        <v>1</v>
      </c>
      <c r="AF2668" s="64">
        <v>14.3</v>
      </c>
      <c r="AG2668" s="60" t="s">
        <v>74</v>
      </c>
      <c r="AH2668" s="60" t="s">
        <v>10110</v>
      </c>
      <c r="AI2668">
        <f>IF(AND(OR(Company_Explorer!$B$5="All Companies",$E2668=Company_Explorer!$B$5),OR(Company_Explorer!$B$6="All Platforms",$B2668=Company_Explorer!$B$6),OR(Company_Explorer!$B$7="All Roles",$D2668=Company_Explorer!$B$7),OR(Company_Explorer!$B$8="All Ghost Labels",$AG2668=Company_Explorer!$B$8)),1,0)</f>
        <v>0</v>
      </c>
    </row>
    <row r="2669" spans="1:35" ht="15" customHeight="1" x14ac:dyDescent="0.3">
      <c r="A2669" s="65" t="s">
        <v>10111</v>
      </c>
      <c r="B2669" s="65" t="s">
        <v>82</v>
      </c>
      <c r="C2669" s="65" t="s">
        <v>10112</v>
      </c>
      <c r="D2669" s="65" t="s">
        <v>125</v>
      </c>
      <c r="E2669" s="65" t="s">
        <v>3726</v>
      </c>
      <c r="F2669" s="65" t="b">
        <f>FALSE()</f>
        <v>0</v>
      </c>
      <c r="G2669" s="65" t="s">
        <v>165</v>
      </c>
      <c r="H2669" s="65" t="s">
        <v>165</v>
      </c>
      <c r="I2669" s="66">
        <v>46204</v>
      </c>
      <c r="J2669" s="66">
        <v>46210.286329097202</v>
      </c>
      <c r="K2669" s="65">
        <v>6</v>
      </c>
      <c r="L2669" s="65" t="s">
        <v>192</v>
      </c>
      <c r="M2669" s="65" t="s">
        <v>183</v>
      </c>
      <c r="N2669" s="65" t="b">
        <f>TRUE()</f>
        <v>1</v>
      </c>
      <c r="O2669" s="71">
        <v>300000</v>
      </c>
      <c r="P2669" s="71">
        <v>500000</v>
      </c>
      <c r="Q2669" s="65" t="s">
        <v>3663</v>
      </c>
      <c r="R2669" s="65" t="s">
        <v>7351</v>
      </c>
      <c r="S2669" s="71">
        <v>400000</v>
      </c>
      <c r="T2669" s="65" t="b">
        <f>TRUE()</f>
        <v>1</v>
      </c>
      <c r="U2669" s="65" t="b">
        <f>FALSE()</f>
        <v>0</v>
      </c>
      <c r="V2669" s="65">
        <v>917</v>
      </c>
      <c r="W2669" s="67" t="s">
        <v>10113</v>
      </c>
      <c r="X2669" s="65"/>
      <c r="Y2669" s="68"/>
      <c r="Z2669" s="65" t="b">
        <f>TRUE()</f>
        <v>1</v>
      </c>
      <c r="AA2669" s="65" t="b">
        <f>FALSE()</f>
        <v>0</v>
      </c>
      <c r="AB2669" s="65" t="b">
        <f>FALSE()</f>
        <v>0</v>
      </c>
      <c r="AC2669" s="65" t="b">
        <f>FALSE()</f>
        <v>0</v>
      </c>
      <c r="AD2669" s="65" t="b">
        <f>FALSE()</f>
        <v>0</v>
      </c>
      <c r="AE2669" s="65">
        <v>2</v>
      </c>
      <c r="AF2669" s="69">
        <v>28.6</v>
      </c>
      <c r="AG2669" s="65" t="s">
        <v>73</v>
      </c>
      <c r="AH2669" s="65" t="s">
        <v>10114</v>
      </c>
      <c r="AI2669">
        <f>IF(AND(OR(Company_Explorer!$B$5="All Companies",$E2669=Company_Explorer!$B$5),OR(Company_Explorer!$B$6="All Platforms",$B2669=Company_Explorer!$B$6),OR(Company_Explorer!$B$7="All Roles",$D2669=Company_Explorer!$B$7),OR(Company_Explorer!$B$8="All Ghost Labels",$AG2669=Company_Explorer!$B$8)),1,0)</f>
        <v>0</v>
      </c>
    </row>
    <row r="2670" spans="1:35" ht="15" customHeight="1" x14ac:dyDescent="0.3">
      <c r="A2670" s="60" t="s">
        <v>10115</v>
      </c>
      <c r="B2670" s="60" t="s">
        <v>82</v>
      </c>
      <c r="C2670" s="60" t="s">
        <v>10116</v>
      </c>
      <c r="D2670" s="60" t="s">
        <v>126</v>
      </c>
      <c r="E2670" s="60" t="s">
        <v>8827</v>
      </c>
      <c r="F2670" s="60" t="b">
        <f>TRUE()</f>
        <v>1</v>
      </c>
      <c r="G2670" s="60" t="s">
        <v>172</v>
      </c>
      <c r="H2670" s="60" t="s">
        <v>276</v>
      </c>
      <c r="I2670" s="61">
        <v>46204</v>
      </c>
      <c r="J2670" s="61">
        <v>46210.286329606497</v>
      </c>
      <c r="K2670" s="60">
        <v>6</v>
      </c>
      <c r="L2670" s="60" t="s">
        <v>183</v>
      </c>
      <c r="M2670" s="60" t="s">
        <v>183</v>
      </c>
      <c r="N2670" s="60" t="b">
        <f>TRUE()</f>
        <v>1</v>
      </c>
      <c r="O2670" s="70">
        <v>550000</v>
      </c>
      <c r="P2670" s="70">
        <v>900000</v>
      </c>
      <c r="Q2670" s="60" t="s">
        <v>3663</v>
      </c>
      <c r="R2670" s="60" t="s">
        <v>7351</v>
      </c>
      <c r="S2670" s="70">
        <v>725000</v>
      </c>
      <c r="T2670" s="60" t="b">
        <f>TRUE()</f>
        <v>1</v>
      </c>
      <c r="U2670" s="60" t="b">
        <f>FALSE()</f>
        <v>0</v>
      </c>
      <c r="V2670" s="60">
        <v>403</v>
      </c>
      <c r="W2670" s="60" t="s">
        <v>8828</v>
      </c>
      <c r="X2670" s="60">
        <v>4</v>
      </c>
      <c r="Y2670" s="63">
        <v>0.97</v>
      </c>
      <c r="Z2670" s="60" t="b">
        <f>FALSE()</f>
        <v>0</v>
      </c>
      <c r="AA2670" s="60" t="b">
        <f>FALSE()</f>
        <v>0</v>
      </c>
      <c r="AB2670" s="60" t="b">
        <f>FALSE()</f>
        <v>0</v>
      </c>
      <c r="AC2670" s="60" t="b">
        <f>FALSE()</f>
        <v>0</v>
      </c>
      <c r="AD2670" s="60" t="b">
        <f>FALSE()</f>
        <v>0</v>
      </c>
      <c r="AE2670" s="60">
        <v>0</v>
      </c>
      <c r="AF2670" s="64">
        <v>0</v>
      </c>
      <c r="AG2670" s="60" t="s">
        <v>74</v>
      </c>
      <c r="AH2670" s="60" t="s">
        <v>10117</v>
      </c>
      <c r="AI2670">
        <f>IF(AND(OR(Company_Explorer!$B$5="All Companies",$E2670=Company_Explorer!$B$5),OR(Company_Explorer!$B$6="All Platforms",$B2670=Company_Explorer!$B$6),OR(Company_Explorer!$B$7="All Roles",$D2670=Company_Explorer!$B$7),OR(Company_Explorer!$B$8="All Ghost Labels",$AG2670=Company_Explorer!$B$8)),1,0)</f>
        <v>0</v>
      </c>
    </row>
    <row r="2671" spans="1:35" ht="15" customHeight="1" x14ac:dyDescent="0.3">
      <c r="A2671" s="65" t="s">
        <v>10118</v>
      </c>
      <c r="B2671" s="65" t="s">
        <v>82</v>
      </c>
      <c r="C2671" s="65" t="s">
        <v>8751</v>
      </c>
      <c r="D2671" s="65" t="s">
        <v>128</v>
      </c>
      <c r="E2671" s="65" t="s">
        <v>3726</v>
      </c>
      <c r="F2671" s="65" t="b">
        <f>FALSE()</f>
        <v>0</v>
      </c>
      <c r="G2671" s="65" t="s">
        <v>167</v>
      </c>
      <c r="H2671" s="65" t="s">
        <v>276</v>
      </c>
      <c r="I2671" s="66">
        <v>46193</v>
      </c>
      <c r="J2671" s="66">
        <v>46210.2863338194</v>
      </c>
      <c r="K2671" s="65">
        <v>17</v>
      </c>
      <c r="L2671" s="65" t="s">
        <v>192</v>
      </c>
      <c r="M2671" s="65" t="s">
        <v>183</v>
      </c>
      <c r="N2671" s="65" t="b">
        <f>FALSE()</f>
        <v>0</v>
      </c>
      <c r="O2671" s="65"/>
      <c r="P2671" s="65"/>
      <c r="Q2671" s="65" t="s">
        <v>3663</v>
      </c>
      <c r="R2671" s="65" t="s">
        <v>236</v>
      </c>
      <c r="S2671" s="65"/>
      <c r="T2671" s="65" t="b">
        <f>FALSE()</f>
        <v>0</v>
      </c>
      <c r="U2671" s="65" t="b">
        <f>FALSE()</f>
        <v>0</v>
      </c>
      <c r="V2671" s="65">
        <v>194</v>
      </c>
      <c r="W2671" s="67" t="s">
        <v>10119</v>
      </c>
      <c r="X2671" s="65"/>
      <c r="Y2671" s="68"/>
      <c r="Z2671" s="65" t="b">
        <f>TRUE()</f>
        <v>1</v>
      </c>
      <c r="AA2671" s="65" t="b">
        <f>TRUE()</f>
        <v>1</v>
      </c>
      <c r="AB2671" s="65" t="b">
        <f>TRUE()</f>
        <v>1</v>
      </c>
      <c r="AC2671" s="65" t="b">
        <f>FALSE()</f>
        <v>0</v>
      </c>
      <c r="AD2671" s="65" t="b">
        <f>FALSE()</f>
        <v>0</v>
      </c>
      <c r="AE2671" s="65">
        <v>4</v>
      </c>
      <c r="AF2671" s="69">
        <v>57.1</v>
      </c>
      <c r="AG2671" s="65" t="s">
        <v>72</v>
      </c>
      <c r="AH2671" s="65" t="s">
        <v>10120</v>
      </c>
      <c r="AI2671">
        <f>IF(AND(OR(Company_Explorer!$B$5="All Companies",$E2671=Company_Explorer!$B$5),OR(Company_Explorer!$B$6="All Platforms",$B2671=Company_Explorer!$B$6),OR(Company_Explorer!$B$7="All Roles",$D2671=Company_Explorer!$B$7),OR(Company_Explorer!$B$8="All Ghost Labels",$AG2671=Company_Explorer!$B$8)),1,0)</f>
        <v>0</v>
      </c>
    </row>
    <row r="2672" spans="1:35" ht="15" customHeight="1" x14ac:dyDescent="0.3">
      <c r="A2672" s="60" t="s">
        <v>10121</v>
      </c>
      <c r="B2672" s="60" t="s">
        <v>82</v>
      </c>
      <c r="C2672" s="60" t="s">
        <v>10122</v>
      </c>
      <c r="D2672" s="60" t="s">
        <v>128</v>
      </c>
      <c r="E2672" s="60" t="s">
        <v>10123</v>
      </c>
      <c r="F2672" s="60" t="b">
        <f>TRUE()</f>
        <v>1</v>
      </c>
      <c r="G2672" s="60" t="s">
        <v>175</v>
      </c>
      <c r="H2672" s="60" t="s">
        <v>254</v>
      </c>
      <c r="I2672" s="61">
        <v>46201</v>
      </c>
      <c r="J2672" s="61">
        <v>46210.2863346296</v>
      </c>
      <c r="K2672" s="60">
        <v>130</v>
      </c>
      <c r="L2672" s="60" t="s">
        <v>183</v>
      </c>
      <c r="M2672" s="60" t="s">
        <v>183</v>
      </c>
      <c r="N2672" s="60" t="b">
        <f>TRUE()</f>
        <v>1</v>
      </c>
      <c r="O2672" s="70">
        <v>240000</v>
      </c>
      <c r="P2672" s="70">
        <v>600000</v>
      </c>
      <c r="Q2672" s="60" t="s">
        <v>3663</v>
      </c>
      <c r="R2672" s="60" t="s">
        <v>7351</v>
      </c>
      <c r="S2672" s="70">
        <v>420000</v>
      </c>
      <c r="T2672" s="60" t="b">
        <f>TRUE()</f>
        <v>1</v>
      </c>
      <c r="U2672" s="60" t="b">
        <f>FALSE()</f>
        <v>0</v>
      </c>
      <c r="V2672" s="60">
        <v>53</v>
      </c>
      <c r="W2672" s="62" t="s">
        <v>10124</v>
      </c>
      <c r="X2672" s="60">
        <v>1</v>
      </c>
      <c r="Y2672" s="63">
        <v>0.24</v>
      </c>
      <c r="Z2672" s="60" t="b">
        <f>FALSE()</f>
        <v>0</v>
      </c>
      <c r="AA2672" s="60" t="b">
        <f>FALSE()</f>
        <v>0</v>
      </c>
      <c r="AB2672" s="60" t="b">
        <f>TRUE()</f>
        <v>1</v>
      </c>
      <c r="AC2672" s="60" t="b">
        <f>TRUE()</f>
        <v>1</v>
      </c>
      <c r="AD2672" s="60" t="b">
        <f>FALSE()</f>
        <v>0</v>
      </c>
      <c r="AE2672" s="60">
        <v>2</v>
      </c>
      <c r="AF2672" s="64">
        <v>28.6</v>
      </c>
      <c r="AG2672" s="60" t="s">
        <v>73</v>
      </c>
      <c r="AH2672" s="60" t="s">
        <v>10125</v>
      </c>
      <c r="AI2672">
        <f>IF(AND(OR(Company_Explorer!$B$5="All Companies",$E2672=Company_Explorer!$B$5),OR(Company_Explorer!$B$6="All Platforms",$B2672=Company_Explorer!$B$6),OR(Company_Explorer!$B$7="All Roles",$D2672=Company_Explorer!$B$7),OR(Company_Explorer!$B$8="All Ghost Labels",$AG2672=Company_Explorer!$B$8)),1,0)</f>
        <v>0</v>
      </c>
    </row>
    <row r="2673" spans="1:35" ht="15" customHeight="1" x14ac:dyDescent="0.3">
      <c r="A2673" s="65" t="s">
        <v>10126</v>
      </c>
      <c r="B2673" s="65" t="s">
        <v>82</v>
      </c>
      <c r="C2673" s="65" t="s">
        <v>10127</v>
      </c>
      <c r="D2673" s="65" t="s">
        <v>128</v>
      </c>
      <c r="E2673" s="65" t="s">
        <v>10128</v>
      </c>
      <c r="F2673" s="65" t="b">
        <f>TRUE()</f>
        <v>1</v>
      </c>
      <c r="G2673" s="65" t="s">
        <v>166</v>
      </c>
      <c r="H2673" s="65" t="s">
        <v>235</v>
      </c>
      <c r="I2673" s="66">
        <v>46203</v>
      </c>
      <c r="J2673" s="66">
        <v>46210.286334780103</v>
      </c>
      <c r="K2673" s="65">
        <v>68</v>
      </c>
      <c r="L2673" s="65" t="s">
        <v>192</v>
      </c>
      <c r="M2673" s="65" t="s">
        <v>183</v>
      </c>
      <c r="N2673" s="65" t="b">
        <f>TRUE()</f>
        <v>1</v>
      </c>
      <c r="O2673" s="71">
        <v>524000</v>
      </c>
      <c r="P2673" s="71">
        <v>1010000</v>
      </c>
      <c r="Q2673" s="65" t="s">
        <v>3663</v>
      </c>
      <c r="R2673" s="65" t="s">
        <v>7351</v>
      </c>
      <c r="S2673" s="71">
        <v>767000</v>
      </c>
      <c r="T2673" s="65" t="b">
        <f>TRUE()</f>
        <v>1</v>
      </c>
      <c r="U2673" s="65" t="b">
        <f>FALSE()</f>
        <v>0</v>
      </c>
      <c r="V2673" s="65">
        <v>383</v>
      </c>
      <c r="W2673" s="65" t="s">
        <v>10129</v>
      </c>
      <c r="X2673" s="65">
        <v>2</v>
      </c>
      <c r="Y2673" s="68">
        <v>0.48</v>
      </c>
      <c r="Z2673" s="65" t="b">
        <f>FALSE()</f>
        <v>0</v>
      </c>
      <c r="AA2673" s="65" t="b">
        <f>FALSE()</f>
        <v>0</v>
      </c>
      <c r="AB2673" s="65" t="b">
        <f>FALSE()</f>
        <v>0</v>
      </c>
      <c r="AC2673" s="65" t="b">
        <f>FALSE()</f>
        <v>0</v>
      </c>
      <c r="AD2673" s="65" t="b">
        <f>FALSE()</f>
        <v>0</v>
      </c>
      <c r="AE2673" s="65">
        <v>0</v>
      </c>
      <c r="AF2673" s="69">
        <v>0</v>
      </c>
      <c r="AG2673" s="65" t="s">
        <v>74</v>
      </c>
      <c r="AH2673" s="65" t="s">
        <v>10130</v>
      </c>
      <c r="AI2673">
        <f>IF(AND(OR(Company_Explorer!$B$5="All Companies",$E2673=Company_Explorer!$B$5),OR(Company_Explorer!$B$6="All Platforms",$B2673=Company_Explorer!$B$6),OR(Company_Explorer!$B$7="All Roles",$D2673=Company_Explorer!$B$7),OR(Company_Explorer!$B$8="All Ghost Labels",$AG2673=Company_Explorer!$B$8)),1,0)</f>
        <v>0</v>
      </c>
    </row>
    <row r="2674" spans="1:35" ht="15" customHeight="1" x14ac:dyDescent="0.3">
      <c r="A2674" s="60" t="s">
        <v>10131</v>
      </c>
      <c r="B2674" s="60" t="s">
        <v>82</v>
      </c>
      <c r="C2674" s="60" t="s">
        <v>10132</v>
      </c>
      <c r="D2674" s="60" t="s">
        <v>133</v>
      </c>
      <c r="E2674" s="60" t="s">
        <v>157</v>
      </c>
      <c r="F2674" s="60" t="b">
        <f>TRUE()</f>
        <v>1</v>
      </c>
      <c r="G2674" s="60" t="s">
        <v>165</v>
      </c>
      <c r="H2674" s="60" t="s">
        <v>165</v>
      </c>
      <c r="I2674" s="61">
        <v>46204</v>
      </c>
      <c r="J2674" s="61">
        <v>46210.286334814802</v>
      </c>
      <c r="K2674" s="60">
        <v>6</v>
      </c>
      <c r="L2674" s="60" t="s">
        <v>192</v>
      </c>
      <c r="M2674" s="60" t="s">
        <v>183</v>
      </c>
      <c r="N2674" s="60" t="b">
        <f>FALSE()</f>
        <v>0</v>
      </c>
      <c r="O2674" s="60"/>
      <c r="P2674" s="60"/>
      <c r="Q2674" s="60" t="s">
        <v>3663</v>
      </c>
      <c r="R2674" s="60" t="s">
        <v>236</v>
      </c>
      <c r="S2674" s="60"/>
      <c r="T2674" s="60" t="b">
        <f>FALSE()</f>
        <v>0</v>
      </c>
      <c r="U2674" s="60" t="b">
        <f>FALSE()</f>
        <v>0</v>
      </c>
      <c r="V2674" s="60">
        <v>871</v>
      </c>
      <c r="W2674" s="62" t="s">
        <v>10133</v>
      </c>
      <c r="X2674" s="60">
        <v>15</v>
      </c>
      <c r="Y2674" s="63">
        <v>3.62</v>
      </c>
      <c r="Z2674" s="60" t="b">
        <f>FALSE()</f>
        <v>0</v>
      </c>
      <c r="AA2674" s="60" t="b">
        <f>TRUE()</f>
        <v>1</v>
      </c>
      <c r="AB2674" s="60" t="b">
        <f>FALSE()</f>
        <v>0</v>
      </c>
      <c r="AC2674" s="60" t="b">
        <f>FALSE()</f>
        <v>0</v>
      </c>
      <c r="AD2674" s="60" t="b">
        <f>TRUE()</f>
        <v>1</v>
      </c>
      <c r="AE2674" s="60">
        <v>3</v>
      </c>
      <c r="AF2674" s="64">
        <v>42.9</v>
      </c>
      <c r="AG2674" s="60" t="s">
        <v>73</v>
      </c>
      <c r="AH2674" s="60" t="s">
        <v>10134</v>
      </c>
      <c r="AI2674">
        <f>IF(AND(OR(Company_Explorer!$B$5="All Companies",$E2674=Company_Explorer!$B$5),OR(Company_Explorer!$B$6="All Platforms",$B2674=Company_Explorer!$B$6),OR(Company_Explorer!$B$7="All Roles",$D2674=Company_Explorer!$B$7),OR(Company_Explorer!$B$8="All Ghost Labels",$AG2674=Company_Explorer!$B$8)),1,0)</f>
        <v>0</v>
      </c>
    </row>
    <row r="2675" spans="1:35" ht="15" customHeight="1" x14ac:dyDescent="0.3">
      <c r="A2675" s="65" t="s">
        <v>10135</v>
      </c>
      <c r="B2675" s="65" t="s">
        <v>82</v>
      </c>
      <c r="C2675" s="65" t="s">
        <v>10136</v>
      </c>
      <c r="D2675" s="65" t="s">
        <v>126</v>
      </c>
      <c r="E2675" s="65" t="s">
        <v>10137</v>
      </c>
      <c r="F2675" s="65" t="b">
        <f>TRUE()</f>
        <v>1</v>
      </c>
      <c r="G2675" s="65" t="s">
        <v>165</v>
      </c>
      <c r="H2675" s="65" t="s">
        <v>165</v>
      </c>
      <c r="I2675" s="66">
        <v>46207</v>
      </c>
      <c r="J2675" s="66">
        <v>46210.286334907403</v>
      </c>
      <c r="K2675" s="65">
        <v>125</v>
      </c>
      <c r="L2675" s="65" t="s">
        <v>192</v>
      </c>
      <c r="M2675" s="65" t="s">
        <v>183</v>
      </c>
      <c r="N2675" s="65" t="b">
        <f>FALSE()</f>
        <v>0</v>
      </c>
      <c r="O2675" s="65"/>
      <c r="P2675" s="65"/>
      <c r="Q2675" s="65" t="s">
        <v>3663</v>
      </c>
      <c r="R2675" s="65" t="s">
        <v>236</v>
      </c>
      <c r="S2675" s="65"/>
      <c r="T2675" s="65" t="b">
        <f>FALSE()</f>
        <v>0</v>
      </c>
      <c r="U2675" s="65" t="b">
        <f>FALSE()</f>
        <v>0</v>
      </c>
      <c r="V2675" s="65">
        <v>571</v>
      </c>
      <c r="W2675" s="67" t="s">
        <v>10138</v>
      </c>
      <c r="X2675" s="65">
        <v>1</v>
      </c>
      <c r="Y2675" s="68">
        <v>0.24</v>
      </c>
      <c r="Z2675" s="65" t="b">
        <f>FALSE()</f>
        <v>0</v>
      </c>
      <c r="AA2675" s="65" t="b">
        <f>TRUE()</f>
        <v>1</v>
      </c>
      <c r="AB2675" s="65" t="b">
        <f>FALSE()</f>
        <v>0</v>
      </c>
      <c r="AC2675" s="65" t="b">
        <f>TRUE()</f>
        <v>1</v>
      </c>
      <c r="AD2675" s="65" t="b">
        <f>FALSE()</f>
        <v>0</v>
      </c>
      <c r="AE2675" s="65">
        <v>2</v>
      </c>
      <c r="AF2675" s="69">
        <v>28.6</v>
      </c>
      <c r="AG2675" s="65" t="s">
        <v>73</v>
      </c>
      <c r="AH2675" s="65" t="s">
        <v>10139</v>
      </c>
      <c r="AI2675">
        <f>IF(AND(OR(Company_Explorer!$B$5="All Companies",$E2675=Company_Explorer!$B$5),OR(Company_Explorer!$B$6="All Platforms",$B2675=Company_Explorer!$B$6),OR(Company_Explorer!$B$7="All Roles",$D2675=Company_Explorer!$B$7),OR(Company_Explorer!$B$8="All Ghost Labels",$AG2675=Company_Explorer!$B$8)),1,0)</f>
        <v>0</v>
      </c>
    </row>
    <row r="2676" spans="1:35" ht="15" customHeight="1" x14ac:dyDescent="0.3">
      <c r="A2676" s="60" t="s">
        <v>10140</v>
      </c>
      <c r="B2676" s="60" t="s">
        <v>82</v>
      </c>
      <c r="C2676" s="60" t="s">
        <v>8751</v>
      </c>
      <c r="D2676" s="60" t="s">
        <v>128</v>
      </c>
      <c r="E2676" s="60" t="s">
        <v>10141</v>
      </c>
      <c r="F2676" s="60" t="b">
        <f>TRUE()</f>
        <v>1</v>
      </c>
      <c r="G2676" s="60" t="s">
        <v>165</v>
      </c>
      <c r="H2676" s="60" t="s">
        <v>165</v>
      </c>
      <c r="I2676" s="61">
        <v>46200</v>
      </c>
      <c r="J2676" s="61">
        <v>46210.286336030098</v>
      </c>
      <c r="K2676" s="60">
        <v>10</v>
      </c>
      <c r="L2676" s="60" t="s">
        <v>192</v>
      </c>
      <c r="M2676" s="60" t="s">
        <v>183</v>
      </c>
      <c r="N2676" s="60" t="b">
        <f>TRUE()</f>
        <v>1</v>
      </c>
      <c r="O2676" s="70">
        <v>300000</v>
      </c>
      <c r="P2676" s="70">
        <v>300000</v>
      </c>
      <c r="Q2676" s="60" t="s">
        <v>3663</v>
      </c>
      <c r="R2676" s="60" t="s">
        <v>7351</v>
      </c>
      <c r="S2676" s="70">
        <v>300000</v>
      </c>
      <c r="T2676" s="60" t="b">
        <f>TRUE()</f>
        <v>1</v>
      </c>
      <c r="U2676" s="60" t="b">
        <f>FALSE()</f>
        <v>0</v>
      </c>
      <c r="V2676" s="60">
        <v>263</v>
      </c>
      <c r="W2676" s="62" t="s">
        <v>10142</v>
      </c>
      <c r="X2676" s="60">
        <v>1</v>
      </c>
      <c r="Y2676" s="63">
        <v>0.24</v>
      </c>
      <c r="Z2676" s="60" t="b">
        <f>FALSE()</f>
        <v>0</v>
      </c>
      <c r="AA2676" s="60" t="b">
        <f>FALSE()</f>
        <v>0</v>
      </c>
      <c r="AB2676" s="60" t="b">
        <f>FALSE()</f>
        <v>0</v>
      </c>
      <c r="AC2676" s="60" t="b">
        <f>FALSE()</f>
        <v>0</v>
      </c>
      <c r="AD2676" s="60" t="b">
        <f>FALSE()</f>
        <v>0</v>
      </c>
      <c r="AE2676" s="60">
        <v>0</v>
      </c>
      <c r="AF2676" s="64">
        <v>0</v>
      </c>
      <c r="AG2676" s="60" t="s">
        <v>74</v>
      </c>
      <c r="AH2676" s="60" t="s">
        <v>10143</v>
      </c>
      <c r="AI2676">
        <f>IF(AND(OR(Company_Explorer!$B$5="All Companies",$E2676=Company_Explorer!$B$5),OR(Company_Explorer!$B$6="All Platforms",$B2676=Company_Explorer!$B$6),OR(Company_Explorer!$B$7="All Roles",$D2676=Company_Explorer!$B$7),OR(Company_Explorer!$B$8="All Ghost Labels",$AG2676=Company_Explorer!$B$8)),1,0)</f>
        <v>0</v>
      </c>
    </row>
    <row r="2677" spans="1:35" ht="15" customHeight="1" x14ac:dyDescent="0.3">
      <c r="A2677" s="65" t="s">
        <v>10144</v>
      </c>
      <c r="B2677" s="65" t="s">
        <v>82</v>
      </c>
      <c r="C2677" s="65" t="s">
        <v>10145</v>
      </c>
      <c r="D2677" s="65" t="s">
        <v>126</v>
      </c>
      <c r="E2677" s="65" t="s">
        <v>7877</v>
      </c>
      <c r="F2677" s="65" t="b">
        <f>TRUE()</f>
        <v>1</v>
      </c>
      <c r="G2677" s="65" t="s">
        <v>167</v>
      </c>
      <c r="H2677" s="65" t="s">
        <v>276</v>
      </c>
      <c r="I2677" s="66">
        <v>46191</v>
      </c>
      <c r="J2677" s="66">
        <v>46210.286338159698</v>
      </c>
      <c r="K2677" s="65">
        <v>19</v>
      </c>
      <c r="L2677" s="65" t="s">
        <v>192</v>
      </c>
      <c r="M2677" s="65" t="s">
        <v>183</v>
      </c>
      <c r="N2677" s="65" t="b">
        <f>TRUE()</f>
        <v>1</v>
      </c>
      <c r="O2677" s="71">
        <v>304000</v>
      </c>
      <c r="P2677" s="71">
        <v>810000</v>
      </c>
      <c r="Q2677" s="65" t="s">
        <v>3663</v>
      </c>
      <c r="R2677" s="65" t="s">
        <v>7351</v>
      </c>
      <c r="S2677" s="71">
        <v>557000</v>
      </c>
      <c r="T2677" s="65" t="b">
        <f>TRUE()</f>
        <v>1</v>
      </c>
      <c r="U2677" s="65" t="b">
        <f>FALSE()</f>
        <v>0</v>
      </c>
      <c r="V2677" s="65">
        <v>563</v>
      </c>
      <c r="W2677" s="67" t="s">
        <v>7878</v>
      </c>
      <c r="X2677" s="65">
        <v>8</v>
      </c>
      <c r="Y2677" s="68">
        <v>1.93</v>
      </c>
      <c r="Z2677" s="65" t="b">
        <f>FALSE()</f>
        <v>0</v>
      </c>
      <c r="AA2677" s="65" t="b">
        <f>FALSE()</f>
        <v>0</v>
      </c>
      <c r="AB2677" s="65" t="b">
        <f>FALSE()</f>
        <v>0</v>
      </c>
      <c r="AC2677" s="65" t="b">
        <f>FALSE()</f>
        <v>0</v>
      </c>
      <c r="AD2677" s="65" t="b">
        <f>FALSE()</f>
        <v>0</v>
      </c>
      <c r="AE2677" s="65">
        <v>0</v>
      </c>
      <c r="AF2677" s="69">
        <v>0</v>
      </c>
      <c r="AG2677" s="65" t="s">
        <v>74</v>
      </c>
      <c r="AH2677" s="65" t="s">
        <v>10146</v>
      </c>
      <c r="AI2677">
        <f>IF(AND(OR(Company_Explorer!$B$5="All Companies",$E2677=Company_Explorer!$B$5),OR(Company_Explorer!$B$6="All Platforms",$B2677=Company_Explorer!$B$6),OR(Company_Explorer!$B$7="All Roles",$D2677=Company_Explorer!$B$7),OR(Company_Explorer!$B$8="All Ghost Labels",$AG2677=Company_Explorer!$B$8)),1,0)</f>
        <v>0</v>
      </c>
    </row>
    <row r="2678" spans="1:35" ht="15" customHeight="1" x14ac:dyDescent="0.3">
      <c r="A2678" s="60" t="s">
        <v>10147</v>
      </c>
      <c r="B2678" s="60" t="s">
        <v>82</v>
      </c>
      <c r="C2678" s="60" t="s">
        <v>128</v>
      </c>
      <c r="D2678" s="60" t="s">
        <v>128</v>
      </c>
      <c r="E2678" s="60" t="s">
        <v>10148</v>
      </c>
      <c r="F2678" s="60" t="b">
        <f>TRUE()</f>
        <v>1</v>
      </c>
      <c r="G2678" s="60" t="s">
        <v>176</v>
      </c>
      <c r="H2678" s="60" t="s">
        <v>302</v>
      </c>
      <c r="I2678" s="61">
        <v>46205</v>
      </c>
      <c r="J2678" s="61">
        <v>46210.286341689804</v>
      </c>
      <c r="K2678" s="60">
        <v>67</v>
      </c>
      <c r="L2678" s="60" t="s">
        <v>192</v>
      </c>
      <c r="M2678" s="60" t="s">
        <v>183</v>
      </c>
      <c r="N2678" s="60" t="b">
        <f>TRUE()</f>
        <v>1</v>
      </c>
      <c r="O2678" s="70">
        <v>356000</v>
      </c>
      <c r="P2678" s="70">
        <v>630000</v>
      </c>
      <c r="Q2678" s="60" t="s">
        <v>3663</v>
      </c>
      <c r="R2678" s="60" t="s">
        <v>7351</v>
      </c>
      <c r="S2678" s="70">
        <v>493000</v>
      </c>
      <c r="T2678" s="60" t="b">
        <f>TRUE()</f>
        <v>1</v>
      </c>
      <c r="U2678" s="60" t="b">
        <f>FALSE()</f>
        <v>0</v>
      </c>
      <c r="V2678" s="60">
        <v>519</v>
      </c>
      <c r="W2678" s="62" t="s">
        <v>10149</v>
      </c>
      <c r="X2678" s="60">
        <v>1</v>
      </c>
      <c r="Y2678" s="63">
        <v>0.24</v>
      </c>
      <c r="Z2678" s="60" t="b">
        <f>FALSE()</f>
        <v>0</v>
      </c>
      <c r="AA2678" s="60" t="b">
        <f>FALSE()</f>
        <v>0</v>
      </c>
      <c r="AB2678" s="60" t="b">
        <f>FALSE()</f>
        <v>0</v>
      </c>
      <c r="AC2678" s="60" t="b">
        <f>FALSE()</f>
        <v>0</v>
      </c>
      <c r="AD2678" s="60" t="b">
        <f>FALSE()</f>
        <v>0</v>
      </c>
      <c r="AE2678" s="60">
        <v>0</v>
      </c>
      <c r="AF2678" s="64">
        <v>0</v>
      </c>
      <c r="AG2678" s="60" t="s">
        <v>74</v>
      </c>
      <c r="AH2678" s="60" t="s">
        <v>10150</v>
      </c>
      <c r="AI2678">
        <f>IF(AND(OR(Company_Explorer!$B$5="All Companies",$E2678=Company_Explorer!$B$5),OR(Company_Explorer!$B$6="All Platforms",$B2678=Company_Explorer!$B$6),OR(Company_Explorer!$B$7="All Roles",$D2678=Company_Explorer!$B$7),OR(Company_Explorer!$B$8="All Ghost Labels",$AG2678=Company_Explorer!$B$8)),1,0)</f>
        <v>0</v>
      </c>
    </row>
    <row r="2679" spans="1:35" ht="15" customHeight="1" x14ac:dyDescent="0.3">
      <c r="A2679" s="65" t="s">
        <v>10151</v>
      </c>
      <c r="B2679" s="65" t="s">
        <v>82</v>
      </c>
      <c r="C2679" s="65" t="s">
        <v>8751</v>
      </c>
      <c r="D2679" s="65" t="s">
        <v>128</v>
      </c>
      <c r="E2679" s="65" t="s">
        <v>10152</v>
      </c>
      <c r="F2679" s="65" t="b">
        <f>TRUE()</f>
        <v>1</v>
      </c>
      <c r="G2679" s="65" t="s">
        <v>165</v>
      </c>
      <c r="H2679" s="65" t="s">
        <v>165</v>
      </c>
      <c r="I2679" s="66">
        <v>46199</v>
      </c>
      <c r="J2679" s="66">
        <v>46210.286343287</v>
      </c>
      <c r="K2679" s="65">
        <v>42</v>
      </c>
      <c r="L2679" s="65" t="s">
        <v>183</v>
      </c>
      <c r="M2679" s="65" t="s">
        <v>183</v>
      </c>
      <c r="N2679" s="65" t="b">
        <f>FALSE()</f>
        <v>0</v>
      </c>
      <c r="O2679" s="65"/>
      <c r="P2679" s="65"/>
      <c r="Q2679" s="65" t="s">
        <v>3663</v>
      </c>
      <c r="R2679" s="65" t="s">
        <v>236</v>
      </c>
      <c r="S2679" s="65"/>
      <c r="T2679" s="65" t="b">
        <f>FALSE()</f>
        <v>0</v>
      </c>
      <c r="U2679" s="65" t="b">
        <f>FALSE()</f>
        <v>0</v>
      </c>
      <c r="V2679" s="65">
        <v>687</v>
      </c>
      <c r="W2679" s="67" t="s">
        <v>10153</v>
      </c>
      <c r="X2679" s="65">
        <v>1</v>
      </c>
      <c r="Y2679" s="68">
        <v>0.24</v>
      </c>
      <c r="Z2679" s="65" t="b">
        <f>FALSE()</f>
        <v>0</v>
      </c>
      <c r="AA2679" s="65" t="b">
        <f>TRUE()</f>
        <v>1</v>
      </c>
      <c r="AB2679" s="65" t="b">
        <f>FALSE()</f>
        <v>0</v>
      </c>
      <c r="AC2679" s="65" t="b">
        <f>FALSE()</f>
        <v>0</v>
      </c>
      <c r="AD2679" s="65" t="b">
        <f>FALSE()</f>
        <v>0</v>
      </c>
      <c r="AE2679" s="65">
        <v>1</v>
      </c>
      <c r="AF2679" s="69">
        <v>14.3</v>
      </c>
      <c r="AG2679" s="65" t="s">
        <v>74</v>
      </c>
      <c r="AH2679" s="65" t="s">
        <v>10154</v>
      </c>
      <c r="AI2679">
        <f>IF(AND(OR(Company_Explorer!$B$5="All Companies",$E2679=Company_Explorer!$B$5),OR(Company_Explorer!$B$6="All Platforms",$B2679=Company_Explorer!$B$6),OR(Company_Explorer!$B$7="All Roles",$D2679=Company_Explorer!$B$7),OR(Company_Explorer!$B$8="All Ghost Labels",$AG2679=Company_Explorer!$B$8)),1,0)</f>
        <v>0</v>
      </c>
    </row>
    <row r="2680" spans="1:35" ht="15" customHeight="1" x14ac:dyDescent="0.3">
      <c r="A2680" s="60" t="s">
        <v>10155</v>
      </c>
      <c r="B2680" s="60" t="s">
        <v>82</v>
      </c>
      <c r="C2680" s="60" t="s">
        <v>7285</v>
      </c>
      <c r="D2680" s="60" t="s">
        <v>128</v>
      </c>
      <c r="E2680" s="60" t="s">
        <v>10156</v>
      </c>
      <c r="F2680" s="60" t="b">
        <f>TRUE()</f>
        <v>1</v>
      </c>
      <c r="G2680" s="60" t="s">
        <v>165</v>
      </c>
      <c r="H2680" s="60" t="s">
        <v>165</v>
      </c>
      <c r="I2680" s="61">
        <v>46198</v>
      </c>
      <c r="J2680" s="61">
        <v>46210.286343911997</v>
      </c>
      <c r="K2680" s="60">
        <v>12</v>
      </c>
      <c r="L2680" s="60" t="s">
        <v>183</v>
      </c>
      <c r="M2680" s="60" t="s">
        <v>183</v>
      </c>
      <c r="N2680" s="60" t="b">
        <f>FALSE()</f>
        <v>0</v>
      </c>
      <c r="O2680" s="60"/>
      <c r="P2680" s="60"/>
      <c r="Q2680" s="60" t="s">
        <v>3663</v>
      </c>
      <c r="R2680" s="60" t="s">
        <v>236</v>
      </c>
      <c r="S2680" s="60"/>
      <c r="T2680" s="60" t="b">
        <f>FALSE()</f>
        <v>0</v>
      </c>
      <c r="U2680" s="60" t="b">
        <f>FALSE()</f>
        <v>0</v>
      </c>
      <c r="V2680" s="60">
        <v>207</v>
      </c>
      <c r="W2680" s="62" t="s">
        <v>10157</v>
      </c>
      <c r="X2680" s="60">
        <v>1</v>
      </c>
      <c r="Y2680" s="63">
        <v>0.24</v>
      </c>
      <c r="Z2680" s="60" t="b">
        <f>FALSE()</f>
        <v>0</v>
      </c>
      <c r="AA2680" s="60" t="b">
        <f>TRUE()</f>
        <v>1</v>
      </c>
      <c r="AB2680" s="60" t="b">
        <f>TRUE()</f>
        <v>1</v>
      </c>
      <c r="AC2680" s="60" t="b">
        <f>FALSE()</f>
        <v>0</v>
      </c>
      <c r="AD2680" s="60" t="b">
        <f>FALSE()</f>
        <v>0</v>
      </c>
      <c r="AE2680" s="60">
        <v>2</v>
      </c>
      <c r="AF2680" s="64">
        <v>28.6</v>
      </c>
      <c r="AG2680" s="60" t="s">
        <v>73</v>
      </c>
      <c r="AH2680" s="60" t="s">
        <v>10158</v>
      </c>
      <c r="AI2680">
        <f>IF(AND(OR(Company_Explorer!$B$5="All Companies",$E2680=Company_Explorer!$B$5),OR(Company_Explorer!$B$6="All Platforms",$B2680=Company_Explorer!$B$6),OR(Company_Explorer!$B$7="All Roles",$D2680=Company_Explorer!$B$7),OR(Company_Explorer!$B$8="All Ghost Labels",$AG2680=Company_Explorer!$B$8)),1,0)</f>
        <v>0</v>
      </c>
    </row>
    <row r="2681" spans="1:35" ht="15" customHeight="1" x14ac:dyDescent="0.3">
      <c r="A2681" s="65" t="s">
        <v>10159</v>
      </c>
      <c r="B2681" s="65" t="s">
        <v>82</v>
      </c>
      <c r="C2681" s="65" t="s">
        <v>132</v>
      </c>
      <c r="D2681" s="65" t="s">
        <v>132</v>
      </c>
      <c r="E2681" s="65" t="s">
        <v>154</v>
      </c>
      <c r="F2681" s="65" t="b">
        <f>TRUE()</f>
        <v>1</v>
      </c>
      <c r="G2681" s="65" t="s">
        <v>175</v>
      </c>
      <c r="H2681" s="65" t="s">
        <v>254</v>
      </c>
      <c r="I2681" s="66">
        <v>46210</v>
      </c>
      <c r="J2681" s="66">
        <v>46210.286344016196</v>
      </c>
      <c r="K2681" s="65">
        <v>1</v>
      </c>
      <c r="L2681" s="65" t="s">
        <v>192</v>
      </c>
      <c r="M2681" s="65" t="s">
        <v>183</v>
      </c>
      <c r="N2681" s="65" t="b">
        <f>FALSE()</f>
        <v>0</v>
      </c>
      <c r="O2681" s="65"/>
      <c r="P2681" s="65"/>
      <c r="Q2681" s="65" t="s">
        <v>3663</v>
      </c>
      <c r="R2681" s="65" t="s">
        <v>236</v>
      </c>
      <c r="S2681" s="65"/>
      <c r="T2681" s="65" t="b">
        <f>FALSE()</f>
        <v>0</v>
      </c>
      <c r="U2681" s="65" t="b">
        <f>FALSE()</f>
        <v>0</v>
      </c>
      <c r="V2681" s="65">
        <v>740</v>
      </c>
      <c r="W2681" s="65" t="s">
        <v>3893</v>
      </c>
      <c r="X2681" s="65">
        <v>16</v>
      </c>
      <c r="Y2681" s="68">
        <v>3.86</v>
      </c>
      <c r="Z2681" s="65" t="b">
        <f>FALSE()</f>
        <v>0</v>
      </c>
      <c r="AA2681" s="65" t="b">
        <f>TRUE()</f>
        <v>1</v>
      </c>
      <c r="AB2681" s="65" t="b">
        <f>FALSE()</f>
        <v>0</v>
      </c>
      <c r="AC2681" s="65" t="b">
        <f>FALSE()</f>
        <v>0</v>
      </c>
      <c r="AD2681" s="65" t="b">
        <f>TRUE()</f>
        <v>1</v>
      </c>
      <c r="AE2681" s="65">
        <v>3</v>
      </c>
      <c r="AF2681" s="69">
        <v>42.9</v>
      </c>
      <c r="AG2681" s="65" t="s">
        <v>73</v>
      </c>
      <c r="AH2681" s="65" t="s">
        <v>10160</v>
      </c>
      <c r="AI2681">
        <f>IF(AND(OR(Company_Explorer!$B$5="All Companies",$E2681=Company_Explorer!$B$5),OR(Company_Explorer!$B$6="All Platforms",$B2681=Company_Explorer!$B$6),OR(Company_Explorer!$B$7="All Roles",$D2681=Company_Explorer!$B$7),OR(Company_Explorer!$B$8="All Ghost Labels",$AG2681=Company_Explorer!$B$8)),1,0)</f>
        <v>0</v>
      </c>
    </row>
    <row r="2682" spans="1:35" ht="15" customHeight="1" x14ac:dyDescent="0.3">
      <c r="A2682" s="60" t="s">
        <v>10161</v>
      </c>
      <c r="B2682" s="60" t="s">
        <v>82</v>
      </c>
      <c r="C2682" s="60" t="s">
        <v>9228</v>
      </c>
      <c r="D2682" s="60" t="s">
        <v>126</v>
      </c>
      <c r="E2682" s="60" t="s">
        <v>152</v>
      </c>
      <c r="F2682" s="60" t="b">
        <f>TRUE()</f>
        <v>1</v>
      </c>
      <c r="G2682" s="60" t="s">
        <v>165</v>
      </c>
      <c r="H2682" s="60" t="s">
        <v>165</v>
      </c>
      <c r="I2682" s="61">
        <v>46196</v>
      </c>
      <c r="J2682" s="61">
        <v>46210.286346875</v>
      </c>
      <c r="K2682" s="60">
        <v>46</v>
      </c>
      <c r="L2682" s="60" t="s">
        <v>192</v>
      </c>
      <c r="M2682" s="60" t="s">
        <v>183</v>
      </c>
      <c r="N2682" s="60" t="b">
        <f>FALSE()</f>
        <v>0</v>
      </c>
      <c r="O2682" s="60"/>
      <c r="P2682" s="60"/>
      <c r="Q2682" s="60" t="s">
        <v>3663</v>
      </c>
      <c r="R2682" s="60" t="s">
        <v>236</v>
      </c>
      <c r="S2682" s="60"/>
      <c r="T2682" s="60" t="b">
        <f>FALSE()</f>
        <v>0</v>
      </c>
      <c r="U2682" s="60" t="b">
        <f>FALSE()</f>
        <v>0</v>
      </c>
      <c r="V2682" s="60">
        <v>334</v>
      </c>
      <c r="W2682" s="62" t="s">
        <v>10162</v>
      </c>
      <c r="X2682" s="60">
        <v>17</v>
      </c>
      <c r="Y2682" s="63">
        <v>4.0999999999999996</v>
      </c>
      <c r="Z2682" s="60" t="b">
        <f>FALSE()</f>
        <v>0</v>
      </c>
      <c r="AA2682" s="60" t="b">
        <f>TRUE()</f>
        <v>1</v>
      </c>
      <c r="AB2682" s="60" t="b">
        <f>FALSE()</f>
        <v>0</v>
      </c>
      <c r="AC2682" s="60" t="b">
        <f>FALSE()</f>
        <v>0</v>
      </c>
      <c r="AD2682" s="60" t="b">
        <f>TRUE()</f>
        <v>1</v>
      </c>
      <c r="AE2682" s="60">
        <v>3</v>
      </c>
      <c r="AF2682" s="64">
        <v>42.9</v>
      </c>
      <c r="AG2682" s="60" t="s">
        <v>73</v>
      </c>
      <c r="AH2682" s="60" t="s">
        <v>10163</v>
      </c>
      <c r="AI2682">
        <f>IF(AND(OR(Company_Explorer!$B$5="All Companies",$E2682=Company_Explorer!$B$5),OR(Company_Explorer!$B$6="All Platforms",$B2682=Company_Explorer!$B$6),OR(Company_Explorer!$B$7="All Roles",$D2682=Company_Explorer!$B$7),OR(Company_Explorer!$B$8="All Ghost Labels",$AG2682=Company_Explorer!$B$8)),1,0)</f>
        <v>0</v>
      </c>
    </row>
    <row r="2683" spans="1:35" ht="15" customHeight="1" x14ac:dyDescent="0.3">
      <c r="A2683" s="65" t="s">
        <v>10164</v>
      </c>
      <c r="B2683" s="65" t="s">
        <v>82</v>
      </c>
      <c r="C2683" s="65" t="s">
        <v>10165</v>
      </c>
      <c r="D2683" s="65" t="s">
        <v>128</v>
      </c>
      <c r="E2683" s="65" t="s">
        <v>3726</v>
      </c>
      <c r="F2683" s="65" t="b">
        <f>FALSE()</f>
        <v>0</v>
      </c>
      <c r="G2683" s="65" t="s">
        <v>165</v>
      </c>
      <c r="H2683" s="65" t="s">
        <v>165</v>
      </c>
      <c r="I2683" s="66">
        <v>46198</v>
      </c>
      <c r="J2683" s="66">
        <v>46210.286347048597</v>
      </c>
      <c r="K2683" s="65">
        <v>12</v>
      </c>
      <c r="L2683" s="65" t="s">
        <v>194</v>
      </c>
      <c r="M2683" s="65" t="s">
        <v>183</v>
      </c>
      <c r="N2683" s="65" t="b">
        <f>TRUE()</f>
        <v>1</v>
      </c>
      <c r="O2683" s="71">
        <v>398684</v>
      </c>
      <c r="P2683" s="71">
        <v>1654587</v>
      </c>
      <c r="Q2683" s="65" t="s">
        <v>3663</v>
      </c>
      <c r="R2683" s="65" t="s">
        <v>7351</v>
      </c>
      <c r="S2683" s="71">
        <v>1026636</v>
      </c>
      <c r="T2683" s="65" t="b">
        <f>TRUE()</f>
        <v>1</v>
      </c>
      <c r="U2683" s="65" t="b">
        <f>FALSE()</f>
        <v>0</v>
      </c>
      <c r="V2683" s="65">
        <v>411</v>
      </c>
      <c r="W2683" s="67" t="s">
        <v>10166</v>
      </c>
      <c r="X2683" s="65"/>
      <c r="Y2683" s="68"/>
      <c r="Z2683" s="65" t="b">
        <f>TRUE()</f>
        <v>1</v>
      </c>
      <c r="AA2683" s="65" t="b">
        <f>FALSE()</f>
        <v>0</v>
      </c>
      <c r="AB2683" s="65" t="b">
        <f>FALSE()</f>
        <v>0</v>
      </c>
      <c r="AC2683" s="65" t="b">
        <f>FALSE()</f>
        <v>0</v>
      </c>
      <c r="AD2683" s="65" t="b">
        <f>FALSE()</f>
        <v>0</v>
      </c>
      <c r="AE2683" s="65">
        <v>2</v>
      </c>
      <c r="AF2683" s="69">
        <v>28.6</v>
      </c>
      <c r="AG2683" s="65" t="s">
        <v>73</v>
      </c>
      <c r="AH2683" s="65" t="s">
        <v>10167</v>
      </c>
      <c r="AI2683">
        <f>IF(AND(OR(Company_Explorer!$B$5="All Companies",$E2683=Company_Explorer!$B$5),OR(Company_Explorer!$B$6="All Platforms",$B2683=Company_Explorer!$B$6),OR(Company_Explorer!$B$7="All Roles",$D2683=Company_Explorer!$B$7),OR(Company_Explorer!$B$8="All Ghost Labels",$AG2683=Company_Explorer!$B$8)),1,0)</f>
        <v>0</v>
      </c>
    </row>
    <row r="2684" spans="1:35" ht="15" customHeight="1" x14ac:dyDescent="0.3">
      <c r="A2684" s="60" t="s">
        <v>10168</v>
      </c>
      <c r="B2684" s="60" t="s">
        <v>82</v>
      </c>
      <c r="C2684" s="60" t="s">
        <v>10169</v>
      </c>
      <c r="D2684" s="60" t="s">
        <v>132</v>
      </c>
      <c r="E2684" s="60" t="s">
        <v>7637</v>
      </c>
      <c r="F2684" s="60" t="b">
        <f>TRUE()</f>
        <v>1</v>
      </c>
      <c r="G2684" s="60" t="s">
        <v>166</v>
      </c>
      <c r="H2684" s="60" t="s">
        <v>235</v>
      </c>
      <c r="I2684" s="61">
        <v>46198</v>
      </c>
      <c r="J2684" s="61">
        <v>46210.286346932902</v>
      </c>
      <c r="K2684" s="60">
        <v>13</v>
      </c>
      <c r="L2684" s="60" t="s">
        <v>192</v>
      </c>
      <c r="M2684" s="60" t="s">
        <v>183</v>
      </c>
      <c r="N2684" s="60" t="b">
        <f>FALSE()</f>
        <v>0</v>
      </c>
      <c r="O2684" s="60"/>
      <c r="P2684" s="60"/>
      <c r="Q2684" s="60" t="s">
        <v>3663</v>
      </c>
      <c r="R2684" s="60" t="s">
        <v>236</v>
      </c>
      <c r="S2684" s="60"/>
      <c r="T2684" s="60" t="b">
        <f>FALSE()</f>
        <v>0</v>
      </c>
      <c r="U2684" s="60" t="b">
        <f>FALSE()</f>
        <v>0</v>
      </c>
      <c r="V2684" s="60">
        <v>1078</v>
      </c>
      <c r="W2684" s="62" t="s">
        <v>10170</v>
      </c>
      <c r="X2684" s="60">
        <v>2</v>
      </c>
      <c r="Y2684" s="63">
        <v>0.48</v>
      </c>
      <c r="Z2684" s="60" t="b">
        <f>FALSE()</f>
        <v>0</v>
      </c>
      <c r="AA2684" s="60" t="b">
        <f>TRUE()</f>
        <v>1</v>
      </c>
      <c r="AB2684" s="60" t="b">
        <f>FALSE()</f>
        <v>0</v>
      </c>
      <c r="AC2684" s="60" t="b">
        <f>FALSE()</f>
        <v>0</v>
      </c>
      <c r="AD2684" s="60" t="b">
        <f>FALSE()</f>
        <v>0</v>
      </c>
      <c r="AE2684" s="60">
        <v>1</v>
      </c>
      <c r="AF2684" s="64">
        <v>14.3</v>
      </c>
      <c r="AG2684" s="60" t="s">
        <v>74</v>
      </c>
      <c r="AH2684" s="60" t="s">
        <v>10171</v>
      </c>
      <c r="AI2684">
        <f>IF(AND(OR(Company_Explorer!$B$5="All Companies",$E2684=Company_Explorer!$B$5),OR(Company_Explorer!$B$6="All Platforms",$B2684=Company_Explorer!$B$6),OR(Company_Explorer!$B$7="All Roles",$D2684=Company_Explorer!$B$7),OR(Company_Explorer!$B$8="All Ghost Labels",$AG2684=Company_Explorer!$B$8)),1,0)</f>
        <v>0</v>
      </c>
    </row>
    <row r="2685" spans="1:35" ht="15" customHeight="1" x14ac:dyDescent="0.3">
      <c r="A2685" s="65" t="s">
        <v>10172</v>
      </c>
      <c r="B2685" s="65" t="s">
        <v>82</v>
      </c>
      <c r="C2685" s="65" t="s">
        <v>10173</v>
      </c>
      <c r="D2685" s="65" t="s">
        <v>126</v>
      </c>
      <c r="E2685" s="65" t="s">
        <v>3726</v>
      </c>
      <c r="F2685" s="65" t="b">
        <f>FALSE()</f>
        <v>0</v>
      </c>
      <c r="G2685" s="65" t="s">
        <v>10174</v>
      </c>
      <c r="H2685" s="65" t="s">
        <v>270</v>
      </c>
      <c r="I2685" s="66">
        <v>46187</v>
      </c>
      <c r="J2685" s="66">
        <v>46210.286349710601</v>
      </c>
      <c r="K2685" s="65">
        <v>84</v>
      </c>
      <c r="L2685" s="65" t="s">
        <v>192</v>
      </c>
      <c r="M2685" s="65" t="s">
        <v>183</v>
      </c>
      <c r="N2685" s="65" t="b">
        <f>FALSE()</f>
        <v>0</v>
      </c>
      <c r="O2685" s="65"/>
      <c r="P2685" s="65"/>
      <c r="Q2685" s="65" t="s">
        <v>3663</v>
      </c>
      <c r="R2685" s="65" t="s">
        <v>236</v>
      </c>
      <c r="S2685" s="65"/>
      <c r="T2685" s="65" t="b">
        <f>FALSE()</f>
        <v>0</v>
      </c>
      <c r="U2685" s="65" t="b">
        <f>FALSE()</f>
        <v>0</v>
      </c>
      <c r="V2685" s="65">
        <v>1130</v>
      </c>
      <c r="W2685" s="67" t="s">
        <v>10175</v>
      </c>
      <c r="X2685" s="65"/>
      <c r="Y2685" s="68"/>
      <c r="Z2685" s="65" t="b">
        <f>TRUE()</f>
        <v>1</v>
      </c>
      <c r="AA2685" s="65" t="b">
        <f>TRUE()</f>
        <v>1</v>
      </c>
      <c r="AB2685" s="65" t="b">
        <f>FALSE()</f>
        <v>0</v>
      </c>
      <c r="AC2685" s="65" t="b">
        <f>FALSE()</f>
        <v>0</v>
      </c>
      <c r="AD2685" s="65" t="b">
        <f>FALSE()</f>
        <v>0</v>
      </c>
      <c r="AE2685" s="65">
        <v>3</v>
      </c>
      <c r="AF2685" s="69">
        <v>42.9</v>
      </c>
      <c r="AG2685" s="65" t="s">
        <v>73</v>
      </c>
      <c r="AH2685" s="65" t="s">
        <v>10176</v>
      </c>
      <c r="AI2685">
        <f>IF(AND(OR(Company_Explorer!$B$5="All Companies",$E2685=Company_Explorer!$B$5),OR(Company_Explorer!$B$6="All Platforms",$B2685=Company_Explorer!$B$6),OR(Company_Explorer!$B$7="All Roles",$D2685=Company_Explorer!$B$7),OR(Company_Explorer!$B$8="All Ghost Labels",$AG2685=Company_Explorer!$B$8)),1,0)</f>
        <v>0</v>
      </c>
    </row>
    <row r="2686" spans="1:35" ht="15" customHeight="1" x14ac:dyDescent="0.3">
      <c r="A2686" s="60" t="s">
        <v>10177</v>
      </c>
      <c r="B2686" s="60" t="s">
        <v>82</v>
      </c>
      <c r="C2686" s="60" t="s">
        <v>8726</v>
      </c>
      <c r="D2686" s="60" t="s">
        <v>125</v>
      </c>
      <c r="E2686" s="60" t="s">
        <v>7877</v>
      </c>
      <c r="F2686" s="60" t="b">
        <f>TRUE()</f>
        <v>1</v>
      </c>
      <c r="G2686" s="60" t="s">
        <v>165</v>
      </c>
      <c r="H2686" s="60" t="s">
        <v>165</v>
      </c>
      <c r="I2686" s="61">
        <v>46206</v>
      </c>
      <c r="J2686" s="61">
        <v>46210.286349768503</v>
      </c>
      <c r="K2686" s="60">
        <v>95</v>
      </c>
      <c r="L2686" s="60" t="s">
        <v>192</v>
      </c>
      <c r="M2686" s="60" t="s">
        <v>183</v>
      </c>
      <c r="N2686" s="60" t="b">
        <f>FALSE()</f>
        <v>0</v>
      </c>
      <c r="O2686" s="60"/>
      <c r="P2686" s="60"/>
      <c r="Q2686" s="60" t="s">
        <v>3663</v>
      </c>
      <c r="R2686" s="60" t="s">
        <v>236</v>
      </c>
      <c r="S2686" s="60"/>
      <c r="T2686" s="60" t="b">
        <f>FALSE()</f>
        <v>0</v>
      </c>
      <c r="U2686" s="60" t="b">
        <f>FALSE()</f>
        <v>0</v>
      </c>
      <c r="V2686" s="60">
        <v>891</v>
      </c>
      <c r="W2686" s="62" t="s">
        <v>7878</v>
      </c>
      <c r="X2686" s="60">
        <v>8</v>
      </c>
      <c r="Y2686" s="63">
        <v>1.93</v>
      </c>
      <c r="Z2686" s="60" t="b">
        <f>FALSE()</f>
        <v>0</v>
      </c>
      <c r="AA2686" s="60" t="b">
        <f>TRUE()</f>
        <v>1</v>
      </c>
      <c r="AB2686" s="60" t="b">
        <f>FALSE()</f>
        <v>0</v>
      </c>
      <c r="AC2686" s="60" t="b">
        <f>FALSE()</f>
        <v>0</v>
      </c>
      <c r="AD2686" s="60" t="b">
        <f>FALSE()</f>
        <v>0</v>
      </c>
      <c r="AE2686" s="60">
        <v>1</v>
      </c>
      <c r="AF2686" s="64">
        <v>14.3</v>
      </c>
      <c r="AG2686" s="60" t="s">
        <v>74</v>
      </c>
      <c r="AH2686" s="60" t="s">
        <v>10178</v>
      </c>
      <c r="AI2686">
        <f>IF(AND(OR(Company_Explorer!$B$5="All Companies",$E2686=Company_Explorer!$B$5),OR(Company_Explorer!$B$6="All Platforms",$B2686=Company_Explorer!$B$6),OR(Company_Explorer!$B$7="All Roles",$D2686=Company_Explorer!$B$7),OR(Company_Explorer!$B$8="All Ghost Labels",$AG2686=Company_Explorer!$B$8)),1,0)</f>
        <v>0</v>
      </c>
    </row>
    <row r="2687" spans="1:35" ht="15" customHeight="1" x14ac:dyDescent="0.3">
      <c r="A2687" s="65" t="s">
        <v>10179</v>
      </c>
      <c r="B2687" s="65" t="s">
        <v>82</v>
      </c>
      <c r="C2687" s="65" t="s">
        <v>8500</v>
      </c>
      <c r="D2687" s="65" t="s">
        <v>126</v>
      </c>
      <c r="E2687" s="65" t="s">
        <v>152</v>
      </c>
      <c r="F2687" s="65" t="b">
        <f>TRUE()</f>
        <v>1</v>
      </c>
      <c r="G2687" s="65" t="s">
        <v>165</v>
      </c>
      <c r="H2687" s="65" t="s">
        <v>165</v>
      </c>
      <c r="I2687" s="66">
        <v>46193</v>
      </c>
      <c r="J2687" s="66">
        <v>46210.286352499999</v>
      </c>
      <c r="K2687" s="65">
        <v>18</v>
      </c>
      <c r="L2687" s="65" t="s">
        <v>192</v>
      </c>
      <c r="M2687" s="65" t="s">
        <v>183</v>
      </c>
      <c r="N2687" s="65" t="b">
        <f>FALSE()</f>
        <v>0</v>
      </c>
      <c r="O2687" s="65"/>
      <c r="P2687" s="65"/>
      <c r="Q2687" s="65" t="s">
        <v>3663</v>
      </c>
      <c r="R2687" s="65" t="s">
        <v>236</v>
      </c>
      <c r="S2687" s="65"/>
      <c r="T2687" s="65" t="b">
        <f>FALSE()</f>
        <v>0</v>
      </c>
      <c r="U2687" s="65" t="b">
        <f>FALSE()</f>
        <v>0</v>
      </c>
      <c r="V2687" s="65">
        <v>340</v>
      </c>
      <c r="W2687" s="67" t="s">
        <v>10180</v>
      </c>
      <c r="X2687" s="65">
        <v>17</v>
      </c>
      <c r="Y2687" s="68">
        <v>4.0999999999999996</v>
      </c>
      <c r="Z2687" s="65" t="b">
        <f>FALSE()</f>
        <v>0</v>
      </c>
      <c r="AA2687" s="65" t="b">
        <f>TRUE()</f>
        <v>1</v>
      </c>
      <c r="AB2687" s="65" t="b">
        <f>FALSE()</f>
        <v>0</v>
      </c>
      <c r="AC2687" s="65" t="b">
        <f>FALSE()</f>
        <v>0</v>
      </c>
      <c r="AD2687" s="65" t="b">
        <f>TRUE()</f>
        <v>1</v>
      </c>
      <c r="AE2687" s="65">
        <v>3</v>
      </c>
      <c r="AF2687" s="69">
        <v>42.9</v>
      </c>
      <c r="AG2687" s="65" t="s">
        <v>73</v>
      </c>
      <c r="AH2687" s="65" t="s">
        <v>10181</v>
      </c>
      <c r="AI2687">
        <f>IF(AND(OR(Company_Explorer!$B$5="All Companies",$E2687=Company_Explorer!$B$5),OR(Company_Explorer!$B$6="All Platforms",$B2687=Company_Explorer!$B$6),OR(Company_Explorer!$B$7="All Roles",$D2687=Company_Explorer!$B$7),OR(Company_Explorer!$B$8="All Ghost Labels",$AG2687=Company_Explorer!$B$8)),1,0)</f>
        <v>0</v>
      </c>
    </row>
    <row r="2688" spans="1:35" ht="15" customHeight="1" x14ac:dyDescent="0.3">
      <c r="A2688" s="60" t="s">
        <v>10182</v>
      </c>
      <c r="B2688" s="60" t="s">
        <v>82</v>
      </c>
      <c r="C2688" s="60" t="s">
        <v>10183</v>
      </c>
      <c r="D2688" s="60" t="s">
        <v>125</v>
      </c>
      <c r="E2688" s="60" t="s">
        <v>10184</v>
      </c>
      <c r="F2688" s="60" t="b">
        <f>TRUE()</f>
        <v>1</v>
      </c>
      <c r="G2688" s="60" t="s">
        <v>165</v>
      </c>
      <c r="H2688" s="60" t="s">
        <v>165</v>
      </c>
      <c r="I2688" s="61">
        <v>46206</v>
      </c>
      <c r="J2688" s="61">
        <v>46210.286353588002</v>
      </c>
      <c r="K2688" s="60">
        <v>4</v>
      </c>
      <c r="L2688" s="60" t="s">
        <v>192</v>
      </c>
      <c r="M2688" s="60" t="s">
        <v>183</v>
      </c>
      <c r="N2688" s="60" t="b">
        <f>TRUE()</f>
        <v>1</v>
      </c>
      <c r="O2688" s="70">
        <v>650000</v>
      </c>
      <c r="P2688" s="70">
        <v>750000</v>
      </c>
      <c r="Q2688" s="60" t="s">
        <v>3663</v>
      </c>
      <c r="R2688" s="60" t="s">
        <v>7351</v>
      </c>
      <c r="S2688" s="70">
        <v>700000</v>
      </c>
      <c r="T2688" s="60" t="b">
        <f>TRUE()</f>
        <v>1</v>
      </c>
      <c r="U2688" s="60" t="b">
        <f>FALSE()</f>
        <v>0</v>
      </c>
      <c r="V2688" s="60">
        <v>696</v>
      </c>
      <c r="W2688" s="62" t="s">
        <v>10185</v>
      </c>
      <c r="X2688" s="60">
        <v>1</v>
      </c>
      <c r="Y2688" s="63">
        <v>0.24</v>
      </c>
      <c r="Z2688" s="60" t="b">
        <f>FALSE()</f>
        <v>0</v>
      </c>
      <c r="AA2688" s="60" t="b">
        <f>FALSE()</f>
        <v>0</v>
      </c>
      <c r="AB2688" s="60" t="b">
        <f>FALSE()</f>
        <v>0</v>
      </c>
      <c r="AC2688" s="60" t="b">
        <f>FALSE()</f>
        <v>0</v>
      </c>
      <c r="AD2688" s="60" t="b">
        <f>FALSE()</f>
        <v>0</v>
      </c>
      <c r="AE2688" s="60">
        <v>0</v>
      </c>
      <c r="AF2688" s="64">
        <v>0</v>
      </c>
      <c r="AG2688" s="60" t="s">
        <v>74</v>
      </c>
      <c r="AH2688" s="60" t="s">
        <v>10186</v>
      </c>
      <c r="AI2688">
        <f>IF(AND(OR(Company_Explorer!$B$5="All Companies",$E2688=Company_Explorer!$B$5),OR(Company_Explorer!$B$6="All Platforms",$B2688=Company_Explorer!$B$6),OR(Company_Explorer!$B$7="All Roles",$D2688=Company_Explorer!$B$7),OR(Company_Explorer!$B$8="All Ghost Labels",$AG2688=Company_Explorer!$B$8)),1,0)</f>
        <v>0</v>
      </c>
    </row>
    <row r="2689" spans="1:35" ht="15" customHeight="1" x14ac:dyDescent="0.3">
      <c r="A2689" s="65" t="s">
        <v>10187</v>
      </c>
      <c r="B2689" s="65" t="s">
        <v>82</v>
      </c>
      <c r="C2689" s="65" t="s">
        <v>7285</v>
      </c>
      <c r="D2689" s="65" t="s">
        <v>128</v>
      </c>
      <c r="E2689" s="65" t="s">
        <v>3726</v>
      </c>
      <c r="F2689" s="65" t="b">
        <f>FALSE()</f>
        <v>0</v>
      </c>
      <c r="G2689" s="65" t="s">
        <v>545</v>
      </c>
      <c r="H2689" s="65" t="s">
        <v>270</v>
      </c>
      <c r="I2689" s="66">
        <v>46186</v>
      </c>
      <c r="J2689" s="66">
        <v>46210.286354421303</v>
      </c>
      <c r="K2689" s="65">
        <v>25</v>
      </c>
      <c r="L2689" s="65" t="s">
        <v>192</v>
      </c>
      <c r="M2689" s="65" t="s">
        <v>183</v>
      </c>
      <c r="N2689" s="65" t="b">
        <f>TRUE()</f>
        <v>1</v>
      </c>
      <c r="O2689" s="71">
        <v>864901</v>
      </c>
      <c r="P2689" s="71">
        <v>1161276</v>
      </c>
      <c r="Q2689" s="65" t="s">
        <v>3663</v>
      </c>
      <c r="R2689" s="65" t="s">
        <v>7351</v>
      </c>
      <c r="S2689" s="71">
        <v>1013088</v>
      </c>
      <c r="T2689" s="65" t="b">
        <f>TRUE()</f>
        <v>1</v>
      </c>
      <c r="U2689" s="65" t="b">
        <f>FALSE()</f>
        <v>0</v>
      </c>
      <c r="V2689" s="65">
        <v>346</v>
      </c>
      <c r="W2689" s="67" t="s">
        <v>10188</v>
      </c>
      <c r="X2689" s="65"/>
      <c r="Y2689" s="68"/>
      <c r="Z2689" s="65" t="b">
        <f>TRUE()</f>
        <v>1</v>
      </c>
      <c r="AA2689" s="65" t="b">
        <f>FALSE()</f>
        <v>0</v>
      </c>
      <c r="AB2689" s="65" t="b">
        <f>FALSE()</f>
        <v>0</v>
      </c>
      <c r="AC2689" s="65" t="b">
        <f>FALSE()</f>
        <v>0</v>
      </c>
      <c r="AD2689" s="65" t="b">
        <f>FALSE()</f>
        <v>0</v>
      </c>
      <c r="AE2689" s="65">
        <v>2</v>
      </c>
      <c r="AF2689" s="69">
        <v>28.6</v>
      </c>
      <c r="AG2689" s="65" t="s">
        <v>73</v>
      </c>
      <c r="AH2689" s="65" t="s">
        <v>10189</v>
      </c>
      <c r="AI2689">
        <f>IF(AND(OR(Company_Explorer!$B$5="All Companies",$E2689=Company_Explorer!$B$5),OR(Company_Explorer!$B$6="All Platforms",$B2689=Company_Explorer!$B$6),OR(Company_Explorer!$B$7="All Roles",$D2689=Company_Explorer!$B$7),OR(Company_Explorer!$B$8="All Ghost Labels",$AG2689=Company_Explorer!$B$8)),1,0)</f>
        <v>0</v>
      </c>
    </row>
    <row r="2690" spans="1:35" ht="15" customHeight="1" x14ac:dyDescent="0.3">
      <c r="A2690" s="60" t="s">
        <v>10190</v>
      </c>
      <c r="B2690" s="60" t="s">
        <v>82</v>
      </c>
      <c r="C2690" s="60" t="s">
        <v>7285</v>
      </c>
      <c r="D2690" s="60" t="s">
        <v>128</v>
      </c>
      <c r="E2690" s="60" t="s">
        <v>10191</v>
      </c>
      <c r="F2690" s="60" t="b">
        <f>TRUE()</f>
        <v>1</v>
      </c>
      <c r="G2690" s="60" t="s">
        <v>165</v>
      </c>
      <c r="H2690" s="60" t="s">
        <v>165</v>
      </c>
      <c r="I2690" s="61">
        <v>46192</v>
      </c>
      <c r="J2690" s="61">
        <v>46210.286354814802</v>
      </c>
      <c r="K2690" s="60">
        <v>139</v>
      </c>
      <c r="L2690" s="60" t="s">
        <v>183</v>
      </c>
      <c r="M2690" s="60" t="s">
        <v>183</v>
      </c>
      <c r="N2690" s="60" t="b">
        <f>FALSE()</f>
        <v>0</v>
      </c>
      <c r="O2690" s="60"/>
      <c r="P2690" s="60"/>
      <c r="Q2690" s="60" t="s">
        <v>3663</v>
      </c>
      <c r="R2690" s="60" t="s">
        <v>236</v>
      </c>
      <c r="S2690" s="60"/>
      <c r="T2690" s="60" t="b">
        <f>FALSE()</f>
        <v>0</v>
      </c>
      <c r="U2690" s="60" t="b">
        <f>FALSE()</f>
        <v>0</v>
      </c>
      <c r="V2690" s="60">
        <v>778</v>
      </c>
      <c r="W2690" s="62" t="s">
        <v>10192</v>
      </c>
      <c r="X2690" s="60">
        <v>1</v>
      </c>
      <c r="Y2690" s="63">
        <v>0.24</v>
      </c>
      <c r="Z2690" s="60" t="b">
        <f>FALSE()</f>
        <v>0</v>
      </c>
      <c r="AA2690" s="60" t="b">
        <f>TRUE()</f>
        <v>1</v>
      </c>
      <c r="AB2690" s="60" t="b">
        <f>FALSE()</f>
        <v>0</v>
      </c>
      <c r="AC2690" s="60" t="b">
        <f>TRUE()</f>
        <v>1</v>
      </c>
      <c r="AD2690" s="60" t="b">
        <f>FALSE()</f>
        <v>0</v>
      </c>
      <c r="AE2690" s="60">
        <v>2</v>
      </c>
      <c r="AF2690" s="64">
        <v>28.6</v>
      </c>
      <c r="AG2690" s="60" t="s">
        <v>73</v>
      </c>
      <c r="AH2690" s="60" t="s">
        <v>10193</v>
      </c>
      <c r="AI2690">
        <f>IF(AND(OR(Company_Explorer!$B$5="All Companies",$E2690=Company_Explorer!$B$5),OR(Company_Explorer!$B$6="All Platforms",$B2690=Company_Explorer!$B$6),OR(Company_Explorer!$B$7="All Roles",$D2690=Company_Explorer!$B$7),OR(Company_Explorer!$B$8="All Ghost Labels",$AG2690=Company_Explorer!$B$8)),1,0)</f>
        <v>0</v>
      </c>
    </row>
    <row r="2691" spans="1:35" ht="15" customHeight="1" x14ac:dyDescent="0.3">
      <c r="A2691" s="65" t="s">
        <v>10194</v>
      </c>
      <c r="B2691" s="65" t="s">
        <v>82</v>
      </c>
      <c r="C2691" s="65" t="s">
        <v>10195</v>
      </c>
      <c r="D2691" s="65" t="s">
        <v>128</v>
      </c>
      <c r="E2691" s="65" t="s">
        <v>10196</v>
      </c>
      <c r="F2691" s="65" t="b">
        <f>TRUE()</f>
        <v>1</v>
      </c>
      <c r="G2691" s="65" t="s">
        <v>165</v>
      </c>
      <c r="H2691" s="65" t="s">
        <v>165</v>
      </c>
      <c r="I2691" s="66">
        <v>46186</v>
      </c>
      <c r="J2691" s="66">
        <v>46210.286354942102</v>
      </c>
      <c r="K2691" s="65">
        <v>56</v>
      </c>
      <c r="L2691" s="65" t="s">
        <v>183</v>
      </c>
      <c r="M2691" s="65" t="s">
        <v>183</v>
      </c>
      <c r="N2691" s="65" t="b">
        <f>FALSE()</f>
        <v>0</v>
      </c>
      <c r="O2691" s="65"/>
      <c r="P2691" s="65"/>
      <c r="Q2691" s="65" t="s">
        <v>3663</v>
      </c>
      <c r="R2691" s="65" t="s">
        <v>236</v>
      </c>
      <c r="S2691" s="65"/>
      <c r="T2691" s="65" t="b">
        <f>FALSE()</f>
        <v>0</v>
      </c>
      <c r="U2691" s="65" t="b">
        <f>FALSE()</f>
        <v>0</v>
      </c>
      <c r="V2691" s="65">
        <v>909</v>
      </c>
      <c r="W2691" s="67" t="s">
        <v>10197</v>
      </c>
      <c r="X2691" s="65">
        <v>3</v>
      </c>
      <c r="Y2691" s="68">
        <v>0.72</v>
      </c>
      <c r="Z2691" s="65" t="b">
        <f>FALSE()</f>
        <v>0</v>
      </c>
      <c r="AA2691" s="65" t="b">
        <f>TRUE()</f>
        <v>1</v>
      </c>
      <c r="AB2691" s="65" t="b">
        <f>FALSE()</f>
        <v>0</v>
      </c>
      <c r="AC2691" s="65" t="b">
        <f>FALSE()</f>
        <v>0</v>
      </c>
      <c r="AD2691" s="65" t="b">
        <f>FALSE()</f>
        <v>0</v>
      </c>
      <c r="AE2691" s="65">
        <v>1</v>
      </c>
      <c r="AF2691" s="69">
        <v>14.3</v>
      </c>
      <c r="AG2691" s="65" t="s">
        <v>74</v>
      </c>
      <c r="AH2691" s="65" t="s">
        <v>10198</v>
      </c>
      <c r="AI2691">
        <f>IF(AND(OR(Company_Explorer!$B$5="All Companies",$E2691=Company_Explorer!$B$5),OR(Company_Explorer!$B$6="All Platforms",$B2691=Company_Explorer!$B$6),OR(Company_Explorer!$B$7="All Roles",$D2691=Company_Explorer!$B$7),OR(Company_Explorer!$B$8="All Ghost Labels",$AG2691=Company_Explorer!$B$8)),1,0)</f>
        <v>0</v>
      </c>
    </row>
    <row r="2692" spans="1:35" ht="15" customHeight="1" x14ac:dyDescent="0.3">
      <c r="A2692" s="60" t="s">
        <v>10199</v>
      </c>
      <c r="B2692" s="60" t="s">
        <v>82</v>
      </c>
      <c r="C2692" s="60" t="s">
        <v>7285</v>
      </c>
      <c r="D2692" s="60" t="s">
        <v>128</v>
      </c>
      <c r="E2692" s="60" t="s">
        <v>7595</v>
      </c>
      <c r="F2692" s="60" t="b">
        <f>TRUE()</f>
        <v>1</v>
      </c>
      <c r="G2692" s="60" t="s">
        <v>165</v>
      </c>
      <c r="H2692" s="60" t="s">
        <v>165</v>
      </c>
      <c r="I2692" s="61">
        <v>46182</v>
      </c>
      <c r="J2692" s="61">
        <v>46210.2863550232</v>
      </c>
      <c r="K2692" s="60">
        <v>89</v>
      </c>
      <c r="L2692" s="60" t="s">
        <v>192</v>
      </c>
      <c r="M2692" s="60" t="s">
        <v>183</v>
      </c>
      <c r="N2692" s="60" t="b">
        <f>FALSE()</f>
        <v>0</v>
      </c>
      <c r="O2692" s="60"/>
      <c r="P2692" s="60"/>
      <c r="Q2692" s="60" t="s">
        <v>3663</v>
      </c>
      <c r="R2692" s="60" t="s">
        <v>236</v>
      </c>
      <c r="S2692" s="60"/>
      <c r="T2692" s="60" t="b">
        <f>FALSE()</f>
        <v>0</v>
      </c>
      <c r="U2692" s="60" t="b">
        <f>FALSE()</f>
        <v>0</v>
      </c>
      <c r="V2692" s="60">
        <v>413</v>
      </c>
      <c r="W2692" s="62" t="s">
        <v>10200</v>
      </c>
      <c r="X2692" s="60">
        <v>3</v>
      </c>
      <c r="Y2692" s="63">
        <v>0.72</v>
      </c>
      <c r="Z2692" s="60" t="b">
        <f>FALSE()</f>
        <v>0</v>
      </c>
      <c r="AA2692" s="60" t="b">
        <f>TRUE()</f>
        <v>1</v>
      </c>
      <c r="AB2692" s="60" t="b">
        <f>FALSE()</f>
        <v>0</v>
      </c>
      <c r="AC2692" s="60" t="b">
        <f>FALSE()</f>
        <v>0</v>
      </c>
      <c r="AD2692" s="60" t="b">
        <f>FALSE()</f>
        <v>0</v>
      </c>
      <c r="AE2692" s="60">
        <v>1</v>
      </c>
      <c r="AF2692" s="64">
        <v>14.3</v>
      </c>
      <c r="AG2692" s="60" t="s">
        <v>74</v>
      </c>
      <c r="AH2692" s="60" t="s">
        <v>10201</v>
      </c>
      <c r="AI2692">
        <f>IF(AND(OR(Company_Explorer!$B$5="All Companies",$E2692=Company_Explorer!$B$5),OR(Company_Explorer!$B$6="All Platforms",$B2692=Company_Explorer!$B$6),OR(Company_Explorer!$B$7="All Roles",$D2692=Company_Explorer!$B$7),OR(Company_Explorer!$B$8="All Ghost Labels",$AG2692=Company_Explorer!$B$8)),1,0)</f>
        <v>0</v>
      </c>
    </row>
    <row r="2693" spans="1:35" ht="15" customHeight="1" x14ac:dyDescent="0.3">
      <c r="A2693" s="65" t="s">
        <v>10202</v>
      </c>
      <c r="B2693" s="65" t="s">
        <v>82</v>
      </c>
      <c r="C2693" s="65" t="s">
        <v>7355</v>
      </c>
      <c r="D2693" s="65" t="s">
        <v>128</v>
      </c>
      <c r="E2693" s="65" t="s">
        <v>8938</v>
      </c>
      <c r="F2693" s="65" t="b">
        <f>TRUE()</f>
        <v>1</v>
      </c>
      <c r="G2693" s="65" t="s">
        <v>165</v>
      </c>
      <c r="H2693" s="65" t="s">
        <v>165</v>
      </c>
      <c r="I2693" s="66">
        <v>46201</v>
      </c>
      <c r="J2693" s="66">
        <v>46210.286357395802</v>
      </c>
      <c r="K2693" s="65">
        <v>130</v>
      </c>
      <c r="L2693" s="65" t="s">
        <v>183</v>
      </c>
      <c r="M2693" s="65" t="s">
        <v>183</v>
      </c>
      <c r="N2693" s="65" t="b">
        <f>FALSE()</f>
        <v>0</v>
      </c>
      <c r="O2693" s="65"/>
      <c r="P2693" s="65"/>
      <c r="Q2693" s="65" t="s">
        <v>3663</v>
      </c>
      <c r="R2693" s="65" t="s">
        <v>236</v>
      </c>
      <c r="S2693" s="65"/>
      <c r="T2693" s="65" t="b">
        <f>FALSE()</f>
        <v>0</v>
      </c>
      <c r="U2693" s="65" t="b">
        <f>FALSE()</f>
        <v>0</v>
      </c>
      <c r="V2693" s="65">
        <v>296</v>
      </c>
      <c r="W2693" s="67" t="s">
        <v>10203</v>
      </c>
      <c r="X2693" s="65">
        <v>2</v>
      </c>
      <c r="Y2693" s="68">
        <v>0.48</v>
      </c>
      <c r="Z2693" s="65" t="b">
        <f>FALSE()</f>
        <v>0</v>
      </c>
      <c r="AA2693" s="65" t="b">
        <f>TRUE()</f>
        <v>1</v>
      </c>
      <c r="AB2693" s="65" t="b">
        <f>FALSE()</f>
        <v>0</v>
      </c>
      <c r="AC2693" s="65" t="b">
        <f>TRUE()</f>
        <v>1</v>
      </c>
      <c r="AD2693" s="65" t="b">
        <f>FALSE()</f>
        <v>0</v>
      </c>
      <c r="AE2693" s="65">
        <v>2</v>
      </c>
      <c r="AF2693" s="69">
        <v>28.6</v>
      </c>
      <c r="AG2693" s="65" t="s">
        <v>73</v>
      </c>
      <c r="AH2693" s="65" t="s">
        <v>10204</v>
      </c>
      <c r="AI2693">
        <f>IF(AND(OR(Company_Explorer!$B$5="All Companies",$E2693=Company_Explorer!$B$5),OR(Company_Explorer!$B$6="All Platforms",$B2693=Company_Explorer!$B$6),OR(Company_Explorer!$B$7="All Roles",$D2693=Company_Explorer!$B$7),OR(Company_Explorer!$B$8="All Ghost Labels",$AG2693=Company_Explorer!$B$8)),1,0)</f>
        <v>0</v>
      </c>
    </row>
    <row r="2694" spans="1:35" ht="15" customHeight="1" x14ac:dyDescent="0.3">
      <c r="A2694" s="60" t="s">
        <v>10205</v>
      </c>
      <c r="B2694" s="60" t="s">
        <v>82</v>
      </c>
      <c r="C2694" s="60" t="s">
        <v>10206</v>
      </c>
      <c r="D2694" s="60" t="s">
        <v>132</v>
      </c>
      <c r="E2694" s="60" t="s">
        <v>10207</v>
      </c>
      <c r="F2694" s="60" t="b">
        <f>TRUE()</f>
        <v>1</v>
      </c>
      <c r="G2694" s="60" t="s">
        <v>165</v>
      </c>
      <c r="H2694" s="60" t="s">
        <v>165</v>
      </c>
      <c r="I2694" s="61">
        <v>46207</v>
      </c>
      <c r="J2694" s="61">
        <v>46210.286358784702</v>
      </c>
      <c r="K2694" s="60">
        <v>125</v>
      </c>
      <c r="L2694" s="60" t="s">
        <v>183</v>
      </c>
      <c r="M2694" s="60" t="s">
        <v>183</v>
      </c>
      <c r="N2694" s="60" t="b">
        <f>FALSE()</f>
        <v>0</v>
      </c>
      <c r="O2694" s="60"/>
      <c r="P2694" s="60"/>
      <c r="Q2694" s="60" t="s">
        <v>3663</v>
      </c>
      <c r="R2694" s="60" t="s">
        <v>236</v>
      </c>
      <c r="S2694" s="60"/>
      <c r="T2694" s="60" t="b">
        <f>FALSE()</f>
        <v>0</v>
      </c>
      <c r="U2694" s="60" t="b">
        <f>FALSE()</f>
        <v>0</v>
      </c>
      <c r="V2694" s="60">
        <v>18</v>
      </c>
      <c r="W2694" s="62" t="s">
        <v>10208</v>
      </c>
      <c r="X2694" s="60">
        <v>1</v>
      </c>
      <c r="Y2694" s="63">
        <v>0.24</v>
      </c>
      <c r="Z2694" s="60" t="b">
        <f>FALSE()</f>
        <v>0</v>
      </c>
      <c r="AA2694" s="60" t="b">
        <f>TRUE()</f>
        <v>1</v>
      </c>
      <c r="AB2694" s="60" t="b">
        <f>TRUE()</f>
        <v>1</v>
      </c>
      <c r="AC2694" s="60" t="b">
        <f>TRUE()</f>
        <v>1</v>
      </c>
      <c r="AD2694" s="60" t="b">
        <f>FALSE()</f>
        <v>0</v>
      </c>
      <c r="AE2694" s="60">
        <v>3</v>
      </c>
      <c r="AF2694" s="64">
        <v>42.9</v>
      </c>
      <c r="AG2694" s="60" t="s">
        <v>73</v>
      </c>
      <c r="AH2694" s="60" t="s">
        <v>10209</v>
      </c>
      <c r="AI2694">
        <f>IF(AND(OR(Company_Explorer!$B$5="All Companies",$E2694=Company_Explorer!$B$5),OR(Company_Explorer!$B$6="All Platforms",$B2694=Company_Explorer!$B$6),OR(Company_Explorer!$B$7="All Roles",$D2694=Company_Explorer!$B$7),OR(Company_Explorer!$B$8="All Ghost Labels",$AG2694=Company_Explorer!$B$8)),1,0)</f>
        <v>0</v>
      </c>
    </row>
    <row r="2695" spans="1:35" ht="15" customHeight="1" x14ac:dyDescent="0.3">
      <c r="A2695" s="65" t="s">
        <v>10210</v>
      </c>
      <c r="B2695" s="65" t="s">
        <v>82</v>
      </c>
      <c r="C2695" s="65" t="s">
        <v>10211</v>
      </c>
      <c r="D2695" s="65" t="s">
        <v>128</v>
      </c>
      <c r="E2695" s="65" t="s">
        <v>3726</v>
      </c>
      <c r="F2695" s="65" t="b">
        <f>FALSE()</f>
        <v>0</v>
      </c>
      <c r="G2695" s="65" t="s">
        <v>167</v>
      </c>
      <c r="H2695" s="65" t="s">
        <v>276</v>
      </c>
      <c r="I2695" s="66">
        <v>46183</v>
      </c>
      <c r="J2695" s="66">
        <v>46210.286365115702</v>
      </c>
      <c r="K2695" s="65">
        <v>27</v>
      </c>
      <c r="L2695" s="65" t="s">
        <v>192</v>
      </c>
      <c r="M2695" s="65" t="s">
        <v>183</v>
      </c>
      <c r="N2695" s="65" t="b">
        <f>FALSE()</f>
        <v>0</v>
      </c>
      <c r="O2695" s="65"/>
      <c r="P2695" s="65"/>
      <c r="Q2695" s="65" t="s">
        <v>3663</v>
      </c>
      <c r="R2695" s="65" t="s">
        <v>236</v>
      </c>
      <c r="S2695" s="65"/>
      <c r="T2695" s="65" t="b">
        <f>FALSE()</f>
        <v>0</v>
      </c>
      <c r="U2695" s="65" t="b">
        <f>FALSE()</f>
        <v>0</v>
      </c>
      <c r="V2695" s="65">
        <v>437</v>
      </c>
      <c r="W2695" s="67" t="s">
        <v>10212</v>
      </c>
      <c r="X2695" s="65"/>
      <c r="Y2695" s="68"/>
      <c r="Z2695" s="65" t="b">
        <f>TRUE()</f>
        <v>1</v>
      </c>
      <c r="AA2695" s="65" t="b">
        <f>TRUE()</f>
        <v>1</v>
      </c>
      <c r="AB2695" s="65" t="b">
        <f>FALSE()</f>
        <v>0</v>
      </c>
      <c r="AC2695" s="65" t="b">
        <f>FALSE()</f>
        <v>0</v>
      </c>
      <c r="AD2695" s="65" t="b">
        <f>FALSE()</f>
        <v>0</v>
      </c>
      <c r="AE2695" s="65">
        <v>3</v>
      </c>
      <c r="AF2695" s="69">
        <v>42.9</v>
      </c>
      <c r="AG2695" s="65" t="s">
        <v>73</v>
      </c>
      <c r="AH2695" s="65" t="s">
        <v>10213</v>
      </c>
      <c r="AI2695">
        <f>IF(AND(OR(Company_Explorer!$B$5="All Companies",$E2695=Company_Explorer!$B$5),OR(Company_Explorer!$B$6="All Platforms",$B2695=Company_Explorer!$B$6),OR(Company_Explorer!$B$7="All Roles",$D2695=Company_Explorer!$B$7),OR(Company_Explorer!$B$8="All Ghost Labels",$AG2695=Company_Explorer!$B$8)),1,0)</f>
        <v>0</v>
      </c>
    </row>
    <row r="2696" spans="1:35" ht="15" customHeight="1" x14ac:dyDescent="0.3">
      <c r="A2696" s="60" t="s">
        <v>10214</v>
      </c>
      <c r="B2696" s="60" t="s">
        <v>82</v>
      </c>
      <c r="C2696" s="60" t="s">
        <v>10215</v>
      </c>
      <c r="D2696" s="60" t="s">
        <v>128</v>
      </c>
      <c r="E2696" s="60" t="s">
        <v>10216</v>
      </c>
      <c r="F2696" s="60" t="b">
        <f>TRUE()</f>
        <v>1</v>
      </c>
      <c r="G2696" s="60" t="s">
        <v>165</v>
      </c>
      <c r="H2696" s="60" t="s">
        <v>165</v>
      </c>
      <c r="I2696" s="61">
        <v>46195</v>
      </c>
      <c r="J2696" s="61">
        <v>46210.286365393498</v>
      </c>
      <c r="K2696" s="60">
        <v>46</v>
      </c>
      <c r="L2696" s="60" t="s">
        <v>192</v>
      </c>
      <c r="M2696" s="60" t="s">
        <v>183</v>
      </c>
      <c r="N2696" s="60" t="b">
        <f>FALSE()</f>
        <v>0</v>
      </c>
      <c r="O2696" s="60"/>
      <c r="P2696" s="60"/>
      <c r="Q2696" s="60" t="s">
        <v>3663</v>
      </c>
      <c r="R2696" s="60" t="s">
        <v>236</v>
      </c>
      <c r="S2696" s="60"/>
      <c r="T2696" s="60" t="b">
        <f>FALSE()</f>
        <v>0</v>
      </c>
      <c r="U2696" s="60" t="b">
        <f>FALSE()</f>
        <v>0</v>
      </c>
      <c r="V2696" s="60">
        <v>602</v>
      </c>
      <c r="W2696" s="62" t="s">
        <v>10217</v>
      </c>
      <c r="X2696" s="60">
        <v>1</v>
      </c>
      <c r="Y2696" s="63">
        <v>0.24</v>
      </c>
      <c r="Z2696" s="60" t="b">
        <f>FALSE()</f>
        <v>0</v>
      </c>
      <c r="AA2696" s="60" t="b">
        <f>TRUE()</f>
        <v>1</v>
      </c>
      <c r="AB2696" s="60" t="b">
        <f>FALSE()</f>
        <v>0</v>
      </c>
      <c r="AC2696" s="60" t="b">
        <f>FALSE()</f>
        <v>0</v>
      </c>
      <c r="AD2696" s="60" t="b">
        <f>FALSE()</f>
        <v>0</v>
      </c>
      <c r="AE2696" s="60">
        <v>1</v>
      </c>
      <c r="AF2696" s="64">
        <v>14.3</v>
      </c>
      <c r="AG2696" s="60" t="s">
        <v>74</v>
      </c>
      <c r="AH2696" s="60" t="s">
        <v>10218</v>
      </c>
      <c r="AI2696">
        <f>IF(AND(OR(Company_Explorer!$B$5="All Companies",$E2696=Company_Explorer!$B$5),OR(Company_Explorer!$B$6="All Platforms",$B2696=Company_Explorer!$B$6),OR(Company_Explorer!$B$7="All Roles",$D2696=Company_Explorer!$B$7),OR(Company_Explorer!$B$8="All Ghost Labels",$AG2696=Company_Explorer!$B$8)),1,0)</f>
        <v>0</v>
      </c>
    </row>
    <row r="2697" spans="1:35" ht="15" customHeight="1" x14ac:dyDescent="0.3">
      <c r="A2697" s="65" t="s">
        <v>10219</v>
      </c>
      <c r="B2697" s="65" t="s">
        <v>82</v>
      </c>
      <c r="C2697" s="65" t="s">
        <v>10220</v>
      </c>
      <c r="D2697" s="65" t="s">
        <v>126</v>
      </c>
      <c r="E2697" s="65" t="s">
        <v>10221</v>
      </c>
      <c r="F2697" s="65" t="b">
        <f>TRUE()</f>
        <v>1</v>
      </c>
      <c r="G2697" s="65" t="s">
        <v>165</v>
      </c>
      <c r="H2697" s="65" t="s">
        <v>165</v>
      </c>
      <c r="I2697" s="66">
        <v>46199</v>
      </c>
      <c r="J2697" s="66">
        <v>46210.2863667477</v>
      </c>
      <c r="K2697" s="65">
        <v>11</v>
      </c>
      <c r="L2697" s="65" t="s">
        <v>195</v>
      </c>
      <c r="M2697" s="65" t="s">
        <v>183</v>
      </c>
      <c r="N2697" s="65" t="b">
        <f>FALSE()</f>
        <v>0</v>
      </c>
      <c r="O2697" s="65"/>
      <c r="P2697" s="65"/>
      <c r="Q2697" s="65" t="s">
        <v>3663</v>
      </c>
      <c r="R2697" s="65" t="s">
        <v>236</v>
      </c>
      <c r="S2697" s="65"/>
      <c r="T2697" s="65" t="b">
        <f>FALSE()</f>
        <v>0</v>
      </c>
      <c r="U2697" s="65" t="b">
        <f>FALSE()</f>
        <v>0</v>
      </c>
      <c r="V2697" s="65">
        <v>509</v>
      </c>
      <c r="W2697" s="67" t="s">
        <v>10222</v>
      </c>
      <c r="X2697" s="65">
        <v>1</v>
      </c>
      <c r="Y2697" s="68">
        <v>0.24</v>
      </c>
      <c r="Z2697" s="65" t="b">
        <f>FALSE()</f>
        <v>0</v>
      </c>
      <c r="AA2697" s="65" t="b">
        <f>TRUE()</f>
        <v>1</v>
      </c>
      <c r="AB2697" s="65" t="b">
        <f>FALSE()</f>
        <v>0</v>
      </c>
      <c r="AC2697" s="65" t="b">
        <f>FALSE()</f>
        <v>0</v>
      </c>
      <c r="AD2697" s="65" t="b">
        <f>FALSE()</f>
        <v>0</v>
      </c>
      <c r="AE2697" s="65">
        <v>1</v>
      </c>
      <c r="AF2697" s="69">
        <v>14.3</v>
      </c>
      <c r="AG2697" s="65" t="s">
        <v>74</v>
      </c>
      <c r="AH2697" s="65" t="s">
        <v>10223</v>
      </c>
      <c r="AI2697">
        <f>IF(AND(OR(Company_Explorer!$B$5="All Companies",$E2697=Company_Explorer!$B$5),OR(Company_Explorer!$B$6="All Platforms",$B2697=Company_Explorer!$B$6),OR(Company_Explorer!$B$7="All Roles",$D2697=Company_Explorer!$B$7),OR(Company_Explorer!$B$8="All Ghost Labels",$AG2697=Company_Explorer!$B$8)),1,0)</f>
        <v>0</v>
      </c>
    </row>
    <row r="2698" spans="1:35" ht="15" customHeight="1" x14ac:dyDescent="0.3">
      <c r="A2698" s="60" t="s">
        <v>10224</v>
      </c>
      <c r="B2698" s="60" t="s">
        <v>82</v>
      </c>
      <c r="C2698" s="60" t="s">
        <v>10225</v>
      </c>
      <c r="D2698" s="60" t="s">
        <v>128</v>
      </c>
      <c r="E2698" s="60" t="s">
        <v>10226</v>
      </c>
      <c r="F2698" s="60" t="b">
        <f>TRUE()</f>
        <v>1</v>
      </c>
      <c r="G2698" s="60" t="s">
        <v>269</v>
      </c>
      <c r="H2698" s="60" t="s">
        <v>270</v>
      </c>
      <c r="I2698" s="61">
        <v>46206</v>
      </c>
      <c r="J2698" s="61">
        <v>46210.286367719898</v>
      </c>
      <c r="K2698" s="60">
        <v>4</v>
      </c>
      <c r="L2698" s="60" t="s">
        <v>192</v>
      </c>
      <c r="M2698" s="60" t="s">
        <v>183</v>
      </c>
      <c r="N2698" s="60" t="b">
        <f>TRUE()</f>
        <v>1</v>
      </c>
      <c r="O2698" s="70">
        <v>480000</v>
      </c>
      <c r="P2698" s="70">
        <v>844500</v>
      </c>
      <c r="Q2698" s="60" t="s">
        <v>3663</v>
      </c>
      <c r="R2698" s="60" t="s">
        <v>7351</v>
      </c>
      <c r="S2698" s="70">
        <v>662250</v>
      </c>
      <c r="T2698" s="60" t="b">
        <f>TRUE()</f>
        <v>1</v>
      </c>
      <c r="U2698" s="60" t="b">
        <f>FALSE()</f>
        <v>0</v>
      </c>
      <c r="V2698" s="60">
        <v>369</v>
      </c>
      <c r="W2698" s="62" t="s">
        <v>10227</v>
      </c>
      <c r="X2698" s="60">
        <v>1</v>
      </c>
      <c r="Y2698" s="63">
        <v>0.24</v>
      </c>
      <c r="Z2698" s="60" t="b">
        <f>FALSE()</f>
        <v>0</v>
      </c>
      <c r="AA2698" s="60" t="b">
        <f>FALSE()</f>
        <v>0</v>
      </c>
      <c r="AB2698" s="60" t="b">
        <f>FALSE()</f>
        <v>0</v>
      </c>
      <c r="AC2698" s="60" t="b">
        <f>FALSE()</f>
        <v>0</v>
      </c>
      <c r="AD2698" s="60" t="b">
        <f>FALSE()</f>
        <v>0</v>
      </c>
      <c r="AE2698" s="60">
        <v>0</v>
      </c>
      <c r="AF2698" s="64">
        <v>0</v>
      </c>
      <c r="AG2698" s="60" t="s">
        <v>74</v>
      </c>
      <c r="AH2698" s="60" t="s">
        <v>10228</v>
      </c>
      <c r="AI2698">
        <f>IF(AND(OR(Company_Explorer!$B$5="All Companies",$E2698=Company_Explorer!$B$5),OR(Company_Explorer!$B$6="All Platforms",$B2698=Company_Explorer!$B$6),OR(Company_Explorer!$B$7="All Roles",$D2698=Company_Explorer!$B$7),OR(Company_Explorer!$B$8="All Ghost Labels",$AG2698=Company_Explorer!$B$8)),1,0)</f>
        <v>0</v>
      </c>
    </row>
    <row r="2699" spans="1:35" ht="15" customHeight="1" x14ac:dyDescent="0.3">
      <c r="A2699" s="65" t="s">
        <v>10229</v>
      </c>
      <c r="B2699" s="65" t="s">
        <v>82</v>
      </c>
      <c r="C2699" s="65" t="s">
        <v>10230</v>
      </c>
      <c r="D2699" s="65" t="s">
        <v>128</v>
      </c>
      <c r="E2699" s="65" t="s">
        <v>10231</v>
      </c>
      <c r="F2699" s="65" t="b">
        <f>TRUE()</f>
        <v>1</v>
      </c>
      <c r="G2699" s="65" t="s">
        <v>166</v>
      </c>
      <c r="H2699" s="65" t="s">
        <v>235</v>
      </c>
      <c r="I2699" s="66">
        <v>46207</v>
      </c>
      <c r="J2699" s="66">
        <v>46210.286370486101</v>
      </c>
      <c r="K2699" s="65">
        <v>4</v>
      </c>
      <c r="L2699" s="65" t="s">
        <v>192</v>
      </c>
      <c r="M2699" s="65" t="s">
        <v>183</v>
      </c>
      <c r="N2699" s="65" t="b">
        <f>FALSE()</f>
        <v>0</v>
      </c>
      <c r="O2699" s="65"/>
      <c r="P2699" s="65"/>
      <c r="Q2699" s="65" t="s">
        <v>3663</v>
      </c>
      <c r="R2699" s="65" t="s">
        <v>7351</v>
      </c>
      <c r="S2699" s="65"/>
      <c r="T2699" s="65" t="b">
        <f>FALSE()</f>
        <v>0</v>
      </c>
      <c r="U2699" s="65" t="b">
        <f>FALSE()</f>
        <v>0</v>
      </c>
      <c r="V2699" s="65">
        <v>761</v>
      </c>
      <c r="W2699" s="67" t="s">
        <v>3967</v>
      </c>
      <c r="X2699" s="65">
        <v>1</v>
      </c>
      <c r="Y2699" s="68">
        <v>0.24</v>
      </c>
      <c r="Z2699" s="65" t="b">
        <f>FALSE()</f>
        <v>0</v>
      </c>
      <c r="AA2699" s="65" t="b">
        <f>TRUE()</f>
        <v>1</v>
      </c>
      <c r="AB2699" s="65" t="b">
        <f>FALSE()</f>
        <v>0</v>
      </c>
      <c r="AC2699" s="65" t="b">
        <f>FALSE()</f>
        <v>0</v>
      </c>
      <c r="AD2699" s="65" t="b">
        <f>FALSE()</f>
        <v>0</v>
      </c>
      <c r="AE2699" s="65">
        <v>1</v>
      </c>
      <c r="AF2699" s="69">
        <v>14.3</v>
      </c>
      <c r="AG2699" s="65" t="s">
        <v>74</v>
      </c>
      <c r="AH2699" s="65" t="s">
        <v>10232</v>
      </c>
      <c r="AI2699">
        <f>IF(AND(OR(Company_Explorer!$B$5="All Companies",$E2699=Company_Explorer!$B$5),OR(Company_Explorer!$B$6="All Platforms",$B2699=Company_Explorer!$B$6),OR(Company_Explorer!$B$7="All Roles",$D2699=Company_Explorer!$B$7),OR(Company_Explorer!$B$8="All Ghost Labels",$AG2699=Company_Explorer!$B$8)),1,0)</f>
        <v>0</v>
      </c>
    </row>
    <row r="2700" spans="1:35" ht="15" customHeight="1" x14ac:dyDescent="0.3">
      <c r="A2700" s="60" t="s">
        <v>10233</v>
      </c>
      <c r="B2700" s="60" t="s">
        <v>82</v>
      </c>
      <c r="C2700" s="60" t="s">
        <v>10234</v>
      </c>
      <c r="D2700" s="60" t="s">
        <v>126</v>
      </c>
      <c r="E2700" s="60" t="s">
        <v>10235</v>
      </c>
      <c r="F2700" s="60" t="b">
        <f>TRUE()</f>
        <v>1</v>
      </c>
      <c r="G2700" s="60" t="s">
        <v>167</v>
      </c>
      <c r="H2700" s="60" t="s">
        <v>276</v>
      </c>
      <c r="I2700" s="61">
        <v>46201</v>
      </c>
      <c r="J2700" s="61">
        <v>46210.286371504597</v>
      </c>
      <c r="K2700" s="60">
        <v>40</v>
      </c>
      <c r="L2700" s="60" t="s">
        <v>183</v>
      </c>
      <c r="M2700" s="60" t="s">
        <v>183</v>
      </c>
      <c r="N2700" s="60" t="b">
        <f>TRUE()</f>
        <v>1</v>
      </c>
      <c r="O2700" s="70">
        <v>296000</v>
      </c>
      <c r="P2700" s="70">
        <v>874000</v>
      </c>
      <c r="Q2700" s="60" t="s">
        <v>3663</v>
      </c>
      <c r="R2700" s="60" t="s">
        <v>7351</v>
      </c>
      <c r="S2700" s="70">
        <v>585000</v>
      </c>
      <c r="T2700" s="60" t="b">
        <f>TRUE()</f>
        <v>1</v>
      </c>
      <c r="U2700" s="60" t="b">
        <f>FALSE()</f>
        <v>0</v>
      </c>
      <c r="V2700" s="60">
        <v>248</v>
      </c>
      <c r="W2700" s="62" t="s">
        <v>10236</v>
      </c>
      <c r="X2700" s="60">
        <v>1</v>
      </c>
      <c r="Y2700" s="63">
        <v>0.24</v>
      </c>
      <c r="Z2700" s="60" t="b">
        <f>FALSE()</f>
        <v>0</v>
      </c>
      <c r="AA2700" s="60" t="b">
        <f>FALSE()</f>
        <v>0</v>
      </c>
      <c r="AB2700" s="60" t="b">
        <f>FALSE()</f>
        <v>0</v>
      </c>
      <c r="AC2700" s="60" t="b">
        <f>FALSE()</f>
        <v>0</v>
      </c>
      <c r="AD2700" s="60" t="b">
        <f>FALSE()</f>
        <v>0</v>
      </c>
      <c r="AE2700" s="60">
        <v>0</v>
      </c>
      <c r="AF2700" s="64">
        <v>0</v>
      </c>
      <c r="AG2700" s="60" t="s">
        <v>74</v>
      </c>
      <c r="AH2700" s="60" t="s">
        <v>10237</v>
      </c>
      <c r="AI2700">
        <f>IF(AND(OR(Company_Explorer!$B$5="All Companies",$E2700=Company_Explorer!$B$5),OR(Company_Explorer!$B$6="All Platforms",$B2700=Company_Explorer!$B$6),OR(Company_Explorer!$B$7="All Roles",$D2700=Company_Explorer!$B$7),OR(Company_Explorer!$B$8="All Ghost Labels",$AG2700=Company_Explorer!$B$8)),1,0)</f>
        <v>0</v>
      </c>
    </row>
    <row r="2701" spans="1:35" ht="15" customHeight="1" x14ac:dyDescent="0.3">
      <c r="A2701" s="65" t="s">
        <v>10238</v>
      </c>
      <c r="B2701" s="65" t="s">
        <v>82</v>
      </c>
      <c r="C2701" s="65" t="s">
        <v>10239</v>
      </c>
      <c r="D2701" s="65" t="s">
        <v>126</v>
      </c>
      <c r="E2701" s="65" t="s">
        <v>152</v>
      </c>
      <c r="F2701" s="65" t="b">
        <f>TRUE()</f>
        <v>1</v>
      </c>
      <c r="G2701" s="65" t="s">
        <v>165</v>
      </c>
      <c r="H2701" s="65" t="s">
        <v>165</v>
      </c>
      <c r="I2701" s="66">
        <v>46198</v>
      </c>
      <c r="J2701" s="66">
        <v>46210.286372986098</v>
      </c>
      <c r="K2701" s="65">
        <v>133</v>
      </c>
      <c r="L2701" s="65" t="s">
        <v>192</v>
      </c>
      <c r="M2701" s="65" t="s">
        <v>183</v>
      </c>
      <c r="N2701" s="65" t="b">
        <f>FALSE()</f>
        <v>0</v>
      </c>
      <c r="O2701" s="65"/>
      <c r="P2701" s="65"/>
      <c r="Q2701" s="65" t="s">
        <v>3663</v>
      </c>
      <c r="R2701" s="65" t="s">
        <v>236</v>
      </c>
      <c r="S2701" s="65"/>
      <c r="T2701" s="65" t="b">
        <f>FALSE()</f>
        <v>0</v>
      </c>
      <c r="U2701" s="65" t="b">
        <f>FALSE()</f>
        <v>0</v>
      </c>
      <c r="V2701" s="65">
        <v>363</v>
      </c>
      <c r="W2701" s="67" t="s">
        <v>10240</v>
      </c>
      <c r="X2701" s="65">
        <v>17</v>
      </c>
      <c r="Y2701" s="68">
        <v>4.0999999999999996</v>
      </c>
      <c r="Z2701" s="65" t="b">
        <f>FALSE()</f>
        <v>0</v>
      </c>
      <c r="AA2701" s="65" t="b">
        <f>TRUE()</f>
        <v>1</v>
      </c>
      <c r="AB2701" s="65" t="b">
        <f>FALSE()</f>
        <v>0</v>
      </c>
      <c r="AC2701" s="65" t="b">
        <f>TRUE()</f>
        <v>1</v>
      </c>
      <c r="AD2701" s="65" t="b">
        <f>TRUE()</f>
        <v>1</v>
      </c>
      <c r="AE2701" s="65">
        <v>4</v>
      </c>
      <c r="AF2701" s="69">
        <v>57.1</v>
      </c>
      <c r="AG2701" s="65" t="s">
        <v>72</v>
      </c>
      <c r="AH2701" s="65" t="s">
        <v>10241</v>
      </c>
      <c r="AI2701">
        <f>IF(AND(OR(Company_Explorer!$B$5="All Companies",$E2701=Company_Explorer!$B$5),OR(Company_Explorer!$B$6="All Platforms",$B2701=Company_Explorer!$B$6),OR(Company_Explorer!$B$7="All Roles",$D2701=Company_Explorer!$B$7),OR(Company_Explorer!$B$8="All Ghost Labels",$AG2701=Company_Explorer!$B$8)),1,0)</f>
        <v>0</v>
      </c>
    </row>
    <row r="2702" spans="1:35" ht="15" customHeight="1" x14ac:dyDescent="0.3">
      <c r="A2702" s="60" t="s">
        <v>10242</v>
      </c>
      <c r="B2702" s="60" t="s">
        <v>82</v>
      </c>
      <c r="C2702" s="60" t="s">
        <v>10243</v>
      </c>
      <c r="D2702" s="60" t="s">
        <v>128</v>
      </c>
      <c r="E2702" s="60" t="s">
        <v>7899</v>
      </c>
      <c r="F2702" s="60" t="b">
        <f>TRUE()</f>
        <v>1</v>
      </c>
      <c r="G2702" s="60" t="s">
        <v>175</v>
      </c>
      <c r="H2702" s="60" t="s">
        <v>254</v>
      </c>
      <c r="I2702" s="61">
        <v>46200</v>
      </c>
      <c r="J2702" s="61">
        <v>46210.2863733333</v>
      </c>
      <c r="K2702" s="60">
        <v>10</v>
      </c>
      <c r="L2702" s="60" t="s">
        <v>192</v>
      </c>
      <c r="M2702" s="60" t="s">
        <v>183</v>
      </c>
      <c r="N2702" s="60" t="b">
        <f>TRUE()</f>
        <v>1</v>
      </c>
      <c r="O2702" s="70">
        <v>580000</v>
      </c>
      <c r="P2702" s="70">
        <v>690000</v>
      </c>
      <c r="Q2702" s="60" t="s">
        <v>3663</v>
      </c>
      <c r="R2702" s="60" t="s">
        <v>7351</v>
      </c>
      <c r="S2702" s="70">
        <v>635000</v>
      </c>
      <c r="T2702" s="60" t="b">
        <f>TRUE()</f>
        <v>1</v>
      </c>
      <c r="U2702" s="60" t="b">
        <f>FALSE()</f>
        <v>0</v>
      </c>
      <c r="V2702" s="60">
        <v>521</v>
      </c>
      <c r="W2702" s="62" t="s">
        <v>10244</v>
      </c>
      <c r="X2702" s="60">
        <v>4</v>
      </c>
      <c r="Y2702" s="63">
        <v>0.97</v>
      </c>
      <c r="Z2702" s="60" t="b">
        <f>FALSE()</f>
        <v>0</v>
      </c>
      <c r="AA2702" s="60" t="b">
        <f>FALSE()</f>
        <v>0</v>
      </c>
      <c r="AB2702" s="60" t="b">
        <f>FALSE()</f>
        <v>0</v>
      </c>
      <c r="AC2702" s="60" t="b">
        <f>FALSE()</f>
        <v>0</v>
      </c>
      <c r="AD2702" s="60" t="b">
        <f>FALSE()</f>
        <v>0</v>
      </c>
      <c r="AE2702" s="60">
        <v>0</v>
      </c>
      <c r="AF2702" s="64">
        <v>0</v>
      </c>
      <c r="AG2702" s="60" t="s">
        <v>74</v>
      </c>
      <c r="AH2702" s="60" t="s">
        <v>10245</v>
      </c>
      <c r="AI2702">
        <f>IF(AND(OR(Company_Explorer!$B$5="All Companies",$E2702=Company_Explorer!$B$5),OR(Company_Explorer!$B$6="All Platforms",$B2702=Company_Explorer!$B$6),OR(Company_Explorer!$B$7="All Roles",$D2702=Company_Explorer!$B$7),OR(Company_Explorer!$B$8="All Ghost Labels",$AG2702=Company_Explorer!$B$8)),1,0)</f>
        <v>0</v>
      </c>
    </row>
    <row r="2703" spans="1:35" ht="15" customHeight="1" x14ac:dyDescent="0.3">
      <c r="A2703" s="65" t="s">
        <v>10246</v>
      </c>
      <c r="B2703" s="65" t="s">
        <v>82</v>
      </c>
      <c r="C2703" s="65" t="s">
        <v>10247</v>
      </c>
      <c r="D2703" s="65" t="s">
        <v>126</v>
      </c>
      <c r="E2703" s="65" t="s">
        <v>3726</v>
      </c>
      <c r="F2703" s="65" t="b">
        <f>FALSE()</f>
        <v>0</v>
      </c>
      <c r="G2703" s="65" t="s">
        <v>165</v>
      </c>
      <c r="H2703" s="65" t="s">
        <v>165</v>
      </c>
      <c r="I2703" s="66">
        <v>46197</v>
      </c>
      <c r="J2703" s="66">
        <v>46210.286374201401</v>
      </c>
      <c r="K2703" s="65">
        <v>74</v>
      </c>
      <c r="L2703" s="65" t="s">
        <v>192</v>
      </c>
      <c r="M2703" s="65" t="s">
        <v>183</v>
      </c>
      <c r="N2703" s="65" t="b">
        <f>TRUE()</f>
        <v>1</v>
      </c>
      <c r="O2703" s="71">
        <v>15000</v>
      </c>
      <c r="P2703" s="71">
        <v>40000</v>
      </c>
      <c r="Q2703" s="65" t="s">
        <v>3663</v>
      </c>
      <c r="R2703" s="65" t="s">
        <v>7445</v>
      </c>
      <c r="S2703" s="71">
        <v>330000</v>
      </c>
      <c r="T2703" s="65" t="b">
        <f>TRUE()</f>
        <v>1</v>
      </c>
      <c r="U2703" s="65" t="b">
        <f>FALSE()</f>
        <v>0</v>
      </c>
      <c r="V2703" s="65">
        <v>123</v>
      </c>
      <c r="W2703" s="67" t="s">
        <v>10248</v>
      </c>
      <c r="X2703" s="65"/>
      <c r="Y2703" s="68"/>
      <c r="Z2703" s="65" t="b">
        <f>TRUE()</f>
        <v>1</v>
      </c>
      <c r="AA2703" s="65" t="b">
        <f>FALSE()</f>
        <v>0</v>
      </c>
      <c r="AB2703" s="65" t="b">
        <f>TRUE()</f>
        <v>1</v>
      </c>
      <c r="AC2703" s="65" t="b">
        <f>FALSE()</f>
        <v>0</v>
      </c>
      <c r="AD2703" s="65" t="b">
        <f>FALSE()</f>
        <v>0</v>
      </c>
      <c r="AE2703" s="65">
        <v>3</v>
      </c>
      <c r="AF2703" s="69">
        <v>42.9</v>
      </c>
      <c r="AG2703" s="65" t="s">
        <v>73</v>
      </c>
      <c r="AH2703" s="65" t="s">
        <v>10249</v>
      </c>
      <c r="AI2703">
        <f>IF(AND(OR(Company_Explorer!$B$5="All Companies",$E2703=Company_Explorer!$B$5),OR(Company_Explorer!$B$6="All Platforms",$B2703=Company_Explorer!$B$6),OR(Company_Explorer!$B$7="All Roles",$D2703=Company_Explorer!$B$7),OR(Company_Explorer!$B$8="All Ghost Labels",$AG2703=Company_Explorer!$B$8)),1,0)</f>
        <v>0</v>
      </c>
    </row>
    <row r="2704" spans="1:35" ht="15" customHeight="1" x14ac:dyDescent="0.3">
      <c r="A2704" s="60" t="s">
        <v>10250</v>
      </c>
      <c r="B2704" s="60" t="s">
        <v>82</v>
      </c>
      <c r="C2704" s="60" t="s">
        <v>7285</v>
      </c>
      <c r="D2704" s="60" t="s">
        <v>128</v>
      </c>
      <c r="E2704" s="60" t="s">
        <v>7487</v>
      </c>
      <c r="F2704" s="60" t="b">
        <f>TRUE()</f>
        <v>1</v>
      </c>
      <c r="G2704" s="60" t="s">
        <v>165</v>
      </c>
      <c r="H2704" s="60" t="s">
        <v>165</v>
      </c>
      <c r="I2704" s="61">
        <v>46197</v>
      </c>
      <c r="J2704" s="61">
        <v>46210.286374710697</v>
      </c>
      <c r="K2704" s="60">
        <v>133</v>
      </c>
      <c r="L2704" s="60" t="s">
        <v>183</v>
      </c>
      <c r="M2704" s="60" t="s">
        <v>183</v>
      </c>
      <c r="N2704" s="60" t="b">
        <f>FALSE()</f>
        <v>0</v>
      </c>
      <c r="O2704" s="60"/>
      <c r="P2704" s="60"/>
      <c r="Q2704" s="60" t="s">
        <v>3663</v>
      </c>
      <c r="R2704" s="60" t="s">
        <v>236</v>
      </c>
      <c r="S2704" s="60"/>
      <c r="T2704" s="60" t="b">
        <f>FALSE()</f>
        <v>0</v>
      </c>
      <c r="U2704" s="60" t="b">
        <f>FALSE()</f>
        <v>0</v>
      </c>
      <c r="V2704" s="60">
        <v>565</v>
      </c>
      <c r="W2704" s="62" t="s">
        <v>7932</v>
      </c>
      <c r="X2704" s="60">
        <v>5</v>
      </c>
      <c r="Y2704" s="63">
        <v>1.21</v>
      </c>
      <c r="Z2704" s="60" t="b">
        <f>FALSE()</f>
        <v>0</v>
      </c>
      <c r="AA2704" s="60" t="b">
        <f>TRUE()</f>
        <v>1</v>
      </c>
      <c r="AB2704" s="60" t="b">
        <f>FALSE()</f>
        <v>0</v>
      </c>
      <c r="AC2704" s="60" t="b">
        <f>TRUE()</f>
        <v>1</v>
      </c>
      <c r="AD2704" s="60" t="b">
        <f>FALSE()</f>
        <v>0</v>
      </c>
      <c r="AE2704" s="60">
        <v>2</v>
      </c>
      <c r="AF2704" s="64">
        <v>28.6</v>
      </c>
      <c r="AG2704" s="60" t="s">
        <v>73</v>
      </c>
      <c r="AH2704" s="60" t="s">
        <v>10251</v>
      </c>
      <c r="AI2704">
        <f>IF(AND(OR(Company_Explorer!$B$5="All Companies",$E2704=Company_Explorer!$B$5),OR(Company_Explorer!$B$6="All Platforms",$B2704=Company_Explorer!$B$6),OR(Company_Explorer!$B$7="All Roles",$D2704=Company_Explorer!$B$7),OR(Company_Explorer!$B$8="All Ghost Labels",$AG2704=Company_Explorer!$B$8)),1,0)</f>
        <v>0</v>
      </c>
    </row>
    <row r="2705" spans="1:35" ht="15" customHeight="1" x14ac:dyDescent="0.3">
      <c r="A2705" s="65" t="s">
        <v>10252</v>
      </c>
      <c r="B2705" s="65" t="s">
        <v>82</v>
      </c>
      <c r="C2705" s="65" t="s">
        <v>10253</v>
      </c>
      <c r="D2705" s="65" t="s">
        <v>126</v>
      </c>
      <c r="E2705" s="65" t="s">
        <v>10254</v>
      </c>
      <c r="F2705" s="65" t="b">
        <f>TRUE()</f>
        <v>1</v>
      </c>
      <c r="G2705" s="65" t="s">
        <v>325</v>
      </c>
      <c r="H2705" s="65" t="s">
        <v>326</v>
      </c>
      <c r="I2705" s="66">
        <v>46204</v>
      </c>
      <c r="J2705" s="66">
        <v>46210.286375694399</v>
      </c>
      <c r="K2705" s="65">
        <v>6</v>
      </c>
      <c r="L2705" s="65" t="s">
        <v>183</v>
      </c>
      <c r="M2705" s="65" t="s">
        <v>183</v>
      </c>
      <c r="N2705" s="65" t="b">
        <f>TRUE()</f>
        <v>1</v>
      </c>
      <c r="O2705" s="71">
        <v>500000</v>
      </c>
      <c r="P2705" s="71">
        <v>739750</v>
      </c>
      <c r="Q2705" s="65" t="s">
        <v>3663</v>
      </c>
      <c r="R2705" s="65" t="s">
        <v>7351</v>
      </c>
      <c r="S2705" s="71">
        <v>619875</v>
      </c>
      <c r="T2705" s="65" t="b">
        <f>TRUE()</f>
        <v>1</v>
      </c>
      <c r="U2705" s="65" t="b">
        <f>FALSE()</f>
        <v>0</v>
      </c>
      <c r="V2705" s="65">
        <v>610</v>
      </c>
      <c r="W2705" s="67" t="s">
        <v>10255</v>
      </c>
      <c r="X2705" s="65">
        <v>1</v>
      </c>
      <c r="Y2705" s="68">
        <v>0.24</v>
      </c>
      <c r="Z2705" s="65" t="b">
        <f>FALSE()</f>
        <v>0</v>
      </c>
      <c r="AA2705" s="65" t="b">
        <f>FALSE()</f>
        <v>0</v>
      </c>
      <c r="AB2705" s="65" t="b">
        <f>FALSE()</f>
        <v>0</v>
      </c>
      <c r="AC2705" s="65" t="b">
        <f>FALSE()</f>
        <v>0</v>
      </c>
      <c r="AD2705" s="65" t="b">
        <f>FALSE()</f>
        <v>0</v>
      </c>
      <c r="AE2705" s="65">
        <v>0</v>
      </c>
      <c r="AF2705" s="69">
        <v>0</v>
      </c>
      <c r="AG2705" s="65" t="s">
        <v>74</v>
      </c>
      <c r="AH2705" s="65" t="s">
        <v>10256</v>
      </c>
      <c r="AI2705">
        <f>IF(AND(OR(Company_Explorer!$B$5="All Companies",$E2705=Company_Explorer!$B$5),OR(Company_Explorer!$B$6="All Platforms",$B2705=Company_Explorer!$B$6),OR(Company_Explorer!$B$7="All Roles",$D2705=Company_Explorer!$B$7),OR(Company_Explorer!$B$8="All Ghost Labels",$AG2705=Company_Explorer!$B$8)),1,0)</f>
        <v>0</v>
      </c>
    </row>
    <row r="2706" spans="1:35" ht="15" customHeight="1" x14ac:dyDescent="0.3">
      <c r="A2706" s="60" t="s">
        <v>10257</v>
      </c>
      <c r="B2706" s="60" t="s">
        <v>82</v>
      </c>
      <c r="C2706" s="60" t="s">
        <v>10258</v>
      </c>
      <c r="D2706" s="60" t="s">
        <v>128</v>
      </c>
      <c r="E2706" s="60" t="s">
        <v>10259</v>
      </c>
      <c r="F2706" s="60" t="b">
        <f>TRUE()</f>
        <v>1</v>
      </c>
      <c r="G2706" s="60" t="s">
        <v>165</v>
      </c>
      <c r="H2706" s="60" t="s">
        <v>165</v>
      </c>
      <c r="I2706" s="61">
        <v>46210</v>
      </c>
      <c r="J2706" s="61">
        <v>46210.286379618097</v>
      </c>
      <c r="K2706" s="60">
        <v>61</v>
      </c>
      <c r="L2706" s="60" t="s">
        <v>192</v>
      </c>
      <c r="M2706" s="60" t="s">
        <v>183</v>
      </c>
      <c r="N2706" s="60" t="b">
        <f>FALSE()</f>
        <v>0</v>
      </c>
      <c r="O2706" s="60"/>
      <c r="P2706" s="60"/>
      <c r="Q2706" s="60" t="s">
        <v>3663</v>
      </c>
      <c r="R2706" s="60" t="s">
        <v>236</v>
      </c>
      <c r="S2706" s="60"/>
      <c r="T2706" s="60" t="b">
        <f>FALSE()</f>
        <v>0</v>
      </c>
      <c r="U2706" s="60" t="b">
        <f>FALSE()</f>
        <v>0</v>
      </c>
      <c r="V2706" s="60">
        <v>530</v>
      </c>
      <c r="W2706" s="62" t="s">
        <v>10260</v>
      </c>
      <c r="X2706" s="60">
        <v>1</v>
      </c>
      <c r="Y2706" s="63">
        <v>0.24</v>
      </c>
      <c r="Z2706" s="60" t="b">
        <f>FALSE()</f>
        <v>0</v>
      </c>
      <c r="AA2706" s="60" t="b">
        <f>TRUE()</f>
        <v>1</v>
      </c>
      <c r="AB2706" s="60" t="b">
        <f>FALSE()</f>
        <v>0</v>
      </c>
      <c r="AC2706" s="60" t="b">
        <f>FALSE()</f>
        <v>0</v>
      </c>
      <c r="AD2706" s="60" t="b">
        <f>FALSE()</f>
        <v>0</v>
      </c>
      <c r="AE2706" s="60">
        <v>1</v>
      </c>
      <c r="AF2706" s="64">
        <v>14.3</v>
      </c>
      <c r="AG2706" s="60" t="s">
        <v>74</v>
      </c>
      <c r="AH2706" s="60" t="s">
        <v>10261</v>
      </c>
      <c r="AI2706">
        <f>IF(AND(OR(Company_Explorer!$B$5="All Companies",$E2706=Company_Explorer!$B$5),OR(Company_Explorer!$B$6="All Platforms",$B2706=Company_Explorer!$B$6),OR(Company_Explorer!$B$7="All Roles",$D2706=Company_Explorer!$B$7),OR(Company_Explorer!$B$8="All Ghost Labels",$AG2706=Company_Explorer!$B$8)),1,0)</f>
        <v>0</v>
      </c>
    </row>
    <row r="2707" spans="1:35" ht="15" customHeight="1" x14ac:dyDescent="0.3">
      <c r="A2707" s="65" t="s">
        <v>10262</v>
      </c>
      <c r="B2707" s="65" t="s">
        <v>82</v>
      </c>
      <c r="C2707" s="65" t="s">
        <v>258</v>
      </c>
      <c r="D2707" s="65" t="s">
        <v>125</v>
      </c>
      <c r="E2707" s="65" t="s">
        <v>152</v>
      </c>
      <c r="F2707" s="65" t="b">
        <f>TRUE()</f>
        <v>1</v>
      </c>
      <c r="G2707" s="65" t="s">
        <v>165</v>
      </c>
      <c r="H2707" s="65" t="s">
        <v>165</v>
      </c>
      <c r="I2707" s="66">
        <v>46198</v>
      </c>
      <c r="J2707" s="66">
        <v>46210.286383680599</v>
      </c>
      <c r="K2707" s="65">
        <v>104</v>
      </c>
      <c r="L2707" s="65" t="s">
        <v>192</v>
      </c>
      <c r="M2707" s="65" t="s">
        <v>183</v>
      </c>
      <c r="N2707" s="65" t="b">
        <f>FALSE()</f>
        <v>0</v>
      </c>
      <c r="O2707" s="65"/>
      <c r="P2707" s="65"/>
      <c r="Q2707" s="65" t="s">
        <v>3663</v>
      </c>
      <c r="R2707" s="65" t="s">
        <v>236</v>
      </c>
      <c r="S2707" s="65"/>
      <c r="T2707" s="65" t="b">
        <f>FALSE()</f>
        <v>0</v>
      </c>
      <c r="U2707" s="65" t="b">
        <f>FALSE()</f>
        <v>0</v>
      </c>
      <c r="V2707" s="65">
        <v>189</v>
      </c>
      <c r="W2707" s="67" t="s">
        <v>4514</v>
      </c>
      <c r="X2707" s="65">
        <v>17</v>
      </c>
      <c r="Y2707" s="68">
        <v>4.0999999999999996</v>
      </c>
      <c r="Z2707" s="65" t="b">
        <f>FALSE()</f>
        <v>0</v>
      </c>
      <c r="AA2707" s="65" t="b">
        <f>TRUE()</f>
        <v>1</v>
      </c>
      <c r="AB2707" s="65" t="b">
        <f>TRUE()</f>
        <v>1</v>
      </c>
      <c r="AC2707" s="65" t="b">
        <f>FALSE()</f>
        <v>0</v>
      </c>
      <c r="AD2707" s="65" t="b">
        <f>TRUE()</f>
        <v>1</v>
      </c>
      <c r="AE2707" s="65">
        <v>4</v>
      </c>
      <c r="AF2707" s="69">
        <v>57.1</v>
      </c>
      <c r="AG2707" s="65" t="s">
        <v>72</v>
      </c>
      <c r="AH2707" s="65" t="s">
        <v>10263</v>
      </c>
      <c r="AI2707">
        <f>IF(AND(OR(Company_Explorer!$B$5="All Companies",$E2707=Company_Explorer!$B$5),OR(Company_Explorer!$B$6="All Platforms",$B2707=Company_Explorer!$B$6),OR(Company_Explorer!$B$7="All Roles",$D2707=Company_Explorer!$B$7),OR(Company_Explorer!$B$8="All Ghost Labels",$AG2707=Company_Explorer!$B$8)),1,0)</f>
        <v>0</v>
      </c>
    </row>
    <row r="2708" spans="1:35" ht="15" customHeight="1" x14ac:dyDescent="0.3">
      <c r="A2708" s="60" t="s">
        <v>10264</v>
      </c>
      <c r="B2708" s="60" t="s">
        <v>82</v>
      </c>
      <c r="C2708" s="60" t="s">
        <v>10265</v>
      </c>
      <c r="D2708" s="60" t="s">
        <v>126</v>
      </c>
      <c r="E2708" s="60" t="s">
        <v>10266</v>
      </c>
      <c r="F2708" s="60" t="b">
        <f>TRUE()</f>
        <v>1</v>
      </c>
      <c r="G2708" s="60" t="s">
        <v>9690</v>
      </c>
      <c r="H2708" s="60" t="s">
        <v>7450</v>
      </c>
      <c r="I2708" s="61">
        <v>46183</v>
      </c>
      <c r="J2708" s="61">
        <v>46210.2863844444</v>
      </c>
      <c r="K2708" s="60">
        <v>178</v>
      </c>
      <c r="L2708" s="60" t="s">
        <v>192</v>
      </c>
      <c r="M2708" s="60" t="s">
        <v>183</v>
      </c>
      <c r="N2708" s="60" t="b">
        <f>TRUE()</f>
        <v>1</v>
      </c>
      <c r="O2708" s="70">
        <v>250000</v>
      </c>
      <c r="P2708" s="70">
        <v>750000</v>
      </c>
      <c r="Q2708" s="60" t="s">
        <v>3663</v>
      </c>
      <c r="R2708" s="60" t="s">
        <v>7351</v>
      </c>
      <c r="S2708" s="70">
        <v>500000</v>
      </c>
      <c r="T2708" s="60" t="b">
        <f>TRUE()</f>
        <v>1</v>
      </c>
      <c r="U2708" s="60" t="b">
        <f>FALSE()</f>
        <v>0</v>
      </c>
      <c r="V2708" s="60">
        <v>373</v>
      </c>
      <c r="W2708" s="62" t="s">
        <v>10267</v>
      </c>
      <c r="X2708" s="60">
        <v>1</v>
      </c>
      <c r="Y2708" s="63">
        <v>0.24</v>
      </c>
      <c r="Z2708" s="60" t="b">
        <f>FALSE()</f>
        <v>0</v>
      </c>
      <c r="AA2708" s="60" t="b">
        <f>FALSE()</f>
        <v>0</v>
      </c>
      <c r="AB2708" s="60" t="b">
        <f>FALSE()</f>
        <v>0</v>
      </c>
      <c r="AC2708" s="60" t="b">
        <f>TRUE()</f>
        <v>1</v>
      </c>
      <c r="AD2708" s="60" t="b">
        <f>FALSE()</f>
        <v>0</v>
      </c>
      <c r="AE2708" s="60">
        <v>1</v>
      </c>
      <c r="AF2708" s="64">
        <v>14.3</v>
      </c>
      <c r="AG2708" s="60" t="s">
        <v>74</v>
      </c>
      <c r="AH2708" s="60" t="s">
        <v>10268</v>
      </c>
      <c r="AI2708">
        <f>IF(AND(OR(Company_Explorer!$B$5="All Companies",$E2708=Company_Explorer!$B$5),OR(Company_Explorer!$B$6="All Platforms",$B2708=Company_Explorer!$B$6),OR(Company_Explorer!$B$7="All Roles",$D2708=Company_Explorer!$B$7),OR(Company_Explorer!$B$8="All Ghost Labels",$AG2708=Company_Explorer!$B$8)),1,0)</f>
        <v>0</v>
      </c>
    </row>
    <row r="2709" spans="1:35" ht="15" customHeight="1" x14ac:dyDescent="0.3">
      <c r="A2709" s="65" t="s">
        <v>10269</v>
      </c>
      <c r="B2709" s="65" t="s">
        <v>82</v>
      </c>
      <c r="C2709" s="65" t="s">
        <v>10270</v>
      </c>
      <c r="D2709" s="65" t="s">
        <v>126</v>
      </c>
      <c r="E2709" s="65" t="s">
        <v>10271</v>
      </c>
      <c r="F2709" s="65" t="b">
        <f>TRUE()</f>
        <v>1</v>
      </c>
      <c r="G2709" s="65" t="s">
        <v>7560</v>
      </c>
      <c r="H2709" s="65" t="s">
        <v>2385</v>
      </c>
      <c r="I2709" s="66">
        <v>46193</v>
      </c>
      <c r="J2709" s="66">
        <v>46210.286384722203</v>
      </c>
      <c r="K2709" s="65">
        <v>48</v>
      </c>
      <c r="L2709" s="65" t="s">
        <v>192</v>
      </c>
      <c r="M2709" s="65" t="s">
        <v>183</v>
      </c>
      <c r="N2709" s="65" t="b">
        <f>TRUE()</f>
        <v>1</v>
      </c>
      <c r="O2709" s="71">
        <v>240000</v>
      </c>
      <c r="P2709" s="71">
        <v>575000</v>
      </c>
      <c r="Q2709" s="65" t="s">
        <v>3663</v>
      </c>
      <c r="R2709" s="65" t="s">
        <v>7351</v>
      </c>
      <c r="S2709" s="71">
        <v>407500</v>
      </c>
      <c r="T2709" s="65" t="b">
        <f>TRUE()</f>
        <v>1</v>
      </c>
      <c r="U2709" s="65" t="b">
        <f>FALSE()</f>
        <v>0</v>
      </c>
      <c r="V2709" s="65">
        <v>354</v>
      </c>
      <c r="W2709" s="67" t="s">
        <v>10272</v>
      </c>
      <c r="X2709" s="65">
        <v>1</v>
      </c>
      <c r="Y2709" s="68">
        <v>0.24</v>
      </c>
      <c r="Z2709" s="65" t="b">
        <f>FALSE()</f>
        <v>0</v>
      </c>
      <c r="AA2709" s="65" t="b">
        <f>FALSE()</f>
        <v>0</v>
      </c>
      <c r="AB2709" s="65" t="b">
        <f>FALSE()</f>
        <v>0</v>
      </c>
      <c r="AC2709" s="65" t="b">
        <f>FALSE()</f>
        <v>0</v>
      </c>
      <c r="AD2709" s="65" t="b">
        <f>FALSE()</f>
        <v>0</v>
      </c>
      <c r="AE2709" s="65">
        <v>0</v>
      </c>
      <c r="AF2709" s="69">
        <v>0</v>
      </c>
      <c r="AG2709" s="65" t="s">
        <v>74</v>
      </c>
      <c r="AH2709" s="65" t="s">
        <v>10273</v>
      </c>
      <c r="AI2709">
        <f>IF(AND(OR(Company_Explorer!$B$5="All Companies",$E2709=Company_Explorer!$B$5),OR(Company_Explorer!$B$6="All Platforms",$B2709=Company_Explorer!$B$6),OR(Company_Explorer!$B$7="All Roles",$D2709=Company_Explorer!$B$7),OR(Company_Explorer!$B$8="All Ghost Labels",$AG2709=Company_Explorer!$B$8)),1,0)</f>
        <v>0</v>
      </c>
    </row>
    <row r="2710" spans="1:35" ht="15" customHeight="1" x14ac:dyDescent="0.3">
      <c r="A2710" s="60" t="s">
        <v>10274</v>
      </c>
      <c r="B2710" s="60" t="s">
        <v>82</v>
      </c>
      <c r="C2710" s="60" t="s">
        <v>132</v>
      </c>
      <c r="D2710" s="60" t="s">
        <v>132</v>
      </c>
      <c r="E2710" s="60" t="s">
        <v>8682</v>
      </c>
      <c r="F2710" s="60" t="b">
        <f>TRUE()</f>
        <v>1</v>
      </c>
      <c r="G2710" s="60" t="s">
        <v>165</v>
      </c>
      <c r="H2710" s="60" t="s">
        <v>165</v>
      </c>
      <c r="I2710" s="61">
        <v>46201</v>
      </c>
      <c r="J2710" s="61">
        <v>46210.286386932901</v>
      </c>
      <c r="K2710" s="60">
        <v>9</v>
      </c>
      <c r="L2710" s="60" t="s">
        <v>183</v>
      </c>
      <c r="M2710" s="60" t="s">
        <v>183</v>
      </c>
      <c r="N2710" s="60" t="b">
        <f>FALSE()</f>
        <v>0</v>
      </c>
      <c r="O2710" s="60"/>
      <c r="P2710" s="60"/>
      <c r="Q2710" s="60" t="s">
        <v>3663</v>
      </c>
      <c r="R2710" s="60" t="s">
        <v>236</v>
      </c>
      <c r="S2710" s="60"/>
      <c r="T2710" s="60" t="b">
        <f>FALSE()</f>
        <v>0</v>
      </c>
      <c r="U2710" s="60" t="b">
        <f>FALSE()</f>
        <v>0</v>
      </c>
      <c r="V2710" s="60">
        <v>224</v>
      </c>
      <c r="W2710" s="62" t="s">
        <v>10275</v>
      </c>
      <c r="X2710" s="60">
        <v>7</v>
      </c>
      <c r="Y2710" s="63">
        <v>1.69</v>
      </c>
      <c r="Z2710" s="60" t="b">
        <f>FALSE()</f>
        <v>0</v>
      </c>
      <c r="AA2710" s="60" t="b">
        <f>TRUE()</f>
        <v>1</v>
      </c>
      <c r="AB2710" s="60" t="b">
        <f>FALSE()</f>
        <v>0</v>
      </c>
      <c r="AC2710" s="60" t="b">
        <f>FALSE()</f>
        <v>0</v>
      </c>
      <c r="AD2710" s="60" t="b">
        <f>FALSE()</f>
        <v>0</v>
      </c>
      <c r="AE2710" s="60">
        <v>1</v>
      </c>
      <c r="AF2710" s="64">
        <v>14.3</v>
      </c>
      <c r="AG2710" s="60" t="s">
        <v>74</v>
      </c>
      <c r="AH2710" s="60" t="s">
        <v>10276</v>
      </c>
      <c r="AI2710">
        <f>IF(AND(OR(Company_Explorer!$B$5="All Companies",$E2710=Company_Explorer!$B$5),OR(Company_Explorer!$B$6="All Platforms",$B2710=Company_Explorer!$B$6),OR(Company_Explorer!$B$7="All Roles",$D2710=Company_Explorer!$B$7),OR(Company_Explorer!$B$8="All Ghost Labels",$AG2710=Company_Explorer!$B$8)),1,0)</f>
        <v>0</v>
      </c>
    </row>
    <row r="2711" spans="1:35" ht="15" customHeight="1" x14ac:dyDescent="0.3">
      <c r="A2711" s="65" t="s">
        <v>10277</v>
      </c>
      <c r="B2711" s="65" t="s">
        <v>82</v>
      </c>
      <c r="C2711" s="65" t="s">
        <v>10278</v>
      </c>
      <c r="D2711" s="65" t="s">
        <v>125</v>
      </c>
      <c r="E2711" s="65" t="s">
        <v>10279</v>
      </c>
      <c r="F2711" s="65" t="b">
        <f>TRUE()</f>
        <v>1</v>
      </c>
      <c r="G2711" s="65" t="s">
        <v>167</v>
      </c>
      <c r="H2711" s="65" t="s">
        <v>276</v>
      </c>
      <c r="I2711" s="66">
        <v>46201</v>
      </c>
      <c r="J2711" s="66">
        <v>46210.286387638902</v>
      </c>
      <c r="K2711" s="65">
        <v>129</v>
      </c>
      <c r="L2711" s="65" t="s">
        <v>183</v>
      </c>
      <c r="M2711" s="65" t="s">
        <v>183</v>
      </c>
      <c r="N2711" s="65" t="b">
        <f>TRUE()</f>
        <v>1</v>
      </c>
      <c r="O2711" s="71">
        <v>200000</v>
      </c>
      <c r="P2711" s="71">
        <v>800000</v>
      </c>
      <c r="Q2711" s="65" t="s">
        <v>3663</v>
      </c>
      <c r="R2711" s="65" t="s">
        <v>7351</v>
      </c>
      <c r="S2711" s="71">
        <v>500000</v>
      </c>
      <c r="T2711" s="65" t="b">
        <f>TRUE()</f>
        <v>1</v>
      </c>
      <c r="U2711" s="65" t="b">
        <f>FALSE()</f>
        <v>0</v>
      </c>
      <c r="V2711" s="65">
        <v>304</v>
      </c>
      <c r="W2711" s="67" t="s">
        <v>10280</v>
      </c>
      <c r="X2711" s="65">
        <v>1</v>
      </c>
      <c r="Y2711" s="68">
        <v>0.24</v>
      </c>
      <c r="Z2711" s="65" t="b">
        <f>FALSE()</f>
        <v>0</v>
      </c>
      <c r="AA2711" s="65" t="b">
        <f>FALSE()</f>
        <v>0</v>
      </c>
      <c r="AB2711" s="65" t="b">
        <f>FALSE()</f>
        <v>0</v>
      </c>
      <c r="AC2711" s="65" t="b">
        <f>TRUE()</f>
        <v>1</v>
      </c>
      <c r="AD2711" s="65" t="b">
        <f>FALSE()</f>
        <v>0</v>
      </c>
      <c r="AE2711" s="65">
        <v>1</v>
      </c>
      <c r="AF2711" s="69">
        <v>14.3</v>
      </c>
      <c r="AG2711" s="65" t="s">
        <v>74</v>
      </c>
      <c r="AH2711" s="65" t="s">
        <v>10281</v>
      </c>
      <c r="AI2711">
        <f>IF(AND(OR(Company_Explorer!$B$5="All Companies",$E2711=Company_Explorer!$B$5),OR(Company_Explorer!$B$6="All Platforms",$B2711=Company_Explorer!$B$6),OR(Company_Explorer!$B$7="All Roles",$D2711=Company_Explorer!$B$7),OR(Company_Explorer!$B$8="All Ghost Labels",$AG2711=Company_Explorer!$B$8)),1,0)</f>
        <v>0</v>
      </c>
    </row>
    <row r="2712" spans="1:35" ht="15" customHeight="1" x14ac:dyDescent="0.3">
      <c r="A2712" s="60" t="s">
        <v>10282</v>
      </c>
      <c r="B2712" s="60" t="s">
        <v>82</v>
      </c>
      <c r="C2712" s="60" t="s">
        <v>10283</v>
      </c>
      <c r="D2712" s="60" t="s">
        <v>128</v>
      </c>
      <c r="E2712" s="60" t="s">
        <v>10284</v>
      </c>
      <c r="F2712" s="60" t="b">
        <f>TRUE()</f>
        <v>1</v>
      </c>
      <c r="G2712" s="60" t="s">
        <v>165</v>
      </c>
      <c r="H2712" s="60" t="s">
        <v>165</v>
      </c>
      <c r="I2712" s="61">
        <v>46204</v>
      </c>
      <c r="J2712" s="61">
        <v>46210.286388425899</v>
      </c>
      <c r="K2712" s="60">
        <v>6</v>
      </c>
      <c r="L2712" s="60" t="s">
        <v>192</v>
      </c>
      <c r="M2712" s="60" t="s">
        <v>183</v>
      </c>
      <c r="N2712" s="60" t="b">
        <f>FALSE()</f>
        <v>0</v>
      </c>
      <c r="O2712" s="60"/>
      <c r="P2712" s="60"/>
      <c r="Q2712" s="60" t="s">
        <v>3663</v>
      </c>
      <c r="R2712" s="60" t="s">
        <v>236</v>
      </c>
      <c r="S2712" s="60"/>
      <c r="T2712" s="60" t="b">
        <f>FALSE()</f>
        <v>0</v>
      </c>
      <c r="U2712" s="60" t="b">
        <f>FALSE()</f>
        <v>0</v>
      </c>
      <c r="V2712" s="60">
        <v>240</v>
      </c>
      <c r="W2712" s="62" t="s">
        <v>10285</v>
      </c>
      <c r="X2712" s="60">
        <v>1</v>
      </c>
      <c r="Y2712" s="63">
        <v>0.24</v>
      </c>
      <c r="Z2712" s="60" t="b">
        <f>FALSE()</f>
        <v>0</v>
      </c>
      <c r="AA2712" s="60" t="b">
        <f>TRUE()</f>
        <v>1</v>
      </c>
      <c r="AB2712" s="60" t="b">
        <f>FALSE()</f>
        <v>0</v>
      </c>
      <c r="AC2712" s="60" t="b">
        <f>FALSE()</f>
        <v>0</v>
      </c>
      <c r="AD2712" s="60" t="b">
        <f>FALSE()</f>
        <v>0</v>
      </c>
      <c r="AE2712" s="60">
        <v>1</v>
      </c>
      <c r="AF2712" s="64">
        <v>14.3</v>
      </c>
      <c r="AG2712" s="60" t="s">
        <v>74</v>
      </c>
      <c r="AH2712" s="60" t="s">
        <v>10286</v>
      </c>
      <c r="AI2712">
        <f>IF(AND(OR(Company_Explorer!$B$5="All Companies",$E2712=Company_Explorer!$B$5),OR(Company_Explorer!$B$6="All Platforms",$B2712=Company_Explorer!$B$6),OR(Company_Explorer!$B$7="All Roles",$D2712=Company_Explorer!$B$7),OR(Company_Explorer!$B$8="All Ghost Labels",$AG2712=Company_Explorer!$B$8)),1,0)</f>
        <v>0</v>
      </c>
    </row>
    <row r="2713" spans="1:35" ht="15" customHeight="1" x14ac:dyDescent="0.3">
      <c r="A2713" s="65" t="s">
        <v>10287</v>
      </c>
      <c r="B2713" s="65" t="s">
        <v>82</v>
      </c>
      <c r="C2713" s="65" t="s">
        <v>10288</v>
      </c>
      <c r="D2713" s="65" t="s">
        <v>128</v>
      </c>
      <c r="E2713" s="65" t="s">
        <v>10289</v>
      </c>
      <c r="F2713" s="65" t="b">
        <f>TRUE()</f>
        <v>1</v>
      </c>
      <c r="G2713" s="65" t="s">
        <v>165</v>
      </c>
      <c r="H2713" s="65" t="s">
        <v>165</v>
      </c>
      <c r="I2713" s="66">
        <v>46207</v>
      </c>
      <c r="J2713" s="66">
        <v>46210.286389710702</v>
      </c>
      <c r="K2713" s="65">
        <v>125</v>
      </c>
      <c r="L2713" s="65" t="s">
        <v>192</v>
      </c>
      <c r="M2713" s="65" t="s">
        <v>183</v>
      </c>
      <c r="N2713" s="65" t="b">
        <f>FALSE()</f>
        <v>0</v>
      </c>
      <c r="O2713" s="65"/>
      <c r="P2713" s="65"/>
      <c r="Q2713" s="65" t="s">
        <v>3663</v>
      </c>
      <c r="R2713" s="65" t="s">
        <v>236</v>
      </c>
      <c r="S2713" s="65"/>
      <c r="T2713" s="65" t="b">
        <f>FALSE()</f>
        <v>0</v>
      </c>
      <c r="U2713" s="65" t="b">
        <f>FALSE()</f>
        <v>0</v>
      </c>
      <c r="V2713" s="65">
        <v>396</v>
      </c>
      <c r="W2713" s="67" t="s">
        <v>10290</v>
      </c>
      <c r="X2713" s="65">
        <v>1</v>
      </c>
      <c r="Y2713" s="68">
        <v>0.24</v>
      </c>
      <c r="Z2713" s="65" t="b">
        <f>FALSE()</f>
        <v>0</v>
      </c>
      <c r="AA2713" s="65" t="b">
        <f>TRUE()</f>
        <v>1</v>
      </c>
      <c r="AB2713" s="65" t="b">
        <f>FALSE()</f>
        <v>0</v>
      </c>
      <c r="AC2713" s="65" t="b">
        <f>TRUE()</f>
        <v>1</v>
      </c>
      <c r="AD2713" s="65" t="b">
        <f>FALSE()</f>
        <v>0</v>
      </c>
      <c r="AE2713" s="65">
        <v>2</v>
      </c>
      <c r="AF2713" s="69">
        <v>28.6</v>
      </c>
      <c r="AG2713" s="65" t="s">
        <v>73</v>
      </c>
      <c r="AH2713" s="65" t="s">
        <v>10291</v>
      </c>
      <c r="AI2713">
        <f>IF(AND(OR(Company_Explorer!$B$5="All Companies",$E2713=Company_Explorer!$B$5),OR(Company_Explorer!$B$6="All Platforms",$B2713=Company_Explorer!$B$6),OR(Company_Explorer!$B$7="All Roles",$D2713=Company_Explorer!$B$7),OR(Company_Explorer!$B$8="All Ghost Labels",$AG2713=Company_Explorer!$B$8)),1,0)</f>
        <v>0</v>
      </c>
    </row>
    <row r="2714" spans="1:35" ht="15" customHeight="1" x14ac:dyDescent="0.3">
      <c r="A2714" s="60" t="s">
        <v>10292</v>
      </c>
      <c r="B2714" s="60" t="s">
        <v>82</v>
      </c>
      <c r="C2714" s="60" t="s">
        <v>7285</v>
      </c>
      <c r="D2714" s="60" t="s">
        <v>128</v>
      </c>
      <c r="E2714" s="60" t="s">
        <v>10293</v>
      </c>
      <c r="F2714" s="60" t="b">
        <f>TRUE()</f>
        <v>1</v>
      </c>
      <c r="G2714" s="60" t="s">
        <v>165</v>
      </c>
      <c r="H2714" s="60" t="s">
        <v>165</v>
      </c>
      <c r="I2714" s="61">
        <v>46183</v>
      </c>
      <c r="J2714" s="61">
        <v>46210.286390601897</v>
      </c>
      <c r="K2714" s="60">
        <v>27</v>
      </c>
      <c r="L2714" s="60" t="s">
        <v>183</v>
      </c>
      <c r="M2714" s="60" t="s">
        <v>183</v>
      </c>
      <c r="N2714" s="60" t="b">
        <f>FALSE()</f>
        <v>0</v>
      </c>
      <c r="O2714" s="60"/>
      <c r="P2714" s="60"/>
      <c r="Q2714" s="60" t="s">
        <v>3663</v>
      </c>
      <c r="R2714" s="60" t="s">
        <v>236</v>
      </c>
      <c r="S2714" s="60"/>
      <c r="T2714" s="60" t="b">
        <f>FALSE()</f>
        <v>0</v>
      </c>
      <c r="U2714" s="60" t="b">
        <f>FALSE()</f>
        <v>0</v>
      </c>
      <c r="V2714" s="60">
        <v>809</v>
      </c>
      <c r="W2714" s="62" t="s">
        <v>620</v>
      </c>
      <c r="X2714" s="60">
        <v>1</v>
      </c>
      <c r="Y2714" s="63">
        <v>0.24</v>
      </c>
      <c r="Z2714" s="60" t="b">
        <f>FALSE()</f>
        <v>0</v>
      </c>
      <c r="AA2714" s="60" t="b">
        <f>TRUE()</f>
        <v>1</v>
      </c>
      <c r="AB2714" s="60" t="b">
        <f>FALSE()</f>
        <v>0</v>
      </c>
      <c r="AC2714" s="60" t="b">
        <f>FALSE()</f>
        <v>0</v>
      </c>
      <c r="AD2714" s="60" t="b">
        <f>FALSE()</f>
        <v>0</v>
      </c>
      <c r="AE2714" s="60">
        <v>1</v>
      </c>
      <c r="AF2714" s="64">
        <v>14.3</v>
      </c>
      <c r="AG2714" s="60" t="s">
        <v>74</v>
      </c>
      <c r="AH2714" s="60" t="s">
        <v>10294</v>
      </c>
      <c r="AI2714">
        <f>IF(AND(OR(Company_Explorer!$B$5="All Companies",$E2714=Company_Explorer!$B$5),OR(Company_Explorer!$B$6="All Platforms",$B2714=Company_Explorer!$B$6),OR(Company_Explorer!$B$7="All Roles",$D2714=Company_Explorer!$B$7),OR(Company_Explorer!$B$8="All Ghost Labels",$AG2714=Company_Explorer!$B$8)),1,0)</f>
        <v>0</v>
      </c>
    </row>
    <row r="2715" spans="1:35" ht="15" customHeight="1" x14ac:dyDescent="0.3">
      <c r="A2715" s="65" t="s">
        <v>10295</v>
      </c>
      <c r="B2715" s="65" t="s">
        <v>82</v>
      </c>
      <c r="C2715" s="65" t="s">
        <v>10296</v>
      </c>
      <c r="D2715" s="65" t="s">
        <v>132</v>
      </c>
      <c r="E2715" s="65" t="s">
        <v>10297</v>
      </c>
      <c r="F2715" s="65" t="b">
        <f>TRUE()</f>
        <v>1</v>
      </c>
      <c r="G2715" s="65" t="s">
        <v>165</v>
      </c>
      <c r="H2715" s="65" t="s">
        <v>165</v>
      </c>
      <c r="I2715" s="66">
        <v>46209</v>
      </c>
      <c r="J2715" s="66">
        <v>46210.286390694499</v>
      </c>
      <c r="K2715" s="65">
        <v>31</v>
      </c>
      <c r="L2715" s="65" t="s">
        <v>192</v>
      </c>
      <c r="M2715" s="65" t="s">
        <v>183</v>
      </c>
      <c r="N2715" s="65" t="b">
        <f>FALSE()</f>
        <v>0</v>
      </c>
      <c r="O2715" s="65"/>
      <c r="P2715" s="65"/>
      <c r="Q2715" s="65" t="s">
        <v>3663</v>
      </c>
      <c r="R2715" s="65" t="s">
        <v>236</v>
      </c>
      <c r="S2715" s="65"/>
      <c r="T2715" s="65" t="b">
        <f>FALSE()</f>
        <v>0</v>
      </c>
      <c r="U2715" s="65" t="b">
        <f>FALSE()</f>
        <v>0</v>
      </c>
      <c r="V2715" s="65">
        <v>514</v>
      </c>
      <c r="W2715" s="67" t="s">
        <v>10298</v>
      </c>
      <c r="X2715" s="65">
        <v>1</v>
      </c>
      <c r="Y2715" s="68">
        <v>0.24</v>
      </c>
      <c r="Z2715" s="65" t="b">
        <f>FALSE()</f>
        <v>0</v>
      </c>
      <c r="AA2715" s="65" t="b">
        <f>TRUE()</f>
        <v>1</v>
      </c>
      <c r="AB2715" s="65" t="b">
        <f>FALSE()</f>
        <v>0</v>
      </c>
      <c r="AC2715" s="65" t="b">
        <f>FALSE()</f>
        <v>0</v>
      </c>
      <c r="AD2715" s="65" t="b">
        <f>FALSE()</f>
        <v>0</v>
      </c>
      <c r="AE2715" s="65">
        <v>1</v>
      </c>
      <c r="AF2715" s="69">
        <v>14.3</v>
      </c>
      <c r="AG2715" s="65" t="s">
        <v>74</v>
      </c>
      <c r="AH2715" s="65" t="s">
        <v>10299</v>
      </c>
      <c r="AI2715">
        <f>IF(AND(OR(Company_Explorer!$B$5="All Companies",$E2715=Company_Explorer!$B$5),OR(Company_Explorer!$B$6="All Platforms",$B2715=Company_Explorer!$B$6),OR(Company_Explorer!$B$7="All Roles",$D2715=Company_Explorer!$B$7),OR(Company_Explorer!$B$8="All Ghost Labels",$AG2715=Company_Explorer!$B$8)),1,0)</f>
        <v>0</v>
      </c>
    </row>
    <row r="2716" spans="1:35" ht="15" customHeight="1" x14ac:dyDescent="0.3">
      <c r="A2716" s="60" t="s">
        <v>10300</v>
      </c>
      <c r="B2716" s="60" t="s">
        <v>82</v>
      </c>
      <c r="C2716" s="60" t="s">
        <v>10301</v>
      </c>
      <c r="D2716" s="60" t="s">
        <v>125</v>
      </c>
      <c r="E2716" s="60" t="s">
        <v>8827</v>
      </c>
      <c r="F2716" s="60" t="b">
        <f>TRUE()</f>
        <v>1</v>
      </c>
      <c r="G2716" s="60" t="s">
        <v>172</v>
      </c>
      <c r="H2716" s="60" t="s">
        <v>276</v>
      </c>
      <c r="I2716" s="61">
        <v>46210</v>
      </c>
      <c r="J2716" s="61">
        <v>46210.286391990703</v>
      </c>
      <c r="K2716" s="60">
        <v>0</v>
      </c>
      <c r="L2716" s="60" t="s">
        <v>183</v>
      </c>
      <c r="M2716" s="60" t="s">
        <v>183</v>
      </c>
      <c r="N2716" s="60" t="b">
        <f>TRUE()</f>
        <v>1</v>
      </c>
      <c r="O2716" s="70">
        <v>360000</v>
      </c>
      <c r="P2716" s="70">
        <v>705000</v>
      </c>
      <c r="Q2716" s="60" t="s">
        <v>3663</v>
      </c>
      <c r="R2716" s="60" t="s">
        <v>7351</v>
      </c>
      <c r="S2716" s="70">
        <v>532500</v>
      </c>
      <c r="T2716" s="60" t="b">
        <f>TRUE()</f>
        <v>1</v>
      </c>
      <c r="U2716" s="60" t="b">
        <f>FALSE()</f>
        <v>0</v>
      </c>
      <c r="V2716" s="60">
        <v>427</v>
      </c>
      <c r="W2716" s="60" t="s">
        <v>8828</v>
      </c>
      <c r="X2716" s="60">
        <v>4</v>
      </c>
      <c r="Y2716" s="63">
        <v>0.97</v>
      </c>
      <c r="Z2716" s="60" t="b">
        <f>FALSE()</f>
        <v>0</v>
      </c>
      <c r="AA2716" s="60" t="b">
        <f>FALSE()</f>
        <v>0</v>
      </c>
      <c r="AB2716" s="60" t="b">
        <f>FALSE()</f>
        <v>0</v>
      </c>
      <c r="AC2716" s="60" t="b">
        <f>FALSE()</f>
        <v>0</v>
      </c>
      <c r="AD2716" s="60" t="b">
        <f>FALSE()</f>
        <v>0</v>
      </c>
      <c r="AE2716" s="60">
        <v>0</v>
      </c>
      <c r="AF2716" s="64">
        <v>0</v>
      </c>
      <c r="AG2716" s="60" t="s">
        <v>74</v>
      </c>
      <c r="AH2716" s="60" t="s">
        <v>10302</v>
      </c>
      <c r="AI2716">
        <f>IF(AND(OR(Company_Explorer!$B$5="All Companies",$E2716=Company_Explorer!$B$5),OR(Company_Explorer!$B$6="All Platforms",$B2716=Company_Explorer!$B$6),OR(Company_Explorer!$B$7="All Roles",$D2716=Company_Explorer!$B$7),OR(Company_Explorer!$B$8="All Ghost Labels",$AG2716=Company_Explorer!$B$8)),1,0)</f>
        <v>0</v>
      </c>
    </row>
    <row r="2717" spans="1:35" ht="15" customHeight="1" x14ac:dyDescent="0.3">
      <c r="A2717" s="65" t="s">
        <v>10303</v>
      </c>
      <c r="B2717" s="65" t="s">
        <v>82</v>
      </c>
      <c r="C2717" s="65" t="s">
        <v>10304</v>
      </c>
      <c r="D2717" s="65" t="s">
        <v>132</v>
      </c>
      <c r="E2717" s="65" t="s">
        <v>10305</v>
      </c>
      <c r="F2717" s="65" t="b">
        <f>TRUE()</f>
        <v>1</v>
      </c>
      <c r="G2717" s="65" t="s">
        <v>165</v>
      </c>
      <c r="H2717" s="65" t="s">
        <v>165</v>
      </c>
      <c r="I2717" s="66">
        <v>46206</v>
      </c>
      <c r="J2717" s="66">
        <v>46210.286395023199</v>
      </c>
      <c r="K2717" s="65">
        <v>34</v>
      </c>
      <c r="L2717" s="65" t="s">
        <v>192</v>
      </c>
      <c r="M2717" s="65" t="s">
        <v>183</v>
      </c>
      <c r="N2717" s="65" t="b">
        <f>FALSE()</f>
        <v>0</v>
      </c>
      <c r="O2717" s="65"/>
      <c r="P2717" s="65"/>
      <c r="Q2717" s="65" t="s">
        <v>3663</v>
      </c>
      <c r="R2717" s="65" t="s">
        <v>236</v>
      </c>
      <c r="S2717" s="65"/>
      <c r="T2717" s="65" t="b">
        <f>FALSE()</f>
        <v>0</v>
      </c>
      <c r="U2717" s="65" t="b">
        <f>FALSE()</f>
        <v>0</v>
      </c>
      <c r="V2717" s="65">
        <v>388</v>
      </c>
      <c r="W2717" s="67" t="s">
        <v>10306</v>
      </c>
      <c r="X2717" s="65">
        <v>1</v>
      </c>
      <c r="Y2717" s="68">
        <v>0.24</v>
      </c>
      <c r="Z2717" s="65" t="b">
        <f>FALSE()</f>
        <v>0</v>
      </c>
      <c r="AA2717" s="65" t="b">
        <f>TRUE()</f>
        <v>1</v>
      </c>
      <c r="AB2717" s="65" t="b">
        <f>FALSE()</f>
        <v>0</v>
      </c>
      <c r="AC2717" s="65" t="b">
        <f>FALSE()</f>
        <v>0</v>
      </c>
      <c r="AD2717" s="65" t="b">
        <f>FALSE()</f>
        <v>0</v>
      </c>
      <c r="AE2717" s="65">
        <v>1</v>
      </c>
      <c r="AF2717" s="69">
        <v>14.3</v>
      </c>
      <c r="AG2717" s="65" t="s">
        <v>74</v>
      </c>
      <c r="AH2717" s="65" t="s">
        <v>10307</v>
      </c>
      <c r="AI2717">
        <f>IF(AND(OR(Company_Explorer!$B$5="All Companies",$E2717=Company_Explorer!$B$5),OR(Company_Explorer!$B$6="All Platforms",$B2717=Company_Explorer!$B$6),OR(Company_Explorer!$B$7="All Roles",$D2717=Company_Explorer!$B$7),OR(Company_Explorer!$B$8="All Ghost Labels",$AG2717=Company_Explorer!$B$8)),1,0)</f>
        <v>0</v>
      </c>
    </row>
    <row r="2718" spans="1:35" ht="15" customHeight="1" x14ac:dyDescent="0.3">
      <c r="A2718" s="60" t="s">
        <v>10308</v>
      </c>
      <c r="B2718" s="60" t="s">
        <v>82</v>
      </c>
      <c r="C2718" s="60" t="s">
        <v>10309</v>
      </c>
      <c r="D2718" s="60" t="s">
        <v>128</v>
      </c>
      <c r="E2718" s="60" t="s">
        <v>10310</v>
      </c>
      <c r="F2718" s="60" t="b">
        <f>TRUE()</f>
        <v>1</v>
      </c>
      <c r="G2718" s="60" t="s">
        <v>165</v>
      </c>
      <c r="H2718" s="60" t="s">
        <v>165</v>
      </c>
      <c r="I2718" s="61">
        <v>46199</v>
      </c>
      <c r="J2718" s="61">
        <v>46210.286399583303</v>
      </c>
      <c r="K2718" s="60">
        <v>11</v>
      </c>
      <c r="L2718" s="60" t="s">
        <v>192</v>
      </c>
      <c r="M2718" s="60" t="s">
        <v>183</v>
      </c>
      <c r="N2718" s="60" t="b">
        <f>FALSE()</f>
        <v>0</v>
      </c>
      <c r="O2718" s="60"/>
      <c r="P2718" s="60"/>
      <c r="Q2718" s="60" t="s">
        <v>3663</v>
      </c>
      <c r="R2718" s="60" t="s">
        <v>236</v>
      </c>
      <c r="S2718" s="60"/>
      <c r="T2718" s="60" t="b">
        <f>FALSE()</f>
        <v>0</v>
      </c>
      <c r="U2718" s="60" t="b">
        <f>FALSE()</f>
        <v>0</v>
      </c>
      <c r="V2718" s="60">
        <v>1319</v>
      </c>
      <c r="W2718" s="62" t="s">
        <v>10311</v>
      </c>
      <c r="X2718" s="60">
        <v>1</v>
      </c>
      <c r="Y2718" s="63">
        <v>0.24</v>
      </c>
      <c r="Z2718" s="60" t="b">
        <f>FALSE()</f>
        <v>0</v>
      </c>
      <c r="AA2718" s="60" t="b">
        <f>TRUE()</f>
        <v>1</v>
      </c>
      <c r="AB2718" s="60" t="b">
        <f>FALSE()</f>
        <v>0</v>
      </c>
      <c r="AC2718" s="60" t="b">
        <f>FALSE()</f>
        <v>0</v>
      </c>
      <c r="AD2718" s="60" t="b">
        <f>FALSE()</f>
        <v>0</v>
      </c>
      <c r="AE2718" s="60">
        <v>1</v>
      </c>
      <c r="AF2718" s="64">
        <v>14.3</v>
      </c>
      <c r="AG2718" s="60" t="s">
        <v>74</v>
      </c>
      <c r="AH2718" s="60" t="s">
        <v>10312</v>
      </c>
      <c r="AI2718">
        <f>IF(AND(OR(Company_Explorer!$B$5="All Companies",$E2718=Company_Explorer!$B$5),OR(Company_Explorer!$B$6="All Platforms",$B2718=Company_Explorer!$B$6),OR(Company_Explorer!$B$7="All Roles",$D2718=Company_Explorer!$B$7),OR(Company_Explorer!$B$8="All Ghost Labels",$AG2718=Company_Explorer!$B$8)),1,0)</f>
        <v>0</v>
      </c>
    </row>
    <row r="2719" spans="1:35" ht="15" customHeight="1" x14ac:dyDescent="0.3">
      <c r="A2719" s="65" t="s">
        <v>10313</v>
      </c>
      <c r="B2719" s="65" t="s">
        <v>82</v>
      </c>
      <c r="C2719" s="65" t="s">
        <v>10314</v>
      </c>
      <c r="D2719" s="65" t="s">
        <v>125</v>
      </c>
      <c r="E2719" s="65" t="s">
        <v>7346</v>
      </c>
      <c r="F2719" s="65" t="b">
        <f>TRUE()</f>
        <v>1</v>
      </c>
      <c r="G2719" s="65" t="s">
        <v>165</v>
      </c>
      <c r="H2719" s="65" t="s">
        <v>165</v>
      </c>
      <c r="I2719" s="66">
        <v>46199</v>
      </c>
      <c r="J2719" s="66">
        <v>46210.286399791701</v>
      </c>
      <c r="K2719" s="65">
        <v>11</v>
      </c>
      <c r="L2719" s="65" t="s">
        <v>183</v>
      </c>
      <c r="M2719" s="65" t="s">
        <v>183</v>
      </c>
      <c r="N2719" s="65" t="b">
        <f>FALSE()</f>
        <v>0</v>
      </c>
      <c r="O2719" s="65"/>
      <c r="P2719" s="65"/>
      <c r="Q2719" s="65" t="s">
        <v>3663</v>
      </c>
      <c r="R2719" s="65" t="s">
        <v>236</v>
      </c>
      <c r="S2719" s="65"/>
      <c r="T2719" s="65" t="b">
        <f>FALSE()</f>
        <v>0</v>
      </c>
      <c r="U2719" s="65" t="b">
        <f>FALSE()</f>
        <v>0</v>
      </c>
      <c r="V2719" s="65">
        <v>1004</v>
      </c>
      <c r="W2719" s="67" t="s">
        <v>7347</v>
      </c>
      <c r="X2719" s="65">
        <v>10</v>
      </c>
      <c r="Y2719" s="68">
        <v>2.41</v>
      </c>
      <c r="Z2719" s="65" t="b">
        <f>FALSE()</f>
        <v>0</v>
      </c>
      <c r="AA2719" s="65" t="b">
        <f>TRUE()</f>
        <v>1</v>
      </c>
      <c r="AB2719" s="65" t="b">
        <f>FALSE()</f>
        <v>0</v>
      </c>
      <c r="AC2719" s="65" t="b">
        <f>FALSE()</f>
        <v>0</v>
      </c>
      <c r="AD2719" s="65" t="b">
        <f>TRUE()</f>
        <v>1</v>
      </c>
      <c r="AE2719" s="65">
        <v>3</v>
      </c>
      <c r="AF2719" s="69">
        <v>42.9</v>
      </c>
      <c r="AG2719" s="65" t="s">
        <v>73</v>
      </c>
      <c r="AH2719" s="65" t="s">
        <v>10315</v>
      </c>
      <c r="AI2719">
        <f>IF(AND(OR(Company_Explorer!$B$5="All Companies",$E2719=Company_Explorer!$B$5),OR(Company_Explorer!$B$6="All Platforms",$B2719=Company_Explorer!$B$6),OR(Company_Explorer!$B$7="All Roles",$D2719=Company_Explorer!$B$7),OR(Company_Explorer!$B$8="All Ghost Labels",$AG2719=Company_Explorer!$B$8)),1,0)</f>
        <v>0</v>
      </c>
    </row>
    <row r="2720" spans="1:35" ht="15" customHeight="1" x14ac:dyDescent="0.3">
      <c r="A2720" s="60" t="s">
        <v>10316</v>
      </c>
      <c r="B2720" s="60" t="s">
        <v>82</v>
      </c>
      <c r="C2720" s="60" t="s">
        <v>10317</v>
      </c>
      <c r="D2720" s="60" t="s">
        <v>133</v>
      </c>
      <c r="E2720" s="60" t="s">
        <v>157</v>
      </c>
      <c r="F2720" s="60" t="b">
        <f>TRUE()</f>
        <v>1</v>
      </c>
      <c r="G2720" s="60" t="s">
        <v>175</v>
      </c>
      <c r="H2720" s="60" t="s">
        <v>254</v>
      </c>
      <c r="I2720" s="61">
        <v>46198</v>
      </c>
      <c r="J2720" s="61">
        <v>46210.286399664401</v>
      </c>
      <c r="K2720" s="60">
        <v>12</v>
      </c>
      <c r="L2720" s="60" t="s">
        <v>192</v>
      </c>
      <c r="M2720" s="60" t="s">
        <v>183</v>
      </c>
      <c r="N2720" s="60" t="b">
        <f>TRUE()</f>
        <v>1</v>
      </c>
      <c r="O2720" s="70">
        <v>550000</v>
      </c>
      <c r="P2720" s="70">
        <v>850000</v>
      </c>
      <c r="Q2720" s="60" t="s">
        <v>3663</v>
      </c>
      <c r="R2720" s="60" t="s">
        <v>7351</v>
      </c>
      <c r="S2720" s="70">
        <v>700000</v>
      </c>
      <c r="T2720" s="60" t="b">
        <f>TRUE()</f>
        <v>1</v>
      </c>
      <c r="U2720" s="60" t="b">
        <f>FALSE()</f>
        <v>0</v>
      </c>
      <c r="V2720" s="60">
        <v>871</v>
      </c>
      <c r="W2720" s="62" t="s">
        <v>10318</v>
      </c>
      <c r="X2720" s="60">
        <v>15</v>
      </c>
      <c r="Y2720" s="63">
        <v>3.62</v>
      </c>
      <c r="Z2720" s="60" t="b">
        <f>FALSE()</f>
        <v>0</v>
      </c>
      <c r="AA2720" s="60" t="b">
        <f>FALSE()</f>
        <v>0</v>
      </c>
      <c r="AB2720" s="60" t="b">
        <f>FALSE()</f>
        <v>0</v>
      </c>
      <c r="AC2720" s="60" t="b">
        <f>FALSE()</f>
        <v>0</v>
      </c>
      <c r="AD2720" s="60" t="b">
        <f>TRUE()</f>
        <v>1</v>
      </c>
      <c r="AE2720" s="60">
        <v>2</v>
      </c>
      <c r="AF2720" s="64">
        <v>28.6</v>
      </c>
      <c r="AG2720" s="60" t="s">
        <v>73</v>
      </c>
      <c r="AH2720" s="60" t="s">
        <v>10319</v>
      </c>
      <c r="AI2720">
        <f>IF(AND(OR(Company_Explorer!$B$5="All Companies",$E2720=Company_Explorer!$B$5),OR(Company_Explorer!$B$6="All Platforms",$B2720=Company_Explorer!$B$6),OR(Company_Explorer!$B$7="All Roles",$D2720=Company_Explorer!$B$7),OR(Company_Explorer!$B$8="All Ghost Labels",$AG2720=Company_Explorer!$B$8)),1,0)</f>
        <v>0</v>
      </c>
    </row>
    <row r="2721" spans="1:35" ht="15" customHeight="1" x14ac:dyDescent="0.3">
      <c r="A2721" s="65" t="s">
        <v>10320</v>
      </c>
      <c r="B2721" s="65" t="s">
        <v>82</v>
      </c>
      <c r="C2721" s="65" t="s">
        <v>10321</v>
      </c>
      <c r="D2721" s="65" t="s">
        <v>128</v>
      </c>
      <c r="E2721" s="65" t="s">
        <v>7961</v>
      </c>
      <c r="F2721" s="65" t="b">
        <f>TRUE()</f>
        <v>1</v>
      </c>
      <c r="G2721" s="65" t="s">
        <v>165</v>
      </c>
      <c r="H2721" s="65" t="s">
        <v>165</v>
      </c>
      <c r="I2721" s="66">
        <v>46210</v>
      </c>
      <c r="J2721" s="66">
        <v>46210.286401076402</v>
      </c>
      <c r="K2721" s="65">
        <v>0</v>
      </c>
      <c r="L2721" s="65" t="s">
        <v>183</v>
      </c>
      <c r="M2721" s="65" t="s">
        <v>183</v>
      </c>
      <c r="N2721" s="65" t="b">
        <f>FALSE()</f>
        <v>0</v>
      </c>
      <c r="O2721" s="65"/>
      <c r="P2721" s="65"/>
      <c r="Q2721" s="65" t="s">
        <v>3663</v>
      </c>
      <c r="R2721" s="65" t="s">
        <v>236</v>
      </c>
      <c r="S2721" s="65"/>
      <c r="T2721" s="65" t="b">
        <f>FALSE()</f>
        <v>0</v>
      </c>
      <c r="U2721" s="65" t="b">
        <f>FALSE()</f>
        <v>0</v>
      </c>
      <c r="V2721" s="65">
        <v>301</v>
      </c>
      <c r="W2721" s="67" t="s">
        <v>10322</v>
      </c>
      <c r="X2721" s="65">
        <v>3</v>
      </c>
      <c r="Y2721" s="68">
        <v>0.72</v>
      </c>
      <c r="Z2721" s="65" t="b">
        <f>FALSE()</f>
        <v>0</v>
      </c>
      <c r="AA2721" s="65" t="b">
        <f>TRUE()</f>
        <v>1</v>
      </c>
      <c r="AB2721" s="65" t="b">
        <f>FALSE()</f>
        <v>0</v>
      </c>
      <c r="AC2721" s="65" t="b">
        <f>FALSE()</f>
        <v>0</v>
      </c>
      <c r="AD2721" s="65" t="b">
        <f>FALSE()</f>
        <v>0</v>
      </c>
      <c r="AE2721" s="65">
        <v>1</v>
      </c>
      <c r="AF2721" s="69">
        <v>14.3</v>
      </c>
      <c r="AG2721" s="65" t="s">
        <v>74</v>
      </c>
      <c r="AH2721" s="65" t="s">
        <v>10323</v>
      </c>
      <c r="AI2721">
        <f>IF(AND(OR(Company_Explorer!$B$5="All Companies",$E2721=Company_Explorer!$B$5),OR(Company_Explorer!$B$6="All Platforms",$B2721=Company_Explorer!$B$6),OR(Company_Explorer!$B$7="All Roles",$D2721=Company_Explorer!$B$7),OR(Company_Explorer!$B$8="All Ghost Labels",$AG2721=Company_Explorer!$B$8)),1,0)</f>
        <v>0</v>
      </c>
    </row>
    <row r="2722" spans="1:35" ht="15" customHeight="1" x14ac:dyDescent="0.3">
      <c r="A2722" s="60" t="s">
        <v>10324</v>
      </c>
      <c r="B2722" s="60" t="s">
        <v>82</v>
      </c>
      <c r="C2722" s="60" t="s">
        <v>7285</v>
      </c>
      <c r="D2722" s="60" t="s">
        <v>128</v>
      </c>
      <c r="E2722" s="60" t="s">
        <v>10325</v>
      </c>
      <c r="F2722" s="60" t="b">
        <f>TRUE()</f>
        <v>1</v>
      </c>
      <c r="G2722" s="60" t="s">
        <v>165</v>
      </c>
      <c r="H2722" s="60" t="s">
        <v>165</v>
      </c>
      <c r="I2722" s="61">
        <v>46200</v>
      </c>
      <c r="J2722" s="61">
        <v>46210.286401111101</v>
      </c>
      <c r="K2722" s="60">
        <v>41</v>
      </c>
      <c r="L2722" s="60" t="s">
        <v>192</v>
      </c>
      <c r="M2722" s="60" t="s">
        <v>183</v>
      </c>
      <c r="N2722" s="60" t="b">
        <f>FALSE()</f>
        <v>0</v>
      </c>
      <c r="O2722" s="60"/>
      <c r="P2722" s="60"/>
      <c r="Q2722" s="60" t="s">
        <v>3663</v>
      </c>
      <c r="R2722" s="60" t="s">
        <v>236</v>
      </c>
      <c r="S2722" s="60"/>
      <c r="T2722" s="60" t="b">
        <f>FALSE()</f>
        <v>0</v>
      </c>
      <c r="U2722" s="60" t="b">
        <f>FALSE()</f>
        <v>0</v>
      </c>
      <c r="V2722" s="60">
        <v>398</v>
      </c>
      <c r="W2722" s="62" t="s">
        <v>10326</v>
      </c>
      <c r="X2722" s="60">
        <v>1</v>
      </c>
      <c r="Y2722" s="63">
        <v>0.24</v>
      </c>
      <c r="Z2722" s="60" t="b">
        <f>FALSE()</f>
        <v>0</v>
      </c>
      <c r="AA2722" s="60" t="b">
        <f>TRUE()</f>
        <v>1</v>
      </c>
      <c r="AB2722" s="60" t="b">
        <f>FALSE()</f>
        <v>0</v>
      </c>
      <c r="AC2722" s="60" t="b">
        <f>FALSE()</f>
        <v>0</v>
      </c>
      <c r="AD2722" s="60" t="b">
        <f>FALSE()</f>
        <v>0</v>
      </c>
      <c r="AE2722" s="60">
        <v>1</v>
      </c>
      <c r="AF2722" s="64">
        <v>14.3</v>
      </c>
      <c r="AG2722" s="60" t="s">
        <v>74</v>
      </c>
      <c r="AH2722" s="60" t="s">
        <v>10327</v>
      </c>
      <c r="AI2722">
        <f>IF(AND(OR(Company_Explorer!$B$5="All Companies",$E2722=Company_Explorer!$B$5),OR(Company_Explorer!$B$6="All Platforms",$B2722=Company_Explorer!$B$6),OR(Company_Explorer!$B$7="All Roles",$D2722=Company_Explorer!$B$7),OR(Company_Explorer!$B$8="All Ghost Labels",$AG2722=Company_Explorer!$B$8)),1,0)</f>
        <v>0</v>
      </c>
    </row>
    <row r="2723" spans="1:35" ht="15" customHeight="1" x14ac:dyDescent="0.3">
      <c r="A2723" s="65" t="s">
        <v>10328</v>
      </c>
      <c r="B2723" s="65" t="s">
        <v>82</v>
      </c>
      <c r="C2723" s="65" t="s">
        <v>128</v>
      </c>
      <c r="D2723" s="65" t="s">
        <v>128</v>
      </c>
      <c r="E2723" s="65" t="s">
        <v>10329</v>
      </c>
      <c r="F2723" s="65" t="b">
        <f>TRUE()</f>
        <v>1</v>
      </c>
      <c r="G2723" s="65" t="s">
        <v>165</v>
      </c>
      <c r="H2723" s="65" t="s">
        <v>165</v>
      </c>
      <c r="I2723" s="66">
        <v>46205</v>
      </c>
      <c r="J2723" s="66">
        <v>46210.286401273203</v>
      </c>
      <c r="K2723" s="65">
        <v>35</v>
      </c>
      <c r="L2723" s="65" t="s">
        <v>183</v>
      </c>
      <c r="M2723" s="65" t="s">
        <v>183</v>
      </c>
      <c r="N2723" s="65" t="b">
        <f>FALSE()</f>
        <v>0</v>
      </c>
      <c r="O2723" s="65"/>
      <c r="P2723" s="65"/>
      <c r="Q2723" s="65" t="s">
        <v>3663</v>
      </c>
      <c r="R2723" s="65" t="s">
        <v>236</v>
      </c>
      <c r="S2723" s="65"/>
      <c r="T2723" s="65" t="b">
        <f>FALSE()</f>
        <v>0</v>
      </c>
      <c r="U2723" s="65" t="b">
        <f>FALSE()</f>
        <v>0</v>
      </c>
      <c r="V2723" s="65">
        <v>544</v>
      </c>
      <c r="W2723" s="65" t="s">
        <v>10330</v>
      </c>
      <c r="X2723" s="65">
        <v>1</v>
      </c>
      <c r="Y2723" s="68">
        <v>0.24</v>
      </c>
      <c r="Z2723" s="65" t="b">
        <f>FALSE()</f>
        <v>0</v>
      </c>
      <c r="AA2723" s="65" t="b">
        <f>TRUE()</f>
        <v>1</v>
      </c>
      <c r="AB2723" s="65" t="b">
        <f>FALSE()</f>
        <v>0</v>
      </c>
      <c r="AC2723" s="65" t="b">
        <f>FALSE()</f>
        <v>0</v>
      </c>
      <c r="AD2723" s="65" t="b">
        <f>FALSE()</f>
        <v>0</v>
      </c>
      <c r="AE2723" s="65">
        <v>1</v>
      </c>
      <c r="AF2723" s="69">
        <v>14.3</v>
      </c>
      <c r="AG2723" s="65" t="s">
        <v>74</v>
      </c>
      <c r="AH2723" s="65" t="s">
        <v>10331</v>
      </c>
      <c r="AI2723">
        <f>IF(AND(OR(Company_Explorer!$B$5="All Companies",$E2723=Company_Explorer!$B$5),OR(Company_Explorer!$B$6="All Platforms",$B2723=Company_Explorer!$B$6),OR(Company_Explorer!$B$7="All Roles",$D2723=Company_Explorer!$B$7),OR(Company_Explorer!$B$8="All Ghost Labels",$AG2723=Company_Explorer!$B$8)),1,0)</f>
        <v>0</v>
      </c>
    </row>
    <row r="2724" spans="1:35" ht="15" customHeight="1" x14ac:dyDescent="0.3">
      <c r="A2724" s="60" t="s">
        <v>10332</v>
      </c>
      <c r="B2724" s="60" t="s">
        <v>82</v>
      </c>
      <c r="C2724" s="60" t="s">
        <v>10333</v>
      </c>
      <c r="D2724" s="60" t="s">
        <v>129</v>
      </c>
      <c r="E2724" s="60" t="s">
        <v>10334</v>
      </c>
      <c r="F2724" s="60" t="b">
        <f>TRUE()</f>
        <v>1</v>
      </c>
      <c r="G2724" s="60" t="s">
        <v>165</v>
      </c>
      <c r="H2724" s="60" t="s">
        <v>165</v>
      </c>
      <c r="I2724" s="61">
        <v>46200</v>
      </c>
      <c r="J2724" s="61">
        <v>46210.286402731501</v>
      </c>
      <c r="K2724" s="60">
        <v>10</v>
      </c>
      <c r="L2724" s="60" t="s">
        <v>192</v>
      </c>
      <c r="M2724" s="60" t="s">
        <v>183</v>
      </c>
      <c r="N2724" s="60" t="b">
        <f>FALSE()</f>
        <v>0</v>
      </c>
      <c r="O2724" s="60"/>
      <c r="P2724" s="60"/>
      <c r="Q2724" s="60" t="s">
        <v>3663</v>
      </c>
      <c r="R2724" s="60" t="s">
        <v>236</v>
      </c>
      <c r="S2724" s="60"/>
      <c r="T2724" s="60" t="b">
        <f>FALSE()</f>
        <v>0</v>
      </c>
      <c r="U2724" s="60" t="b">
        <f>FALSE()</f>
        <v>0</v>
      </c>
      <c r="V2724" s="60">
        <v>353</v>
      </c>
      <c r="W2724" s="62" t="s">
        <v>10335</v>
      </c>
      <c r="X2724" s="60">
        <v>1</v>
      </c>
      <c r="Y2724" s="63">
        <v>0.24</v>
      </c>
      <c r="Z2724" s="60" t="b">
        <f>FALSE()</f>
        <v>0</v>
      </c>
      <c r="AA2724" s="60" t="b">
        <f>TRUE()</f>
        <v>1</v>
      </c>
      <c r="AB2724" s="60" t="b">
        <f>FALSE()</f>
        <v>0</v>
      </c>
      <c r="AC2724" s="60" t="b">
        <f>FALSE()</f>
        <v>0</v>
      </c>
      <c r="AD2724" s="60" t="b">
        <f>FALSE()</f>
        <v>0</v>
      </c>
      <c r="AE2724" s="60">
        <v>1</v>
      </c>
      <c r="AF2724" s="64">
        <v>14.3</v>
      </c>
      <c r="AG2724" s="60" t="s">
        <v>74</v>
      </c>
      <c r="AH2724" s="60" t="s">
        <v>10336</v>
      </c>
      <c r="AI2724">
        <f>IF(AND(OR(Company_Explorer!$B$5="All Companies",$E2724=Company_Explorer!$B$5),OR(Company_Explorer!$B$6="All Platforms",$B2724=Company_Explorer!$B$6),OR(Company_Explorer!$B$7="All Roles",$D2724=Company_Explorer!$B$7),OR(Company_Explorer!$B$8="All Ghost Labels",$AG2724=Company_Explorer!$B$8)),1,0)</f>
        <v>0</v>
      </c>
    </row>
    <row r="2725" spans="1:35" ht="15" customHeight="1" x14ac:dyDescent="0.3">
      <c r="A2725" s="65" t="s">
        <v>10337</v>
      </c>
      <c r="B2725" s="65" t="s">
        <v>82</v>
      </c>
      <c r="C2725" s="65" t="s">
        <v>10338</v>
      </c>
      <c r="D2725" s="65" t="s">
        <v>129</v>
      </c>
      <c r="E2725" s="65" t="s">
        <v>10339</v>
      </c>
      <c r="F2725" s="65" t="b">
        <f>TRUE()</f>
        <v>1</v>
      </c>
      <c r="G2725" s="65" t="s">
        <v>165</v>
      </c>
      <c r="H2725" s="65" t="s">
        <v>165</v>
      </c>
      <c r="I2725" s="66">
        <v>46196</v>
      </c>
      <c r="J2725" s="66">
        <v>46210.2864047685</v>
      </c>
      <c r="K2725" s="65">
        <v>75</v>
      </c>
      <c r="L2725" s="65" t="s">
        <v>192</v>
      </c>
      <c r="M2725" s="65" t="s">
        <v>183</v>
      </c>
      <c r="N2725" s="65" t="b">
        <f>FALSE()</f>
        <v>0</v>
      </c>
      <c r="O2725" s="65"/>
      <c r="P2725" s="65"/>
      <c r="Q2725" s="65" t="s">
        <v>3663</v>
      </c>
      <c r="R2725" s="65" t="s">
        <v>236</v>
      </c>
      <c r="S2725" s="65"/>
      <c r="T2725" s="65" t="b">
        <f>FALSE()</f>
        <v>0</v>
      </c>
      <c r="U2725" s="65" t="b">
        <f>FALSE()</f>
        <v>0</v>
      </c>
      <c r="V2725" s="65">
        <v>1202</v>
      </c>
      <c r="W2725" s="67" t="s">
        <v>10340</v>
      </c>
      <c r="X2725" s="65">
        <v>1</v>
      </c>
      <c r="Y2725" s="68">
        <v>0.24</v>
      </c>
      <c r="Z2725" s="65" t="b">
        <f>FALSE()</f>
        <v>0</v>
      </c>
      <c r="AA2725" s="65" t="b">
        <f>TRUE()</f>
        <v>1</v>
      </c>
      <c r="AB2725" s="65" t="b">
        <f>FALSE()</f>
        <v>0</v>
      </c>
      <c r="AC2725" s="65" t="b">
        <f>FALSE()</f>
        <v>0</v>
      </c>
      <c r="AD2725" s="65" t="b">
        <f>FALSE()</f>
        <v>0</v>
      </c>
      <c r="AE2725" s="65">
        <v>1</v>
      </c>
      <c r="AF2725" s="69">
        <v>14.3</v>
      </c>
      <c r="AG2725" s="65" t="s">
        <v>74</v>
      </c>
      <c r="AH2725" s="65" t="s">
        <v>10341</v>
      </c>
      <c r="AI2725">
        <f>IF(AND(OR(Company_Explorer!$B$5="All Companies",$E2725=Company_Explorer!$B$5),OR(Company_Explorer!$B$6="All Platforms",$B2725=Company_Explorer!$B$6),OR(Company_Explorer!$B$7="All Roles",$D2725=Company_Explorer!$B$7),OR(Company_Explorer!$B$8="All Ghost Labels",$AG2725=Company_Explorer!$B$8)),1,0)</f>
        <v>0</v>
      </c>
    </row>
    <row r="2726" spans="1:35" ht="15" customHeight="1" x14ac:dyDescent="0.3">
      <c r="A2726" s="60" t="s">
        <v>10342</v>
      </c>
      <c r="B2726" s="60" t="s">
        <v>82</v>
      </c>
      <c r="C2726" s="60" t="s">
        <v>8474</v>
      </c>
      <c r="D2726" s="60" t="s">
        <v>128</v>
      </c>
      <c r="E2726" s="60" t="s">
        <v>10343</v>
      </c>
      <c r="F2726" s="60" t="b">
        <f>TRUE()</f>
        <v>1</v>
      </c>
      <c r="G2726" s="60" t="s">
        <v>165</v>
      </c>
      <c r="H2726" s="60" t="s">
        <v>165</v>
      </c>
      <c r="I2726" s="61">
        <v>46185</v>
      </c>
      <c r="J2726" s="61">
        <v>46210.2864072222</v>
      </c>
      <c r="K2726" s="60">
        <v>25</v>
      </c>
      <c r="L2726" s="60" t="s">
        <v>192</v>
      </c>
      <c r="M2726" s="60" t="s">
        <v>183</v>
      </c>
      <c r="N2726" s="60" t="b">
        <f>FALSE()</f>
        <v>0</v>
      </c>
      <c r="O2726" s="60"/>
      <c r="P2726" s="60"/>
      <c r="Q2726" s="60" t="s">
        <v>3663</v>
      </c>
      <c r="R2726" s="60" t="s">
        <v>236</v>
      </c>
      <c r="S2726" s="60"/>
      <c r="T2726" s="60" t="b">
        <f>FALSE()</f>
        <v>0</v>
      </c>
      <c r="U2726" s="60" t="b">
        <f>FALSE()</f>
        <v>0</v>
      </c>
      <c r="V2726" s="60">
        <v>248</v>
      </c>
      <c r="W2726" s="62" t="s">
        <v>10344</v>
      </c>
      <c r="X2726" s="60">
        <v>1</v>
      </c>
      <c r="Y2726" s="63">
        <v>0.24</v>
      </c>
      <c r="Z2726" s="60" t="b">
        <f>FALSE()</f>
        <v>0</v>
      </c>
      <c r="AA2726" s="60" t="b">
        <f>TRUE()</f>
        <v>1</v>
      </c>
      <c r="AB2726" s="60" t="b">
        <f>FALSE()</f>
        <v>0</v>
      </c>
      <c r="AC2726" s="60" t="b">
        <f>FALSE()</f>
        <v>0</v>
      </c>
      <c r="AD2726" s="60" t="b">
        <f>FALSE()</f>
        <v>0</v>
      </c>
      <c r="AE2726" s="60">
        <v>1</v>
      </c>
      <c r="AF2726" s="64">
        <v>14.3</v>
      </c>
      <c r="AG2726" s="60" t="s">
        <v>74</v>
      </c>
      <c r="AH2726" s="60" t="s">
        <v>10345</v>
      </c>
      <c r="AI2726">
        <f>IF(AND(OR(Company_Explorer!$B$5="All Companies",$E2726=Company_Explorer!$B$5),OR(Company_Explorer!$B$6="All Platforms",$B2726=Company_Explorer!$B$6),OR(Company_Explorer!$B$7="All Roles",$D2726=Company_Explorer!$B$7),OR(Company_Explorer!$B$8="All Ghost Labels",$AG2726=Company_Explorer!$B$8)),1,0)</f>
        <v>0</v>
      </c>
    </row>
    <row r="2727" spans="1:35" ht="15" customHeight="1" x14ac:dyDescent="0.3">
      <c r="A2727" s="65" t="s">
        <v>10346</v>
      </c>
      <c r="B2727" s="65" t="s">
        <v>82</v>
      </c>
      <c r="C2727" s="65" t="s">
        <v>5225</v>
      </c>
      <c r="D2727" s="65" t="s">
        <v>128</v>
      </c>
      <c r="E2727" s="65" t="s">
        <v>152</v>
      </c>
      <c r="F2727" s="65" t="b">
        <f>TRUE()</f>
        <v>1</v>
      </c>
      <c r="G2727" s="65" t="s">
        <v>166</v>
      </c>
      <c r="H2727" s="65" t="s">
        <v>235</v>
      </c>
      <c r="I2727" s="66">
        <v>46206</v>
      </c>
      <c r="J2727" s="66">
        <v>46210.286409699103</v>
      </c>
      <c r="K2727" s="65">
        <v>34</v>
      </c>
      <c r="L2727" s="65" t="s">
        <v>192</v>
      </c>
      <c r="M2727" s="65" t="s">
        <v>183</v>
      </c>
      <c r="N2727" s="65" t="b">
        <f>TRUE()</f>
        <v>1</v>
      </c>
      <c r="O2727" s="71">
        <v>550000</v>
      </c>
      <c r="P2727" s="71">
        <v>895500</v>
      </c>
      <c r="Q2727" s="65" t="s">
        <v>3663</v>
      </c>
      <c r="R2727" s="65" t="s">
        <v>7351</v>
      </c>
      <c r="S2727" s="71">
        <v>722750</v>
      </c>
      <c r="T2727" s="65" t="b">
        <f>TRUE()</f>
        <v>1</v>
      </c>
      <c r="U2727" s="65" t="b">
        <f>FALSE()</f>
        <v>0</v>
      </c>
      <c r="V2727" s="65">
        <v>190</v>
      </c>
      <c r="W2727" s="65" t="s">
        <v>10347</v>
      </c>
      <c r="X2727" s="65">
        <v>17</v>
      </c>
      <c r="Y2727" s="68">
        <v>4.0999999999999996</v>
      </c>
      <c r="Z2727" s="65" t="b">
        <f>FALSE()</f>
        <v>0</v>
      </c>
      <c r="AA2727" s="65" t="b">
        <f>FALSE()</f>
        <v>0</v>
      </c>
      <c r="AB2727" s="65" t="b">
        <f>TRUE()</f>
        <v>1</v>
      </c>
      <c r="AC2727" s="65" t="b">
        <f>FALSE()</f>
        <v>0</v>
      </c>
      <c r="AD2727" s="65" t="b">
        <f>TRUE()</f>
        <v>1</v>
      </c>
      <c r="AE2727" s="65">
        <v>3</v>
      </c>
      <c r="AF2727" s="69">
        <v>42.9</v>
      </c>
      <c r="AG2727" s="65" t="s">
        <v>73</v>
      </c>
      <c r="AH2727" s="65" t="s">
        <v>10348</v>
      </c>
      <c r="AI2727">
        <f>IF(AND(OR(Company_Explorer!$B$5="All Companies",$E2727=Company_Explorer!$B$5),OR(Company_Explorer!$B$6="All Platforms",$B2727=Company_Explorer!$B$6),OR(Company_Explorer!$B$7="All Roles",$D2727=Company_Explorer!$B$7),OR(Company_Explorer!$B$8="All Ghost Labels",$AG2727=Company_Explorer!$B$8)),1,0)</f>
        <v>0</v>
      </c>
    </row>
    <row r="2728" spans="1:35" ht="15" customHeight="1" x14ac:dyDescent="0.3">
      <c r="A2728" s="60" t="s">
        <v>10349</v>
      </c>
      <c r="B2728" s="60" t="s">
        <v>82</v>
      </c>
      <c r="C2728" s="60" t="s">
        <v>10350</v>
      </c>
      <c r="D2728" s="60" t="s">
        <v>129</v>
      </c>
      <c r="E2728" s="60" t="s">
        <v>10351</v>
      </c>
      <c r="F2728" s="60" t="b">
        <f>TRUE()</f>
        <v>1</v>
      </c>
      <c r="G2728" s="60" t="s">
        <v>175</v>
      </c>
      <c r="H2728" s="60" t="s">
        <v>254</v>
      </c>
      <c r="I2728" s="61">
        <v>46190</v>
      </c>
      <c r="J2728" s="61">
        <v>46210.286411122703</v>
      </c>
      <c r="K2728" s="60">
        <v>112</v>
      </c>
      <c r="L2728" s="60" t="s">
        <v>183</v>
      </c>
      <c r="M2728" s="60" t="s">
        <v>183</v>
      </c>
      <c r="N2728" s="60" t="b">
        <f>TRUE()</f>
        <v>1</v>
      </c>
      <c r="O2728" s="70">
        <v>290713</v>
      </c>
      <c r="P2728" s="70">
        <v>400000</v>
      </c>
      <c r="Q2728" s="60" t="s">
        <v>3663</v>
      </c>
      <c r="R2728" s="60" t="s">
        <v>7351</v>
      </c>
      <c r="S2728" s="70">
        <v>345356</v>
      </c>
      <c r="T2728" s="60" t="b">
        <f>TRUE()</f>
        <v>1</v>
      </c>
      <c r="U2728" s="60" t="b">
        <f>FALSE()</f>
        <v>0</v>
      </c>
      <c r="V2728" s="60">
        <v>293</v>
      </c>
      <c r="W2728" s="62" t="s">
        <v>10352</v>
      </c>
      <c r="X2728" s="60">
        <v>1</v>
      </c>
      <c r="Y2728" s="63">
        <v>0.24</v>
      </c>
      <c r="Z2728" s="60" t="b">
        <f>FALSE()</f>
        <v>0</v>
      </c>
      <c r="AA2728" s="60" t="b">
        <f>FALSE()</f>
        <v>0</v>
      </c>
      <c r="AB2728" s="60" t="b">
        <f>FALSE()</f>
        <v>0</v>
      </c>
      <c r="AC2728" s="60" t="b">
        <f>FALSE()</f>
        <v>0</v>
      </c>
      <c r="AD2728" s="60" t="b">
        <f>FALSE()</f>
        <v>0</v>
      </c>
      <c r="AE2728" s="60">
        <v>0</v>
      </c>
      <c r="AF2728" s="64">
        <v>0</v>
      </c>
      <c r="AG2728" s="60" t="s">
        <v>74</v>
      </c>
      <c r="AH2728" s="60" t="s">
        <v>10353</v>
      </c>
      <c r="AI2728">
        <f>IF(AND(OR(Company_Explorer!$B$5="All Companies",$E2728=Company_Explorer!$B$5),OR(Company_Explorer!$B$6="All Platforms",$B2728=Company_Explorer!$B$6),OR(Company_Explorer!$B$7="All Roles",$D2728=Company_Explorer!$B$7),OR(Company_Explorer!$B$8="All Ghost Labels",$AG2728=Company_Explorer!$B$8)),1,0)</f>
        <v>0</v>
      </c>
    </row>
    <row r="2729" spans="1:35" ht="15" customHeight="1" x14ac:dyDescent="0.3">
      <c r="A2729" s="65" t="s">
        <v>10354</v>
      </c>
      <c r="B2729" s="65" t="s">
        <v>82</v>
      </c>
      <c r="C2729" s="65" t="s">
        <v>9894</v>
      </c>
      <c r="D2729" s="65" t="s">
        <v>125</v>
      </c>
      <c r="E2729" s="65" t="s">
        <v>10355</v>
      </c>
      <c r="F2729" s="65" t="b">
        <f>TRUE()</f>
        <v>1</v>
      </c>
      <c r="G2729" s="65" t="s">
        <v>10356</v>
      </c>
      <c r="H2729" s="65" t="s">
        <v>235</v>
      </c>
      <c r="I2729" s="66">
        <v>46186</v>
      </c>
      <c r="J2729" s="66">
        <v>46210.286411469897</v>
      </c>
      <c r="K2729" s="65">
        <v>24</v>
      </c>
      <c r="L2729" s="65" t="s">
        <v>183</v>
      </c>
      <c r="M2729" s="65" t="s">
        <v>183</v>
      </c>
      <c r="N2729" s="65" t="b">
        <f>TRUE()</f>
        <v>1</v>
      </c>
      <c r="O2729" s="71">
        <v>325000</v>
      </c>
      <c r="P2729" s="71">
        <v>818750</v>
      </c>
      <c r="Q2729" s="65" t="s">
        <v>3663</v>
      </c>
      <c r="R2729" s="65" t="s">
        <v>7351</v>
      </c>
      <c r="S2729" s="71">
        <v>571875</v>
      </c>
      <c r="T2729" s="65" t="b">
        <f>TRUE()</f>
        <v>1</v>
      </c>
      <c r="U2729" s="65" t="b">
        <f>FALSE()</f>
        <v>0</v>
      </c>
      <c r="V2729" s="65">
        <v>548</v>
      </c>
      <c r="W2729" s="67" t="s">
        <v>10357</v>
      </c>
      <c r="X2729" s="65">
        <v>1</v>
      </c>
      <c r="Y2729" s="68">
        <v>0.24</v>
      </c>
      <c r="Z2729" s="65" t="b">
        <f>FALSE()</f>
        <v>0</v>
      </c>
      <c r="AA2729" s="65" t="b">
        <f>FALSE()</f>
        <v>0</v>
      </c>
      <c r="AB2729" s="65" t="b">
        <f>FALSE()</f>
        <v>0</v>
      </c>
      <c r="AC2729" s="65" t="b">
        <f>FALSE()</f>
        <v>0</v>
      </c>
      <c r="AD2729" s="65" t="b">
        <f>FALSE()</f>
        <v>0</v>
      </c>
      <c r="AE2729" s="65">
        <v>0</v>
      </c>
      <c r="AF2729" s="69">
        <v>0</v>
      </c>
      <c r="AG2729" s="65" t="s">
        <v>74</v>
      </c>
      <c r="AH2729" s="65" t="s">
        <v>10358</v>
      </c>
      <c r="AI2729">
        <f>IF(AND(OR(Company_Explorer!$B$5="All Companies",$E2729=Company_Explorer!$B$5),OR(Company_Explorer!$B$6="All Platforms",$B2729=Company_Explorer!$B$6),OR(Company_Explorer!$B$7="All Roles",$D2729=Company_Explorer!$B$7),OR(Company_Explorer!$B$8="All Ghost Labels",$AG2729=Company_Explorer!$B$8)),1,0)</f>
        <v>0</v>
      </c>
    </row>
    <row r="2730" spans="1:35" ht="15" customHeight="1" x14ac:dyDescent="0.3">
      <c r="A2730" s="60" t="s">
        <v>10359</v>
      </c>
      <c r="B2730" s="60" t="s">
        <v>82</v>
      </c>
      <c r="C2730" s="60" t="s">
        <v>10360</v>
      </c>
      <c r="D2730" s="60" t="s">
        <v>126</v>
      </c>
      <c r="E2730" s="60" t="s">
        <v>7361</v>
      </c>
      <c r="F2730" s="60" t="b">
        <f>TRUE()</f>
        <v>1</v>
      </c>
      <c r="G2730" s="60" t="s">
        <v>166</v>
      </c>
      <c r="H2730" s="60" t="s">
        <v>235</v>
      </c>
      <c r="I2730" s="61">
        <v>46205</v>
      </c>
      <c r="J2730" s="61">
        <v>46210.286413784699</v>
      </c>
      <c r="K2730" s="60">
        <v>5</v>
      </c>
      <c r="L2730" s="60" t="s">
        <v>183</v>
      </c>
      <c r="M2730" s="60" t="s">
        <v>183</v>
      </c>
      <c r="N2730" s="60" t="b">
        <f>TRUE()</f>
        <v>1</v>
      </c>
      <c r="O2730" s="70">
        <v>270000</v>
      </c>
      <c r="P2730" s="70">
        <v>972511</v>
      </c>
      <c r="Q2730" s="60" t="s">
        <v>3663</v>
      </c>
      <c r="R2730" s="60" t="s">
        <v>7351</v>
      </c>
      <c r="S2730" s="70">
        <v>621256</v>
      </c>
      <c r="T2730" s="60" t="b">
        <f>TRUE()</f>
        <v>1</v>
      </c>
      <c r="U2730" s="60" t="b">
        <f>FALSE()</f>
        <v>0</v>
      </c>
      <c r="V2730" s="60">
        <v>726</v>
      </c>
      <c r="W2730" s="62" t="s">
        <v>10361</v>
      </c>
      <c r="X2730" s="60">
        <v>5</v>
      </c>
      <c r="Y2730" s="63">
        <v>1.21</v>
      </c>
      <c r="Z2730" s="60" t="b">
        <f>FALSE()</f>
        <v>0</v>
      </c>
      <c r="AA2730" s="60" t="b">
        <f>FALSE()</f>
        <v>0</v>
      </c>
      <c r="AB2730" s="60" t="b">
        <f>FALSE()</f>
        <v>0</v>
      </c>
      <c r="AC2730" s="60" t="b">
        <f>FALSE()</f>
        <v>0</v>
      </c>
      <c r="AD2730" s="60" t="b">
        <f>FALSE()</f>
        <v>0</v>
      </c>
      <c r="AE2730" s="60">
        <v>0</v>
      </c>
      <c r="AF2730" s="64">
        <v>0</v>
      </c>
      <c r="AG2730" s="60" t="s">
        <v>74</v>
      </c>
      <c r="AH2730" s="60" t="s">
        <v>10362</v>
      </c>
      <c r="AI2730">
        <f>IF(AND(OR(Company_Explorer!$B$5="All Companies",$E2730=Company_Explorer!$B$5),OR(Company_Explorer!$B$6="All Platforms",$B2730=Company_Explorer!$B$6),OR(Company_Explorer!$B$7="All Roles",$D2730=Company_Explorer!$B$7),OR(Company_Explorer!$B$8="All Ghost Labels",$AG2730=Company_Explorer!$B$8)),1,0)</f>
        <v>0</v>
      </c>
    </row>
    <row r="2731" spans="1:35" ht="15" customHeight="1" x14ac:dyDescent="0.3">
      <c r="A2731" s="65" t="s">
        <v>10363</v>
      </c>
      <c r="B2731" s="65" t="s">
        <v>82</v>
      </c>
      <c r="C2731" s="65" t="s">
        <v>10364</v>
      </c>
      <c r="D2731" s="65" t="s">
        <v>129</v>
      </c>
      <c r="E2731" s="65" t="s">
        <v>3726</v>
      </c>
      <c r="F2731" s="65" t="b">
        <f>FALSE()</f>
        <v>0</v>
      </c>
      <c r="G2731" s="65" t="s">
        <v>172</v>
      </c>
      <c r="H2731" s="65" t="s">
        <v>276</v>
      </c>
      <c r="I2731" s="66">
        <v>46203</v>
      </c>
      <c r="J2731" s="66">
        <v>46210.286414039401</v>
      </c>
      <c r="K2731" s="65">
        <v>7</v>
      </c>
      <c r="L2731" s="65" t="s">
        <v>192</v>
      </c>
      <c r="M2731" s="65" t="s">
        <v>183</v>
      </c>
      <c r="N2731" s="65" t="b">
        <f>FALSE()</f>
        <v>0</v>
      </c>
      <c r="O2731" s="65"/>
      <c r="P2731" s="65"/>
      <c r="Q2731" s="65" t="s">
        <v>3663</v>
      </c>
      <c r="R2731" s="65" t="s">
        <v>236</v>
      </c>
      <c r="S2731" s="65"/>
      <c r="T2731" s="65" t="b">
        <f>FALSE()</f>
        <v>0</v>
      </c>
      <c r="U2731" s="65" t="b">
        <f>FALSE()</f>
        <v>0</v>
      </c>
      <c r="V2731" s="65">
        <v>154</v>
      </c>
      <c r="W2731" s="67" t="s">
        <v>10365</v>
      </c>
      <c r="X2731" s="65"/>
      <c r="Y2731" s="68"/>
      <c r="Z2731" s="65" t="b">
        <f>TRUE()</f>
        <v>1</v>
      </c>
      <c r="AA2731" s="65" t="b">
        <f>TRUE()</f>
        <v>1</v>
      </c>
      <c r="AB2731" s="65" t="b">
        <f>TRUE()</f>
        <v>1</v>
      </c>
      <c r="AC2731" s="65" t="b">
        <f>FALSE()</f>
        <v>0</v>
      </c>
      <c r="AD2731" s="65" t="b">
        <f>FALSE()</f>
        <v>0</v>
      </c>
      <c r="AE2731" s="65">
        <v>4</v>
      </c>
      <c r="AF2731" s="69">
        <v>57.1</v>
      </c>
      <c r="AG2731" s="65" t="s">
        <v>72</v>
      </c>
      <c r="AH2731" s="65" t="s">
        <v>10366</v>
      </c>
      <c r="AI2731">
        <f>IF(AND(OR(Company_Explorer!$B$5="All Companies",$E2731=Company_Explorer!$B$5),OR(Company_Explorer!$B$6="All Platforms",$B2731=Company_Explorer!$B$6),OR(Company_Explorer!$B$7="All Roles",$D2731=Company_Explorer!$B$7),OR(Company_Explorer!$B$8="All Ghost Labels",$AG2731=Company_Explorer!$B$8)),1,0)</f>
        <v>0</v>
      </c>
    </row>
    <row r="2732" spans="1:35" ht="15" customHeight="1" x14ac:dyDescent="0.3">
      <c r="A2732" s="60" t="s">
        <v>10367</v>
      </c>
      <c r="B2732" s="60" t="s">
        <v>82</v>
      </c>
      <c r="C2732" s="60" t="s">
        <v>10368</v>
      </c>
      <c r="D2732" s="60" t="s">
        <v>129</v>
      </c>
      <c r="E2732" s="60" t="s">
        <v>10369</v>
      </c>
      <c r="F2732" s="60" t="b">
        <f>TRUE()</f>
        <v>1</v>
      </c>
      <c r="G2732" s="60" t="s">
        <v>165</v>
      </c>
      <c r="H2732" s="60" t="s">
        <v>165</v>
      </c>
      <c r="I2732" s="61">
        <v>46199</v>
      </c>
      <c r="J2732" s="61">
        <v>46210.286414108799</v>
      </c>
      <c r="K2732" s="60">
        <v>11</v>
      </c>
      <c r="L2732" s="60" t="s">
        <v>183</v>
      </c>
      <c r="M2732" s="60" t="s">
        <v>183</v>
      </c>
      <c r="N2732" s="60" t="b">
        <f>FALSE()</f>
        <v>0</v>
      </c>
      <c r="O2732" s="60"/>
      <c r="P2732" s="60"/>
      <c r="Q2732" s="60" t="s">
        <v>3663</v>
      </c>
      <c r="R2732" s="60" t="s">
        <v>236</v>
      </c>
      <c r="S2732" s="60"/>
      <c r="T2732" s="60" t="b">
        <f>FALSE()</f>
        <v>0</v>
      </c>
      <c r="U2732" s="60" t="b">
        <f>FALSE()</f>
        <v>0</v>
      </c>
      <c r="V2732" s="60">
        <v>603</v>
      </c>
      <c r="W2732" s="62" t="s">
        <v>10370</v>
      </c>
      <c r="X2732" s="60">
        <v>1</v>
      </c>
      <c r="Y2732" s="63">
        <v>0.24</v>
      </c>
      <c r="Z2732" s="60" t="b">
        <f>FALSE()</f>
        <v>0</v>
      </c>
      <c r="AA2732" s="60" t="b">
        <f>TRUE()</f>
        <v>1</v>
      </c>
      <c r="AB2732" s="60" t="b">
        <f>FALSE()</f>
        <v>0</v>
      </c>
      <c r="AC2732" s="60" t="b">
        <f>FALSE()</f>
        <v>0</v>
      </c>
      <c r="AD2732" s="60" t="b">
        <f>FALSE()</f>
        <v>0</v>
      </c>
      <c r="AE2732" s="60">
        <v>1</v>
      </c>
      <c r="AF2732" s="64">
        <v>14.3</v>
      </c>
      <c r="AG2732" s="60" t="s">
        <v>74</v>
      </c>
      <c r="AH2732" s="60" t="s">
        <v>10371</v>
      </c>
      <c r="AI2732">
        <f>IF(AND(OR(Company_Explorer!$B$5="All Companies",$E2732=Company_Explorer!$B$5),OR(Company_Explorer!$B$6="All Platforms",$B2732=Company_Explorer!$B$6),OR(Company_Explorer!$B$7="All Roles",$D2732=Company_Explorer!$B$7),OR(Company_Explorer!$B$8="All Ghost Labels",$AG2732=Company_Explorer!$B$8)),1,0)</f>
        <v>0</v>
      </c>
    </row>
    <row r="2733" spans="1:35" ht="15" customHeight="1" x14ac:dyDescent="0.3">
      <c r="A2733" s="65" t="s">
        <v>10372</v>
      </c>
      <c r="B2733" s="65" t="s">
        <v>82</v>
      </c>
      <c r="C2733" s="65" t="s">
        <v>10373</v>
      </c>
      <c r="D2733" s="65" t="s">
        <v>125</v>
      </c>
      <c r="E2733" s="65" t="s">
        <v>10374</v>
      </c>
      <c r="F2733" s="65" t="b">
        <f>TRUE()</f>
        <v>1</v>
      </c>
      <c r="G2733" s="65" t="s">
        <v>10375</v>
      </c>
      <c r="H2733" s="65" t="s">
        <v>254</v>
      </c>
      <c r="I2733" s="66">
        <v>46197</v>
      </c>
      <c r="J2733" s="66">
        <v>46210.286415370399</v>
      </c>
      <c r="K2733" s="65">
        <v>133</v>
      </c>
      <c r="L2733" s="65" t="s">
        <v>192</v>
      </c>
      <c r="M2733" s="65" t="s">
        <v>183</v>
      </c>
      <c r="N2733" s="65" t="b">
        <f>FALSE()</f>
        <v>0</v>
      </c>
      <c r="O2733" s="65"/>
      <c r="P2733" s="65"/>
      <c r="Q2733" s="65" t="s">
        <v>3663</v>
      </c>
      <c r="R2733" s="65" t="s">
        <v>236</v>
      </c>
      <c r="S2733" s="65"/>
      <c r="T2733" s="65" t="b">
        <f>FALSE()</f>
        <v>0</v>
      </c>
      <c r="U2733" s="65" t="b">
        <f>FALSE()</f>
        <v>0</v>
      </c>
      <c r="V2733" s="65">
        <v>174</v>
      </c>
      <c r="W2733" s="67" t="s">
        <v>10376</v>
      </c>
      <c r="X2733" s="65">
        <v>1</v>
      </c>
      <c r="Y2733" s="68">
        <v>0.24</v>
      </c>
      <c r="Z2733" s="65" t="b">
        <f>FALSE()</f>
        <v>0</v>
      </c>
      <c r="AA2733" s="65" t="b">
        <f>TRUE()</f>
        <v>1</v>
      </c>
      <c r="AB2733" s="65" t="b">
        <f>TRUE()</f>
        <v>1</v>
      </c>
      <c r="AC2733" s="65" t="b">
        <f>TRUE()</f>
        <v>1</v>
      </c>
      <c r="AD2733" s="65" t="b">
        <f>FALSE()</f>
        <v>0</v>
      </c>
      <c r="AE2733" s="65">
        <v>3</v>
      </c>
      <c r="AF2733" s="69">
        <v>42.9</v>
      </c>
      <c r="AG2733" s="65" t="s">
        <v>73</v>
      </c>
      <c r="AH2733" s="65" t="s">
        <v>10377</v>
      </c>
      <c r="AI2733">
        <f>IF(AND(OR(Company_Explorer!$B$5="All Companies",$E2733=Company_Explorer!$B$5),OR(Company_Explorer!$B$6="All Platforms",$B2733=Company_Explorer!$B$6),OR(Company_Explorer!$B$7="All Roles",$D2733=Company_Explorer!$B$7),OR(Company_Explorer!$B$8="All Ghost Labels",$AG2733=Company_Explorer!$B$8)),1,0)</f>
        <v>0</v>
      </c>
    </row>
    <row r="2734" spans="1:35" ht="15" customHeight="1" x14ac:dyDescent="0.3">
      <c r="A2734" s="60" t="s">
        <v>10378</v>
      </c>
      <c r="B2734" s="60" t="s">
        <v>82</v>
      </c>
      <c r="C2734" s="60" t="s">
        <v>3328</v>
      </c>
      <c r="D2734" s="60" t="s">
        <v>129</v>
      </c>
      <c r="E2734" s="60" t="s">
        <v>10379</v>
      </c>
      <c r="F2734" s="60" t="b">
        <f>TRUE()</f>
        <v>1</v>
      </c>
      <c r="G2734" s="60" t="s">
        <v>165</v>
      </c>
      <c r="H2734" s="60" t="s">
        <v>165</v>
      </c>
      <c r="I2734" s="61">
        <v>46201</v>
      </c>
      <c r="J2734" s="61">
        <v>46210.2864166898</v>
      </c>
      <c r="K2734" s="60">
        <v>130</v>
      </c>
      <c r="L2734" s="60" t="s">
        <v>192</v>
      </c>
      <c r="M2734" s="60" t="s">
        <v>183</v>
      </c>
      <c r="N2734" s="60" t="b">
        <f>FALSE()</f>
        <v>0</v>
      </c>
      <c r="O2734" s="60"/>
      <c r="P2734" s="60"/>
      <c r="Q2734" s="60" t="s">
        <v>3663</v>
      </c>
      <c r="R2734" s="60" t="s">
        <v>236</v>
      </c>
      <c r="S2734" s="60"/>
      <c r="T2734" s="60" t="b">
        <f>FALSE()</f>
        <v>0</v>
      </c>
      <c r="U2734" s="60" t="b">
        <f>FALSE()</f>
        <v>0</v>
      </c>
      <c r="V2734" s="60">
        <v>588</v>
      </c>
      <c r="W2734" s="62" t="s">
        <v>10380</v>
      </c>
      <c r="X2734" s="60">
        <v>1</v>
      </c>
      <c r="Y2734" s="63">
        <v>0.24</v>
      </c>
      <c r="Z2734" s="60" t="b">
        <f>FALSE()</f>
        <v>0</v>
      </c>
      <c r="AA2734" s="60" t="b">
        <f>TRUE()</f>
        <v>1</v>
      </c>
      <c r="AB2734" s="60" t="b">
        <f>FALSE()</f>
        <v>0</v>
      </c>
      <c r="AC2734" s="60" t="b">
        <f>TRUE()</f>
        <v>1</v>
      </c>
      <c r="AD2734" s="60" t="b">
        <f>FALSE()</f>
        <v>0</v>
      </c>
      <c r="AE2734" s="60">
        <v>2</v>
      </c>
      <c r="AF2734" s="64">
        <v>28.6</v>
      </c>
      <c r="AG2734" s="60" t="s">
        <v>73</v>
      </c>
      <c r="AH2734" s="60" t="s">
        <v>10381</v>
      </c>
      <c r="AI2734">
        <f>IF(AND(OR(Company_Explorer!$B$5="All Companies",$E2734=Company_Explorer!$B$5),OR(Company_Explorer!$B$6="All Platforms",$B2734=Company_Explorer!$B$6),OR(Company_Explorer!$B$7="All Roles",$D2734=Company_Explorer!$B$7),OR(Company_Explorer!$B$8="All Ghost Labels",$AG2734=Company_Explorer!$B$8)),1,0)</f>
        <v>0</v>
      </c>
    </row>
    <row r="2735" spans="1:35" ht="15" customHeight="1" x14ac:dyDescent="0.3">
      <c r="A2735" s="65" t="s">
        <v>10382</v>
      </c>
      <c r="B2735" s="65" t="s">
        <v>82</v>
      </c>
      <c r="C2735" s="65" t="s">
        <v>10383</v>
      </c>
      <c r="D2735" s="65" t="s">
        <v>129</v>
      </c>
      <c r="E2735" s="65" t="s">
        <v>10384</v>
      </c>
      <c r="F2735" s="65" t="b">
        <f>TRUE()</f>
        <v>1</v>
      </c>
      <c r="G2735" s="65" t="s">
        <v>167</v>
      </c>
      <c r="H2735" s="65" t="s">
        <v>276</v>
      </c>
      <c r="I2735" s="66">
        <v>46209</v>
      </c>
      <c r="J2735" s="66">
        <v>46210.286418611096</v>
      </c>
      <c r="K2735" s="65">
        <v>123</v>
      </c>
      <c r="L2735" s="65" t="s">
        <v>192</v>
      </c>
      <c r="M2735" s="65" t="s">
        <v>183</v>
      </c>
      <c r="N2735" s="65" t="b">
        <f>TRUE()</f>
        <v>1</v>
      </c>
      <c r="O2735" s="71">
        <v>1000000</v>
      </c>
      <c r="P2735" s="71">
        <v>1000000</v>
      </c>
      <c r="Q2735" s="65" t="s">
        <v>3663</v>
      </c>
      <c r="R2735" s="65" t="s">
        <v>7351</v>
      </c>
      <c r="S2735" s="71">
        <v>1000000</v>
      </c>
      <c r="T2735" s="65" t="b">
        <f>TRUE()</f>
        <v>1</v>
      </c>
      <c r="U2735" s="65" t="b">
        <f>FALSE()</f>
        <v>0</v>
      </c>
      <c r="V2735" s="65">
        <v>571</v>
      </c>
      <c r="W2735" s="67" t="s">
        <v>10385</v>
      </c>
      <c r="X2735" s="65">
        <v>1</v>
      </c>
      <c r="Y2735" s="68">
        <v>0.24</v>
      </c>
      <c r="Z2735" s="65" t="b">
        <f>FALSE()</f>
        <v>0</v>
      </c>
      <c r="AA2735" s="65" t="b">
        <f>FALSE()</f>
        <v>0</v>
      </c>
      <c r="AB2735" s="65" t="b">
        <f>FALSE()</f>
        <v>0</v>
      </c>
      <c r="AC2735" s="65" t="b">
        <f>TRUE()</f>
        <v>1</v>
      </c>
      <c r="AD2735" s="65" t="b">
        <f>FALSE()</f>
        <v>0</v>
      </c>
      <c r="AE2735" s="65">
        <v>1</v>
      </c>
      <c r="AF2735" s="69">
        <v>14.3</v>
      </c>
      <c r="AG2735" s="65" t="s">
        <v>74</v>
      </c>
      <c r="AH2735" s="65" t="s">
        <v>10386</v>
      </c>
      <c r="AI2735">
        <f>IF(AND(OR(Company_Explorer!$B$5="All Companies",$E2735=Company_Explorer!$B$5),OR(Company_Explorer!$B$6="All Platforms",$B2735=Company_Explorer!$B$6),OR(Company_Explorer!$B$7="All Roles",$D2735=Company_Explorer!$B$7),OR(Company_Explorer!$B$8="All Ghost Labels",$AG2735=Company_Explorer!$B$8)),1,0)</f>
        <v>0</v>
      </c>
    </row>
    <row r="2736" spans="1:35" ht="15" customHeight="1" x14ac:dyDescent="0.3">
      <c r="A2736" s="60" t="s">
        <v>10387</v>
      </c>
      <c r="B2736" s="60" t="s">
        <v>82</v>
      </c>
      <c r="C2736" s="60" t="s">
        <v>10388</v>
      </c>
      <c r="D2736" s="60" t="s">
        <v>126</v>
      </c>
      <c r="E2736" s="60" t="s">
        <v>8682</v>
      </c>
      <c r="F2736" s="60" t="b">
        <f>TRUE()</f>
        <v>1</v>
      </c>
      <c r="G2736" s="60" t="s">
        <v>165</v>
      </c>
      <c r="H2736" s="60" t="s">
        <v>165</v>
      </c>
      <c r="I2736" s="61">
        <v>46204</v>
      </c>
      <c r="J2736" s="61">
        <v>46210.286421493103</v>
      </c>
      <c r="K2736" s="60">
        <v>6</v>
      </c>
      <c r="L2736" s="60" t="s">
        <v>183</v>
      </c>
      <c r="M2736" s="60" t="s">
        <v>183</v>
      </c>
      <c r="N2736" s="60" t="b">
        <f>FALSE()</f>
        <v>0</v>
      </c>
      <c r="O2736" s="60"/>
      <c r="P2736" s="60"/>
      <c r="Q2736" s="60" t="s">
        <v>3663</v>
      </c>
      <c r="R2736" s="60" t="s">
        <v>236</v>
      </c>
      <c r="S2736" s="60"/>
      <c r="T2736" s="60" t="b">
        <f>FALSE()</f>
        <v>0</v>
      </c>
      <c r="U2736" s="60" t="b">
        <f>FALSE()</f>
        <v>0</v>
      </c>
      <c r="V2736" s="60">
        <v>104</v>
      </c>
      <c r="W2736" s="62" t="s">
        <v>10389</v>
      </c>
      <c r="X2736" s="60">
        <v>7</v>
      </c>
      <c r="Y2736" s="63">
        <v>1.69</v>
      </c>
      <c r="Z2736" s="60" t="b">
        <f>FALSE()</f>
        <v>0</v>
      </c>
      <c r="AA2736" s="60" t="b">
        <f>TRUE()</f>
        <v>1</v>
      </c>
      <c r="AB2736" s="60" t="b">
        <f>TRUE()</f>
        <v>1</v>
      </c>
      <c r="AC2736" s="60" t="b">
        <f>FALSE()</f>
        <v>0</v>
      </c>
      <c r="AD2736" s="60" t="b">
        <f>FALSE()</f>
        <v>0</v>
      </c>
      <c r="AE2736" s="60">
        <v>2</v>
      </c>
      <c r="AF2736" s="64">
        <v>28.6</v>
      </c>
      <c r="AG2736" s="60" t="s">
        <v>73</v>
      </c>
      <c r="AH2736" s="60" t="s">
        <v>10390</v>
      </c>
      <c r="AI2736">
        <f>IF(AND(OR(Company_Explorer!$B$5="All Companies",$E2736=Company_Explorer!$B$5),OR(Company_Explorer!$B$6="All Platforms",$B2736=Company_Explorer!$B$6),OR(Company_Explorer!$B$7="All Roles",$D2736=Company_Explorer!$B$7),OR(Company_Explorer!$B$8="All Ghost Labels",$AG2736=Company_Explorer!$B$8)),1,0)</f>
        <v>0</v>
      </c>
    </row>
    <row r="2737" spans="1:35" ht="15" customHeight="1" x14ac:dyDescent="0.3">
      <c r="A2737" s="65" t="s">
        <v>10391</v>
      </c>
      <c r="B2737" s="65" t="s">
        <v>82</v>
      </c>
      <c r="C2737" s="65" t="s">
        <v>10392</v>
      </c>
      <c r="D2737" s="65" t="s">
        <v>126</v>
      </c>
      <c r="E2737" s="65" t="s">
        <v>150</v>
      </c>
      <c r="F2737" s="65" t="b">
        <f>TRUE()</f>
        <v>1</v>
      </c>
      <c r="G2737" s="65" t="s">
        <v>165</v>
      </c>
      <c r="H2737" s="65" t="s">
        <v>165</v>
      </c>
      <c r="I2737" s="66">
        <v>46185</v>
      </c>
      <c r="J2737" s="66">
        <v>46210.2864225347</v>
      </c>
      <c r="K2737" s="65">
        <v>56</v>
      </c>
      <c r="L2737" s="65" t="s">
        <v>192</v>
      </c>
      <c r="M2737" s="65" t="s">
        <v>183</v>
      </c>
      <c r="N2737" s="65" t="b">
        <f>FALSE()</f>
        <v>0</v>
      </c>
      <c r="O2737" s="65"/>
      <c r="P2737" s="65"/>
      <c r="Q2737" s="65" t="s">
        <v>3663</v>
      </c>
      <c r="R2737" s="65" t="s">
        <v>236</v>
      </c>
      <c r="S2737" s="65"/>
      <c r="T2737" s="65" t="b">
        <f>FALSE()</f>
        <v>0</v>
      </c>
      <c r="U2737" s="65" t="b">
        <f>FALSE()</f>
        <v>0</v>
      </c>
      <c r="V2737" s="65">
        <v>482</v>
      </c>
      <c r="W2737" s="67" t="s">
        <v>3698</v>
      </c>
      <c r="X2737" s="65">
        <v>18</v>
      </c>
      <c r="Y2737" s="68">
        <v>4.34</v>
      </c>
      <c r="Z2737" s="65" t="b">
        <f>FALSE()</f>
        <v>0</v>
      </c>
      <c r="AA2737" s="65" t="b">
        <f>TRUE()</f>
        <v>1</v>
      </c>
      <c r="AB2737" s="65" t="b">
        <f>FALSE()</f>
        <v>0</v>
      </c>
      <c r="AC2737" s="65" t="b">
        <f>FALSE()</f>
        <v>0</v>
      </c>
      <c r="AD2737" s="65" t="b">
        <f>TRUE()</f>
        <v>1</v>
      </c>
      <c r="AE2737" s="65">
        <v>3</v>
      </c>
      <c r="AF2737" s="69">
        <v>42.9</v>
      </c>
      <c r="AG2737" s="65" t="s">
        <v>73</v>
      </c>
      <c r="AH2737" s="65" t="s">
        <v>10393</v>
      </c>
      <c r="AI2737">
        <f>IF(AND(OR(Company_Explorer!$B$5="All Companies",$E2737=Company_Explorer!$B$5),OR(Company_Explorer!$B$6="All Platforms",$B2737=Company_Explorer!$B$6),OR(Company_Explorer!$B$7="All Roles",$D2737=Company_Explorer!$B$7),OR(Company_Explorer!$B$8="All Ghost Labels",$AG2737=Company_Explorer!$B$8)),1,0)</f>
        <v>0</v>
      </c>
    </row>
    <row r="2738" spans="1:35" ht="15" customHeight="1" x14ac:dyDescent="0.3">
      <c r="A2738" s="60" t="s">
        <v>10394</v>
      </c>
      <c r="B2738" s="60" t="s">
        <v>82</v>
      </c>
      <c r="C2738" s="60" t="s">
        <v>4452</v>
      </c>
      <c r="D2738" s="60" t="s">
        <v>125</v>
      </c>
      <c r="E2738" s="60" t="s">
        <v>7723</v>
      </c>
      <c r="F2738" s="60" t="b">
        <f>TRUE()</f>
        <v>1</v>
      </c>
      <c r="G2738" s="60" t="s">
        <v>167</v>
      </c>
      <c r="H2738" s="60" t="s">
        <v>276</v>
      </c>
      <c r="I2738" s="61">
        <v>46211</v>
      </c>
      <c r="J2738" s="61">
        <v>46210.286425625003</v>
      </c>
      <c r="K2738" s="60">
        <v>0</v>
      </c>
      <c r="L2738" s="60" t="s">
        <v>192</v>
      </c>
      <c r="M2738" s="60" t="s">
        <v>183</v>
      </c>
      <c r="N2738" s="60" t="b">
        <f>TRUE()</f>
        <v>1</v>
      </c>
      <c r="O2738" s="70">
        <v>313991</v>
      </c>
      <c r="P2738" s="70">
        <v>848500</v>
      </c>
      <c r="Q2738" s="60" t="s">
        <v>3663</v>
      </c>
      <c r="R2738" s="60" t="s">
        <v>7351</v>
      </c>
      <c r="S2738" s="70">
        <v>581246</v>
      </c>
      <c r="T2738" s="60" t="b">
        <f>TRUE()</f>
        <v>1</v>
      </c>
      <c r="U2738" s="60" t="b">
        <f>FALSE()</f>
        <v>0</v>
      </c>
      <c r="V2738" s="60">
        <v>604</v>
      </c>
      <c r="W2738" s="60" t="s">
        <v>733</v>
      </c>
      <c r="X2738" s="60">
        <v>4</v>
      </c>
      <c r="Y2738" s="63">
        <v>0.97</v>
      </c>
      <c r="Z2738" s="60" t="b">
        <f>FALSE()</f>
        <v>0</v>
      </c>
      <c r="AA2738" s="60" t="b">
        <f>FALSE()</f>
        <v>0</v>
      </c>
      <c r="AB2738" s="60" t="b">
        <f>FALSE()</f>
        <v>0</v>
      </c>
      <c r="AC2738" s="60" t="b">
        <f>FALSE()</f>
        <v>0</v>
      </c>
      <c r="AD2738" s="60" t="b">
        <f>FALSE()</f>
        <v>0</v>
      </c>
      <c r="AE2738" s="60">
        <v>0</v>
      </c>
      <c r="AF2738" s="64">
        <v>0</v>
      </c>
      <c r="AG2738" s="60" t="s">
        <v>74</v>
      </c>
      <c r="AH2738" s="60" t="s">
        <v>10395</v>
      </c>
      <c r="AI2738">
        <f>IF(AND(OR(Company_Explorer!$B$5="All Companies",$E2738=Company_Explorer!$B$5),OR(Company_Explorer!$B$6="All Platforms",$B2738=Company_Explorer!$B$6),OR(Company_Explorer!$B$7="All Roles",$D2738=Company_Explorer!$B$7),OR(Company_Explorer!$B$8="All Ghost Labels",$AG2738=Company_Explorer!$B$8)),1,0)</f>
        <v>0</v>
      </c>
    </row>
    <row r="2739" spans="1:35" ht="15" customHeight="1" x14ac:dyDescent="0.3">
      <c r="A2739" s="65" t="s">
        <v>10396</v>
      </c>
      <c r="B2739" s="65" t="s">
        <v>82</v>
      </c>
      <c r="C2739" s="65" t="s">
        <v>3328</v>
      </c>
      <c r="D2739" s="65" t="s">
        <v>129</v>
      </c>
      <c r="E2739" s="65" t="s">
        <v>10397</v>
      </c>
      <c r="F2739" s="65" t="b">
        <f>TRUE()</f>
        <v>1</v>
      </c>
      <c r="G2739" s="65" t="s">
        <v>165</v>
      </c>
      <c r="H2739" s="65" t="s">
        <v>165</v>
      </c>
      <c r="I2739" s="66">
        <v>46197</v>
      </c>
      <c r="J2739" s="66">
        <v>46210.286426018502</v>
      </c>
      <c r="K2739" s="65">
        <v>13</v>
      </c>
      <c r="L2739" s="65" t="s">
        <v>192</v>
      </c>
      <c r="M2739" s="65" t="s">
        <v>183</v>
      </c>
      <c r="N2739" s="65" t="b">
        <f>TRUE()</f>
        <v>1</v>
      </c>
      <c r="O2739" s="71">
        <v>15000</v>
      </c>
      <c r="P2739" s="71">
        <v>25000</v>
      </c>
      <c r="Q2739" s="65" t="s">
        <v>3663</v>
      </c>
      <c r="R2739" s="65" t="s">
        <v>7445</v>
      </c>
      <c r="S2739" s="71">
        <v>240000</v>
      </c>
      <c r="T2739" s="65" t="b">
        <f>TRUE()</f>
        <v>1</v>
      </c>
      <c r="U2739" s="65" t="b">
        <f>FALSE()</f>
        <v>0</v>
      </c>
      <c r="V2739" s="65">
        <v>257</v>
      </c>
      <c r="W2739" s="67" t="s">
        <v>10398</v>
      </c>
      <c r="X2739" s="65">
        <v>1</v>
      </c>
      <c r="Y2739" s="68">
        <v>0.24</v>
      </c>
      <c r="Z2739" s="65" t="b">
        <f>FALSE()</f>
        <v>0</v>
      </c>
      <c r="AA2739" s="65" t="b">
        <f>FALSE()</f>
        <v>0</v>
      </c>
      <c r="AB2739" s="65" t="b">
        <f>FALSE()</f>
        <v>0</v>
      </c>
      <c r="AC2739" s="65" t="b">
        <f>FALSE()</f>
        <v>0</v>
      </c>
      <c r="AD2739" s="65" t="b">
        <f>FALSE()</f>
        <v>0</v>
      </c>
      <c r="AE2739" s="65">
        <v>0</v>
      </c>
      <c r="AF2739" s="69">
        <v>0</v>
      </c>
      <c r="AG2739" s="65" t="s">
        <v>74</v>
      </c>
      <c r="AH2739" s="65" t="s">
        <v>10399</v>
      </c>
      <c r="AI2739">
        <f>IF(AND(OR(Company_Explorer!$B$5="All Companies",$E2739=Company_Explorer!$B$5),OR(Company_Explorer!$B$6="All Platforms",$B2739=Company_Explorer!$B$6),OR(Company_Explorer!$B$7="All Roles",$D2739=Company_Explorer!$B$7),OR(Company_Explorer!$B$8="All Ghost Labels",$AG2739=Company_Explorer!$B$8)),1,0)</f>
        <v>0</v>
      </c>
    </row>
    <row r="2740" spans="1:35" ht="15" customHeight="1" x14ac:dyDescent="0.3">
      <c r="A2740" s="60" t="s">
        <v>10400</v>
      </c>
      <c r="B2740" s="60" t="s">
        <v>82</v>
      </c>
      <c r="C2740" s="60" t="s">
        <v>10401</v>
      </c>
      <c r="D2740" s="60" t="s">
        <v>125</v>
      </c>
      <c r="E2740" s="60" t="s">
        <v>3726</v>
      </c>
      <c r="F2740" s="60" t="b">
        <f>FALSE()</f>
        <v>0</v>
      </c>
      <c r="G2740" s="60" t="s">
        <v>165</v>
      </c>
      <c r="H2740" s="60" t="s">
        <v>165</v>
      </c>
      <c r="I2740" s="61">
        <v>46187</v>
      </c>
      <c r="J2740" s="61">
        <v>46210.286427175903</v>
      </c>
      <c r="K2740" s="60">
        <v>84</v>
      </c>
      <c r="L2740" s="60" t="s">
        <v>192</v>
      </c>
      <c r="M2740" s="60" t="s">
        <v>183</v>
      </c>
      <c r="N2740" s="60" t="b">
        <f>TRUE()</f>
        <v>1</v>
      </c>
      <c r="O2740" s="70">
        <v>15000</v>
      </c>
      <c r="P2740" s="70">
        <v>30000</v>
      </c>
      <c r="Q2740" s="60" t="s">
        <v>3663</v>
      </c>
      <c r="R2740" s="60" t="s">
        <v>7445</v>
      </c>
      <c r="S2740" s="70">
        <v>270000</v>
      </c>
      <c r="T2740" s="60" t="b">
        <f>TRUE()</f>
        <v>1</v>
      </c>
      <c r="U2740" s="60" t="b">
        <f>FALSE()</f>
        <v>0</v>
      </c>
      <c r="V2740" s="60">
        <v>151</v>
      </c>
      <c r="W2740" s="62" t="s">
        <v>10402</v>
      </c>
      <c r="X2740" s="60"/>
      <c r="Y2740" s="63"/>
      <c r="Z2740" s="60" t="b">
        <f>TRUE()</f>
        <v>1</v>
      </c>
      <c r="AA2740" s="60" t="b">
        <f>FALSE()</f>
        <v>0</v>
      </c>
      <c r="AB2740" s="60" t="b">
        <f>TRUE()</f>
        <v>1</v>
      </c>
      <c r="AC2740" s="60" t="b">
        <f>FALSE()</f>
        <v>0</v>
      </c>
      <c r="AD2740" s="60" t="b">
        <f>FALSE()</f>
        <v>0</v>
      </c>
      <c r="AE2740" s="60">
        <v>3</v>
      </c>
      <c r="AF2740" s="64">
        <v>42.9</v>
      </c>
      <c r="AG2740" s="60" t="s">
        <v>73</v>
      </c>
      <c r="AH2740" s="60" t="s">
        <v>10403</v>
      </c>
      <c r="AI2740">
        <f>IF(AND(OR(Company_Explorer!$B$5="All Companies",$E2740=Company_Explorer!$B$5),OR(Company_Explorer!$B$6="All Platforms",$B2740=Company_Explorer!$B$6),OR(Company_Explorer!$B$7="All Roles",$D2740=Company_Explorer!$B$7),OR(Company_Explorer!$B$8="All Ghost Labels",$AG2740=Company_Explorer!$B$8)),1,0)</f>
        <v>0</v>
      </c>
    </row>
    <row r="2741" spans="1:35" ht="15" customHeight="1" x14ac:dyDescent="0.3">
      <c r="A2741" s="65" t="s">
        <v>10404</v>
      </c>
      <c r="B2741" s="65" t="s">
        <v>82</v>
      </c>
      <c r="C2741" s="65" t="s">
        <v>9527</v>
      </c>
      <c r="D2741" s="65" t="s">
        <v>129</v>
      </c>
      <c r="E2741" s="65" t="s">
        <v>157</v>
      </c>
      <c r="F2741" s="65" t="b">
        <f>TRUE()</f>
        <v>1</v>
      </c>
      <c r="G2741" s="65" t="s">
        <v>166</v>
      </c>
      <c r="H2741" s="65" t="s">
        <v>235</v>
      </c>
      <c r="I2741" s="66">
        <v>46193</v>
      </c>
      <c r="J2741" s="66">
        <v>46210.286427939798</v>
      </c>
      <c r="K2741" s="65">
        <v>17</v>
      </c>
      <c r="L2741" s="65" t="s">
        <v>192</v>
      </c>
      <c r="M2741" s="65" t="s">
        <v>183</v>
      </c>
      <c r="N2741" s="65" t="b">
        <f>TRUE()</f>
        <v>1</v>
      </c>
      <c r="O2741" s="71">
        <v>570000</v>
      </c>
      <c r="P2741" s="71">
        <v>900000</v>
      </c>
      <c r="Q2741" s="65" t="s">
        <v>3663</v>
      </c>
      <c r="R2741" s="65" t="s">
        <v>7351</v>
      </c>
      <c r="S2741" s="71">
        <v>735000</v>
      </c>
      <c r="T2741" s="65" t="b">
        <f>TRUE()</f>
        <v>1</v>
      </c>
      <c r="U2741" s="65" t="b">
        <f>FALSE()</f>
        <v>0</v>
      </c>
      <c r="V2741" s="65">
        <v>42</v>
      </c>
      <c r="W2741" s="67" t="s">
        <v>10405</v>
      </c>
      <c r="X2741" s="65">
        <v>15</v>
      </c>
      <c r="Y2741" s="68">
        <v>3.62</v>
      </c>
      <c r="Z2741" s="65" t="b">
        <f>FALSE()</f>
        <v>0</v>
      </c>
      <c r="AA2741" s="65" t="b">
        <f>FALSE()</f>
        <v>0</v>
      </c>
      <c r="AB2741" s="65" t="b">
        <f>TRUE()</f>
        <v>1</v>
      </c>
      <c r="AC2741" s="65" t="b">
        <f>FALSE()</f>
        <v>0</v>
      </c>
      <c r="AD2741" s="65" t="b">
        <f>TRUE()</f>
        <v>1</v>
      </c>
      <c r="AE2741" s="65">
        <v>3</v>
      </c>
      <c r="AF2741" s="69">
        <v>42.9</v>
      </c>
      <c r="AG2741" s="65" t="s">
        <v>73</v>
      </c>
      <c r="AH2741" s="65" t="s">
        <v>10406</v>
      </c>
      <c r="AI2741">
        <f>IF(AND(OR(Company_Explorer!$B$5="All Companies",$E2741=Company_Explorer!$B$5),OR(Company_Explorer!$B$6="All Platforms",$B2741=Company_Explorer!$B$6),OR(Company_Explorer!$B$7="All Roles",$D2741=Company_Explorer!$B$7),OR(Company_Explorer!$B$8="All Ghost Labels",$AG2741=Company_Explorer!$B$8)),1,0)</f>
        <v>0</v>
      </c>
    </row>
    <row r="2742" spans="1:35" ht="15" customHeight="1" x14ac:dyDescent="0.3">
      <c r="A2742" s="60" t="s">
        <v>10407</v>
      </c>
      <c r="B2742" s="60" t="s">
        <v>82</v>
      </c>
      <c r="C2742" s="60" t="s">
        <v>10408</v>
      </c>
      <c r="D2742" s="60" t="s">
        <v>129</v>
      </c>
      <c r="E2742" s="60" t="s">
        <v>9588</v>
      </c>
      <c r="F2742" s="60" t="b">
        <f>TRUE()</f>
        <v>1</v>
      </c>
      <c r="G2742" s="60" t="s">
        <v>171</v>
      </c>
      <c r="H2742" s="60" t="s">
        <v>254</v>
      </c>
      <c r="I2742" s="61">
        <v>46193</v>
      </c>
      <c r="J2742" s="61">
        <v>46210.286432986097</v>
      </c>
      <c r="K2742" s="60">
        <v>137</v>
      </c>
      <c r="L2742" s="60" t="s">
        <v>192</v>
      </c>
      <c r="M2742" s="60" t="s">
        <v>183</v>
      </c>
      <c r="N2742" s="60" t="b">
        <f>TRUE()</f>
        <v>1</v>
      </c>
      <c r="O2742" s="70">
        <v>300000</v>
      </c>
      <c r="P2742" s="70">
        <v>852500</v>
      </c>
      <c r="Q2742" s="60" t="s">
        <v>3663</v>
      </c>
      <c r="R2742" s="60" t="s">
        <v>7351</v>
      </c>
      <c r="S2742" s="70">
        <v>576250</v>
      </c>
      <c r="T2742" s="60" t="b">
        <f>TRUE()</f>
        <v>1</v>
      </c>
      <c r="U2742" s="60" t="b">
        <f>FALSE()</f>
        <v>0</v>
      </c>
      <c r="V2742" s="60">
        <v>151</v>
      </c>
      <c r="W2742" s="62" t="s">
        <v>10409</v>
      </c>
      <c r="X2742" s="60">
        <v>2</v>
      </c>
      <c r="Y2742" s="63">
        <v>0.48</v>
      </c>
      <c r="Z2742" s="60" t="b">
        <f>FALSE()</f>
        <v>0</v>
      </c>
      <c r="AA2742" s="60" t="b">
        <f>FALSE()</f>
        <v>0</v>
      </c>
      <c r="AB2742" s="60" t="b">
        <f>TRUE()</f>
        <v>1</v>
      </c>
      <c r="AC2742" s="60" t="b">
        <f>TRUE()</f>
        <v>1</v>
      </c>
      <c r="AD2742" s="60" t="b">
        <f>FALSE()</f>
        <v>0</v>
      </c>
      <c r="AE2742" s="60">
        <v>2</v>
      </c>
      <c r="AF2742" s="64">
        <v>28.6</v>
      </c>
      <c r="AG2742" s="60" t="s">
        <v>73</v>
      </c>
      <c r="AH2742" s="60" t="s">
        <v>10410</v>
      </c>
      <c r="AI2742">
        <f>IF(AND(OR(Company_Explorer!$B$5="All Companies",$E2742=Company_Explorer!$B$5),OR(Company_Explorer!$B$6="All Platforms",$B2742=Company_Explorer!$B$6),OR(Company_Explorer!$B$7="All Roles",$D2742=Company_Explorer!$B$7),OR(Company_Explorer!$B$8="All Ghost Labels",$AG2742=Company_Explorer!$B$8)),1,0)</f>
        <v>0</v>
      </c>
    </row>
    <row r="2743" spans="1:35" ht="15" customHeight="1" x14ac:dyDescent="0.3">
      <c r="A2743" s="65" t="s">
        <v>10411</v>
      </c>
      <c r="B2743" s="65" t="s">
        <v>82</v>
      </c>
      <c r="C2743" s="65" t="s">
        <v>10412</v>
      </c>
      <c r="D2743" s="65" t="s">
        <v>126</v>
      </c>
      <c r="E2743" s="65" t="s">
        <v>3726</v>
      </c>
      <c r="F2743" s="65" t="b">
        <f>FALSE()</f>
        <v>0</v>
      </c>
      <c r="G2743" s="65" t="s">
        <v>165</v>
      </c>
      <c r="H2743" s="65" t="s">
        <v>165</v>
      </c>
      <c r="I2743" s="66">
        <v>46200</v>
      </c>
      <c r="J2743" s="66">
        <v>46210.286436169001</v>
      </c>
      <c r="K2743" s="65">
        <v>10</v>
      </c>
      <c r="L2743" s="65" t="s">
        <v>192</v>
      </c>
      <c r="M2743" s="65" t="s">
        <v>183</v>
      </c>
      <c r="N2743" s="65" t="b">
        <f>TRUE()</f>
        <v>1</v>
      </c>
      <c r="O2743" s="71">
        <v>60000</v>
      </c>
      <c r="P2743" s="71">
        <v>75000</v>
      </c>
      <c r="Q2743" s="65" t="s">
        <v>3663</v>
      </c>
      <c r="R2743" s="65" t="s">
        <v>7445</v>
      </c>
      <c r="S2743" s="71">
        <v>810000</v>
      </c>
      <c r="T2743" s="65" t="b">
        <f>TRUE()</f>
        <v>1</v>
      </c>
      <c r="U2743" s="65" t="b">
        <f>FALSE()</f>
        <v>0</v>
      </c>
      <c r="V2743" s="65">
        <v>481</v>
      </c>
      <c r="W2743" s="67" t="s">
        <v>10413</v>
      </c>
      <c r="X2743" s="65"/>
      <c r="Y2743" s="68"/>
      <c r="Z2743" s="65" t="b">
        <f>TRUE()</f>
        <v>1</v>
      </c>
      <c r="AA2743" s="65" t="b">
        <f>FALSE()</f>
        <v>0</v>
      </c>
      <c r="AB2743" s="65" t="b">
        <f>FALSE()</f>
        <v>0</v>
      </c>
      <c r="AC2743" s="65" t="b">
        <f>FALSE()</f>
        <v>0</v>
      </c>
      <c r="AD2743" s="65" t="b">
        <f>FALSE()</f>
        <v>0</v>
      </c>
      <c r="AE2743" s="65">
        <v>2</v>
      </c>
      <c r="AF2743" s="69">
        <v>28.6</v>
      </c>
      <c r="AG2743" s="65" t="s">
        <v>73</v>
      </c>
      <c r="AH2743" s="65" t="s">
        <v>10414</v>
      </c>
      <c r="AI2743">
        <f>IF(AND(OR(Company_Explorer!$B$5="All Companies",$E2743=Company_Explorer!$B$5),OR(Company_Explorer!$B$6="All Platforms",$B2743=Company_Explorer!$B$6),OR(Company_Explorer!$B$7="All Roles",$D2743=Company_Explorer!$B$7),OR(Company_Explorer!$B$8="All Ghost Labels",$AG2743=Company_Explorer!$B$8)),1,0)</f>
        <v>0</v>
      </c>
    </row>
    <row r="2744" spans="1:35" ht="15" customHeight="1" x14ac:dyDescent="0.3">
      <c r="A2744" s="60" t="s">
        <v>10415</v>
      </c>
      <c r="B2744" s="60" t="s">
        <v>82</v>
      </c>
      <c r="C2744" s="60" t="s">
        <v>422</v>
      </c>
      <c r="D2744" s="60" t="s">
        <v>125</v>
      </c>
      <c r="E2744" s="60" t="s">
        <v>7341</v>
      </c>
      <c r="F2744" s="60" t="b">
        <f>TRUE()</f>
        <v>1</v>
      </c>
      <c r="G2744" s="60" t="s">
        <v>165</v>
      </c>
      <c r="H2744" s="60" t="s">
        <v>165</v>
      </c>
      <c r="I2744" s="61">
        <v>46207</v>
      </c>
      <c r="J2744" s="61">
        <v>46210.286436423601</v>
      </c>
      <c r="K2744" s="60">
        <v>3</v>
      </c>
      <c r="L2744" s="60" t="s">
        <v>192</v>
      </c>
      <c r="M2744" s="60" t="s">
        <v>183</v>
      </c>
      <c r="N2744" s="60" t="b">
        <f>FALSE()</f>
        <v>0</v>
      </c>
      <c r="O2744" s="60"/>
      <c r="P2744" s="60"/>
      <c r="Q2744" s="60" t="s">
        <v>3663</v>
      </c>
      <c r="R2744" s="60" t="s">
        <v>236</v>
      </c>
      <c r="S2744" s="60"/>
      <c r="T2744" s="60" t="b">
        <f>FALSE()</f>
        <v>0</v>
      </c>
      <c r="U2744" s="60" t="b">
        <f>FALSE()</f>
        <v>0</v>
      </c>
      <c r="V2744" s="60">
        <v>559</v>
      </c>
      <c r="W2744" s="62" t="s">
        <v>10416</v>
      </c>
      <c r="X2744" s="60">
        <v>2</v>
      </c>
      <c r="Y2744" s="63">
        <v>0.48</v>
      </c>
      <c r="Z2744" s="60" t="b">
        <f>FALSE()</f>
        <v>0</v>
      </c>
      <c r="AA2744" s="60" t="b">
        <f>TRUE()</f>
        <v>1</v>
      </c>
      <c r="AB2744" s="60" t="b">
        <f>FALSE()</f>
        <v>0</v>
      </c>
      <c r="AC2744" s="60" t="b">
        <f>FALSE()</f>
        <v>0</v>
      </c>
      <c r="AD2744" s="60" t="b">
        <f>FALSE()</f>
        <v>0</v>
      </c>
      <c r="AE2744" s="60">
        <v>1</v>
      </c>
      <c r="AF2744" s="64">
        <v>14.3</v>
      </c>
      <c r="AG2744" s="60" t="s">
        <v>74</v>
      </c>
      <c r="AH2744" s="60" t="s">
        <v>10417</v>
      </c>
      <c r="AI2744">
        <f>IF(AND(OR(Company_Explorer!$B$5="All Companies",$E2744=Company_Explorer!$B$5),OR(Company_Explorer!$B$6="All Platforms",$B2744=Company_Explorer!$B$6),OR(Company_Explorer!$B$7="All Roles",$D2744=Company_Explorer!$B$7),OR(Company_Explorer!$B$8="All Ghost Labels",$AG2744=Company_Explorer!$B$8)),1,0)</f>
        <v>0</v>
      </c>
    </row>
    <row r="2745" spans="1:35" ht="15" customHeight="1" x14ac:dyDescent="0.3">
      <c r="A2745" s="65" t="s">
        <v>10418</v>
      </c>
      <c r="B2745" s="65" t="s">
        <v>82</v>
      </c>
      <c r="C2745" s="65" t="s">
        <v>125</v>
      </c>
      <c r="D2745" s="65" t="s">
        <v>125</v>
      </c>
      <c r="E2745" s="65" t="s">
        <v>8702</v>
      </c>
      <c r="F2745" s="65" t="b">
        <f>TRUE()</f>
        <v>1</v>
      </c>
      <c r="G2745" s="65" t="s">
        <v>165</v>
      </c>
      <c r="H2745" s="65" t="s">
        <v>165</v>
      </c>
      <c r="I2745" s="66">
        <v>46203</v>
      </c>
      <c r="J2745" s="66">
        <v>46210.286436898197</v>
      </c>
      <c r="K2745" s="65">
        <v>38</v>
      </c>
      <c r="L2745" s="65" t="s">
        <v>192</v>
      </c>
      <c r="M2745" s="65" t="s">
        <v>183</v>
      </c>
      <c r="N2745" s="65" t="b">
        <f>FALSE()</f>
        <v>0</v>
      </c>
      <c r="O2745" s="65"/>
      <c r="P2745" s="65"/>
      <c r="Q2745" s="65" t="s">
        <v>3663</v>
      </c>
      <c r="R2745" s="65" t="s">
        <v>236</v>
      </c>
      <c r="S2745" s="65"/>
      <c r="T2745" s="65" t="b">
        <f>FALSE()</f>
        <v>0</v>
      </c>
      <c r="U2745" s="65" t="b">
        <f>FALSE()</f>
        <v>0</v>
      </c>
      <c r="V2745" s="65">
        <v>209</v>
      </c>
      <c r="W2745" s="67" t="s">
        <v>10419</v>
      </c>
      <c r="X2745" s="65">
        <v>7</v>
      </c>
      <c r="Y2745" s="68">
        <v>1.69</v>
      </c>
      <c r="Z2745" s="65" t="b">
        <f>FALSE()</f>
        <v>0</v>
      </c>
      <c r="AA2745" s="65" t="b">
        <f>TRUE()</f>
        <v>1</v>
      </c>
      <c r="AB2745" s="65" t="b">
        <f>TRUE()</f>
        <v>1</v>
      </c>
      <c r="AC2745" s="65" t="b">
        <f>FALSE()</f>
        <v>0</v>
      </c>
      <c r="AD2745" s="65" t="b">
        <f>FALSE()</f>
        <v>0</v>
      </c>
      <c r="AE2745" s="65">
        <v>2</v>
      </c>
      <c r="AF2745" s="69">
        <v>28.6</v>
      </c>
      <c r="AG2745" s="65" t="s">
        <v>73</v>
      </c>
      <c r="AH2745" s="65" t="s">
        <v>10420</v>
      </c>
      <c r="AI2745">
        <f>IF(AND(OR(Company_Explorer!$B$5="All Companies",$E2745=Company_Explorer!$B$5),OR(Company_Explorer!$B$6="All Platforms",$B2745=Company_Explorer!$B$6),OR(Company_Explorer!$B$7="All Roles",$D2745=Company_Explorer!$B$7),OR(Company_Explorer!$B$8="All Ghost Labels",$AG2745=Company_Explorer!$B$8)),1,0)</f>
        <v>0</v>
      </c>
    </row>
    <row r="2746" spans="1:35" ht="15" customHeight="1" x14ac:dyDescent="0.3">
      <c r="A2746" s="60" t="s">
        <v>10421</v>
      </c>
      <c r="B2746" s="60" t="s">
        <v>82</v>
      </c>
      <c r="C2746" s="60" t="s">
        <v>718</v>
      </c>
      <c r="D2746" s="60" t="s">
        <v>125</v>
      </c>
      <c r="E2746" s="60" t="s">
        <v>10422</v>
      </c>
      <c r="F2746" s="60" t="b">
        <f>TRUE()</f>
        <v>1</v>
      </c>
      <c r="G2746" s="60" t="s">
        <v>167</v>
      </c>
      <c r="H2746" s="60" t="s">
        <v>276</v>
      </c>
      <c r="I2746" s="61">
        <v>46205</v>
      </c>
      <c r="J2746" s="61">
        <v>46210.286437812501</v>
      </c>
      <c r="K2746" s="60">
        <v>5</v>
      </c>
      <c r="L2746" s="60" t="s">
        <v>183</v>
      </c>
      <c r="M2746" s="60" t="s">
        <v>183</v>
      </c>
      <c r="N2746" s="60" t="b">
        <f>FALSE()</f>
        <v>0</v>
      </c>
      <c r="O2746" s="60"/>
      <c r="P2746" s="60"/>
      <c r="Q2746" s="60" t="s">
        <v>3663</v>
      </c>
      <c r="R2746" s="60" t="s">
        <v>236</v>
      </c>
      <c r="S2746" s="60"/>
      <c r="T2746" s="60" t="b">
        <f>FALSE()</f>
        <v>0</v>
      </c>
      <c r="U2746" s="60" t="b">
        <f>FALSE()</f>
        <v>0</v>
      </c>
      <c r="V2746" s="60">
        <v>602</v>
      </c>
      <c r="W2746" s="60" t="s">
        <v>2919</v>
      </c>
      <c r="X2746" s="60">
        <v>1</v>
      </c>
      <c r="Y2746" s="63">
        <v>0.24</v>
      </c>
      <c r="Z2746" s="60" t="b">
        <f>FALSE()</f>
        <v>0</v>
      </c>
      <c r="AA2746" s="60" t="b">
        <f>TRUE()</f>
        <v>1</v>
      </c>
      <c r="AB2746" s="60" t="b">
        <f>FALSE()</f>
        <v>0</v>
      </c>
      <c r="AC2746" s="60" t="b">
        <f>FALSE()</f>
        <v>0</v>
      </c>
      <c r="AD2746" s="60" t="b">
        <f>FALSE()</f>
        <v>0</v>
      </c>
      <c r="AE2746" s="60">
        <v>1</v>
      </c>
      <c r="AF2746" s="64">
        <v>14.3</v>
      </c>
      <c r="AG2746" s="60" t="s">
        <v>74</v>
      </c>
      <c r="AH2746" s="60" t="s">
        <v>10423</v>
      </c>
      <c r="AI2746">
        <f>IF(AND(OR(Company_Explorer!$B$5="All Companies",$E2746=Company_Explorer!$B$5),OR(Company_Explorer!$B$6="All Platforms",$B2746=Company_Explorer!$B$6),OR(Company_Explorer!$B$7="All Roles",$D2746=Company_Explorer!$B$7),OR(Company_Explorer!$B$8="All Ghost Labels",$AG2746=Company_Explorer!$B$8)),1,0)</f>
        <v>0</v>
      </c>
    </row>
    <row r="2747" spans="1:35" ht="15" customHeight="1" x14ac:dyDescent="0.3">
      <c r="A2747" s="65" t="s">
        <v>10424</v>
      </c>
      <c r="B2747" s="65" t="s">
        <v>82</v>
      </c>
      <c r="C2747" s="65" t="s">
        <v>10425</v>
      </c>
      <c r="D2747" s="65" t="s">
        <v>129</v>
      </c>
      <c r="E2747" s="65" t="s">
        <v>8922</v>
      </c>
      <c r="F2747" s="65" t="b">
        <f>TRUE()</f>
        <v>1</v>
      </c>
      <c r="G2747" s="65" t="s">
        <v>165</v>
      </c>
      <c r="H2747" s="65" t="s">
        <v>165</v>
      </c>
      <c r="I2747" s="66">
        <v>46210</v>
      </c>
      <c r="J2747" s="66">
        <v>46210.286438680603</v>
      </c>
      <c r="K2747" s="65">
        <v>123</v>
      </c>
      <c r="L2747" s="65" t="s">
        <v>193</v>
      </c>
      <c r="M2747" s="65" t="s">
        <v>183</v>
      </c>
      <c r="N2747" s="65" t="b">
        <f>FALSE()</f>
        <v>0</v>
      </c>
      <c r="O2747" s="65"/>
      <c r="P2747" s="65"/>
      <c r="Q2747" s="65" t="s">
        <v>3663</v>
      </c>
      <c r="R2747" s="65" t="s">
        <v>236</v>
      </c>
      <c r="S2747" s="65"/>
      <c r="T2747" s="65" t="b">
        <f>FALSE()</f>
        <v>0</v>
      </c>
      <c r="U2747" s="65" t="b">
        <f>FALSE()</f>
        <v>0</v>
      </c>
      <c r="V2747" s="65">
        <v>213</v>
      </c>
      <c r="W2747" s="67" t="s">
        <v>10426</v>
      </c>
      <c r="X2747" s="65">
        <v>2</v>
      </c>
      <c r="Y2747" s="68">
        <v>0.48</v>
      </c>
      <c r="Z2747" s="65" t="b">
        <f>FALSE()</f>
        <v>0</v>
      </c>
      <c r="AA2747" s="65" t="b">
        <f>TRUE()</f>
        <v>1</v>
      </c>
      <c r="AB2747" s="65" t="b">
        <f>TRUE()</f>
        <v>1</v>
      </c>
      <c r="AC2747" s="65" t="b">
        <f>TRUE()</f>
        <v>1</v>
      </c>
      <c r="AD2747" s="65" t="b">
        <f>FALSE()</f>
        <v>0</v>
      </c>
      <c r="AE2747" s="65">
        <v>3</v>
      </c>
      <c r="AF2747" s="69">
        <v>42.9</v>
      </c>
      <c r="AG2747" s="65" t="s">
        <v>73</v>
      </c>
      <c r="AH2747" s="65" t="s">
        <v>10427</v>
      </c>
      <c r="AI2747">
        <f>IF(AND(OR(Company_Explorer!$B$5="All Companies",$E2747=Company_Explorer!$B$5),OR(Company_Explorer!$B$6="All Platforms",$B2747=Company_Explorer!$B$6),OR(Company_Explorer!$B$7="All Roles",$D2747=Company_Explorer!$B$7),OR(Company_Explorer!$B$8="All Ghost Labels",$AG2747=Company_Explorer!$B$8)),1,0)</f>
        <v>0</v>
      </c>
    </row>
    <row r="2748" spans="1:35" ht="15" customHeight="1" x14ac:dyDescent="0.3">
      <c r="A2748" s="60" t="s">
        <v>10428</v>
      </c>
      <c r="B2748" s="60" t="s">
        <v>82</v>
      </c>
      <c r="C2748" s="60" t="s">
        <v>390</v>
      </c>
      <c r="D2748" s="60" t="s">
        <v>125</v>
      </c>
      <c r="E2748" s="60" t="s">
        <v>8702</v>
      </c>
      <c r="F2748" s="60" t="b">
        <f>TRUE()</f>
        <v>1</v>
      </c>
      <c r="G2748" s="60" t="s">
        <v>166</v>
      </c>
      <c r="H2748" s="60" t="s">
        <v>235</v>
      </c>
      <c r="I2748" s="61">
        <v>46207</v>
      </c>
      <c r="J2748" s="61">
        <v>46210.286438877301</v>
      </c>
      <c r="K2748" s="60">
        <v>3</v>
      </c>
      <c r="L2748" s="60" t="s">
        <v>192</v>
      </c>
      <c r="M2748" s="60" t="s">
        <v>183</v>
      </c>
      <c r="N2748" s="60" t="b">
        <f>TRUE()</f>
        <v>1</v>
      </c>
      <c r="O2748" s="70">
        <v>700000</v>
      </c>
      <c r="P2748" s="70">
        <v>800000</v>
      </c>
      <c r="Q2748" s="60" t="s">
        <v>3663</v>
      </c>
      <c r="R2748" s="60" t="s">
        <v>7351</v>
      </c>
      <c r="S2748" s="70">
        <v>750000</v>
      </c>
      <c r="T2748" s="60" t="b">
        <f>TRUE()</f>
        <v>1</v>
      </c>
      <c r="U2748" s="60" t="b">
        <f>FALSE()</f>
        <v>0</v>
      </c>
      <c r="V2748" s="60">
        <v>220</v>
      </c>
      <c r="W2748" s="60" t="s">
        <v>10429</v>
      </c>
      <c r="X2748" s="60">
        <v>7</v>
      </c>
      <c r="Y2748" s="63">
        <v>1.69</v>
      </c>
      <c r="Z2748" s="60" t="b">
        <f>FALSE()</f>
        <v>0</v>
      </c>
      <c r="AA2748" s="60" t="b">
        <f>FALSE()</f>
        <v>0</v>
      </c>
      <c r="AB2748" s="60" t="b">
        <f>FALSE()</f>
        <v>0</v>
      </c>
      <c r="AC2748" s="60" t="b">
        <f>FALSE()</f>
        <v>0</v>
      </c>
      <c r="AD2748" s="60" t="b">
        <f>FALSE()</f>
        <v>0</v>
      </c>
      <c r="AE2748" s="60">
        <v>0</v>
      </c>
      <c r="AF2748" s="64">
        <v>0</v>
      </c>
      <c r="AG2748" s="60" t="s">
        <v>74</v>
      </c>
      <c r="AH2748" s="60" t="s">
        <v>10430</v>
      </c>
      <c r="AI2748">
        <f>IF(AND(OR(Company_Explorer!$B$5="All Companies",$E2748=Company_Explorer!$B$5),OR(Company_Explorer!$B$6="All Platforms",$B2748=Company_Explorer!$B$6),OR(Company_Explorer!$B$7="All Roles",$D2748=Company_Explorer!$B$7),OR(Company_Explorer!$B$8="All Ghost Labels",$AG2748=Company_Explorer!$B$8)),1,0)</f>
        <v>0</v>
      </c>
    </row>
    <row r="2749" spans="1:35" ht="15" customHeight="1" x14ac:dyDescent="0.3">
      <c r="A2749" s="65" t="s">
        <v>10431</v>
      </c>
      <c r="B2749" s="65" t="s">
        <v>82</v>
      </c>
      <c r="C2749" s="65" t="s">
        <v>10432</v>
      </c>
      <c r="D2749" s="65" t="s">
        <v>126</v>
      </c>
      <c r="E2749" s="65" t="s">
        <v>7740</v>
      </c>
      <c r="F2749" s="65" t="b">
        <f>TRUE()</f>
        <v>1</v>
      </c>
      <c r="G2749" s="65" t="s">
        <v>175</v>
      </c>
      <c r="H2749" s="65" t="s">
        <v>254</v>
      </c>
      <c r="I2749" s="66">
        <v>46205</v>
      </c>
      <c r="J2749" s="66">
        <v>46210.286438946801</v>
      </c>
      <c r="K2749" s="65">
        <v>5</v>
      </c>
      <c r="L2749" s="65" t="s">
        <v>192</v>
      </c>
      <c r="M2749" s="65" t="s">
        <v>183</v>
      </c>
      <c r="N2749" s="65" t="b">
        <f>TRUE()</f>
        <v>1</v>
      </c>
      <c r="O2749" s="71">
        <v>282000</v>
      </c>
      <c r="P2749" s="71">
        <v>470000</v>
      </c>
      <c r="Q2749" s="65" t="s">
        <v>3663</v>
      </c>
      <c r="R2749" s="65" t="s">
        <v>7351</v>
      </c>
      <c r="S2749" s="71">
        <v>376000</v>
      </c>
      <c r="T2749" s="65" t="b">
        <f>TRUE()</f>
        <v>1</v>
      </c>
      <c r="U2749" s="65" t="b">
        <f>FALSE()</f>
        <v>0</v>
      </c>
      <c r="V2749" s="65">
        <v>156</v>
      </c>
      <c r="W2749" s="67" t="s">
        <v>10433</v>
      </c>
      <c r="X2749" s="65">
        <v>2</v>
      </c>
      <c r="Y2749" s="68">
        <v>0.48</v>
      </c>
      <c r="Z2749" s="65" t="b">
        <f>FALSE()</f>
        <v>0</v>
      </c>
      <c r="AA2749" s="65" t="b">
        <f>FALSE()</f>
        <v>0</v>
      </c>
      <c r="AB2749" s="65" t="b">
        <f>TRUE()</f>
        <v>1</v>
      </c>
      <c r="AC2749" s="65" t="b">
        <f>FALSE()</f>
        <v>0</v>
      </c>
      <c r="AD2749" s="65" t="b">
        <f>FALSE()</f>
        <v>0</v>
      </c>
      <c r="AE2749" s="65">
        <v>1</v>
      </c>
      <c r="AF2749" s="69">
        <v>14.3</v>
      </c>
      <c r="AG2749" s="65" t="s">
        <v>74</v>
      </c>
      <c r="AH2749" s="65" t="s">
        <v>10434</v>
      </c>
      <c r="AI2749">
        <f>IF(AND(OR(Company_Explorer!$B$5="All Companies",$E2749=Company_Explorer!$B$5),OR(Company_Explorer!$B$6="All Platforms",$B2749=Company_Explorer!$B$6),OR(Company_Explorer!$B$7="All Roles",$D2749=Company_Explorer!$B$7),OR(Company_Explorer!$B$8="All Ghost Labels",$AG2749=Company_Explorer!$B$8)),1,0)</f>
        <v>0</v>
      </c>
    </row>
    <row r="2750" spans="1:35" ht="15" customHeight="1" x14ac:dyDescent="0.3">
      <c r="A2750" s="60" t="s">
        <v>10435</v>
      </c>
      <c r="B2750" s="60" t="s">
        <v>82</v>
      </c>
      <c r="C2750" s="60" t="s">
        <v>4790</v>
      </c>
      <c r="D2750" s="60" t="s">
        <v>125</v>
      </c>
      <c r="E2750" s="60" t="s">
        <v>7758</v>
      </c>
      <c r="F2750" s="60" t="b">
        <f>TRUE()</f>
        <v>1</v>
      </c>
      <c r="G2750" s="60" t="s">
        <v>165</v>
      </c>
      <c r="H2750" s="60" t="s">
        <v>165</v>
      </c>
      <c r="I2750" s="61">
        <v>46211</v>
      </c>
      <c r="J2750" s="61">
        <v>46210.286439745403</v>
      </c>
      <c r="K2750" s="60">
        <v>0</v>
      </c>
      <c r="L2750" s="60" t="s">
        <v>192</v>
      </c>
      <c r="M2750" s="60" t="s">
        <v>183</v>
      </c>
      <c r="N2750" s="60" t="b">
        <f>FALSE()</f>
        <v>0</v>
      </c>
      <c r="O2750" s="60"/>
      <c r="P2750" s="60"/>
      <c r="Q2750" s="60" t="s">
        <v>3663</v>
      </c>
      <c r="R2750" s="60" t="s">
        <v>236</v>
      </c>
      <c r="S2750" s="60"/>
      <c r="T2750" s="60" t="b">
        <f>FALSE()</f>
        <v>0</v>
      </c>
      <c r="U2750" s="60" t="b">
        <f>FALSE()</f>
        <v>0</v>
      </c>
      <c r="V2750" s="60">
        <v>389</v>
      </c>
      <c r="W2750" s="60" t="s">
        <v>4791</v>
      </c>
      <c r="X2750" s="60">
        <v>3</v>
      </c>
      <c r="Y2750" s="63">
        <v>0.72</v>
      </c>
      <c r="Z2750" s="60" t="b">
        <f>FALSE()</f>
        <v>0</v>
      </c>
      <c r="AA2750" s="60" t="b">
        <f>TRUE()</f>
        <v>1</v>
      </c>
      <c r="AB2750" s="60" t="b">
        <f>FALSE()</f>
        <v>0</v>
      </c>
      <c r="AC2750" s="60" t="b">
        <f>FALSE()</f>
        <v>0</v>
      </c>
      <c r="AD2750" s="60" t="b">
        <f>FALSE()</f>
        <v>0</v>
      </c>
      <c r="AE2750" s="60">
        <v>1</v>
      </c>
      <c r="AF2750" s="64">
        <v>14.3</v>
      </c>
      <c r="AG2750" s="60" t="s">
        <v>74</v>
      </c>
      <c r="AH2750" s="60" t="s">
        <v>10436</v>
      </c>
      <c r="AI2750">
        <f>IF(AND(OR(Company_Explorer!$B$5="All Companies",$E2750=Company_Explorer!$B$5),OR(Company_Explorer!$B$6="All Platforms",$B2750=Company_Explorer!$B$6),OR(Company_Explorer!$B$7="All Roles",$D2750=Company_Explorer!$B$7),OR(Company_Explorer!$B$8="All Ghost Labels",$AG2750=Company_Explorer!$B$8)),1,0)</f>
        <v>0</v>
      </c>
    </row>
    <row r="2751" spans="1:35" ht="15" customHeight="1" x14ac:dyDescent="0.3">
      <c r="A2751" s="65" t="s">
        <v>10437</v>
      </c>
      <c r="B2751" s="65" t="s">
        <v>82</v>
      </c>
      <c r="C2751" s="65" t="s">
        <v>1811</v>
      </c>
      <c r="D2751" s="65" t="s">
        <v>125</v>
      </c>
      <c r="E2751" s="65" t="s">
        <v>10438</v>
      </c>
      <c r="F2751" s="65" t="b">
        <f>TRUE()</f>
        <v>1</v>
      </c>
      <c r="G2751" s="65" t="s">
        <v>165</v>
      </c>
      <c r="H2751" s="65" t="s">
        <v>165</v>
      </c>
      <c r="I2751" s="66">
        <v>46200</v>
      </c>
      <c r="J2751" s="66">
        <v>46210.286442777797</v>
      </c>
      <c r="K2751" s="65">
        <v>10</v>
      </c>
      <c r="L2751" s="65" t="s">
        <v>183</v>
      </c>
      <c r="M2751" s="65" t="s">
        <v>183</v>
      </c>
      <c r="N2751" s="65" t="b">
        <f>FALSE()</f>
        <v>0</v>
      </c>
      <c r="O2751" s="65"/>
      <c r="P2751" s="65"/>
      <c r="Q2751" s="65" t="s">
        <v>3663</v>
      </c>
      <c r="R2751" s="65" t="s">
        <v>236</v>
      </c>
      <c r="S2751" s="65"/>
      <c r="T2751" s="65" t="b">
        <f>FALSE()</f>
        <v>0</v>
      </c>
      <c r="U2751" s="65" t="b">
        <f>FALSE()</f>
        <v>0</v>
      </c>
      <c r="V2751" s="65">
        <v>214</v>
      </c>
      <c r="W2751" s="67" t="s">
        <v>10439</v>
      </c>
      <c r="X2751" s="65">
        <v>1</v>
      </c>
      <c r="Y2751" s="68">
        <v>0.24</v>
      </c>
      <c r="Z2751" s="65" t="b">
        <f>FALSE()</f>
        <v>0</v>
      </c>
      <c r="AA2751" s="65" t="b">
        <f>TRUE()</f>
        <v>1</v>
      </c>
      <c r="AB2751" s="65" t="b">
        <f>FALSE()</f>
        <v>0</v>
      </c>
      <c r="AC2751" s="65" t="b">
        <f>FALSE()</f>
        <v>0</v>
      </c>
      <c r="AD2751" s="65" t="b">
        <f>FALSE()</f>
        <v>0</v>
      </c>
      <c r="AE2751" s="65">
        <v>1</v>
      </c>
      <c r="AF2751" s="69">
        <v>14.3</v>
      </c>
      <c r="AG2751" s="65" t="s">
        <v>74</v>
      </c>
      <c r="AH2751" s="65" t="s">
        <v>10440</v>
      </c>
      <c r="AI2751">
        <f>IF(AND(OR(Company_Explorer!$B$5="All Companies",$E2751=Company_Explorer!$B$5),OR(Company_Explorer!$B$6="All Platforms",$B2751=Company_Explorer!$B$6),OR(Company_Explorer!$B$7="All Roles",$D2751=Company_Explorer!$B$7),OR(Company_Explorer!$B$8="All Ghost Labels",$AG2751=Company_Explorer!$B$8)),1,0)</f>
        <v>0</v>
      </c>
    </row>
    <row r="2752" spans="1:35" ht="15" customHeight="1" x14ac:dyDescent="0.3">
      <c r="A2752" s="60" t="s">
        <v>10441</v>
      </c>
      <c r="B2752" s="60" t="s">
        <v>82</v>
      </c>
      <c r="C2752" s="60" t="s">
        <v>130</v>
      </c>
      <c r="D2752" s="60" t="s">
        <v>130</v>
      </c>
      <c r="E2752" s="60" t="s">
        <v>154</v>
      </c>
      <c r="F2752" s="60" t="b">
        <f>TRUE()</f>
        <v>1</v>
      </c>
      <c r="G2752" s="60" t="s">
        <v>165</v>
      </c>
      <c r="H2752" s="60" t="s">
        <v>165</v>
      </c>
      <c r="I2752" s="61">
        <v>46187</v>
      </c>
      <c r="J2752" s="61">
        <v>46210.286443912002</v>
      </c>
      <c r="K2752" s="60">
        <v>54</v>
      </c>
      <c r="L2752" s="60" t="s">
        <v>192</v>
      </c>
      <c r="M2752" s="60" t="s">
        <v>183</v>
      </c>
      <c r="N2752" s="60" t="b">
        <f>FALSE()</f>
        <v>0</v>
      </c>
      <c r="O2752" s="60"/>
      <c r="P2752" s="60"/>
      <c r="Q2752" s="60" t="s">
        <v>3663</v>
      </c>
      <c r="R2752" s="60" t="s">
        <v>236</v>
      </c>
      <c r="S2752" s="60"/>
      <c r="T2752" s="60" t="b">
        <f>FALSE()</f>
        <v>0</v>
      </c>
      <c r="U2752" s="60" t="b">
        <f>FALSE()</f>
        <v>0</v>
      </c>
      <c r="V2752" s="60">
        <v>521</v>
      </c>
      <c r="W2752" s="60" t="s">
        <v>3893</v>
      </c>
      <c r="X2752" s="60">
        <v>16</v>
      </c>
      <c r="Y2752" s="63">
        <v>3.86</v>
      </c>
      <c r="Z2752" s="60" t="b">
        <f>FALSE()</f>
        <v>0</v>
      </c>
      <c r="AA2752" s="60" t="b">
        <f>TRUE()</f>
        <v>1</v>
      </c>
      <c r="AB2752" s="60" t="b">
        <f>FALSE()</f>
        <v>0</v>
      </c>
      <c r="AC2752" s="60" t="b">
        <f>FALSE()</f>
        <v>0</v>
      </c>
      <c r="AD2752" s="60" t="b">
        <f>TRUE()</f>
        <v>1</v>
      </c>
      <c r="AE2752" s="60">
        <v>3</v>
      </c>
      <c r="AF2752" s="64">
        <v>42.9</v>
      </c>
      <c r="AG2752" s="60" t="s">
        <v>73</v>
      </c>
      <c r="AH2752" s="60" t="s">
        <v>10442</v>
      </c>
      <c r="AI2752">
        <f>IF(AND(OR(Company_Explorer!$B$5="All Companies",$E2752=Company_Explorer!$B$5),OR(Company_Explorer!$B$6="All Platforms",$B2752=Company_Explorer!$B$6),OR(Company_Explorer!$B$7="All Roles",$D2752=Company_Explorer!$B$7),OR(Company_Explorer!$B$8="All Ghost Labels",$AG2752=Company_Explorer!$B$8)),1,0)</f>
        <v>0</v>
      </c>
    </row>
    <row r="2753" spans="1:35" ht="15" customHeight="1" x14ac:dyDescent="0.3">
      <c r="A2753" s="65" t="s">
        <v>10443</v>
      </c>
      <c r="B2753" s="65" t="s">
        <v>82</v>
      </c>
      <c r="C2753" s="65" t="s">
        <v>125</v>
      </c>
      <c r="D2753" s="65" t="s">
        <v>125</v>
      </c>
      <c r="E2753" s="65" t="s">
        <v>8407</v>
      </c>
      <c r="F2753" s="65" t="b">
        <f>TRUE()</f>
        <v>1</v>
      </c>
      <c r="G2753" s="65" t="s">
        <v>165</v>
      </c>
      <c r="H2753" s="65" t="s">
        <v>165</v>
      </c>
      <c r="I2753" s="66">
        <v>46205</v>
      </c>
      <c r="J2753" s="66">
        <v>46210.286444027799</v>
      </c>
      <c r="K2753" s="65">
        <v>35</v>
      </c>
      <c r="L2753" s="65" t="s">
        <v>192</v>
      </c>
      <c r="M2753" s="65" t="s">
        <v>183</v>
      </c>
      <c r="N2753" s="65" t="b">
        <f>FALSE()</f>
        <v>0</v>
      </c>
      <c r="O2753" s="65"/>
      <c r="P2753" s="65"/>
      <c r="Q2753" s="65" t="s">
        <v>3663</v>
      </c>
      <c r="R2753" s="65" t="s">
        <v>236</v>
      </c>
      <c r="S2753" s="65"/>
      <c r="T2753" s="65" t="b">
        <f>FALSE()</f>
        <v>0</v>
      </c>
      <c r="U2753" s="65" t="b">
        <f>FALSE()</f>
        <v>0</v>
      </c>
      <c r="V2753" s="65">
        <v>497</v>
      </c>
      <c r="W2753" s="65" t="s">
        <v>1489</v>
      </c>
      <c r="X2753" s="65">
        <v>2</v>
      </c>
      <c r="Y2753" s="68">
        <v>0.48</v>
      </c>
      <c r="Z2753" s="65" t="b">
        <f>FALSE()</f>
        <v>0</v>
      </c>
      <c r="AA2753" s="65" t="b">
        <f>TRUE()</f>
        <v>1</v>
      </c>
      <c r="AB2753" s="65" t="b">
        <f>FALSE()</f>
        <v>0</v>
      </c>
      <c r="AC2753" s="65" t="b">
        <f>FALSE()</f>
        <v>0</v>
      </c>
      <c r="AD2753" s="65" t="b">
        <f>FALSE()</f>
        <v>0</v>
      </c>
      <c r="AE2753" s="65">
        <v>1</v>
      </c>
      <c r="AF2753" s="69">
        <v>14.3</v>
      </c>
      <c r="AG2753" s="65" t="s">
        <v>74</v>
      </c>
      <c r="AH2753" s="65" t="s">
        <v>10444</v>
      </c>
      <c r="AI2753">
        <f>IF(AND(OR(Company_Explorer!$B$5="All Companies",$E2753=Company_Explorer!$B$5),OR(Company_Explorer!$B$6="All Platforms",$B2753=Company_Explorer!$B$6),OR(Company_Explorer!$B$7="All Roles",$D2753=Company_Explorer!$B$7),OR(Company_Explorer!$B$8="All Ghost Labels",$AG2753=Company_Explorer!$B$8)),1,0)</f>
        <v>0</v>
      </c>
    </row>
    <row r="2754" spans="1:35" ht="15" customHeight="1" x14ac:dyDescent="0.3">
      <c r="A2754" s="60" t="s">
        <v>10445</v>
      </c>
      <c r="B2754" s="60" t="s">
        <v>82</v>
      </c>
      <c r="C2754" s="60" t="s">
        <v>1622</v>
      </c>
      <c r="D2754" s="60" t="s">
        <v>126</v>
      </c>
      <c r="E2754" s="60" t="s">
        <v>10446</v>
      </c>
      <c r="F2754" s="60" t="b">
        <f>TRUE()</f>
        <v>1</v>
      </c>
      <c r="G2754" s="60" t="s">
        <v>165</v>
      </c>
      <c r="H2754" s="60" t="s">
        <v>165</v>
      </c>
      <c r="I2754" s="61">
        <v>46209</v>
      </c>
      <c r="J2754" s="61">
        <v>46210.286445740698</v>
      </c>
      <c r="K2754" s="60">
        <v>62</v>
      </c>
      <c r="L2754" s="60" t="s">
        <v>192</v>
      </c>
      <c r="M2754" s="60" t="s">
        <v>183</v>
      </c>
      <c r="N2754" s="60" t="b">
        <f>FALSE()</f>
        <v>0</v>
      </c>
      <c r="O2754" s="60"/>
      <c r="P2754" s="60"/>
      <c r="Q2754" s="60" t="s">
        <v>3663</v>
      </c>
      <c r="R2754" s="60" t="s">
        <v>236</v>
      </c>
      <c r="S2754" s="60"/>
      <c r="T2754" s="60" t="b">
        <f>FALSE()</f>
        <v>0</v>
      </c>
      <c r="U2754" s="60" t="b">
        <f>FALSE()</f>
        <v>0</v>
      </c>
      <c r="V2754" s="60">
        <v>732</v>
      </c>
      <c r="W2754" s="60" t="s">
        <v>2321</v>
      </c>
      <c r="X2754" s="60">
        <v>1</v>
      </c>
      <c r="Y2754" s="63">
        <v>0.24</v>
      </c>
      <c r="Z2754" s="60" t="b">
        <f>FALSE()</f>
        <v>0</v>
      </c>
      <c r="AA2754" s="60" t="b">
        <f>TRUE()</f>
        <v>1</v>
      </c>
      <c r="AB2754" s="60" t="b">
        <f>FALSE()</f>
        <v>0</v>
      </c>
      <c r="AC2754" s="60" t="b">
        <f>FALSE()</f>
        <v>0</v>
      </c>
      <c r="AD2754" s="60" t="b">
        <f>FALSE()</f>
        <v>0</v>
      </c>
      <c r="AE2754" s="60">
        <v>1</v>
      </c>
      <c r="AF2754" s="64">
        <v>14.3</v>
      </c>
      <c r="AG2754" s="60" t="s">
        <v>74</v>
      </c>
      <c r="AH2754" s="60" t="s">
        <v>10447</v>
      </c>
      <c r="AI2754">
        <f>IF(AND(OR(Company_Explorer!$B$5="All Companies",$E2754=Company_Explorer!$B$5),OR(Company_Explorer!$B$6="All Platforms",$B2754=Company_Explorer!$B$6),OR(Company_Explorer!$B$7="All Roles",$D2754=Company_Explorer!$B$7),OR(Company_Explorer!$B$8="All Ghost Labels",$AG2754=Company_Explorer!$B$8)),1,0)</f>
        <v>0</v>
      </c>
    </row>
    <row r="2755" spans="1:35" ht="15" customHeight="1" x14ac:dyDescent="0.3">
      <c r="A2755" s="65" t="s">
        <v>10448</v>
      </c>
      <c r="B2755" s="65" t="s">
        <v>82</v>
      </c>
      <c r="C2755" s="65" t="s">
        <v>125</v>
      </c>
      <c r="D2755" s="65" t="s">
        <v>125</v>
      </c>
      <c r="E2755" s="65" t="s">
        <v>7511</v>
      </c>
      <c r="F2755" s="65" t="b">
        <f>TRUE()</f>
        <v>1</v>
      </c>
      <c r="G2755" s="65" t="s">
        <v>165</v>
      </c>
      <c r="H2755" s="65" t="s">
        <v>165</v>
      </c>
      <c r="I2755" s="66">
        <v>46190</v>
      </c>
      <c r="J2755" s="66">
        <v>46210.286445891201</v>
      </c>
      <c r="K2755" s="65">
        <v>20</v>
      </c>
      <c r="L2755" s="65" t="s">
        <v>192</v>
      </c>
      <c r="M2755" s="65" t="s">
        <v>183</v>
      </c>
      <c r="N2755" s="65" t="b">
        <f>FALSE()</f>
        <v>0</v>
      </c>
      <c r="O2755" s="65"/>
      <c r="P2755" s="65"/>
      <c r="Q2755" s="65" t="s">
        <v>3663</v>
      </c>
      <c r="R2755" s="65" t="s">
        <v>236</v>
      </c>
      <c r="S2755" s="65"/>
      <c r="T2755" s="65" t="b">
        <f>FALSE()</f>
        <v>0</v>
      </c>
      <c r="U2755" s="65" t="b">
        <f>FALSE()</f>
        <v>0</v>
      </c>
      <c r="V2755" s="65">
        <v>739</v>
      </c>
      <c r="W2755" s="67" t="s">
        <v>7512</v>
      </c>
      <c r="X2755" s="65">
        <v>9</v>
      </c>
      <c r="Y2755" s="68">
        <v>2.17</v>
      </c>
      <c r="Z2755" s="65" t="b">
        <f>FALSE()</f>
        <v>0</v>
      </c>
      <c r="AA2755" s="65" t="b">
        <f>TRUE()</f>
        <v>1</v>
      </c>
      <c r="AB2755" s="65" t="b">
        <f>FALSE()</f>
        <v>0</v>
      </c>
      <c r="AC2755" s="65" t="b">
        <f>FALSE()</f>
        <v>0</v>
      </c>
      <c r="AD2755" s="65" t="b">
        <f>FALSE()</f>
        <v>0</v>
      </c>
      <c r="AE2755" s="65">
        <v>1</v>
      </c>
      <c r="AF2755" s="69">
        <v>14.3</v>
      </c>
      <c r="AG2755" s="65" t="s">
        <v>74</v>
      </c>
      <c r="AH2755" s="65" t="s">
        <v>10449</v>
      </c>
      <c r="AI2755">
        <f>IF(AND(OR(Company_Explorer!$B$5="All Companies",$E2755=Company_Explorer!$B$5),OR(Company_Explorer!$B$6="All Platforms",$B2755=Company_Explorer!$B$6),OR(Company_Explorer!$B$7="All Roles",$D2755=Company_Explorer!$B$7),OR(Company_Explorer!$B$8="All Ghost Labels",$AG2755=Company_Explorer!$B$8)),1,0)</f>
        <v>0</v>
      </c>
    </row>
    <row r="2756" spans="1:35" ht="15" customHeight="1" x14ac:dyDescent="0.3">
      <c r="A2756" s="60" t="s">
        <v>10450</v>
      </c>
      <c r="B2756" s="60" t="s">
        <v>82</v>
      </c>
      <c r="C2756" s="60" t="s">
        <v>258</v>
      </c>
      <c r="D2756" s="60" t="s">
        <v>125</v>
      </c>
      <c r="E2756" s="60" t="s">
        <v>152</v>
      </c>
      <c r="F2756" s="60" t="b">
        <f>TRUE()</f>
        <v>1</v>
      </c>
      <c r="G2756" s="60" t="s">
        <v>166</v>
      </c>
      <c r="H2756" s="60" t="s">
        <v>235</v>
      </c>
      <c r="I2756" s="61">
        <v>46203</v>
      </c>
      <c r="J2756" s="61">
        <v>46210.286446145801</v>
      </c>
      <c r="K2756" s="60">
        <v>7</v>
      </c>
      <c r="L2756" s="60" t="s">
        <v>192</v>
      </c>
      <c r="M2756" s="60" t="s">
        <v>183</v>
      </c>
      <c r="N2756" s="60" t="b">
        <f>TRUE()</f>
        <v>1</v>
      </c>
      <c r="O2756" s="70">
        <v>402500</v>
      </c>
      <c r="P2756" s="70">
        <v>723750</v>
      </c>
      <c r="Q2756" s="60" t="s">
        <v>3663</v>
      </c>
      <c r="R2756" s="60" t="s">
        <v>7351</v>
      </c>
      <c r="S2756" s="70">
        <v>563125</v>
      </c>
      <c r="T2756" s="60" t="b">
        <f>TRUE()</f>
        <v>1</v>
      </c>
      <c r="U2756" s="60" t="b">
        <f>FALSE()</f>
        <v>0</v>
      </c>
      <c r="V2756" s="60">
        <v>396</v>
      </c>
      <c r="W2756" s="62" t="s">
        <v>10451</v>
      </c>
      <c r="X2756" s="60">
        <v>17</v>
      </c>
      <c r="Y2756" s="63">
        <v>4.0999999999999996</v>
      </c>
      <c r="Z2756" s="60" t="b">
        <f>FALSE()</f>
        <v>0</v>
      </c>
      <c r="AA2756" s="60" t="b">
        <f>FALSE()</f>
        <v>0</v>
      </c>
      <c r="AB2756" s="60" t="b">
        <f>FALSE()</f>
        <v>0</v>
      </c>
      <c r="AC2756" s="60" t="b">
        <f>FALSE()</f>
        <v>0</v>
      </c>
      <c r="AD2756" s="60" t="b">
        <f>TRUE()</f>
        <v>1</v>
      </c>
      <c r="AE2756" s="60">
        <v>2</v>
      </c>
      <c r="AF2756" s="64">
        <v>28.6</v>
      </c>
      <c r="AG2756" s="60" t="s">
        <v>73</v>
      </c>
      <c r="AH2756" s="60" t="s">
        <v>10452</v>
      </c>
      <c r="AI2756">
        <f>IF(AND(OR(Company_Explorer!$B$5="All Companies",$E2756=Company_Explorer!$B$5),OR(Company_Explorer!$B$6="All Platforms",$B2756=Company_Explorer!$B$6),OR(Company_Explorer!$B$7="All Roles",$D2756=Company_Explorer!$B$7),OR(Company_Explorer!$B$8="All Ghost Labels",$AG2756=Company_Explorer!$B$8)),1,0)</f>
        <v>0</v>
      </c>
    </row>
    <row r="2757" spans="1:35" ht="15" customHeight="1" x14ac:dyDescent="0.3">
      <c r="A2757" s="65" t="s">
        <v>10453</v>
      </c>
      <c r="B2757" s="65" t="s">
        <v>82</v>
      </c>
      <c r="C2757" s="65" t="s">
        <v>10454</v>
      </c>
      <c r="D2757" s="65" t="s">
        <v>129</v>
      </c>
      <c r="E2757" s="65" t="s">
        <v>3726</v>
      </c>
      <c r="F2757" s="65" t="b">
        <f>FALSE()</f>
        <v>0</v>
      </c>
      <c r="G2757" s="65" t="s">
        <v>165</v>
      </c>
      <c r="H2757" s="65" t="s">
        <v>165</v>
      </c>
      <c r="I2757" s="66">
        <v>46210</v>
      </c>
      <c r="J2757" s="66">
        <v>46210.286446944498</v>
      </c>
      <c r="K2757" s="65">
        <v>0</v>
      </c>
      <c r="L2757" s="65" t="s">
        <v>192</v>
      </c>
      <c r="M2757" s="65" t="s">
        <v>183</v>
      </c>
      <c r="N2757" s="65" t="b">
        <f>TRUE()</f>
        <v>1</v>
      </c>
      <c r="O2757" s="71">
        <v>50000</v>
      </c>
      <c r="P2757" s="71">
        <v>60000</v>
      </c>
      <c r="Q2757" s="65" t="s">
        <v>3663</v>
      </c>
      <c r="R2757" s="65" t="s">
        <v>7445</v>
      </c>
      <c r="S2757" s="71">
        <v>660000</v>
      </c>
      <c r="T2757" s="65" t="b">
        <f>TRUE()</f>
        <v>1</v>
      </c>
      <c r="U2757" s="65" t="b">
        <f>FALSE()</f>
        <v>0</v>
      </c>
      <c r="V2757" s="65">
        <v>299</v>
      </c>
      <c r="W2757" s="67" t="s">
        <v>10455</v>
      </c>
      <c r="X2757" s="65"/>
      <c r="Y2757" s="68"/>
      <c r="Z2757" s="65" t="b">
        <f>TRUE()</f>
        <v>1</v>
      </c>
      <c r="AA2757" s="65" t="b">
        <f>FALSE()</f>
        <v>0</v>
      </c>
      <c r="AB2757" s="65" t="b">
        <f>FALSE()</f>
        <v>0</v>
      </c>
      <c r="AC2757" s="65" t="b">
        <f>FALSE()</f>
        <v>0</v>
      </c>
      <c r="AD2757" s="65" t="b">
        <f>FALSE()</f>
        <v>0</v>
      </c>
      <c r="AE2757" s="65">
        <v>2</v>
      </c>
      <c r="AF2757" s="69">
        <v>28.6</v>
      </c>
      <c r="AG2757" s="65" t="s">
        <v>73</v>
      </c>
      <c r="AH2757" s="65" t="s">
        <v>10456</v>
      </c>
      <c r="AI2757">
        <f>IF(AND(OR(Company_Explorer!$B$5="All Companies",$E2757=Company_Explorer!$B$5),OR(Company_Explorer!$B$6="All Platforms",$B2757=Company_Explorer!$B$6),OR(Company_Explorer!$B$7="All Roles",$D2757=Company_Explorer!$B$7),OR(Company_Explorer!$B$8="All Ghost Labels",$AG2757=Company_Explorer!$B$8)),1,0)</f>
        <v>0</v>
      </c>
    </row>
    <row r="2758" spans="1:35" ht="15" customHeight="1" x14ac:dyDescent="0.3">
      <c r="A2758" s="60" t="s">
        <v>10457</v>
      </c>
      <c r="B2758" s="60" t="s">
        <v>82</v>
      </c>
      <c r="C2758" s="60" t="s">
        <v>315</v>
      </c>
      <c r="D2758" s="60" t="s">
        <v>126</v>
      </c>
      <c r="E2758" s="60" t="s">
        <v>10458</v>
      </c>
      <c r="F2758" s="60" t="b">
        <f>TRUE()</f>
        <v>1</v>
      </c>
      <c r="G2758" s="60" t="s">
        <v>165</v>
      </c>
      <c r="H2758" s="60" t="s">
        <v>165</v>
      </c>
      <c r="I2758" s="61">
        <v>46196</v>
      </c>
      <c r="J2758" s="61">
        <v>46210.2864478704</v>
      </c>
      <c r="K2758" s="60">
        <v>45</v>
      </c>
      <c r="L2758" s="60" t="s">
        <v>183</v>
      </c>
      <c r="M2758" s="60" t="s">
        <v>183</v>
      </c>
      <c r="N2758" s="60" t="b">
        <f>FALSE()</f>
        <v>0</v>
      </c>
      <c r="O2758" s="60"/>
      <c r="P2758" s="60"/>
      <c r="Q2758" s="60" t="s">
        <v>3663</v>
      </c>
      <c r="R2758" s="60" t="s">
        <v>236</v>
      </c>
      <c r="S2758" s="60"/>
      <c r="T2758" s="60" t="b">
        <f>FALSE()</f>
        <v>0</v>
      </c>
      <c r="U2758" s="60" t="b">
        <f>FALSE()</f>
        <v>0</v>
      </c>
      <c r="V2758" s="60">
        <v>136</v>
      </c>
      <c r="W2758" s="60" t="s">
        <v>10459</v>
      </c>
      <c r="X2758" s="60">
        <v>1</v>
      </c>
      <c r="Y2758" s="63">
        <v>0.24</v>
      </c>
      <c r="Z2758" s="60" t="b">
        <f>FALSE()</f>
        <v>0</v>
      </c>
      <c r="AA2758" s="60" t="b">
        <f>TRUE()</f>
        <v>1</v>
      </c>
      <c r="AB2758" s="60" t="b">
        <f>TRUE()</f>
        <v>1</v>
      </c>
      <c r="AC2758" s="60" t="b">
        <f>FALSE()</f>
        <v>0</v>
      </c>
      <c r="AD2758" s="60" t="b">
        <f>FALSE()</f>
        <v>0</v>
      </c>
      <c r="AE2758" s="60">
        <v>2</v>
      </c>
      <c r="AF2758" s="64">
        <v>28.6</v>
      </c>
      <c r="AG2758" s="60" t="s">
        <v>73</v>
      </c>
      <c r="AH2758" s="60" t="s">
        <v>10460</v>
      </c>
      <c r="AI2758">
        <f>IF(AND(OR(Company_Explorer!$B$5="All Companies",$E2758=Company_Explorer!$B$5),OR(Company_Explorer!$B$6="All Platforms",$B2758=Company_Explorer!$B$6),OR(Company_Explorer!$B$7="All Roles",$D2758=Company_Explorer!$B$7),OR(Company_Explorer!$B$8="All Ghost Labels",$AG2758=Company_Explorer!$B$8)),1,0)</f>
        <v>0</v>
      </c>
    </row>
    <row r="2759" spans="1:35" ht="15" customHeight="1" x14ac:dyDescent="0.3">
      <c r="A2759" s="65" t="s">
        <v>10461</v>
      </c>
      <c r="B2759" s="65" t="s">
        <v>82</v>
      </c>
      <c r="C2759" s="65" t="s">
        <v>7764</v>
      </c>
      <c r="D2759" s="65" t="s">
        <v>125</v>
      </c>
      <c r="E2759" s="65" t="s">
        <v>8579</v>
      </c>
      <c r="F2759" s="65" t="b">
        <f>TRUE()</f>
        <v>1</v>
      </c>
      <c r="G2759" s="65" t="s">
        <v>166</v>
      </c>
      <c r="H2759" s="65" t="s">
        <v>235</v>
      </c>
      <c r="I2759" s="66">
        <v>46203</v>
      </c>
      <c r="J2759" s="66">
        <v>46210.286448854204</v>
      </c>
      <c r="K2759" s="65">
        <v>8</v>
      </c>
      <c r="L2759" s="65" t="s">
        <v>192</v>
      </c>
      <c r="M2759" s="65" t="s">
        <v>183</v>
      </c>
      <c r="N2759" s="65" t="b">
        <f>FALSE()</f>
        <v>0</v>
      </c>
      <c r="O2759" s="65"/>
      <c r="P2759" s="65"/>
      <c r="Q2759" s="65" t="s">
        <v>3663</v>
      </c>
      <c r="R2759" s="65" t="s">
        <v>236</v>
      </c>
      <c r="S2759" s="65"/>
      <c r="T2759" s="65" t="b">
        <f>FALSE()</f>
        <v>0</v>
      </c>
      <c r="U2759" s="65" t="b">
        <f>FALSE()</f>
        <v>0</v>
      </c>
      <c r="V2759" s="65">
        <v>1720</v>
      </c>
      <c r="W2759" s="67" t="s">
        <v>7766</v>
      </c>
      <c r="X2759" s="65">
        <v>2</v>
      </c>
      <c r="Y2759" s="68">
        <v>0.48</v>
      </c>
      <c r="Z2759" s="65" t="b">
        <f>FALSE()</f>
        <v>0</v>
      </c>
      <c r="AA2759" s="65" t="b">
        <f>TRUE()</f>
        <v>1</v>
      </c>
      <c r="AB2759" s="65" t="b">
        <f>FALSE()</f>
        <v>0</v>
      </c>
      <c r="AC2759" s="65" t="b">
        <f>FALSE()</f>
        <v>0</v>
      </c>
      <c r="AD2759" s="65" t="b">
        <f>FALSE()</f>
        <v>0</v>
      </c>
      <c r="AE2759" s="65">
        <v>1</v>
      </c>
      <c r="AF2759" s="69">
        <v>14.3</v>
      </c>
      <c r="AG2759" s="65" t="s">
        <v>74</v>
      </c>
      <c r="AH2759" s="65" t="s">
        <v>10462</v>
      </c>
      <c r="AI2759">
        <f>IF(AND(OR(Company_Explorer!$B$5="All Companies",$E2759=Company_Explorer!$B$5),OR(Company_Explorer!$B$6="All Platforms",$B2759=Company_Explorer!$B$6),OR(Company_Explorer!$B$7="All Roles",$D2759=Company_Explorer!$B$7),OR(Company_Explorer!$B$8="All Ghost Labels",$AG2759=Company_Explorer!$B$8)),1,0)</f>
        <v>0</v>
      </c>
    </row>
    <row r="2760" spans="1:35" ht="15" customHeight="1" x14ac:dyDescent="0.3">
      <c r="A2760" s="60" t="s">
        <v>10463</v>
      </c>
      <c r="B2760" s="60" t="s">
        <v>82</v>
      </c>
      <c r="C2760" s="60" t="s">
        <v>5865</v>
      </c>
      <c r="D2760" s="60" t="s">
        <v>125</v>
      </c>
      <c r="E2760" s="60" t="s">
        <v>10464</v>
      </c>
      <c r="F2760" s="60" t="b">
        <f>TRUE()</f>
        <v>1</v>
      </c>
      <c r="G2760" s="60" t="s">
        <v>165</v>
      </c>
      <c r="H2760" s="60" t="s">
        <v>165</v>
      </c>
      <c r="I2760" s="61">
        <v>46202</v>
      </c>
      <c r="J2760" s="61">
        <v>46210.286449953703</v>
      </c>
      <c r="K2760" s="60">
        <v>128</v>
      </c>
      <c r="L2760" s="60" t="s">
        <v>192</v>
      </c>
      <c r="M2760" s="60" t="s">
        <v>183</v>
      </c>
      <c r="N2760" s="60" t="b">
        <f>FALSE()</f>
        <v>0</v>
      </c>
      <c r="O2760" s="60"/>
      <c r="P2760" s="60"/>
      <c r="Q2760" s="60" t="s">
        <v>3663</v>
      </c>
      <c r="R2760" s="60" t="s">
        <v>236</v>
      </c>
      <c r="S2760" s="60"/>
      <c r="T2760" s="60" t="b">
        <f>FALSE()</f>
        <v>0</v>
      </c>
      <c r="U2760" s="60" t="b">
        <f>FALSE()</f>
        <v>0</v>
      </c>
      <c r="V2760" s="60">
        <v>673</v>
      </c>
      <c r="W2760" s="62" t="s">
        <v>10465</v>
      </c>
      <c r="X2760" s="60">
        <v>1</v>
      </c>
      <c r="Y2760" s="63">
        <v>0.24</v>
      </c>
      <c r="Z2760" s="60" t="b">
        <f>FALSE()</f>
        <v>0</v>
      </c>
      <c r="AA2760" s="60" t="b">
        <f>TRUE()</f>
        <v>1</v>
      </c>
      <c r="AB2760" s="60" t="b">
        <f>FALSE()</f>
        <v>0</v>
      </c>
      <c r="AC2760" s="60" t="b">
        <f>TRUE()</f>
        <v>1</v>
      </c>
      <c r="AD2760" s="60" t="b">
        <f>FALSE()</f>
        <v>0</v>
      </c>
      <c r="AE2760" s="60">
        <v>2</v>
      </c>
      <c r="AF2760" s="64">
        <v>28.6</v>
      </c>
      <c r="AG2760" s="60" t="s">
        <v>73</v>
      </c>
      <c r="AH2760" s="60" t="s">
        <v>10466</v>
      </c>
      <c r="AI2760">
        <f>IF(AND(OR(Company_Explorer!$B$5="All Companies",$E2760=Company_Explorer!$B$5),OR(Company_Explorer!$B$6="All Platforms",$B2760=Company_Explorer!$B$6),OR(Company_Explorer!$B$7="All Roles",$D2760=Company_Explorer!$B$7),OR(Company_Explorer!$B$8="All Ghost Labels",$AG2760=Company_Explorer!$B$8)),1,0)</f>
        <v>0</v>
      </c>
    </row>
    <row r="2761" spans="1:35" ht="15" customHeight="1" x14ac:dyDescent="0.3">
      <c r="A2761" s="65" t="s">
        <v>10467</v>
      </c>
      <c r="B2761" s="65" t="s">
        <v>82</v>
      </c>
      <c r="C2761" s="65" t="s">
        <v>10468</v>
      </c>
      <c r="D2761" s="65" t="s">
        <v>128</v>
      </c>
      <c r="E2761" s="65" t="s">
        <v>7877</v>
      </c>
      <c r="F2761" s="65" t="b">
        <f>TRUE()</f>
        <v>1</v>
      </c>
      <c r="G2761" s="65" t="s">
        <v>165</v>
      </c>
      <c r="H2761" s="65" t="s">
        <v>165</v>
      </c>
      <c r="I2761" s="66">
        <v>46209</v>
      </c>
      <c r="J2761" s="66">
        <v>46210.2864515857</v>
      </c>
      <c r="K2761" s="65">
        <v>63</v>
      </c>
      <c r="L2761" s="65" t="s">
        <v>192</v>
      </c>
      <c r="M2761" s="65" t="s">
        <v>183</v>
      </c>
      <c r="N2761" s="65" t="b">
        <f>FALSE()</f>
        <v>0</v>
      </c>
      <c r="O2761" s="65"/>
      <c r="P2761" s="65"/>
      <c r="Q2761" s="65" t="s">
        <v>3663</v>
      </c>
      <c r="R2761" s="65" t="s">
        <v>236</v>
      </c>
      <c r="S2761" s="65"/>
      <c r="T2761" s="65" t="b">
        <f>FALSE()</f>
        <v>0</v>
      </c>
      <c r="U2761" s="65" t="b">
        <f>FALSE()</f>
        <v>0</v>
      </c>
      <c r="V2761" s="65">
        <v>1042</v>
      </c>
      <c r="W2761" s="67" t="s">
        <v>7878</v>
      </c>
      <c r="X2761" s="65">
        <v>8</v>
      </c>
      <c r="Y2761" s="68">
        <v>1.93</v>
      </c>
      <c r="Z2761" s="65" t="b">
        <f>FALSE()</f>
        <v>0</v>
      </c>
      <c r="AA2761" s="65" t="b">
        <f>TRUE()</f>
        <v>1</v>
      </c>
      <c r="AB2761" s="65" t="b">
        <f>FALSE()</f>
        <v>0</v>
      </c>
      <c r="AC2761" s="65" t="b">
        <f>FALSE()</f>
        <v>0</v>
      </c>
      <c r="AD2761" s="65" t="b">
        <f>FALSE()</f>
        <v>0</v>
      </c>
      <c r="AE2761" s="65">
        <v>1</v>
      </c>
      <c r="AF2761" s="69">
        <v>14.3</v>
      </c>
      <c r="AG2761" s="65" t="s">
        <v>74</v>
      </c>
      <c r="AH2761" s="65" t="s">
        <v>10469</v>
      </c>
      <c r="AI2761">
        <f>IF(AND(OR(Company_Explorer!$B$5="All Companies",$E2761=Company_Explorer!$B$5),OR(Company_Explorer!$B$6="All Platforms",$B2761=Company_Explorer!$B$6),OR(Company_Explorer!$B$7="All Roles",$D2761=Company_Explorer!$B$7),OR(Company_Explorer!$B$8="All Ghost Labels",$AG2761=Company_Explorer!$B$8)),1,0)</f>
        <v>0</v>
      </c>
    </row>
    <row r="2762" spans="1:35" ht="15" customHeight="1" x14ac:dyDescent="0.3">
      <c r="A2762" s="60" t="s">
        <v>10470</v>
      </c>
      <c r="B2762" s="60" t="s">
        <v>82</v>
      </c>
      <c r="C2762" s="60" t="s">
        <v>10471</v>
      </c>
      <c r="D2762" s="60" t="s">
        <v>125</v>
      </c>
      <c r="E2762" s="60" t="s">
        <v>3726</v>
      </c>
      <c r="F2762" s="60" t="b">
        <f>FALSE()</f>
        <v>0</v>
      </c>
      <c r="G2762" s="60" t="s">
        <v>10472</v>
      </c>
      <c r="H2762" s="60" t="s">
        <v>2066</v>
      </c>
      <c r="I2762" s="61">
        <v>46205</v>
      </c>
      <c r="J2762" s="61">
        <v>46210.286451863401</v>
      </c>
      <c r="K2762" s="60">
        <v>35</v>
      </c>
      <c r="L2762" s="60" t="s">
        <v>192</v>
      </c>
      <c r="M2762" s="60" t="s">
        <v>183</v>
      </c>
      <c r="N2762" s="60" t="b">
        <f>FALSE()</f>
        <v>0</v>
      </c>
      <c r="O2762" s="60"/>
      <c r="P2762" s="60"/>
      <c r="Q2762" s="60" t="s">
        <v>3663</v>
      </c>
      <c r="R2762" s="60" t="s">
        <v>236</v>
      </c>
      <c r="S2762" s="60"/>
      <c r="T2762" s="60" t="b">
        <f>FALSE()</f>
        <v>0</v>
      </c>
      <c r="U2762" s="60" t="b">
        <f>FALSE()</f>
        <v>0</v>
      </c>
      <c r="V2762" s="60">
        <v>197</v>
      </c>
      <c r="W2762" s="62" t="s">
        <v>10473</v>
      </c>
      <c r="X2762" s="60"/>
      <c r="Y2762" s="63"/>
      <c r="Z2762" s="60" t="b">
        <f>TRUE()</f>
        <v>1</v>
      </c>
      <c r="AA2762" s="60" t="b">
        <f>TRUE()</f>
        <v>1</v>
      </c>
      <c r="AB2762" s="60" t="b">
        <f>TRUE()</f>
        <v>1</v>
      </c>
      <c r="AC2762" s="60" t="b">
        <f>FALSE()</f>
        <v>0</v>
      </c>
      <c r="AD2762" s="60" t="b">
        <f>FALSE()</f>
        <v>0</v>
      </c>
      <c r="AE2762" s="60">
        <v>4</v>
      </c>
      <c r="AF2762" s="64">
        <v>57.1</v>
      </c>
      <c r="AG2762" s="60" t="s">
        <v>72</v>
      </c>
      <c r="AH2762" s="60" t="s">
        <v>10474</v>
      </c>
      <c r="AI2762">
        <f>IF(AND(OR(Company_Explorer!$B$5="All Companies",$E2762=Company_Explorer!$B$5),OR(Company_Explorer!$B$6="All Platforms",$B2762=Company_Explorer!$B$6),OR(Company_Explorer!$B$7="All Roles",$D2762=Company_Explorer!$B$7),OR(Company_Explorer!$B$8="All Ghost Labels",$AG2762=Company_Explorer!$B$8)),1,0)</f>
        <v>0</v>
      </c>
    </row>
    <row r="2763" spans="1:35" ht="15" customHeight="1" x14ac:dyDescent="0.3">
      <c r="A2763" s="65" t="s">
        <v>10475</v>
      </c>
      <c r="B2763" s="65" t="s">
        <v>82</v>
      </c>
      <c r="C2763" s="65" t="s">
        <v>3420</v>
      </c>
      <c r="D2763" s="65" t="s">
        <v>125</v>
      </c>
      <c r="E2763" s="65" t="s">
        <v>10476</v>
      </c>
      <c r="F2763" s="65" t="b">
        <f>TRUE()</f>
        <v>1</v>
      </c>
      <c r="G2763" s="65" t="s">
        <v>165</v>
      </c>
      <c r="H2763" s="65" t="s">
        <v>165</v>
      </c>
      <c r="I2763" s="66">
        <v>46198</v>
      </c>
      <c r="J2763" s="66">
        <v>46210.286452685199</v>
      </c>
      <c r="K2763" s="65">
        <v>12</v>
      </c>
      <c r="L2763" s="65" t="s">
        <v>192</v>
      </c>
      <c r="M2763" s="65" t="s">
        <v>183</v>
      </c>
      <c r="N2763" s="65" t="b">
        <f>FALSE()</f>
        <v>0</v>
      </c>
      <c r="O2763" s="65"/>
      <c r="P2763" s="65"/>
      <c r="Q2763" s="65" t="s">
        <v>3663</v>
      </c>
      <c r="R2763" s="65" t="s">
        <v>236</v>
      </c>
      <c r="S2763" s="65"/>
      <c r="T2763" s="65" t="b">
        <f>FALSE()</f>
        <v>0</v>
      </c>
      <c r="U2763" s="65" t="b">
        <f>FALSE()</f>
        <v>0</v>
      </c>
      <c r="V2763" s="65">
        <v>714</v>
      </c>
      <c r="W2763" s="65" t="s">
        <v>10477</v>
      </c>
      <c r="X2763" s="65">
        <v>1</v>
      </c>
      <c r="Y2763" s="68">
        <v>0.24</v>
      </c>
      <c r="Z2763" s="65" t="b">
        <f>FALSE()</f>
        <v>0</v>
      </c>
      <c r="AA2763" s="65" t="b">
        <f>TRUE()</f>
        <v>1</v>
      </c>
      <c r="AB2763" s="65" t="b">
        <f>FALSE()</f>
        <v>0</v>
      </c>
      <c r="AC2763" s="65" t="b">
        <f>FALSE()</f>
        <v>0</v>
      </c>
      <c r="AD2763" s="65" t="b">
        <f>FALSE()</f>
        <v>0</v>
      </c>
      <c r="AE2763" s="65">
        <v>1</v>
      </c>
      <c r="AF2763" s="69">
        <v>14.3</v>
      </c>
      <c r="AG2763" s="65" t="s">
        <v>74</v>
      </c>
      <c r="AH2763" s="65" t="s">
        <v>10478</v>
      </c>
      <c r="AI2763">
        <f>IF(AND(OR(Company_Explorer!$B$5="All Companies",$E2763=Company_Explorer!$B$5),OR(Company_Explorer!$B$6="All Platforms",$B2763=Company_Explorer!$B$6),OR(Company_Explorer!$B$7="All Roles",$D2763=Company_Explorer!$B$7),OR(Company_Explorer!$B$8="All Ghost Labels",$AG2763=Company_Explorer!$B$8)),1,0)</f>
        <v>0</v>
      </c>
    </row>
    <row r="2764" spans="1:35" ht="15" customHeight="1" x14ac:dyDescent="0.3">
      <c r="A2764" s="60" t="s">
        <v>10479</v>
      </c>
      <c r="B2764" s="60" t="s">
        <v>82</v>
      </c>
      <c r="C2764" s="60" t="s">
        <v>10480</v>
      </c>
      <c r="D2764" s="60" t="s">
        <v>126</v>
      </c>
      <c r="E2764" s="60" t="s">
        <v>7877</v>
      </c>
      <c r="F2764" s="60" t="b">
        <f>TRUE()</f>
        <v>1</v>
      </c>
      <c r="G2764" s="60" t="s">
        <v>167</v>
      </c>
      <c r="H2764" s="60" t="s">
        <v>276</v>
      </c>
      <c r="I2764" s="61">
        <v>46195</v>
      </c>
      <c r="J2764" s="61">
        <v>46210.286454085697</v>
      </c>
      <c r="K2764" s="60">
        <v>15</v>
      </c>
      <c r="L2764" s="60" t="s">
        <v>192</v>
      </c>
      <c r="M2764" s="60" t="s">
        <v>183</v>
      </c>
      <c r="N2764" s="60" t="b">
        <f>TRUE()</f>
        <v>1</v>
      </c>
      <c r="O2764" s="70">
        <v>950000</v>
      </c>
      <c r="P2764" s="70">
        <v>1000000</v>
      </c>
      <c r="Q2764" s="60" t="s">
        <v>3663</v>
      </c>
      <c r="R2764" s="60" t="s">
        <v>7351</v>
      </c>
      <c r="S2764" s="70">
        <v>975000</v>
      </c>
      <c r="T2764" s="60" t="b">
        <f>TRUE()</f>
        <v>1</v>
      </c>
      <c r="U2764" s="60" t="b">
        <f>FALSE()</f>
        <v>0</v>
      </c>
      <c r="V2764" s="60">
        <v>792</v>
      </c>
      <c r="W2764" s="62" t="s">
        <v>7878</v>
      </c>
      <c r="X2764" s="60">
        <v>8</v>
      </c>
      <c r="Y2764" s="63">
        <v>1.93</v>
      </c>
      <c r="Z2764" s="60" t="b">
        <f>FALSE()</f>
        <v>0</v>
      </c>
      <c r="AA2764" s="60" t="b">
        <f>FALSE()</f>
        <v>0</v>
      </c>
      <c r="AB2764" s="60" t="b">
        <f>FALSE()</f>
        <v>0</v>
      </c>
      <c r="AC2764" s="60" t="b">
        <f>FALSE()</f>
        <v>0</v>
      </c>
      <c r="AD2764" s="60" t="b">
        <f>FALSE()</f>
        <v>0</v>
      </c>
      <c r="AE2764" s="60">
        <v>0</v>
      </c>
      <c r="AF2764" s="64">
        <v>0</v>
      </c>
      <c r="AG2764" s="60" t="s">
        <v>74</v>
      </c>
      <c r="AH2764" s="60" t="s">
        <v>10481</v>
      </c>
      <c r="AI2764">
        <f>IF(AND(OR(Company_Explorer!$B$5="All Companies",$E2764=Company_Explorer!$B$5),OR(Company_Explorer!$B$6="All Platforms",$B2764=Company_Explorer!$B$6),OR(Company_Explorer!$B$7="All Roles",$D2764=Company_Explorer!$B$7),OR(Company_Explorer!$B$8="All Ghost Labels",$AG2764=Company_Explorer!$B$8)),1,0)</f>
        <v>0</v>
      </c>
    </row>
    <row r="2765" spans="1:35" ht="15" customHeight="1" x14ac:dyDescent="0.3">
      <c r="A2765" s="65" t="s">
        <v>10482</v>
      </c>
      <c r="B2765" s="65" t="s">
        <v>82</v>
      </c>
      <c r="C2765" s="65" t="s">
        <v>10483</v>
      </c>
      <c r="D2765" s="65" t="s">
        <v>129</v>
      </c>
      <c r="E2765" s="65" t="s">
        <v>10484</v>
      </c>
      <c r="F2765" s="65" t="b">
        <f>TRUE()</f>
        <v>1</v>
      </c>
      <c r="G2765" s="65" t="s">
        <v>165</v>
      </c>
      <c r="H2765" s="65" t="s">
        <v>165</v>
      </c>
      <c r="I2765" s="66">
        <v>46188</v>
      </c>
      <c r="J2765" s="66">
        <v>46210.286461631898</v>
      </c>
      <c r="K2765" s="65">
        <v>83</v>
      </c>
      <c r="L2765" s="65" t="s">
        <v>192</v>
      </c>
      <c r="M2765" s="65" t="s">
        <v>183</v>
      </c>
      <c r="N2765" s="65" t="b">
        <f>FALSE()</f>
        <v>0</v>
      </c>
      <c r="O2765" s="65"/>
      <c r="P2765" s="65"/>
      <c r="Q2765" s="65" t="s">
        <v>3663</v>
      </c>
      <c r="R2765" s="65" t="s">
        <v>236</v>
      </c>
      <c r="S2765" s="65"/>
      <c r="T2765" s="65" t="b">
        <f>FALSE()</f>
        <v>0</v>
      </c>
      <c r="U2765" s="65" t="b">
        <f>FALSE()</f>
        <v>0</v>
      </c>
      <c r="V2765" s="65">
        <v>231</v>
      </c>
      <c r="W2765" s="67" t="s">
        <v>10485</v>
      </c>
      <c r="X2765" s="65">
        <v>1</v>
      </c>
      <c r="Y2765" s="68">
        <v>0.24</v>
      </c>
      <c r="Z2765" s="65" t="b">
        <f>FALSE()</f>
        <v>0</v>
      </c>
      <c r="AA2765" s="65" t="b">
        <f>TRUE()</f>
        <v>1</v>
      </c>
      <c r="AB2765" s="65" t="b">
        <f>FALSE()</f>
        <v>0</v>
      </c>
      <c r="AC2765" s="65" t="b">
        <f>FALSE()</f>
        <v>0</v>
      </c>
      <c r="AD2765" s="65" t="b">
        <f>FALSE()</f>
        <v>0</v>
      </c>
      <c r="AE2765" s="65">
        <v>1</v>
      </c>
      <c r="AF2765" s="69">
        <v>14.3</v>
      </c>
      <c r="AG2765" s="65" t="s">
        <v>74</v>
      </c>
      <c r="AH2765" s="65" t="s">
        <v>10486</v>
      </c>
      <c r="AI2765">
        <f>IF(AND(OR(Company_Explorer!$B$5="All Companies",$E2765=Company_Explorer!$B$5),OR(Company_Explorer!$B$6="All Platforms",$B2765=Company_Explorer!$B$6),OR(Company_Explorer!$B$7="All Roles",$D2765=Company_Explorer!$B$7),OR(Company_Explorer!$B$8="All Ghost Labels",$AG2765=Company_Explorer!$B$8)),1,0)</f>
        <v>0</v>
      </c>
    </row>
    <row r="2766" spans="1:35" ht="15" customHeight="1" x14ac:dyDescent="0.3">
      <c r="A2766" s="60" t="s">
        <v>10487</v>
      </c>
      <c r="B2766" s="60" t="s">
        <v>82</v>
      </c>
      <c r="C2766" s="60" t="s">
        <v>10488</v>
      </c>
      <c r="D2766" s="60" t="s">
        <v>125</v>
      </c>
      <c r="E2766" s="60" t="s">
        <v>10489</v>
      </c>
      <c r="F2766" s="60" t="b">
        <f>TRUE()</f>
        <v>1</v>
      </c>
      <c r="G2766" s="60" t="s">
        <v>165</v>
      </c>
      <c r="H2766" s="60" t="s">
        <v>165</v>
      </c>
      <c r="I2766" s="61">
        <v>46209</v>
      </c>
      <c r="J2766" s="61">
        <v>46210.286463506898</v>
      </c>
      <c r="K2766" s="60">
        <v>62</v>
      </c>
      <c r="L2766" s="60" t="s">
        <v>192</v>
      </c>
      <c r="M2766" s="60" t="s">
        <v>183</v>
      </c>
      <c r="N2766" s="60" t="b">
        <f>FALSE()</f>
        <v>0</v>
      </c>
      <c r="O2766" s="60"/>
      <c r="P2766" s="60"/>
      <c r="Q2766" s="60" t="s">
        <v>3663</v>
      </c>
      <c r="R2766" s="60" t="s">
        <v>236</v>
      </c>
      <c r="S2766" s="60"/>
      <c r="T2766" s="60" t="b">
        <f>FALSE()</f>
        <v>0</v>
      </c>
      <c r="U2766" s="60" t="b">
        <f>FALSE()</f>
        <v>0</v>
      </c>
      <c r="V2766" s="60">
        <v>799</v>
      </c>
      <c r="W2766" s="62" t="s">
        <v>10490</v>
      </c>
      <c r="X2766" s="60">
        <v>1</v>
      </c>
      <c r="Y2766" s="63">
        <v>0.24</v>
      </c>
      <c r="Z2766" s="60" t="b">
        <f>FALSE()</f>
        <v>0</v>
      </c>
      <c r="AA2766" s="60" t="b">
        <f>TRUE()</f>
        <v>1</v>
      </c>
      <c r="AB2766" s="60" t="b">
        <f>FALSE()</f>
        <v>0</v>
      </c>
      <c r="AC2766" s="60" t="b">
        <f>FALSE()</f>
        <v>0</v>
      </c>
      <c r="AD2766" s="60" t="b">
        <f>FALSE()</f>
        <v>0</v>
      </c>
      <c r="AE2766" s="60">
        <v>1</v>
      </c>
      <c r="AF2766" s="64">
        <v>14.3</v>
      </c>
      <c r="AG2766" s="60" t="s">
        <v>74</v>
      </c>
      <c r="AH2766" s="60" t="s">
        <v>10491</v>
      </c>
      <c r="AI2766">
        <f>IF(AND(OR(Company_Explorer!$B$5="All Companies",$E2766=Company_Explorer!$B$5),OR(Company_Explorer!$B$6="All Platforms",$B2766=Company_Explorer!$B$6),OR(Company_Explorer!$B$7="All Roles",$D2766=Company_Explorer!$B$7),OR(Company_Explorer!$B$8="All Ghost Labels",$AG2766=Company_Explorer!$B$8)),1,0)</f>
        <v>0</v>
      </c>
    </row>
    <row r="2767" spans="1:35" ht="15" customHeight="1" x14ac:dyDescent="0.3">
      <c r="A2767" s="65" t="s">
        <v>10492</v>
      </c>
      <c r="B2767" s="65" t="s">
        <v>82</v>
      </c>
      <c r="C2767" s="65" t="s">
        <v>10493</v>
      </c>
      <c r="D2767" s="65" t="s">
        <v>125</v>
      </c>
      <c r="E2767" s="65" t="s">
        <v>8376</v>
      </c>
      <c r="F2767" s="65" t="b">
        <f>TRUE()</f>
        <v>1</v>
      </c>
      <c r="G2767" s="65" t="s">
        <v>165</v>
      </c>
      <c r="H2767" s="65" t="s">
        <v>165</v>
      </c>
      <c r="I2767" s="66">
        <v>46193</v>
      </c>
      <c r="J2767" s="66">
        <v>46210.286463622702</v>
      </c>
      <c r="K2767" s="65">
        <v>17</v>
      </c>
      <c r="L2767" s="65" t="s">
        <v>192</v>
      </c>
      <c r="M2767" s="65" t="s">
        <v>183</v>
      </c>
      <c r="N2767" s="65" t="b">
        <f>FALSE()</f>
        <v>0</v>
      </c>
      <c r="O2767" s="65"/>
      <c r="P2767" s="65"/>
      <c r="Q2767" s="65" t="s">
        <v>3663</v>
      </c>
      <c r="R2767" s="65" t="s">
        <v>236</v>
      </c>
      <c r="S2767" s="65"/>
      <c r="T2767" s="65" t="b">
        <f>FALSE()</f>
        <v>0</v>
      </c>
      <c r="U2767" s="65" t="b">
        <f>FALSE()</f>
        <v>0</v>
      </c>
      <c r="V2767" s="65">
        <v>1102</v>
      </c>
      <c r="W2767" s="65" t="s">
        <v>8377</v>
      </c>
      <c r="X2767" s="65">
        <v>2</v>
      </c>
      <c r="Y2767" s="68">
        <v>0.48</v>
      </c>
      <c r="Z2767" s="65" t="b">
        <f>FALSE()</f>
        <v>0</v>
      </c>
      <c r="AA2767" s="65" t="b">
        <f>TRUE()</f>
        <v>1</v>
      </c>
      <c r="AB2767" s="65" t="b">
        <f>FALSE()</f>
        <v>0</v>
      </c>
      <c r="AC2767" s="65" t="b">
        <f>FALSE()</f>
        <v>0</v>
      </c>
      <c r="AD2767" s="65" t="b">
        <f>FALSE()</f>
        <v>0</v>
      </c>
      <c r="AE2767" s="65">
        <v>1</v>
      </c>
      <c r="AF2767" s="69">
        <v>14.3</v>
      </c>
      <c r="AG2767" s="65" t="s">
        <v>74</v>
      </c>
      <c r="AH2767" s="65" t="s">
        <v>10494</v>
      </c>
      <c r="AI2767">
        <f>IF(AND(OR(Company_Explorer!$B$5="All Companies",$E2767=Company_Explorer!$B$5),OR(Company_Explorer!$B$6="All Platforms",$B2767=Company_Explorer!$B$6),OR(Company_Explorer!$B$7="All Roles",$D2767=Company_Explorer!$B$7),OR(Company_Explorer!$B$8="All Ghost Labels",$AG2767=Company_Explorer!$B$8)),1,0)</f>
        <v>0</v>
      </c>
    </row>
    <row r="2768" spans="1:35" ht="15" customHeight="1" x14ac:dyDescent="0.3">
      <c r="A2768" s="60" t="s">
        <v>10495</v>
      </c>
      <c r="B2768" s="60" t="s">
        <v>82</v>
      </c>
      <c r="C2768" s="60" t="s">
        <v>10496</v>
      </c>
      <c r="D2768" s="60" t="s">
        <v>126</v>
      </c>
      <c r="E2768" s="60" t="s">
        <v>10497</v>
      </c>
      <c r="F2768" s="60" t="b">
        <f>TRUE()</f>
        <v>1</v>
      </c>
      <c r="G2768" s="60" t="s">
        <v>165</v>
      </c>
      <c r="H2768" s="60" t="s">
        <v>165</v>
      </c>
      <c r="I2768" s="61">
        <v>46197</v>
      </c>
      <c r="J2768" s="61">
        <v>46210.286464942103</v>
      </c>
      <c r="K2768" s="60">
        <v>13</v>
      </c>
      <c r="L2768" s="60" t="s">
        <v>183</v>
      </c>
      <c r="M2768" s="60" t="s">
        <v>183</v>
      </c>
      <c r="N2768" s="60" t="b">
        <f>FALSE()</f>
        <v>0</v>
      </c>
      <c r="O2768" s="60"/>
      <c r="P2768" s="60"/>
      <c r="Q2768" s="60" t="s">
        <v>3663</v>
      </c>
      <c r="R2768" s="60" t="s">
        <v>236</v>
      </c>
      <c r="S2768" s="60"/>
      <c r="T2768" s="60" t="b">
        <f>FALSE()</f>
        <v>0</v>
      </c>
      <c r="U2768" s="60" t="b">
        <f>FALSE()</f>
        <v>0</v>
      </c>
      <c r="V2768" s="60">
        <v>852</v>
      </c>
      <c r="W2768" s="62" t="s">
        <v>10498</v>
      </c>
      <c r="X2768" s="60">
        <v>1</v>
      </c>
      <c r="Y2768" s="63">
        <v>0.24</v>
      </c>
      <c r="Z2768" s="60" t="b">
        <f>FALSE()</f>
        <v>0</v>
      </c>
      <c r="AA2768" s="60" t="b">
        <f>TRUE()</f>
        <v>1</v>
      </c>
      <c r="AB2768" s="60" t="b">
        <f>FALSE()</f>
        <v>0</v>
      </c>
      <c r="AC2768" s="60" t="b">
        <f>FALSE()</f>
        <v>0</v>
      </c>
      <c r="AD2768" s="60" t="b">
        <f>FALSE()</f>
        <v>0</v>
      </c>
      <c r="AE2768" s="60">
        <v>1</v>
      </c>
      <c r="AF2768" s="64">
        <v>14.3</v>
      </c>
      <c r="AG2768" s="60" t="s">
        <v>74</v>
      </c>
      <c r="AH2768" s="60" t="s">
        <v>10499</v>
      </c>
      <c r="AI2768">
        <f>IF(AND(OR(Company_Explorer!$B$5="All Companies",$E2768=Company_Explorer!$B$5),OR(Company_Explorer!$B$6="All Platforms",$B2768=Company_Explorer!$B$6),OR(Company_Explorer!$B$7="All Roles",$D2768=Company_Explorer!$B$7),OR(Company_Explorer!$B$8="All Ghost Labels",$AG2768=Company_Explorer!$B$8)),1,0)</f>
        <v>0</v>
      </c>
    </row>
    <row r="2769" spans="1:35" ht="15" customHeight="1" x14ac:dyDescent="0.3">
      <c r="A2769" s="65" t="s">
        <v>10500</v>
      </c>
      <c r="B2769" s="65" t="s">
        <v>82</v>
      </c>
      <c r="C2769" s="65" t="s">
        <v>258</v>
      </c>
      <c r="D2769" s="65" t="s">
        <v>125</v>
      </c>
      <c r="E2769" s="65" t="s">
        <v>152</v>
      </c>
      <c r="F2769" s="65" t="b">
        <f>TRUE()</f>
        <v>1</v>
      </c>
      <c r="G2769" s="65" t="s">
        <v>165</v>
      </c>
      <c r="H2769" s="65" t="s">
        <v>165</v>
      </c>
      <c r="I2769" s="66">
        <v>46199</v>
      </c>
      <c r="J2769" s="66">
        <v>46210.286465358797</v>
      </c>
      <c r="K2769" s="65">
        <v>132</v>
      </c>
      <c r="L2769" s="65" t="s">
        <v>192</v>
      </c>
      <c r="M2769" s="65" t="s">
        <v>183</v>
      </c>
      <c r="N2769" s="65" t="b">
        <f>FALSE()</f>
        <v>0</v>
      </c>
      <c r="O2769" s="65"/>
      <c r="P2769" s="65"/>
      <c r="Q2769" s="65" t="s">
        <v>3663</v>
      </c>
      <c r="R2769" s="65" t="s">
        <v>236</v>
      </c>
      <c r="S2769" s="65"/>
      <c r="T2769" s="65" t="b">
        <f>FALSE()</f>
        <v>0</v>
      </c>
      <c r="U2769" s="65" t="b">
        <f>FALSE()</f>
        <v>0</v>
      </c>
      <c r="V2769" s="65">
        <v>318</v>
      </c>
      <c r="W2769" s="67" t="s">
        <v>4514</v>
      </c>
      <c r="X2769" s="65">
        <v>17</v>
      </c>
      <c r="Y2769" s="68">
        <v>4.0999999999999996</v>
      </c>
      <c r="Z2769" s="65" t="b">
        <f>FALSE()</f>
        <v>0</v>
      </c>
      <c r="AA2769" s="65" t="b">
        <f>TRUE()</f>
        <v>1</v>
      </c>
      <c r="AB2769" s="65" t="b">
        <f>FALSE()</f>
        <v>0</v>
      </c>
      <c r="AC2769" s="65" t="b">
        <f>TRUE()</f>
        <v>1</v>
      </c>
      <c r="AD2769" s="65" t="b">
        <f>TRUE()</f>
        <v>1</v>
      </c>
      <c r="AE2769" s="65">
        <v>4</v>
      </c>
      <c r="AF2769" s="69">
        <v>57.1</v>
      </c>
      <c r="AG2769" s="65" t="s">
        <v>72</v>
      </c>
      <c r="AH2769" s="65" t="s">
        <v>10501</v>
      </c>
      <c r="AI2769">
        <f>IF(AND(OR(Company_Explorer!$B$5="All Companies",$E2769=Company_Explorer!$B$5),OR(Company_Explorer!$B$6="All Platforms",$B2769=Company_Explorer!$B$6),OR(Company_Explorer!$B$7="All Roles",$D2769=Company_Explorer!$B$7),OR(Company_Explorer!$B$8="All Ghost Labels",$AG2769=Company_Explorer!$B$8)),1,0)</f>
        <v>0</v>
      </c>
    </row>
    <row r="2770" spans="1:35" ht="15" customHeight="1" x14ac:dyDescent="0.3">
      <c r="A2770" s="60" t="s">
        <v>10502</v>
      </c>
      <c r="B2770" s="60" t="s">
        <v>82</v>
      </c>
      <c r="C2770" s="60" t="s">
        <v>5007</v>
      </c>
      <c r="D2770" s="60" t="s">
        <v>133</v>
      </c>
      <c r="E2770" s="60" t="s">
        <v>10503</v>
      </c>
      <c r="F2770" s="60" t="b">
        <f>TRUE()</f>
        <v>1</v>
      </c>
      <c r="G2770" s="60" t="s">
        <v>165</v>
      </c>
      <c r="H2770" s="60" t="s">
        <v>165</v>
      </c>
      <c r="I2770" s="61">
        <v>46210</v>
      </c>
      <c r="J2770" s="61">
        <v>46210.286466354199</v>
      </c>
      <c r="K2770" s="60">
        <v>0</v>
      </c>
      <c r="L2770" s="60" t="s">
        <v>183</v>
      </c>
      <c r="M2770" s="60" t="s">
        <v>183</v>
      </c>
      <c r="N2770" s="60" t="b">
        <f>FALSE()</f>
        <v>0</v>
      </c>
      <c r="O2770" s="60"/>
      <c r="P2770" s="60"/>
      <c r="Q2770" s="60" t="s">
        <v>3663</v>
      </c>
      <c r="R2770" s="60" t="s">
        <v>236</v>
      </c>
      <c r="S2770" s="60"/>
      <c r="T2770" s="60" t="b">
        <f>FALSE()</f>
        <v>0</v>
      </c>
      <c r="U2770" s="60" t="b">
        <f>FALSE()</f>
        <v>0</v>
      </c>
      <c r="V2770" s="60">
        <v>1457</v>
      </c>
      <c r="W2770" s="62" t="s">
        <v>5008</v>
      </c>
      <c r="X2770" s="60">
        <v>3</v>
      </c>
      <c r="Y2770" s="63">
        <v>0.72</v>
      </c>
      <c r="Z2770" s="60" t="b">
        <f>FALSE()</f>
        <v>0</v>
      </c>
      <c r="AA2770" s="60" t="b">
        <f>TRUE()</f>
        <v>1</v>
      </c>
      <c r="AB2770" s="60" t="b">
        <f>FALSE()</f>
        <v>0</v>
      </c>
      <c r="AC2770" s="60" t="b">
        <f>FALSE()</f>
        <v>0</v>
      </c>
      <c r="AD2770" s="60" t="b">
        <f>FALSE()</f>
        <v>0</v>
      </c>
      <c r="AE2770" s="60">
        <v>1</v>
      </c>
      <c r="AF2770" s="64">
        <v>14.3</v>
      </c>
      <c r="AG2770" s="60" t="s">
        <v>74</v>
      </c>
      <c r="AH2770" s="60" t="s">
        <v>10504</v>
      </c>
      <c r="AI2770">
        <f>IF(AND(OR(Company_Explorer!$B$5="All Companies",$E2770=Company_Explorer!$B$5),OR(Company_Explorer!$B$6="All Platforms",$B2770=Company_Explorer!$B$6),OR(Company_Explorer!$B$7="All Roles",$D2770=Company_Explorer!$B$7),OR(Company_Explorer!$B$8="All Ghost Labels",$AG2770=Company_Explorer!$B$8)),1,0)</f>
        <v>0</v>
      </c>
    </row>
    <row r="2771" spans="1:35" ht="15" customHeight="1" x14ac:dyDescent="0.3">
      <c r="A2771" s="65" t="s">
        <v>10505</v>
      </c>
      <c r="B2771" s="65" t="s">
        <v>82</v>
      </c>
      <c r="C2771" s="65" t="s">
        <v>10506</v>
      </c>
      <c r="D2771" s="65" t="s">
        <v>125</v>
      </c>
      <c r="E2771" s="65" t="s">
        <v>10507</v>
      </c>
      <c r="F2771" s="65" t="b">
        <f>TRUE()</f>
        <v>1</v>
      </c>
      <c r="G2771" s="65" t="s">
        <v>165</v>
      </c>
      <c r="H2771" s="65" t="s">
        <v>165</v>
      </c>
      <c r="I2771" s="66">
        <v>46187</v>
      </c>
      <c r="J2771" s="66">
        <v>46210.286466527803</v>
      </c>
      <c r="K2771" s="65">
        <v>115</v>
      </c>
      <c r="L2771" s="65" t="s">
        <v>183</v>
      </c>
      <c r="M2771" s="65" t="s">
        <v>183</v>
      </c>
      <c r="N2771" s="65" t="b">
        <f>FALSE()</f>
        <v>0</v>
      </c>
      <c r="O2771" s="65"/>
      <c r="P2771" s="65"/>
      <c r="Q2771" s="65" t="s">
        <v>3663</v>
      </c>
      <c r="R2771" s="65" t="s">
        <v>236</v>
      </c>
      <c r="S2771" s="65"/>
      <c r="T2771" s="65" t="b">
        <f>FALSE()</f>
        <v>0</v>
      </c>
      <c r="U2771" s="65" t="b">
        <f>FALSE()</f>
        <v>0</v>
      </c>
      <c r="V2771" s="65">
        <v>225</v>
      </c>
      <c r="W2771" s="67" t="s">
        <v>10508</v>
      </c>
      <c r="X2771" s="65">
        <v>1</v>
      </c>
      <c r="Y2771" s="68">
        <v>0.24</v>
      </c>
      <c r="Z2771" s="65" t="b">
        <f>FALSE()</f>
        <v>0</v>
      </c>
      <c r="AA2771" s="65" t="b">
        <f>TRUE()</f>
        <v>1</v>
      </c>
      <c r="AB2771" s="65" t="b">
        <f>FALSE()</f>
        <v>0</v>
      </c>
      <c r="AC2771" s="65" t="b">
        <f>FALSE()</f>
        <v>0</v>
      </c>
      <c r="AD2771" s="65" t="b">
        <f>FALSE()</f>
        <v>0</v>
      </c>
      <c r="AE2771" s="65">
        <v>1</v>
      </c>
      <c r="AF2771" s="69">
        <v>14.3</v>
      </c>
      <c r="AG2771" s="65" t="s">
        <v>74</v>
      </c>
      <c r="AH2771" s="65" t="s">
        <v>10509</v>
      </c>
      <c r="AI2771">
        <f>IF(AND(OR(Company_Explorer!$B$5="All Companies",$E2771=Company_Explorer!$B$5),OR(Company_Explorer!$B$6="All Platforms",$B2771=Company_Explorer!$B$6),OR(Company_Explorer!$B$7="All Roles",$D2771=Company_Explorer!$B$7),OR(Company_Explorer!$B$8="All Ghost Labels",$AG2771=Company_Explorer!$B$8)),1,0)</f>
        <v>0</v>
      </c>
    </row>
    <row r="2772" spans="1:35" ht="15" customHeight="1" x14ac:dyDescent="0.3">
      <c r="A2772" s="60" t="s">
        <v>10510</v>
      </c>
      <c r="B2772" s="60" t="s">
        <v>82</v>
      </c>
      <c r="C2772" s="60" t="s">
        <v>127</v>
      </c>
      <c r="D2772" s="60" t="s">
        <v>127</v>
      </c>
      <c r="E2772" s="60" t="s">
        <v>3726</v>
      </c>
      <c r="F2772" s="60" t="b">
        <f>FALSE()</f>
        <v>0</v>
      </c>
      <c r="G2772" s="60" t="s">
        <v>175</v>
      </c>
      <c r="H2772" s="60" t="s">
        <v>254</v>
      </c>
      <c r="I2772" s="61">
        <v>46207</v>
      </c>
      <c r="J2772" s="61">
        <v>46210.286468240702</v>
      </c>
      <c r="K2772" s="60">
        <v>3</v>
      </c>
      <c r="L2772" s="60" t="s">
        <v>192</v>
      </c>
      <c r="M2772" s="60" t="s">
        <v>183</v>
      </c>
      <c r="N2772" s="60" t="b">
        <f>TRUE()</f>
        <v>1</v>
      </c>
      <c r="O2772" s="70">
        <v>304641</v>
      </c>
      <c r="P2772" s="70">
        <v>1305991</v>
      </c>
      <c r="Q2772" s="60" t="s">
        <v>3663</v>
      </c>
      <c r="R2772" s="60" t="s">
        <v>7351</v>
      </c>
      <c r="S2772" s="70">
        <v>805316</v>
      </c>
      <c r="T2772" s="60" t="b">
        <f>TRUE()</f>
        <v>1</v>
      </c>
      <c r="U2772" s="60" t="b">
        <f>FALSE()</f>
        <v>0</v>
      </c>
      <c r="V2772" s="60">
        <v>116</v>
      </c>
      <c r="W2772" s="62" t="s">
        <v>6746</v>
      </c>
      <c r="X2772" s="60"/>
      <c r="Y2772" s="63"/>
      <c r="Z2772" s="60" t="b">
        <f>TRUE()</f>
        <v>1</v>
      </c>
      <c r="AA2772" s="60" t="b">
        <f>FALSE()</f>
        <v>0</v>
      </c>
      <c r="AB2772" s="60" t="b">
        <f>TRUE()</f>
        <v>1</v>
      </c>
      <c r="AC2772" s="60" t="b">
        <f>FALSE()</f>
        <v>0</v>
      </c>
      <c r="AD2772" s="60" t="b">
        <f>FALSE()</f>
        <v>0</v>
      </c>
      <c r="AE2772" s="60">
        <v>3</v>
      </c>
      <c r="AF2772" s="64">
        <v>42.9</v>
      </c>
      <c r="AG2772" s="60" t="s">
        <v>73</v>
      </c>
      <c r="AH2772" s="60" t="s">
        <v>10511</v>
      </c>
      <c r="AI2772">
        <f>IF(AND(OR(Company_Explorer!$B$5="All Companies",$E2772=Company_Explorer!$B$5),OR(Company_Explorer!$B$6="All Platforms",$B2772=Company_Explorer!$B$6),OR(Company_Explorer!$B$7="All Roles",$D2772=Company_Explorer!$B$7),OR(Company_Explorer!$B$8="All Ghost Labels",$AG2772=Company_Explorer!$B$8)),1,0)</f>
        <v>0</v>
      </c>
    </row>
    <row r="2773" spans="1:35" ht="15" customHeight="1" x14ac:dyDescent="0.3">
      <c r="A2773" s="65" t="s">
        <v>10512</v>
      </c>
      <c r="B2773" s="65" t="s">
        <v>82</v>
      </c>
      <c r="C2773" s="65" t="s">
        <v>8443</v>
      </c>
      <c r="D2773" s="65" t="s">
        <v>127</v>
      </c>
      <c r="E2773" s="65" t="s">
        <v>154</v>
      </c>
      <c r="F2773" s="65" t="b">
        <f>TRUE()</f>
        <v>1</v>
      </c>
      <c r="G2773" s="65" t="s">
        <v>167</v>
      </c>
      <c r="H2773" s="65" t="s">
        <v>276</v>
      </c>
      <c r="I2773" s="66">
        <v>46183</v>
      </c>
      <c r="J2773" s="66">
        <v>46210.286468842598</v>
      </c>
      <c r="K2773" s="65">
        <v>27</v>
      </c>
      <c r="L2773" s="65" t="s">
        <v>192</v>
      </c>
      <c r="M2773" s="65" t="s">
        <v>183</v>
      </c>
      <c r="N2773" s="65" t="b">
        <f>TRUE()</f>
        <v>1</v>
      </c>
      <c r="O2773" s="71">
        <v>292500</v>
      </c>
      <c r="P2773" s="71">
        <v>829200</v>
      </c>
      <c r="Q2773" s="65" t="s">
        <v>3663</v>
      </c>
      <c r="R2773" s="65" t="s">
        <v>7351</v>
      </c>
      <c r="S2773" s="71">
        <v>560850</v>
      </c>
      <c r="T2773" s="65" t="b">
        <f>TRUE()</f>
        <v>1</v>
      </c>
      <c r="U2773" s="65" t="b">
        <f>FALSE()</f>
        <v>0</v>
      </c>
      <c r="V2773" s="65">
        <v>621</v>
      </c>
      <c r="W2773" s="65" t="s">
        <v>3893</v>
      </c>
      <c r="X2773" s="65">
        <v>16</v>
      </c>
      <c r="Y2773" s="68">
        <v>3.86</v>
      </c>
      <c r="Z2773" s="65" t="b">
        <f>FALSE()</f>
        <v>0</v>
      </c>
      <c r="AA2773" s="65" t="b">
        <f>FALSE()</f>
        <v>0</v>
      </c>
      <c r="AB2773" s="65" t="b">
        <f>FALSE()</f>
        <v>0</v>
      </c>
      <c r="AC2773" s="65" t="b">
        <f>FALSE()</f>
        <v>0</v>
      </c>
      <c r="AD2773" s="65" t="b">
        <f>TRUE()</f>
        <v>1</v>
      </c>
      <c r="AE2773" s="65">
        <v>2</v>
      </c>
      <c r="AF2773" s="69">
        <v>28.6</v>
      </c>
      <c r="AG2773" s="65" t="s">
        <v>73</v>
      </c>
      <c r="AH2773" s="65" t="s">
        <v>10513</v>
      </c>
      <c r="AI2773">
        <f>IF(AND(OR(Company_Explorer!$B$5="All Companies",$E2773=Company_Explorer!$B$5),OR(Company_Explorer!$B$6="All Platforms",$B2773=Company_Explorer!$B$6),OR(Company_Explorer!$B$7="All Roles",$D2773=Company_Explorer!$B$7),OR(Company_Explorer!$B$8="All Ghost Labels",$AG2773=Company_Explorer!$B$8)),1,0)</f>
        <v>0</v>
      </c>
    </row>
    <row r="2774" spans="1:35" ht="15" customHeight="1" x14ac:dyDescent="0.3">
      <c r="A2774" s="60" t="s">
        <v>10514</v>
      </c>
      <c r="B2774" s="60" t="s">
        <v>82</v>
      </c>
      <c r="C2774" s="60" t="s">
        <v>5765</v>
      </c>
      <c r="D2774" s="60" t="s">
        <v>125</v>
      </c>
      <c r="E2774" s="60" t="s">
        <v>3726</v>
      </c>
      <c r="F2774" s="60" t="b">
        <f>FALSE()</f>
        <v>0</v>
      </c>
      <c r="G2774" s="60" t="s">
        <v>10515</v>
      </c>
      <c r="H2774" s="60" t="s">
        <v>276</v>
      </c>
      <c r="I2774" s="61">
        <v>46204</v>
      </c>
      <c r="J2774" s="61">
        <v>46210.286470590298</v>
      </c>
      <c r="K2774" s="60">
        <v>97</v>
      </c>
      <c r="L2774" s="60" t="s">
        <v>192</v>
      </c>
      <c r="M2774" s="60" t="s">
        <v>183</v>
      </c>
      <c r="N2774" s="60" t="b">
        <f>TRUE()</f>
        <v>1</v>
      </c>
      <c r="O2774" s="70">
        <v>20000</v>
      </c>
      <c r="P2774" s="70">
        <v>25000</v>
      </c>
      <c r="Q2774" s="60" t="s">
        <v>3663</v>
      </c>
      <c r="R2774" s="60" t="s">
        <v>7445</v>
      </c>
      <c r="S2774" s="70">
        <v>270000</v>
      </c>
      <c r="T2774" s="60" t="b">
        <f>TRUE()</f>
        <v>1</v>
      </c>
      <c r="U2774" s="60" t="b">
        <f>FALSE()</f>
        <v>0</v>
      </c>
      <c r="V2774" s="60">
        <v>113</v>
      </c>
      <c r="W2774" s="62" t="s">
        <v>10516</v>
      </c>
      <c r="X2774" s="60"/>
      <c r="Y2774" s="63"/>
      <c r="Z2774" s="60" t="b">
        <f>TRUE()</f>
        <v>1</v>
      </c>
      <c r="AA2774" s="60" t="b">
        <f>FALSE()</f>
        <v>0</v>
      </c>
      <c r="AB2774" s="60" t="b">
        <f>TRUE()</f>
        <v>1</v>
      </c>
      <c r="AC2774" s="60" t="b">
        <f>FALSE()</f>
        <v>0</v>
      </c>
      <c r="AD2774" s="60" t="b">
        <f>FALSE()</f>
        <v>0</v>
      </c>
      <c r="AE2774" s="60">
        <v>3</v>
      </c>
      <c r="AF2774" s="64">
        <v>42.9</v>
      </c>
      <c r="AG2774" s="60" t="s">
        <v>73</v>
      </c>
      <c r="AH2774" s="60" t="s">
        <v>10517</v>
      </c>
      <c r="AI2774">
        <f>IF(AND(OR(Company_Explorer!$B$5="All Companies",$E2774=Company_Explorer!$B$5),OR(Company_Explorer!$B$6="All Platforms",$B2774=Company_Explorer!$B$6),OR(Company_Explorer!$B$7="All Roles",$D2774=Company_Explorer!$B$7),OR(Company_Explorer!$B$8="All Ghost Labels",$AG2774=Company_Explorer!$B$8)),1,0)</f>
        <v>0</v>
      </c>
    </row>
    <row r="2775" spans="1:35" ht="15" customHeight="1" x14ac:dyDescent="0.3">
      <c r="A2775" s="65" t="s">
        <v>10518</v>
      </c>
      <c r="B2775" s="65" t="s">
        <v>82</v>
      </c>
      <c r="C2775" s="65" t="s">
        <v>10519</v>
      </c>
      <c r="D2775" s="65" t="s">
        <v>126</v>
      </c>
      <c r="E2775" s="65" t="s">
        <v>152</v>
      </c>
      <c r="F2775" s="65" t="b">
        <f>TRUE()</f>
        <v>1</v>
      </c>
      <c r="G2775" s="65" t="s">
        <v>165</v>
      </c>
      <c r="H2775" s="65" t="s">
        <v>165</v>
      </c>
      <c r="I2775" s="66">
        <v>46208</v>
      </c>
      <c r="J2775" s="66">
        <v>46210.286471944499</v>
      </c>
      <c r="K2775" s="65">
        <v>33</v>
      </c>
      <c r="L2775" s="65" t="s">
        <v>192</v>
      </c>
      <c r="M2775" s="65" t="s">
        <v>183</v>
      </c>
      <c r="N2775" s="65" t="b">
        <f>FALSE()</f>
        <v>0</v>
      </c>
      <c r="O2775" s="65"/>
      <c r="P2775" s="65"/>
      <c r="Q2775" s="65" t="s">
        <v>3663</v>
      </c>
      <c r="R2775" s="65" t="s">
        <v>236</v>
      </c>
      <c r="S2775" s="65"/>
      <c r="T2775" s="65" t="b">
        <f>FALSE()</f>
        <v>0</v>
      </c>
      <c r="U2775" s="65" t="b">
        <f>FALSE()</f>
        <v>0</v>
      </c>
      <c r="V2775" s="65">
        <v>802</v>
      </c>
      <c r="W2775" s="67" t="s">
        <v>10520</v>
      </c>
      <c r="X2775" s="65">
        <v>17</v>
      </c>
      <c r="Y2775" s="68">
        <v>4.0999999999999996</v>
      </c>
      <c r="Z2775" s="65" t="b">
        <f>FALSE()</f>
        <v>0</v>
      </c>
      <c r="AA2775" s="65" t="b">
        <f>TRUE()</f>
        <v>1</v>
      </c>
      <c r="AB2775" s="65" t="b">
        <f>FALSE()</f>
        <v>0</v>
      </c>
      <c r="AC2775" s="65" t="b">
        <f>FALSE()</f>
        <v>0</v>
      </c>
      <c r="AD2775" s="65" t="b">
        <f>TRUE()</f>
        <v>1</v>
      </c>
      <c r="AE2775" s="65">
        <v>3</v>
      </c>
      <c r="AF2775" s="69">
        <v>42.9</v>
      </c>
      <c r="AG2775" s="65" t="s">
        <v>73</v>
      </c>
      <c r="AH2775" s="65" t="s">
        <v>10521</v>
      </c>
      <c r="AI2775">
        <f>IF(AND(OR(Company_Explorer!$B$5="All Companies",$E2775=Company_Explorer!$B$5),OR(Company_Explorer!$B$6="All Platforms",$B2775=Company_Explorer!$B$6),OR(Company_Explorer!$B$7="All Roles",$D2775=Company_Explorer!$B$7),OR(Company_Explorer!$B$8="All Ghost Labels",$AG2775=Company_Explorer!$B$8)),1,0)</f>
        <v>0</v>
      </c>
    </row>
    <row r="2776" spans="1:35" ht="15" customHeight="1" x14ac:dyDescent="0.3">
      <c r="A2776" s="60" t="s">
        <v>10522</v>
      </c>
      <c r="B2776" s="60" t="s">
        <v>82</v>
      </c>
      <c r="C2776" s="60" t="s">
        <v>10523</v>
      </c>
      <c r="D2776" s="60" t="s">
        <v>127</v>
      </c>
      <c r="E2776" s="60" t="s">
        <v>150</v>
      </c>
      <c r="F2776" s="60" t="b">
        <f>TRUE()</f>
        <v>1</v>
      </c>
      <c r="G2776" s="60" t="s">
        <v>166</v>
      </c>
      <c r="H2776" s="60" t="s">
        <v>235</v>
      </c>
      <c r="I2776" s="61">
        <v>46191</v>
      </c>
      <c r="J2776" s="61">
        <v>46210.286476261601</v>
      </c>
      <c r="K2776" s="60">
        <v>19</v>
      </c>
      <c r="L2776" s="60" t="s">
        <v>192</v>
      </c>
      <c r="M2776" s="60" t="s">
        <v>183</v>
      </c>
      <c r="N2776" s="60" t="b">
        <f>TRUE()</f>
        <v>1</v>
      </c>
      <c r="O2776" s="70">
        <v>518000</v>
      </c>
      <c r="P2776" s="70">
        <v>950000</v>
      </c>
      <c r="Q2776" s="60" t="s">
        <v>3663</v>
      </c>
      <c r="R2776" s="60" t="s">
        <v>7351</v>
      </c>
      <c r="S2776" s="70">
        <v>734000</v>
      </c>
      <c r="T2776" s="60" t="b">
        <f>TRUE()</f>
        <v>1</v>
      </c>
      <c r="U2776" s="60" t="b">
        <f>FALSE()</f>
        <v>0</v>
      </c>
      <c r="V2776" s="60">
        <v>457</v>
      </c>
      <c r="W2776" s="62" t="s">
        <v>3698</v>
      </c>
      <c r="X2776" s="60">
        <v>18</v>
      </c>
      <c r="Y2776" s="63">
        <v>4.34</v>
      </c>
      <c r="Z2776" s="60" t="b">
        <f>FALSE()</f>
        <v>0</v>
      </c>
      <c r="AA2776" s="60" t="b">
        <f>FALSE()</f>
        <v>0</v>
      </c>
      <c r="AB2776" s="60" t="b">
        <f>FALSE()</f>
        <v>0</v>
      </c>
      <c r="AC2776" s="60" t="b">
        <f>FALSE()</f>
        <v>0</v>
      </c>
      <c r="AD2776" s="60" t="b">
        <f>TRUE()</f>
        <v>1</v>
      </c>
      <c r="AE2776" s="60">
        <v>2</v>
      </c>
      <c r="AF2776" s="64">
        <v>28.6</v>
      </c>
      <c r="AG2776" s="60" t="s">
        <v>73</v>
      </c>
      <c r="AH2776" s="60" t="s">
        <v>10524</v>
      </c>
      <c r="AI2776">
        <f>IF(AND(OR(Company_Explorer!$B$5="All Companies",$E2776=Company_Explorer!$B$5),OR(Company_Explorer!$B$6="All Platforms",$B2776=Company_Explorer!$B$6),OR(Company_Explorer!$B$7="All Roles",$D2776=Company_Explorer!$B$7),OR(Company_Explorer!$B$8="All Ghost Labels",$AG2776=Company_Explorer!$B$8)),1,0)</f>
        <v>0</v>
      </c>
    </row>
    <row r="2777" spans="1:35" ht="15" customHeight="1" x14ac:dyDescent="0.3">
      <c r="A2777" s="65" t="s">
        <v>10525</v>
      </c>
      <c r="B2777" s="65" t="s">
        <v>82</v>
      </c>
      <c r="C2777" s="65" t="s">
        <v>10526</v>
      </c>
      <c r="D2777" s="65" t="s">
        <v>126</v>
      </c>
      <c r="E2777" s="65" t="s">
        <v>7346</v>
      </c>
      <c r="F2777" s="65" t="b">
        <f>TRUE()</f>
        <v>1</v>
      </c>
      <c r="G2777" s="65" t="s">
        <v>165</v>
      </c>
      <c r="H2777" s="65" t="s">
        <v>165</v>
      </c>
      <c r="I2777" s="66">
        <v>46199</v>
      </c>
      <c r="J2777" s="66">
        <v>46210.2864764931</v>
      </c>
      <c r="K2777" s="65">
        <v>11</v>
      </c>
      <c r="L2777" s="65" t="s">
        <v>183</v>
      </c>
      <c r="M2777" s="65" t="s">
        <v>183</v>
      </c>
      <c r="N2777" s="65" t="b">
        <f>FALSE()</f>
        <v>0</v>
      </c>
      <c r="O2777" s="65"/>
      <c r="P2777" s="65"/>
      <c r="Q2777" s="65" t="s">
        <v>3663</v>
      </c>
      <c r="R2777" s="65" t="s">
        <v>236</v>
      </c>
      <c r="S2777" s="65"/>
      <c r="T2777" s="65" t="b">
        <f>FALSE()</f>
        <v>0</v>
      </c>
      <c r="U2777" s="65" t="b">
        <f>FALSE()</f>
        <v>0</v>
      </c>
      <c r="V2777" s="65">
        <v>977</v>
      </c>
      <c r="W2777" s="67" t="s">
        <v>7347</v>
      </c>
      <c r="X2777" s="65">
        <v>10</v>
      </c>
      <c r="Y2777" s="68">
        <v>2.41</v>
      </c>
      <c r="Z2777" s="65" t="b">
        <f>FALSE()</f>
        <v>0</v>
      </c>
      <c r="AA2777" s="65" t="b">
        <f>TRUE()</f>
        <v>1</v>
      </c>
      <c r="AB2777" s="65" t="b">
        <f>FALSE()</f>
        <v>0</v>
      </c>
      <c r="AC2777" s="65" t="b">
        <f>FALSE()</f>
        <v>0</v>
      </c>
      <c r="AD2777" s="65" t="b">
        <f>TRUE()</f>
        <v>1</v>
      </c>
      <c r="AE2777" s="65">
        <v>3</v>
      </c>
      <c r="AF2777" s="69">
        <v>42.9</v>
      </c>
      <c r="AG2777" s="65" t="s">
        <v>73</v>
      </c>
      <c r="AH2777" s="65" t="s">
        <v>10527</v>
      </c>
      <c r="AI2777">
        <f>IF(AND(OR(Company_Explorer!$B$5="All Companies",$E2777=Company_Explorer!$B$5),OR(Company_Explorer!$B$6="All Platforms",$B2777=Company_Explorer!$B$6),OR(Company_Explorer!$B$7="All Roles",$D2777=Company_Explorer!$B$7),OR(Company_Explorer!$B$8="All Ghost Labels",$AG2777=Company_Explorer!$B$8)),1,0)</f>
        <v>0</v>
      </c>
    </row>
    <row r="2778" spans="1:35" ht="15" customHeight="1" x14ac:dyDescent="0.3">
      <c r="A2778" s="60" t="s">
        <v>10528</v>
      </c>
      <c r="B2778" s="60" t="s">
        <v>82</v>
      </c>
      <c r="C2778" s="60" t="s">
        <v>125</v>
      </c>
      <c r="D2778" s="60" t="s">
        <v>125</v>
      </c>
      <c r="E2778" s="60" t="s">
        <v>811</v>
      </c>
      <c r="F2778" s="60" t="b">
        <f>TRUE()</f>
        <v>1</v>
      </c>
      <c r="G2778" s="60" t="s">
        <v>165</v>
      </c>
      <c r="H2778" s="60" t="s">
        <v>165</v>
      </c>
      <c r="I2778" s="61">
        <v>46210</v>
      </c>
      <c r="J2778" s="61">
        <v>46210.286477696798</v>
      </c>
      <c r="K2778" s="60">
        <v>0</v>
      </c>
      <c r="L2778" s="60" t="s">
        <v>183</v>
      </c>
      <c r="M2778" s="60" t="s">
        <v>183</v>
      </c>
      <c r="N2778" s="60" t="b">
        <f>FALSE()</f>
        <v>0</v>
      </c>
      <c r="O2778" s="60"/>
      <c r="P2778" s="60"/>
      <c r="Q2778" s="60" t="s">
        <v>3663</v>
      </c>
      <c r="R2778" s="60" t="s">
        <v>236</v>
      </c>
      <c r="S2778" s="60"/>
      <c r="T2778" s="60" t="b">
        <f>FALSE()</f>
        <v>0</v>
      </c>
      <c r="U2778" s="60" t="b">
        <f>FALSE()</f>
        <v>0</v>
      </c>
      <c r="V2778" s="60">
        <v>603</v>
      </c>
      <c r="W2778" s="62" t="s">
        <v>10529</v>
      </c>
      <c r="X2778" s="60">
        <v>1</v>
      </c>
      <c r="Y2778" s="63">
        <v>0.24</v>
      </c>
      <c r="Z2778" s="60" t="b">
        <f>FALSE()</f>
        <v>0</v>
      </c>
      <c r="AA2778" s="60" t="b">
        <f>TRUE()</f>
        <v>1</v>
      </c>
      <c r="AB2778" s="60" t="b">
        <f>FALSE()</f>
        <v>0</v>
      </c>
      <c r="AC2778" s="60" t="b">
        <f>FALSE()</f>
        <v>0</v>
      </c>
      <c r="AD2778" s="60" t="b">
        <f>FALSE()</f>
        <v>0</v>
      </c>
      <c r="AE2778" s="60">
        <v>1</v>
      </c>
      <c r="AF2778" s="64">
        <v>14.3</v>
      </c>
      <c r="AG2778" s="60" t="s">
        <v>74</v>
      </c>
      <c r="AH2778" s="60" t="s">
        <v>10530</v>
      </c>
      <c r="AI2778">
        <f>IF(AND(OR(Company_Explorer!$B$5="All Companies",$E2778=Company_Explorer!$B$5),OR(Company_Explorer!$B$6="All Platforms",$B2778=Company_Explorer!$B$6),OR(Company_Explorer!$B$7="All Roles",$D2778=Company_Explorer!$B$7),OR(Company_Explorer!$B$8="All Ghost Labels",$AG2778=Company_Explorer!$B$8)),1,0)</f>
        <v>0</v>
      </c>
    </row>
    <row r="2779" spans="1:35" ht="15" customHeight="1" x14ac:dyDescent="0.3">
      <c r="A2779" s="65" t="s">
        <v>10531</v>
      </c>
      <c r="B2779" s="65" t="s">
        <v>82</v>
      </c>
      <c r="C2779" s="65" t="s">
        <v>10532</v>
      </c>
      <c r="D2779" s="65" t="s">
        <v>125</v>
      </c>
      <c r="E2779" s="65" t="s">
        <v>10533</v>
      </c>
      <c r="F2779" s="65" t="b">
        <f>TRUE()</f>
        <v>1</v>
      </c>
      <c r="G2779" s="65" t="s">
        <v>165</v>
      </c>
      <c r="H2779" s="65" t="s">
        <v>165</v>
      </c>
      <c r="I2779" s="66">
        <v>46210</v>
      </c>
      <c r="J2779" s="66">
        <v>46210.286479756898</v>
      </c>
      <c r="K2779" s="65">
        <v>0</v>
      </c>
      <c r="L2779" s="65" t="s">
        <v>192</v>
      </c>
      <c r="M2779" s="65" t="s">
        <v>183</v>
      </c>
      <c r="N2779" s="65" t="b">
        <f>FALSE()</f>
        <v>0</v>
      </c>
      <c r="O2779" s="65"/>
      <c r="P2779" s="65"/>
      <c r="Q2779" s="65" t="s">
        <v>3663</v>
      </c>
      <c r="R2779" s="65" t="s">
        <v>236</v>
      </c>
      <c r="S2779" s="65"/>
      <c r="T2779" s="65" t="b">
        <f>FALSE()</f>
        <v>0</v>
      </c>
      <c r="U2779" s="65" t="b">
        <f>FALSE()</f>
        <v>0</v>
      </c>
      <c r="V2779" s="65">
        <v>1059</v>
      </c>
      <c r="W2779" s="67" t="s">
        <v>10534</v>
      </c>
      <c r="X2779" s="65">
        <v>1</v>
      </c>
      <c r="Y2779" s="68">
        <v>0.24</v>
      </c>
      <c r="Z2779" s="65" t="b">
        <f>FALSE()</f>
        <v>0</v>
      </c>
      <c r="AA2779" s="65" t="b">
        <f>TRUE()</f>
        <v>1</v>
      </c>
      <c r="AB2779" s="65" t="b">
        <f>FALSE()</f>
        <v>0</v>
      </c>
      <c r="AC2779" s="65" t="b">
        <f>FALSE()</f>
        <v>0</v>
      </c>
      <c r="AD2779" s="65" t="b">
        <f>FALSE()</f>
        <v>0</v>
      </c>
      <c r="AE2779" s="65">
        <v>1</v>
      </c>
      <c r="AF2779" s="69">
        <v>14.3</v>
      </c>
      <c r="AG2779" s="65" t="s">
        <v>74</v>
      </c>
      <c r="AH2779" s="65" t="s">
        <v>10535</v>
      </c>
      <c r="AI2779">
        <f>IF(AND(OR(Company_Explorer!$B$5="All Companies",$E2779=Company_Explorer!$B$5),OR(Company_Explorer!$B$6="All Platforms",$B2779=Company_Explorer!$B$6),OR(Company_Explorer!$B$7="All Roles",$D2779=Company_Explorer!$B$7),OR(Company_Explorer!$B$8="All Ghost Labels",$AG2779=Company_Explorer!$B$8)),1,0)</f>
        <v>0</v>
      </c>
    </row>
    <row r="2780" spans="1:35" ht="15" customHeight="1" x14ac:dyDescent="0.3">
      <c r="A2780" s="60" t="s">
        <v>10536</v>
      </c>
      <c r="B2780" s="60" t="s">
        <v>82</v>
      </c>
      <c r="C2780" s="60" t="s">
        <v>10537</v>
      </c>
      <c r="D2780" s="60" t="s">
        <v>125</v>
      </c>
      <c r="E2780" s="60" t="s">
        <v>10538</v>
      </c>
      <c r="F2780" s="60" t="b">
        <f>TRUE()</f>
        <v>1</v>
      </c>
      <c r="G2780" s="60" t="s">
        <v>165</v>
      </c>
      <c r="H2780" s="60" t="s">
        <v>165</v>
      </c>
      <c r="I2780" s="61">
        <v>46205</v>
      </c>
      <c r="J2780" s="61">
        <v>46210.286480960698</v>
      </c>
      <c r="K2780" s="60">
        <v>6</v>
      </c>
      <c r="L2780" s="60" t="s">
        <v>193</v>
      </c>
      <c r="M2780" s="60" t="s">
        <v>183</v>
      </c>
      <c r="N2780" s="60" t="b">
        <f>TRUE()</f>
        <v>1</v>
      </c>
      <c r="O2780" s="70">
        <v>240217</v>
      </c>
      <c r="P2780" s="70">
        <v>1347850</v>
      </c>
      <c r="Q2780" s="60" t="s">
        <v>3663</v>
      </c>
      <c r="R2780" s="60" t="s">
        <v>7351</v>
      </c>
      <c r="S2780" s="70">
        <v>794034</v>
      </c>
      <c r="T2780" s="60" t="b">
        <f>TRUE()</f>
        <v>1</v>
      </c>
      <c r="U2780" s="60" t="b">
        <f>FALSE()</f>
        <v>0</v>
      </c>
      <c r="V2780" s="60">
        <v>279</v>
      </c>
      <c r="W2780" s="60" t="s">
        <v>10539</v>
      </c>
      <c r="X2780" s="60">
        <v>1</v>
      </c>
      <c r="Y2780" s="63">
        <v>0.24</v>
      </c>
      <c r="Z2780" s="60" t="b">
        <f>FALSE()</f>
        <v>0</v>
      </c>
      <c r="AA2780" s="60" t="b">
        <f>FALSE()</f>
        <v>0</v>
      </c>
      <c r="AB2780" s="60" t="b">
        <f>FALSE()</f>
        <v>0</v>
      </c>
      <c r="AC2780" s="60" t="b">
        <f>FALSE()</f>
        <v>0</v>
      </c>
      <c r="AD2780" s="60" t="b">
        <f>FALSE()</f>
        <v>0</v>
      </c>
      <c r="AE2780" s="60">
        <v>0</v>
      </c>
      <c r="AF2780" s="64">
        <v>0</v>
      </c>
      <c r="AG2780" s="60" t="s">
        <v>74</v>
      </c>
      <c r="AH2780" s="60" t="s">
        <v>10540</v>
      </c>
      <c r="AI2780">
        <f>IF(AND(OR(Company_Explorer!$B$5="All Companies",$E2780=Company_Explorer!$B$5),OR(Company_Explorer!$B$6="All Platforms",$B2780=Company_Explorer!$B$6),OR(Company_Explorer!$B$7="All Roles",$D2780=Company_Explorer!$B$7),OR(Company_Explorer!$B$8="All Ghost Labels",$AG2780=Company_Explorer!$B$8)),1,0)</f>
        <v>0</v>
      </c>
    </row>
    <row r="2781" spans="1:35" ht="15" customHeight="1" x14ac:dyDescent="0.3">
      <c r="A2781" s="65" t="s">
        <v>10541</v>
      </c>
      <c r="B2781" s="65" t="s">
        <v>82</v>
      </c>
      <c r="C2781" s="65" t="s">
        <v>10542</v>
      </c>
      <c r="D2781" s="65" t="s">
        <v>126</v>
      </c>
      <c r="E2781" s="65" t="s">
        <v>10543</v>
      </c>
      <c r="F2781" s="65" t="b">
        <f>TRUE()</f>
        <v>1</v>
      </c>
      <c r="G2781" s="65" t="s">
        <v>165</v>
      </c>
      <c r="H2781" s="65" t="s">
        <v>165</v>
      </c>
      <c r="I2781" s="66">
        <v>46192</v>
      </c>
      <c r="J2781" s="66">
        <v>46210.286482569398</v>
      </c>
      <c r="K2781" s="65">
        <v>49</v>
      </c>
      <c r="L2781" s="65" t="s">
        <v>192</v>
      </c>
      <c r="M2781" s="65" t="s">
        <v>183</v>
      </c>
      <c r="N2781" s="65" t="b">
        <f>FALSE()</f>
        <v>0</v>
      </c>
      <c r="O2781" s="65"/>
      <c r="P2781" s="65"/>
      <c r="Q2781" s="65" t="s">
        <v>3663</v>
      </c>
      <c r="R2781" s="65" t="s">
        <v>236</v>
      </c>
      <c r="S2781" s="65"/>
      <c r="T2781" s="65" t="b">
        <f>FALSE()</f>
        <v>0</v>
      </c>
      <c r="U2781" s="65" t="b">
        <f>FALSE()</f>
        <v>0</v>
      </c>
      <c r="V2781" s="65">
        <v>539</v>
      </c>
      <c r="W2781" s="65" t="s">
        <v>10544</v>
      </c>
      <c r="X2781" s="65">
        <v>1</v>
      </c>
      <c r="Y2781" s="68">
        <v>0.24</v>
      </c>
      <c r="Z2781" s="65" t="b">
        <f>FALSE()</f>
        <v>0</v>
      </c>
      <c r="AA2781" s="65" t="b">
        <f>TRUE()</f>
        <v>1</v>
      </c>
      <c r="AB2781" s="65" t="b">
        <f>FALSE()</f>
        <v>0</v>
      </c>
      <c r="AC2781" s="65" t="b">
        <f>FALSE()</f>
        <v>0</v>
      </c>
      <c r="AD2781" s="65" t="b">
        <f>FALSE()</f>
        <v>0</v>
      </c>
      <c r="AE2781" s="65">
        <v>1</v>
      </c>
      <c r="AF2781" s="69">
        <v>14.3</v>
      </c>
      <c r="AG2781" s="65" t="s">
        <v>74</v>
      </c>
      <c r="AH2781" s="65" t="s">
        <v>10545</v>
      </c>
      <c r="AI2781">
        <f>IF(AND(OR(Company_Explorer!$B$5="All Companies",$E2781=Company_Explorer!$B$5),OR(Company_Explorer!$B$6="All Platforms",$B2781=Company_Explorer!$B$6),OR(Company_Explorer!$B$7="All Roles",$D2781=Company_Explorer!$B$7),OR(Company_Explorer!$B$8="All Ghost Labels",$AG2781=Company_Explorer!$B$8)),1,0)</f>
        <v>0</v>
      </c>
    </row>
    <row r="2782" spans="1:35" ht="15" customHeight="1" x14ac:dyDescent="0.3">
      <c r="A2782" s="60" t="s">
        <v>10546</v>
      </c>
      <c r="B2782" s="60" t="s">
        <v>82</v>
      </c>
      <c r="C2782" s="60" t="s">
        <v>10547</v>
      </c>
      <c r="D2782" s="60" t="s">
        <v>127</v>
      </c>
      <c r="E2782" s="60" t="s">
        <v>10548</v>
      </c>
      <c r="F2782" s="60" t="b">
        <f>TRUE()</f>
        <v>1</v>
      </c>
      <c r="G2782" s="60" t="s">
        <v>165</v>
      </c>
      <c r="H2782" s="60" t="s">
        <v>165</v>
      </c>
      <c r="I2782" s="61">
        <v>46183</v>
      </c>
      <c r="J2782" s="61">
        <v>46210.286482962998</v>
      </c>
      <c r="K2782" s="60">
        <v>27</v>
      </c>
      <c r="L2782" s="60" t="s">
        <v>192</v>
      </c>
      <c r="M2782" s="60" t="s">
        <v>183</v>
      </c>
      <c r="N2782" s="60" t="b">
        <f>FALSE()</f>
        <v>0</v>
      </c>
      <c r="O2782" s="60"/>
      <c r="P2782" s="60"/>
      <c r="Q2782" s="60" t="s">
        <v>3663</v>
      </c>
      <c r="R2782" s="60" t="s">
        <v>236</v>
      </c>
      <c r="S2782" s="60"/>
      <c r="T2782" s="60" t="b">
        <f>FALSE()</f>
        <v>0</v>
      </c>
      <c r="U2782" s="60" t="b">
        <f>FALSE()</f>
        <v>0</v>
      </c>
      <c r="V2782" s="60">
        <v>558</v>
      </c>
      <c r="W2782" s="60" t="s">
        <v>10549</v>
      </c>
      <c r="X2782" s="60">
        <v>2</v>
      </c>
      <c r="Y2782" s="63">
        <v>0.48</v>
      </c>
      <c r="Z2782" s="60" t="b">
        <f>FALSE()</f>
        <v>0</v>
      </c>
      <c r="AA2782" s="60" t="b">
        <f>TRUE()</f>
        <v>1</v>
      </c>
      <c r="AB2782" s="60" t="b">
        <f>FALSE()</f>
        <v>0</v>
      </c>
      <c r="AC2782" s="60" t="b">
        <f>FALSE()</f>
        <v>0</v>
      </c>
      <c r="AD2782" s="60" t="b">
        <f>FALSE()</f>
        <v>0</v>
      </c>
      <c r="AE2782" s="60">
        <v>1</v>
      </c>
      <c r="AF2782" s="64">
        <v>14.3</v>
      </c>
      <c r="AG2782" s="60" t="s">
        <v>74</v>
      </c>
      <c r="AH2782" s="60" t="s">
        <v>10550</v>
      </c>
      <c r="AI2782">
        <f>IF(AND(OR(Company_Explorer!$B$5="All Companies",$E2782=Company_Explorer!$B$5),OR(Company_Explorer!$B$6="All Platforms",$B2782=Company_Explorer!$B$6),OR(Company_Explorer!$B$7="All Roles",$D2782=Company_Explorer!$B$7),OR(Company_Explorer!$B$8="All Ghost Labels",$AG2782=Company_Explorer!$B$8)),1,0)</f>
        <v>0</v>
      </c>
    </row>
    <row r="2783" spans="1:35" ht="15" customHeight="1" x14ac:dyDescent="0.3">
      <c r="A2783" s="65" t="s">
        <v>10551</v>
      </c>
      <c r="B2783" s="65" t="s">
        <v>82</v>
      </c>
      <c r="C2783" s="65" t="s">
        <v>10552</v>
      </c>
      <c r="D2783" s="65" t="s">
        <v>127</v>
      </c>
      <c r="E2783" s="65" t="s">
        <v>10553</v>
      </c>
      <c r="F2783" s="65" t="b">
        <f>TRUE()</f>
        <v>1</v>
      </c>
      <c r="G2783" s="65" t="s">
        <v>166</v>
      </c>
      <c r="H2783" s="65" t="s">
        <v>235</v>
      </c>
      <c r="I2783" s="66">
        <v>46206</v>
      </c>
      <c r="J2783" s="66">
        <v>46210.286484664401</v>
      </c>
      <c r="K2783" s="65">
        <v>4</v>
      </c>
      <c r="L2783" s="65" t="s">
        <v>183</v>
      </c>
      <c r="M2783" s="65" t="s">
        <v>183</v>
      </c>
      <c r="N2783" s="65" t="b">
        <f>TRUE()</f>
        <v>1</v>
      </c>
      <c r="O2783" s="71">
        <v>400000</v>
      </c>
      <c r="P2783" s="71">
        <v>900000</v>
      </c>
      <c r="Q2783" s="65" t="s">
        <v>3663</v>
      </c>
      <c r="R2783" s="65" t="s">
        <v>7351</v>
      </c>
      <c r="S2783" s="71">
        <v>650000</v>
      </c>
      <c r="T2783" s="65" t="b">
        <f>TRUE()</f>
        <v>1</v>
      </c>
      <c r="U2783" s="65" t="b">
        <f>FALSE()</f>
        <v>0</v>
      </c>
      <c r="V2783" s="65">
        <v>823</v>
      </c>
      <c r="W2783" s="67" t="s">
        <v>10554</v>
      </c>
      <c r="X2783" s="65">
        <v>1</v>
      </c>
      <c r="Y2783" s="68">
        <v>0.24</v>
      </c>
      <c r="Z2783" s="65" t="b">
        <f>FALSE()</f>
        <v>0</v>
      </c>
      <c r="AA2783" s="65" t="b">
        <f>FALSE()</f>
        <v>0</v>
      </c>
      <c r="AB2783" s="65" t="b">
        <f>FALSE()</f>
        <v>0</v>
      </c>
      <c r="AC2783" s="65" t="b">
        <f>FALSE()</f>
        <v>0</v>
      </c>
      <c r="AD2783" s="65" t="b">
        <f>FALSE()</f>
        <v>0</v>
      </c>
      <c r="AE2783" s="65">
        <v>0</v>
      </c>
      <c r="AF2783" s="69">
        <v>0</v>
      </c>
      <c r="AG2783" s="65" t="s">
        <v>74</v>
      </c>
      <c r="AH2783" s="65" t="s">
        <v>10555</v>
      </c>
      <c r="AI2783">
        <f>IF(AND(OR(Company_Explorer!$B$5="All Companies",$E2783=Company_Explorer!$B$5),OR(Company_Explorer!$B$6="All Platforms",$B2783=Company_Explorer!$B$6),OR(Company_Explorer!$B$7="All Roles",$D2783=Company_Explorer!$B$7),OR(Company_Explorer!$B$8="All Ghost Labels",$AG2783=Company_Explorer!$B$8)),1,0)</f>
        <v>0</v>
      </c>
    </row>
    <row r="2784" spans="1:35" ht="15" customHeight="1" x14ac:dyDescent="0.3">
      <c r="A2784" s="60" t="s">
        <v>10556</v>
      </c>
      <c r="B2784" s="60" t="s">
        <v>82</v>
      </c>
      <c r="C2784" s="60" t="s">
        <v>306</v>
      </c>
      <c r="D2784" s="60" t="s">
        <v>125</v>
      </c>
      <c r="E2784" s="60" t="s">
        <v>10557</v>
      </c>
      <c r="F2784" s="60" t="b">
        <f>TRUE()</f>
        <v>1</v>
      </c>
      <c r="G2784" s="60" t="s">
        <v>165</v>
      </c>
      <c r="H2784" s="60" t="s">
        <v>165</v>
      </c>
      <c r="I2784" s="61">
        <v>46190</v>
      </c>
      <c r="J2784" s="61">
        <v>46210.286484872697</v>
      </c>
      <c r="K2784" s="60">
        <v>21</v>
      </c>
      <c r="L2784" s="60" t="s">
        <v>192</v>
      </c>
      <c r="M2784" s="60" t="s">
        <v>183</v>
      </c>
      <c r="N2784" s="60" t="b">
        <f>FALSE()</f>
        <v>0</v>
      </c>
      <c r="O2784" s="60"/>
      <c r="P2784" s="60"/>
      <c r="Q2784" s="60" t="s">
        <v>3663</v>
      </c>
      <c r="R2784" s="60" t="s">
        <v>236</v>
      </c>
      <c r="S2784" s="60"/>
      <c r="T2784" s="60" t="b">
        <f>FALSE()</f>
        <v>0</v>
      </c>
      <c r="U2784" s="60" t="b">
        <f>FALSE()</f>
        <v>0</v>
      </c>
      <c r="V2784" s="60">
        <v>534</v>
      </c>
      <c r="W2784" s="62" t="s">
        <v>10558</v>
      </c>
      <c r="X2784" s="60">
        <v>1</v>
      </c>
      <c r="Y2784" s="63">
        <v>0.24</v>
      </c>
      <c r="Z2784" s="60" t="b">
        <f>FALSE()</f>
        <v>0</v>
      </c>
      <c r="AA2784" s="60" t="b">
        <f>TRUE()</f>
        <v>1</v>
      </c>
      <c r="AB2784" s="60" t="b">
        <f>FALSE()</f>
        <v>0</v>
      </c>
      <c r="AC2784" s="60" t="b">
        <f>FALSE()</f>
        <v>0</v>
      </c>
      <c r="AD2784" s="60" t="b">
        <f>FALSE()</f>
        <v>0</v>
      </c>
      <c r="AE2784" s="60">
        <v>1</v>
      </c>
      <c r="AF2784" s="64">
        <v>14.3</v>
      </c>
      <c r="AG2784" s="60" t="s">
        <v>74</v>
      </c>
      <c r="AH2784" s="60" t="s">
        <v>10559</v>
      </c>
      <c r="AI2784">
        <f>IF(AND(OR(Company_Explorer!$B$5="All Companies",$E2784=Company_Explorer!$B$5),OR(Company_Explorer!$B$6="All Platforms",$B2784=Company_Explorer!$B$6),OR(Company_Explorer!$B$7="All Roles",$D2784=Company_Explorer!$B$7),OR(Company_Explorer!$B$8="All Ghost Labels",$AG2784=Company_Explorer!$B$8)),1,0)</f>
        <v>0</v>
      </c>
    </row>
    <row r="2785" spans="1:35" ht="15" customHeight="1" x14ac:dyDescent="0.3">
      <c r="A2785" s="65" t="s">
        <v>10560</v>
      </c>
      <c r="B2785" s="65" t="s">
        <v>82</v>
      </c>
      <c r="C2785" s="65" t="s">
        <v>4000</v>
      </c>
      <c r="D2785" s="65" t="s">
        <v>126</v>
      </c>
      <c r="E2785" s="65" t="s">
        <v>10561</v>
      </c>
      <c r="F2785" s="65" t="b">
        <f>TRUE()</f>
        <v>1</v>
      </c>
      <c r="G2785" s="65" t="s">
        <v>165</v>
      </c>
      <c r="H2785" s="65" t="s">
        <v>165</v>
      </c>
      <c r="I2785" s="66">
        <v>46210</v>
      </c>
      <c r="J2785" s="66">
        <v>46210.286487048601</v>
      </c>
      <c r="K2785" s="65">
        <v>0</v>
      </c>
      <c r="L2785" s="65" t="s">
        <v>183</v>
      </c>
      <c r="M2785" s="65" t="s">
        <v>183</v>
      </c>
      <c r="N2785" s="65" t="b">
        <f>FALSE()</f>
        <v>0</v>
      </c>
      <c r="O2785" s="65"/>
      <c r="P2785" s="65"/>
      <c r="Q2785" s="65" t="s">
        <v>3663</v>
      </c>
      <c r="R2785" s="65" t="s">
        <v>236</v>
      </c>
      <c r="S2785" s="65"/>
      <c r="T2785" s="65" t="b">
        <f>FALSE()</f>
        <v>0</v>
      </c>
      <c r="U2785" s="65" t="b">
        <f>FALSE()</f>
        <v>0</v>
      </c>
      <c r="V2785" s="65">
        <v>486</v>
      </c>
      <c r="W2785" s="65" t="s">
        <v>4002</v>
      </c>
      <c r="X2785" s="65">
        <v>1</v>
      </c>
      <c r="Y2785" s="68">
        <v>0.24</v>
      </c>
      <c r="Z2785" s="65" t="b">
        <f>FALSE()</f>
        <v>0</v>
      </c>
      <c r="AA2785" s="65" t="b">
        <f>TRUE()</f>
        <v>1</v>
      </c>
      <c r="AB2785" s="65" t="b">
        <f>FALSE()</f>
        <v>0</v>
      </c>
      <c r="AC2785" s="65" t="b">
        <f>FALSE()</f>
        <v>0</v>
      </c>
      <c r="AD2785" s="65" t="b">
        <f>FALSE()</f>
        <v>0</v>
      </c>
      <c r="AE2785" s="65">
        <v>1</v>
      </c>
      <c r="AF2785" s="69">
        <v>14.3</v>
      </c>
      <c r="AG2785" s="65" t="s">
        <v>74</v>
      </c>
      <c r="AH2785" s="65" t="s">
        <v>10562</v>
      </c>
      <c r="AI2785">
        <f>IF(AND(OR(Company_Explorer!$B$5="All Companies",$E2785=Company_Explorer!$B$5),OR(Company_Explorer!$B$6="All Platforms",$B2785=Company_Explorer!$B$6),OR(Company_Explorer!$B$7="All Roles",$D2785=Company_Explorer!$B$7),OR(Company_Explorer!$B$8="All Ghost Labels",$AG2785=Company_Explorer!$B$8)),1,0)</f>
        <v>0</v>
      </c>
    </row>
    <row r="2786" spans="1:35" ht="15" customHeight="1" x14ac:dyDescent="0.3">
      <c r="A2786" s="60" t="s">
        <v>10563</v>
      </c>
      <c r="B2786" s="60" t="s">
        <v>82</v>
      </c>
      <c r="C2786" s="60" t="s">
        <v>10564</v>
      </c>
      <c r="D2786" s="60" t="s">
        <v>126</v>
      </c>
      <c r="E2786" s="60" t="s">
        <v>10565</v>
      </c>
      <c r="F2786" s="60" t="b">
        <f>TRUE()</f>
        <v>1</v>
      </c>
      <c r="G2786" s="60" t="s">
        <v>167</v>
      </c>
      <c r="H2786" s="60" t="s">
        <v>276</v>
      </c>
      <c r="I2786" s="61">
        <v>46197</v>
      </c>
      <c r="J2786" s="61">
        <v>46210.286488078702</v>
      </c>
      <c r="K2786" s="60">
        <v>13</v>
      </c>
      <c r="L2786" s="60" t="s">
        <v>183</v>
      </c>
      <c r="M2786" s="60" t="s">
        <v>183</v>
      </c>
      <c r="N2786" s="60" t="b">
        <f>TRUE()</f>
        <v>1</v>
      </c>
      <c r="O2786" s="70">
        <v>575000</v>
      </c>
      <c r="P2786" s="70">
        <v>894000</v>
      </c>
      <c r="Q2786" s="60" t="s">
        <v>3663</v>
      </c>
      <c r="R2786" s="60" t="s">
        <v>7351</v>
      </c>
      <c r="S2786" s="70">
        <v>734500</v>
      </c>
      <c r="T2786" s="60" t="b">
        <f>TRUE()</f>
        <v>1</v>
      </c>
      <c r="U2786" s="60" t="b">
        <f>FALSE()</f>
        <v>0</v>
      </c>
      <c r="V2786" s="60">
        <v>465</v>
      </c>
      <c r="W2786" s="62" t="s">
        <v>10566</v>
      </c>
      <c r="X2786" s="60">
        <v>2</v>
      </c>
      <c r="Y2786" s="63">
        <v>0.48</v>
      </c>
      <c r="Z2786" s="60" t="b">
        <f>FALSE()</f>
        <v>0</v>
      </c>
      <c r="AA2786" s="60" t="b">
        <f>FALSE()</f>
        <v>0</v>
      </c>
      <c r="AB2786" s="60" t="b">
        <f>FALSE()</f>
        <v>0</v>
      </c>
      <c r="AC2786" s="60" t="b">
        <f>FALSE()</f>
        <v>0</v>
      </c>
      <c r="AD2786" s="60" t="b">
        <f>FALSE()</f>
        <v>0</v>
      </c>
      <c r="AE2786" s="60">
        <v>0</v>
      </c>
      <c r="AF2786" s="64">
        <v>0</v>
      </c>
      <c r="AG2786" s="60" t="s">
        <v>74</v>
      </c>
      <c r="AH2786" s="60" t="s">
        <v>10567</v>
      </c>
      <c r="AI2786">
        <f>IF(AND(OR(Company_Explorer!$B$5="All Companies",$E2786=Company_Explorer!$B$5),OR(Company_Explorer!$B$6="All Platforms",$B2786=Company_Explorer!$B$6),OR(Company_Explorer!$B$7="All Roles",$D2786=Company_Explorer!$B$7),OR(Company_Explorer!$B$8="All Ghost Labels",$AG2786=Company_Explorer!$B$8)),1,0)</f>
        <v>0</v>
      </c>
    </row>
    <row r="2787" spans="1:35" ht="15" customHeight="1" x14ac:dyDescent="0.3">
      <c r="A2787" s="65" t="s">
        <v>10568</v>
      </c>
      <c r="B2787" s="65" t="s">
        <v>82</v>
      </c>
      <c r="C2787" s="65" t="s">
        <v>5780</v>
      </c>
      <c r="D2787" s="65" t="s">
        <v>127</v>
      </c>
      <c r="E2787" s="65" t="s">
        <v>10569</v>
      </c>
      <c r="F2787" s="65" t="b">
        <f>TRUE()</f>
        <v>1</v>
      </c>
      <c r="G2787" s="65" t="s">
        <v>165</v>
      </c>
      <c r="H2787" s="65" t="s">
        <v>165</v>
      </c>
      <c r="I2787" s="66">
        <v>46200</v>
      </c>
      <c r="J2787" s="66">
        <v>46210.286488321799</v>
      </c>
      <c r="K2787" s="65">
        <v>41</v>
      </c>
      <c r="L2787" s="65" t="s">
        <v>183</v>
      </c>
      <c r="M2787" s="65" t="s">
        <v>183</v>
      </c>
      <c r="N2787" s="65" t="b">
        <f>FALSE()</f>
        <v>0</v>
      </c>
      <c r="O2787" s="65"/>
      <c r="P2787" s="65"/>
      <c r="Q2787" s="65" t="s">
        <v>3663</v>
      </c>
      <c r="R2787" s="65" t="s">
        <v>236</v>
      </c>
      <c r="S2787" s="65"/>
      <c r="T2787" s="65" t="b">
        <f>FALSE()</f>
        <v>0</v>
      </c>
      <c r="U2787" s="65" t="b">
        <f>FALSE()</f>
        <v>0</v>
      </c>
      <c r="V2787" s="65">
        <v>345</v>
      </c>
      <c r="W2787" s="67" t="s">
        <v>10570</v>
      </c>
      <c r="X2787" s="65">
        <v>1</v>
      </c>
      <c r="Y2787" s="68">
        <v>0.24</v>
      </c>
      <c r="Z2787" s="65" t="b">
        <f>FALSE()</f>
        <v>0</v>
      </c>
      <c r="AA2787" s="65" t="b">
        <f>TRUE()</f>
        <v>1</v>
      </c>
      <c r="AB2787" s="65" t="b">
        <f>FALSE()</f>
        <v>0</v>
      </c>
      <c r="AC2787" s="65" t="b">
        <f>FALSE()</f>
        <v>0</v>
      </c>
      <c r="AD2787" s="65" t="b">
        <f>FALSE()</f>
        <v>0</v>
      </c>
      <c r="AE2787" s="65">
        <v>1</v>
      </c>
      <c r="AF2787" s="69">
        <v>14.3</v>
      </c>
      <c r="AG2787" s="65" t="s">
        <v>74</v>
      </c>
      <c r="AH2787" s="65" t="s">
        <v>10571</v>
      </c>
      <c r="AI2787">
        <f>IF(AND(OR(Company_Explorer!$B$5="All Companies",$E2787=Company_Explorer!$B$5),OR(Company_Explorer!$B$6="All Platforms",$B2787=Company_Explorer!$B$6),OR(Company_Explorer!$B$7="All Roles",$D2787=Company_Explorer!$B$7),OR(Company_Explorer!$B$8="All Ghost Labels",$AG2787=Company_Explorer!$B$8)),1,0)</f>
        <v>0</v>
      </c>
    </row>
    <row r="2788" spans="1:35" ht="15" customHeight="1" x14ac:dyDescent="0.3">
      <c r="A2788" s="60" t="s">
        <v>10572</v>
      </c>
      <c r="B2788" s="60" t="s">
        <v>82</v>
      </c>
      <c r="C2788" s="60" t="s">
        <v>10573</v>
      </c>
      <c r="D2788" s="60" t="s">
        <v>127</v>
      </c>
      <c r="E2788" s="60" t="s">
        <v>3726</v>
      </c>
      <c r="F2788" s="60" t="b">
        <f>FALSE()</f>
        <v>0</v>
      </c>
      <c r="G2788" s="60" t="s">
        <v>173</v>
      </c>
      <c r="H2788" s="60" t="s">
        <v>827</v>
      </c>
      <c r="I2788" s="61">
        <v>46190</v>
      </c>
      <c r="J2788" s="61">
        <v>46210.286489583297</v>
      </c>
      <c r="K2788" s="60">
        <v>81</v>
      </c>
      <c r="L2788" s="60" t="s">
        <v>192</v>
      </c>
      <c r="M2788" s="60" t="s">
        <v>183</v>
      </c>
      <c r="N2788" s="60" t="b">
        <f>TRUE()</f>
        <v>1</v>
      </c>
      <c r="O2788" s="70">
        <v>302316</v>
      </c>
      <c r="P2788" s="70">
        <v>1296360</v>
      </c>
      <c r="Q2788" s="60" t="s">
        <v>3663</v>
      </c>
      <c r="R2788" s="60" t="s">
        <v>7351</v>
      </c>
      <c r="S2788" s="70">
        <v>799338</v>
      </c>
      <c r="T2788" s="60" t="b">
        <f>TRUE()</f>
        <v>1</v>
      </c>
      <c r="U2788" s="60" t="b">
        <f>FALSE()</f>
        <v>0</v>
      </c>
      <c r="V2788" s="60">
        <v>213</v>
      </c>
      <c r="W2788" s="62" t="s">
        <v>10574</v>
      </c>
      <c r="X2788" s="60"/>
      <c r="Y2788" s="63"/>
      <c r="Z2788" s="60" t="b">
        <f>TRUE()</f>
        <v>1</v>
      </c>
      <c r="AA2788" s="60" t="b">
        <f>FALSE()</f>
        <v>0</v>
      </c>
      <c r="AB2788" s="60" t="b">
        <f>TRUE()</f>
        <v>1</v>
      </c>
      <c r="AC2788" s="60" t="b">
        <f>FALSE()</f>
        <v>0</v>
      </c>
      <c r="AD2788" s="60" t="b">
        <f>FALSE()</f>
        <v>0</v>
      </c>
      <c r="AE2788" s="60">
        <v>3</v>
      </c>
      <c r="AF2788" s="64">
        <v>42.9</v>
      </c>
      <c r="AG2788" s="60" t="s">
        <v>73</v>
      </c>
      <c r="AH2788" s="60" t="s">
        <v>10575</v>
      </c>
      <c r="AI2788">
        <f>IF(AND(OR(Company_Explorer!$B$5="All Companies",$E2788=Company_Explorer!$B$5),OR(Company_Explorer!$B$6="All Platforms",$B2788=Company_Explorer!$B$6),OR(Company_Explorer!$B$7="All Roles",$D2788=Company_Explorer!$B$7),OR(Company_Explorer!$B$8="All Ghost Labels",$AG2788=Company_Explorer!$B$8)),1,0)</f>
        <v>0</v>
      </c>
    </row>
    <row r="2789" spans="1:35" ht="15" customHeight="1" x14ac:dyDescent="0.3">
      <c r="A2789" s="65" t="s">
        <v>10576</v>
      </c>
      <c r="B2789" s="65" t="s">
        <v>82</v>
      </c>
      <c r="C2789" s="65" t="s">
        <v>2034</v>
      </c>
      <c r="D2789" s="65" t="s">
        <v>130</v>
      </c>
      <c r="E2789" s="65" t="s">
        <v>3726</v>
      </c>
      <c r="F2789" s="65" t="b">
        <f>FALSE()</f>
        <v>0</v>
      </c>
      <c r="G2789" s="65" t="s">
        <v>165</v>
      </c>
      <c r="H2789" s="65" t="s">
        <v>165</v>
      </c>
      <c r="I2789" s="66">
        <v>46210</v>
      </c>
      <c r="J2789" s="66">
        <v>46210.286490081002</v>
      </c>
      <c r="K2789" s="65">
        <v>1</v>
      </c>
      <c r="L2789" s="65" t="s">
        <v>192</v>
      </c>
      <c r="M2789" s="65" t="s">
        <v>183</v>
      </c>
      <c r="N2789" s="65" t="b">
        <f>TRUE()</f>
        <v>1</v>
      </c>
      <c r="O2789" s="71">
        <v>20000</v>
      </c>
      <c r="P2789" s="71">
        <v>30000</v>
      </c>
      <c r="Q2789" s="65" t="s">
        <v>3663</v>
      </c>
      <c r="R2789" s="65" t="s">
        <v>7445</v>
      </c>
      <c r="S2789" s="71">
        <v>300000</v>
      </c>
      <c r="T2789" s="65" t="b">
        <f>TRUE()</f>
        <v>1</v>
      </c>
      <c r="U2789" s="65" t="b">
        <f>FALSE()</f>
        <v>0</v>
      </c>
      <c r="V2789" s="65">
        <v>203</v>
      </c>
      <c r="W2789" s="67" t="s">
        <v>10577</v>
      </c>
      <c r="X2789" s="65"/>
      <c r="Y2789" s="68"/>
      <c r="Z2789" s="65" t="b">
        <f>TRUE()</f>
        <v>1</v>
      </c>
      <c r="AA2789" s="65" t="b">
        <f>FALSE()</f>
        <v>0</v>
      </c>
      <c r="AB2789" s="65" t="b">
        <f>TRUE()</f>
        <v>1</v>
      </c>
      <c r="AC2789" s="65" t="b">
        <f>FALSE()</f>
        <v>0</v>
      </c>
      <c r="AD2789" s="65" t="b">
        <f>FALSE()</f>
        <v>0</v>
      </c>
      <c r="AE2789" s="65">
        <v>3</v>
      </c>
      <c r="AF2789" s="69">
        <v>42.9</v>
      </c>
      <c r="AG2789" s="65" t="s">
        <v>73</v>
      </c>
      <c r="AH2789" s="65" t="s">
        <v>10578</v>
      </c>
      <c r="AI2789">
        <f>IF(AND(OR(Company_Explorer!$B$5="All Companies",$E2789=Company_Explorer!$B$5),OR(Company_Explorer!$B$6="All Platforms",$B2789=Company_Explorer!$B$6),OR(Company_Explorer!$B$7="All Roles",$D2789=Company_Explorer!$B$7),OR(Company_Explorer!$B$8="All Ghost Labels",$AG2789=Company_Explorer!$B$8)),1,0)</f>
        <v>0</v>
      </c>
    </row>
    <row r="2790" spans="1:35" ht="15" customHeight="1" x14ac:dyDescent="0.3">
      <c r="A2790" s="60" t="s">
        <v>10579</v>
      </c>
      <c r="B2790" s="60" t="s">
        <v>82</v>
      </c>
      <c r="C2790" s="60" t="s">
        <v>10580</v>
      </c>
      <c r="D2790" s="60" t="s">
        <v>125</v>
      </c>
      <c r="E2790" s="60" t="s">
        <v>7877</v>
      </c>
      <c r="F2790" s="60" t="b">
        <f>TRUE()</f>
        <v>1</v>
      </c>
      <c r="G2790" s="60" t="s">
        <v>167</v>
      </c>
      <c r="H2790" s="60" t="s">
        <v>276</v>
      </c>
      <c r="I2790" s="61">
        <v>46207</v>
      </c>
      <c r="J2790" s="61">
        <v>46210.286493726897</v>
      </c>
      <c r="K2790" s="60">
        <v>3</v>
      </c>
      <c r="L2790" s="60" t="s">
        <v>192</v>
      </c>
      <c r="M2790" s="60" t="s">
        <v>183</v>
      </c>
      <c r="N2790" s="60" t="b">
        <f>TRUE()</f>
        <v>1</v>
      </c>
      <c r="O2790" s="70">
        <v>600000</v>
      </c>
      <c r="P2790" s="70">
        <v>971527</v>
      </c>
      <c r="Q2790" s="60" t="s">
        <v>3663</v>
      </c>
      <c r="R2790" s="60" t="s">
        <v>7351</v>
      </c>
      <c r="S2790" s="70">
        <v>785764</v>
      </c>
      <c r="T2790" s="60" t="b">
        <f>TRUE()</f>
        <v>1</v>
      </c>
      <c r="U2790" s="60" t="b">
        <f>FALSE()</f>
        <v>0</v>
      </c>
      <c r="V2790" s="60">
        <v>836</v>
      </c>
      <c r="W2790" s="62" t="s">
        <v>7878</v>
      </c>
      <c r="X2790" s="60">
        <v>8</v>
      </c>
      <c r="Y2790" s="63">
        <v>1.93</v>
      </c>
      <c r="Z2790" s="60" t="b">
        <f>FALSE()</f>
        <v>0</v>
      </c>
      <c r="AA2790" s="60" t="b">
        <f>FALSE()</f>
        <v>0</v>
      </c>
      <c r="AB2790" s="60" t="b">
        <f>FALSE()</f>
        <v>0</v>
      </c>
      <c r="AC2790" s="60" t="b">
        <f>FALSE()</f>
        <v>0</v>
      </c>
      <c r="AD2790" s="60" t="b">
        <f>FALSE()</f>
        <v>0</v>
      </c>
      <c r="AE2790" s="60">
        <v>0</v>
      </c>
      <c r="AF2790" s="64">
        <v>0</v>
      </c>
      <c r="AG2790" s="60" t="s">
        <v>74</v>
      </c>
      <c r="AH2790" s="60" t="s">
        <v>10581</v>
      </c>
      <c r="AI2790">
        <f>IF(AND(OR(Company_Explorer!$B$5="All Companies",$E2790=Company_Explorer!$B$5),OR(Company_Explorer!$B$6="All Platforms",$B2790=Company_Explorer!$B$6),OR(Company_Explorer!$B$7="All Roles",$D2790=Company_Explorer!$B$7),OR(Company_Explorer!$B$8="All Ghost Labels",$AG2790=Company_Explorer!$B$8)),1,0)</f>
        <v>0</v>
      </c>
    </row>
    <row r="2791" spans="1:35" ht="15" customHeight="1" x14ac:dyDescent="0.3">
      <c r="A2791" s="65" t="s">
        <v>10582</v>
      </c>
      <c r="B2791" s="65" t="s">
        <v>82</v>
      </c>
      <c r="C2791" s="65" t="s">
        <v>7486</v>
      </c>
      <c r="D2791" s="65" t="s">
        <v>126</v>
      </c>
      <c r="E2791" s="65" t="s">
        <v>9979</v>
      </c>
      <c r="F2791" s="65" t="b">
        <f>TRUE()</f>
        <v>1</v>
      </c>
      <c r="G2791" s="65" t="s">
        <v>167</v>
      </c>
      <c r="H2791" s="65" t="s">
        <v>276</v>
      </c>
      <c r="I2791" s="66">
        <v>46202</v>
      </c>
      <c r="J2791" s="66">
        <v>46210.286493969899</v>
      </c>
      <c r="K2791" s="65">
        <v>129</v>
      </c>
      <c r="L2791" s="65" t="s">
        <v>192</v>
      </c>
      <c r="M2791" s="65" t="s">
        <v>183</v>
      </c>
      <c r="N2791" s="65" t="b">
        <f>TRUE()</f>
        <v>1</v>
      </c>
      <c r="O2791" s="71">
        <v>213000</v>
      </c>
      <c r="P2791" s="71">
        <v>240000</v>
      </c>
      <c r="Q2791" s="65" t="s">
        <v>3663</v>
      </c>
      <c r="R2791" s="65" t="s">
        <v>7351</v>
      </c>
      <c r="S2791" s="71">
        <v>226500</v>
      </c>
      <c r="T2791" s="65" t="b">
        <f>TRUE()</f>
        <v>1</v>
      </c>
      <c r="U2791" s="65" t="b">
        <f>FALSE()</f>
        <v>0</v>
      </c>
      <c r="V2791" s="65">
        <v>186</v>
      </c>
      <c r="W2791" s="67" t="s">
        <v>10583</v>
      </c>
      <c r="X2791" s="65">
        <v>2</v>
      </c>
      <c r="Y2791" s="68">
        <v>0.48</v>
      </c>
      <c r="Z2791" s="65" t="b">
        <f>FALSE()</f>
        <v>0</v>
      </c>
      <c r="AA2791" s="65" t="b">
        <f>FALSE()</f>
        <v>0</v>
      </c>
      <c r="AB2791" s="65" t="b">
        <f>TRUE()</f>
        <v>1</v>
      </c>
      <c r="AC2791" s="65" t="b">
        <f>TRUE()</f>
        <v>1</v>
      </c>
      <c r="AD2791" s="65" t="b">
        <f>FALSE()</f>
        <v>0</v>
      </c>
      <c r="AE2791" s="65">
        <v>2</v>
      </c>
      <c r="AF2791" s="69">
        <v>28.6</v>
      </c>
      <c r="AG2791" s="65" t="s">
        <v>73</v>
      </c>
      <c r="AH2791" s="65" t="s">
        <v>10584</v>
      </c>
      <c r="AI2791">
        <f>IF(AND(OR(Company_Explorer!$B$5="All Companies",$E2791=Company_Explorer!$B$5),OR(Company_Explorer!$B$6="All Platforms",$B2791=Company_Explorer!$B$6),OR(Company_Explorer!$B$7="All Roles",$D2791=Company_Explorer!$B$7),OR(Company_Explorer!$B$8="All Ghost Labels",$AG2791=Company_Explorer!$B$8)),1,0)</f>
        <v>0</v>
      </c>
    </row>
    <row r="2792" spans="1:35" ht="15" customHeight="1" x14ac:dyDescent="0.3">
      <c r="A2792" s="60" t="s">
        <v>10585</v>
      </c>
      <c r="B2792" s="60" t="s">
        <v>82</v>
      </c>
      <c r="C2792" s="60" t="s">
        <v>3976</v>
      </c>
      <c r="D2792" s="60" t="s">
        <v>126</v>
      </c>
      <c r="E2792" s="60" t="s">
        <v>10586</v>
      </c>
      <c r="F2792" s="60" t="b">
        <f>TRUE()</f>
        <v>1</v>
      </c>
      <c r="G2792" s="60" t="s">
        <v>165</v>
      </c>
      <c r="H2792" s="60" t="s">
        <v>165</v>
      </c>
      <c r="I2792" s="61">
        <v>46210</v>
      </c>
      <c r="J2792" s="61">
        <v>46210.286494606502</v>
      </c>
      <c r="K2792" s="60">
        <v>0</v>
      </c>
      <c r="L2792" s="60" t="s">
        <v>192</v>
      </c>
      <c r="M2792" s="60" t="s">
        <v>183</v>
      </c>
      <c r="N2792" s="60" t="b">
        <f>FALSE()</f>
        <v>0</v>
      </c>
      <c r="O2792" s="60"/>
      <c r="P2792" s="60"/>
      <c r="Q2792" s="60" t="s">
        <v>3663</v>
      </c>
      <c r="R2792" s="60" t="s">
        <v>236</v>
      </c>
      <c r="S2792" s="60"/>
      <c r="T2792" s="60" t="b">
        <f>FALSE()</f>
        <v>0</v>
      </c>
      <c r="U2792" s="60" t="b">
        <f>FALSE()</f>
        <v>0</v>
      </c>
      <c r="V2792" s="60">
        <v>1204</v>
      </c>
      <c r="W2792" s="60" t="s">
        <v>3489</v>
      </c>
      <c r="X2792" s="60">
        <v>1</v>
      </c>
      <c r="Y2792" s="63">
        <v>0.24</v>
      </c>
      <c r="Z2792" s="60" t="b">
        <f>FALSE()</f>
        <v>0</v>
      </c>
      <c r="AA2792" s="60" t="b">
        <f>TRUE()</f>
        <v>1</v>
      </c>
      <c r="AB2792" s="60" t="b">
        <f>FALSE()</f>
        <v>0</v>
      </c>
      <c r="AC2792" s="60" t="b">
        <f>FALSE()</f>
        <v>0</v>
      </c>
      <c r="AD2792" s="60" t="b">
        <f>FALSE()</f>
        <v>0</v>
      </c>
      <c r="AE2792" s="60">
        <v>1</v>
      </c>
      <c r="AF2792" s="64">
        <v>14.3</v>
      </c>
      <c r="AG2792" s="60" t="s">
        <v>74</v>
      </c>
      <c r="AH2792" s="60" t="s">
        <v>10587</v>
      </c>
      <c r="AI2792">
        <f>IF(AND(OR(Company_Explorer!$B$5="All Companies",$E2792=Company_Explorer!$B$5),OR(Company_Explorer!$B$6="All Platforms",$B2792=Company_Explorer!$B$6),OR(Company_Explorer!$B$7="All Roles",$D2792=Company_Explorer!$B$7),OR(Company_Explorer!$B$8="All Ghost Labels",$AG2792=Company_Explorer!$B$8)),1,0)</f>
        <v>0</v>
      </c>
    </row>
    <row r="2793" spans="1:35" ht="15" customHeight="1" x14ac:dyDescent="0.3">
      <c r="A2793" s="65" t="s">
        <v>10588</v>
      </c>
      <c r="B2793" s="65" t="s">
        <v>82</v>
      </c>
      <c r="C2793" s="65" t="s">
        <v>127</v>
      </c>
      <c r="D2793" s="65" t="s">
        <v>127</v>
      </c>
      <c r="E2793" s="65" t="s">
        <v>7796</v>
      </c>
      <c r="F2793" s="65" t="b">
        <f>TRUE()</f>
        <v>1</v>
      </c>
      <c r="G2793" s="65" t="s">
        <v>166</v>
      </c>
      <c r="H2793" s="65" t="s">
        <v>235</v>
      </c>
      <c r="I2793" s="66">
        <v>46190</v>
      </c>
      <c r="J2793" s="66">
        <v>46210.286496168999</v>
      </c>
      <c r="K2793" s="65">
        <v>20</v>
      </c>
      <c r="L2793" s="65" t="s">
        <v>192</v>
      </c>
      <c r="M2793" s="65" t="s">
        <v>183</v>
      </c>
      <c r="N2793" s="65" t="b">
        <f>FALSE()</f>
        <v>0</v>
      </c>
      <c r="O2793" s="65"/>
      <c r="P2793" s="65"/>
      <c r="Q2793" s="65" t="s">
        <v>3663</v>
      </c>
      <c r="R2793" s="65" t="s">
        <v>236</v>
      </c>
      <c r="S2793" s="65"/>
      <c r="T2793" s="65" t="b">
        <f>FALSE()</f>
        <v>0</v>
      </c>
      <c r="U2793" s="65" t="b">
        <f>FALSE()</f>
        <v>0</v>
      </c>
      <c r="V2793" s="65">
        <v>869</v>
      </c>
      <c r="W2793" s="67" t="s">
        <v>10589</v>
      </c>
      <c r="X2793" s="65">
        <v>4</v>
      </c>
      <c r="Y2793" s="68">
        <v>0.97</v>
      </c>
      <c r="Z2793" s="65" t="b">
        <f>FALSE()</f>
        <v>0</v>
      </c>
      <c r="AA2793" s="65" t="b">
        <f>TRUE()</f>
        <v>1</v>
      </c>
      <c r="AB2793" s="65" t="b">
        <f>FALSE()</f>
        <v>0</v>
      </c>
      <c r="AC2793" s="65" t="b">
        <f>FALSE()</f>
        <v>0</v>
      </c>
      <c r="AD2793" s="65" t="b">
        <f>FALSE()</f>
        <v>0</v>
      </c>
      <c r="AE2793" s="65">
        <v>1</v>
      </c>
      <c r="AF2793" s="69">
        <v>14.3</v>
      </c>
      <c r="AG2793" s="65" t="s">
        <v>74</v>
      </c>
      <c r="AH2793" s="65" t="s">
        <v>10590</v>
      </c>
      <c r="AI2793">
        <f>IF(AND(OR(Company_Explorer!$B$5="All Companies",$E2793=Company_Explorer!$B$5),OR(Company_Explorer!$B$6="All Platforms",$B2793=Company_Explorer!$B$6),OR(Company_Explorer!$B$7="All Roles",$D2793=Company_Explorer!$B$7),OR(Company_Explorer!$B$8="All Ghost Labels",$AG2793=Company_Explorer!$B$8)),1,0)</f>
        <v>0</v>
      </c>
    </row>
    <row r="2794" spans="1:35" ht="15" customHeight="1" x14ac:dyDescent="0.3">
      <c r="A2794" s="60" t="s">
        <v>10591</v>
      </c>
      <c r="B2794" s="60" t="s">
        <v>82</v>
      </c>
      <c r="C2794" s="60" t="s">
        <v>10592</v>
      </c>
      <c r="D2794" s="60" t="s">
        <v>127</v>
      </c>
      <c r="E2794" s="60" t="s">
        <v>8422</v>
      </c>
      <c r="F2794" s="60" t="b">
        <f>TRUE()</f>
        <v>1</v>
      </c>
      <c r="G2794" s="60" t="s">
        <v>167</v>
      </c>
      <c r="H2794" s="60" t="s">
        <v>276</v>
      </c>
      <c r="I2794" s="61">
        <v>46184</v>
      </c>
      <c r="J2794" s="61">
        <v>46210.286499120397</v>
      </c>
      <c r="K2794" s="60">
        <v>26</v>
      </c>
      <c r="L2794" s="60" t="s">
        <v>192</v>
      </c>
      <c r="M2794" s="60" t="s">
        <v>183</v>
      </c>
      <c r="N2794" s="60" t="b">
        <f>TRUE()</f>
        <v>1</v>
      </c>
      <c r="O2794" s="70">
        <v>250000</v>
      </c>
      <c r="P2794" s="70">
        <v>625000</v>
      </c>
      <c r="Q2794" s="60" t="s">
        <v>3663</v>
      </c>
      <c r="R2794" s="60" t="s">
        <v>7351</v>
      </c>
      <c r="S2794" s="70">
        <v>437500</v>
      </c>
      <c r="T2794" s="60" t="b">
        <f>TRUE()</f>
        <v>1</v>
      </c>
      <c r="U2794" s="60" t="b">
        <f>FALSE()</f>
        <v>0</v>
      </c>
      <c r="V2794" s="60">
        <v>279</v>
      </c>
      <c r="W2794" s="62" t="s">
        <v>10593</v>
      </c>
      <c r="X2794" s="60">
        <v>3</v>
      </c>
      <c r="Y2794" s="63">
        <v>0.72</v>
      </c>
      <c r="Z2794" s="60" t="b">
        <f>FALSE()</f>
        <v>0</v>
      </c>
      <c r="AA2794" s="60" t="b">
        <f>FALSE()</f>
        <v>0</v>
      </c>
      <c r="AB2794" s="60" t="b">
        <f>FALSE()</f>
        <v>0</v>
      </c>
      <c r="AC2794" s="60" t="b">
        <f>FALSE()</f>
        <v>0</v>
      </c>
      <c r="AD2794" s="60" t="b">
        <f>FALSE()</f>
        <v>0</v>
      </c>
      <c r="AE2794" s="60">
        <v>0</v>
      </c>
      <c r="AF2794" s="64">
        <v>0</v>
      </c>
      <c r="AG2794" s="60" t="s">
        <v>74</v>
      </c>
      <c r="AH2794" s="60" t="s">
        <v>10594</v>
      </c>
      <c r="AI2794">
        <f>IF(AND(OR(Company_Explorer!$B$5="All Companies",$E2794=Company_Explorer!$B$5),OR(Company_Explorer!$B$6="All Platforms",$B2794=Company_Explorer!$B$6),OR(Company_Explorer!$B$7="All Roles",$D2794=Company_Explorer!$B$7),OR(Company_Explorer!$B$8="All Ghost Labels",$AG2794=Company_Explorer!$B$8)),1,0)</f>
        <v>0</v>
      </c>
    </row>
    <row r="2795" spans="1:35" ht="15" customHeight="1" x14ac:dyDescent="0.3">
      <c r="A2795" s="65" t="s">
        <v>10595</v>
      </c>
      <c r="B2795" s="65" t="s">
        <v>82</v>
      </c>
      <c r="C2795" s="65" t="s">
        <v>4476</v>
      </c>
      <c r="D2795" s="65" t="s">
        <v>125</v>
      </c>
      <c r="E2795" s="65" t="s">
        <v>10596</v>
      </c>
      <c r="F2795" s="65" t="b">
        <f>TRUE()</f>
        <v>1</v>
      </c>
      <c r="G2795" s="65" t="s">
        <v>165</v>
      </c>
      <c r="H2795" s="65" t="s">
        <v>165</v>
      </c>
      <c r="I2795" s="66">
        <v>46211</v>
      </c>
      <c r="J2795" s="66">
        <v>46210.286501979201</v>
      </c>
      <c r="K2795" s="65">
        <v>0</v>
      </c>
      <c r="L2795" s="65" t="s">
        <v>192</v>
      </c>
      <c r="M2795" s="65" t="s">
        <v>183</v>
      </c>
      <c r="N2795" s="65" t="b">
        <f>FALSE()</f>
        <v>0</v>
      </c>
      <c r="O2795" s="65"/>
      <c r="P2795" s="65"/>
      <c r="Q2795" s="65" t="s">
        <v>3663</v>
      </c>
      <c r="R2795" s="65" t="s">
        <v>236</v>
      </c>
      <c r="S2795" s="65"/>
      <c r="T2795" s="65" t="b">
        <f>FALSE()</f>
        <v>0</v>
      </c>
      <c r="U2795" s="65" t="b">
        <f>FALSE()</f>
        <v>0</v>
      </c>
      <c r="V2795" s="65">
        <v>83</v>
      </c>
      <c r="W2795" s="67" t="s">
        <v>4478</v>
      </c>
      <c r="X2795" s="65">
        <v>1</v>
      </c>
      <c r="Y2795" s="68">
        <v>0.24</v>
      </c>
      <c r="Z2795" s="65" t="b">
        <f>FALSE()</f>
        <v>0</v>
      </c>
      <c r="AA2795" s="65" t="b">
        <f>TRUE()</f>
        <v>1</v>
      </c>
      <c r="AB2795" s="65" t="b">
        <f>TRUE()</f>
        <v>1</v>
      </c>
      <c r="AC2795" s="65" t="b">
        <f>FALSE()</f>
        <v>0</v>
      </c>
      <c r="AD2795" s="65" t="b">
        <f>FALSE()</f>
        <v>0</v>
      </c>
      <c r="AE2795" s="65">
        <v>2</v>
      </c>
      <c r="AF2795" s="69">
        <v>28.6</v>
      </c>
      <c r="AG2795" s="65" t="s">
        <v>73</v>
      </c>
      <c r="AH2795" s="65" t="s">
        <v>10597</v>
      </c>
      <c r="AI2795">
        <f>IF(AND(OR(Company_Explorer!$B$5="All Companies",$E2795=Company_Explorer!$B$5),OR(Company_Explorer!$B$6="All Platforms",$B2795=Company_Explorer!$B$6),OR(Company_Explorer!$B$7="All Roles",$D2795=Company_Explorer!$B$7),OR(Company_Explorer!$B$8="All Ghost Labels",$AG2795=Company_Explorer!$B$8)),1,0)</f>
        <v>0</v>
      </c>
    </row>
    <row r="2796" spans="1:35" ht="15" customHeight="1" x14ac:dyDescent="0.3">
      <c r="A2796" s="60" t="s">
        <v>10598</v>
      </c>
      <c r="B2796" s="60" t="s">
        <v>82</v>
      </c>
      <c r="C2796" s="60" t="s">
        <v>10599</v>
      </c>
      <c r="D2796" s="60" t="s">
        <v>126</v>
      </c>
      <c r="E2796" s="60" t="s">
        <v>7491</v>
      </c>
      <c r="F2796" s="60" t="b">
        <f>TRUE()</f>
        <v>1</v>
      </c>
      <c r="G2796" s="60" t="s">
        <v>7492</v>
      </c>
      <c r="H2796" s="60" t="s">
        <v>754</v>
      </c>
      <c r="I2796" s="61">
        <v>46206</v>
      </c>
      <c r="J2796" s="61">
        <v>46210.286502129602</v>
      </c>
      <c r="K2796" s="60">
        <v>34</v>
      </c>
      <c r="L2796" s="60" t="s">
        <v>192</v>
      </c>
      <c r="M2796" s="60" t="s">
        <v>183</v>
      </c>
      <c r="N2796" s="60" t="b">
        <f>FALSE()</f>
        <v>0</v>
      </c>
      <c r="O2796" s="60"/>
      <c r="P2796" s="60"/>
      <c r="Q2796" s="60" t="s">
        <v>3663</v>
      </c>
      <c r="R2796" s="60" t="s">
        <v>236</v>
      </c>
      <c r="S2796" s="60"/>
      <c r="T2796" s="60" t="b">
        <f>FALSE()</f>
        <v>0</v>
      </c>
      <c r="U2796" s="60" t="b">
        <f>FALSE()</f>
        <v>0</v>
      </c>
      <c r="V2796" s="60">
        <v>597</v>
      </c>
      <c r="W2796" s="62" t="s">
        <v>10600</v>
      </c>
      <c r="X2796" s="60">
        <v>6</v>
      </c>
      <c r="Y2796" s="63">
        <v>1.45</v>
      </c>
      <c r="Z2796" s="60" t="b">
        <f>FALSE()</f>
        <v>0</v>
      </c>
      <c r="AA2796" s="60" t="b">
        <f>TRUE()</f>
        <v>1</v>
      </c>
      <c r="AB2796" s="60" t="b">
        <f>FALSE()</f>
        <v>0</v>
      </c>
      <c r="AC2796" s="60" t="b">
        <f>FALSE()</f>
        <v>0</v>
      </c>
      <c r="AD2796" s="60" t="b">
        <f>FALSE()</f>
        <v>0</v>
      </c>
      <c r="AE2796" s="60">
        <v>1</v>
      </c>
      <c r="AF2796" s="64">
        <v>14.3</v>
      </c>
      <c r="AG2796" s="60" t="s">
        <v>74</v>
      </c>
      <c r="AH2796" s="60" t="s">
        <v>10601</v>
      </c>
      <c r="AI2796">
        <f>IF(AND(OR(Company_Explorer!$B$5="All Companies",$E2796=Company_Explorer!$B$5),OR(Company_Explorer!$B$6="All Platforms",$B2796=Company_Explorer!$B$6),OR(Company_Explorer!$B$7="All Roles",$D2796=Company_Explorer!$B$7),OR(Company_Explorer!$B$8="All Ghost Labels",$AG2796=Company_Explorer!$B$8)),1,0)</f>
        <v>0</v>
      </c>
    </row>
    <row r="2797" spans="1:35" ht="15" customHeight="1" x14ac:dyDescent="0.3">
      <c r="A2797" s="65" t="s">
        <v>10602</v>
      </c>
      <c r="B2797" s="65" t="s">
        <v>82</v>
      </c>
      <c r="C2797" s="65" t="s">
        <v>127</v>
      </c>
      <c r="D2797" s="65" t="s">
        <v>127</v>
      </c>
      <c r="E2797" s="65" t="s">
        <v>3726</v>
      </c>
      <c r="F2797" s="65" t="b">
        <f>FALSE()</f>
        <v>0</v>
      </c>
      <c r="G2797" s="65" t="s">
        <v>171</v>
      </c>
      <c r="H2797" s="65" t="s">
        <v>254</v>
      </c>
      <c r="I2797" s="66">
        <v>46197</v>
      </c>
      <c r="J2797" s="66">
        <v>46210.2865022107</v>
      </c>
      <c r="K2797" s="65">
        <v>13</v>
      </c>
      <c r="L2797" s="65" t="s">
        <v>192</v>
      </c>
      <c r="M2797" s="65" t="s">
        <v>183</v>
      </c>
      <c r="N2797" s="65" t="b">
        <f>TRUE()</f>
        <v>1</v>
      </c>
      <c r="O2797" s="71">
        <v>300000</v>
      </c>
      <c r="P2797" s="71">
        <v>600000</v>
      </c>
      <c r="Q2797" s="65" t="s">
        <v>3663</v>
      </c>
      <c r="R2797" s="65" t="s">
        <v>7351</v>
      </c>
      <c r="S2797" s="71">
        <v>450000</v>
      </c>
      <c r="T2797" s="65" t="b">
        <f>TRUE()</f>
        <v>1</v>
      </c>
      <c r="U2797" s="65" t="b">
        <f>FALSE()</f>
        <v>0</v>
      </c>
      <c r="V2797" s="65">
        <v>348</v>
      </c>
      <c r="W2797" s="67" t="s">
        <v>10603</v>
      </c>
      <c r="X2797" s="65"/>
      <c r="Y2797" s="68"/>
      <c r="Z2797" s="65" t="b">
        <f>TRUE()</f>
        <v>1</v>
      </c>
      <c r="AA2797" s="65" t="b">
        <f>FALSE()</f>
        <v>0</v>
      </c>
      <c r="AB2797" s="65" t="b">
        <f>FALSE()</f>
        <v>0</v>
      </c>
      <c r="AC2797" s="65" t="b">
        <f>FALSE()</f>
        <v>0</v>
      </c>
      <c r="AD2797" s="65" t="b">
        <f>FALSE()</f>
        <v>0</v>
      </c>
      <c r="AE2797" s="65">
        <v>2</v>
      </c>
      <c r="AF2797" s="69">
        <v>28.6</v>
      </c>
      <c r="AG2797" s="65" t="s">
        <v>73</v>
      </c>
      <c r="AH2797" s="65" t="s">
        <v>10604</v>
      </c>
      <c r="AI2797">
        <f>IF(AND(OR(Company_Explorer!$B$5="All Companies",$E2797=Company_Explorer!$B$5),OR(Company_Explorer!$B$6="All Platforms",$B2797=Company_Explorer!$B$6),OR(Company_Explorer!$B$7="All Roles",$D2797=Company_Explorer!$B$7),OR(Company_Explorer!$B$8="All Ghost Labels",$AG2797=Company_Explorer!$B$8)),1,0)</f>
        <v>0</v>
      </c>
    </row>
    <row r="2798" spans="1:35" ht="15" customHeight="1" x14ac:dyDescent="0.3">
      <c r="A2798" s="60" t="s">
        <v>10605</v>
      </c>
      <c r="B2798" s="60" t="s">
        <v>82</v>
      </c>
      <c r="C2798" s="60" t="s">
        <v>10606</v>
      </c>
      <c r="D2798" s="60" t="s">
        <v>127</v>
      </c>
      <c r="E2798" s="60" t="s">
        <v>10607</v>
      </c>
      <c r="F2798" s="60" t="b">
        <f>TRUE()</f>
        <v>1</v>
      </c>
      <c r="G2798" s="60" t="s">
        <v>165</v>
      </c>
      <c r="H2798" s="60" t="s">
        <v>165</v>
      </c>
      <c r="I2798" s="61">
        <v>46185</v>
      </c>
      <c r="J2798" s="61">
        <v>46210.286503738404</v>
      </c>
      <c r="K2798" s="60">
        <v>25</v>
      </c>
      <c r="L2798" s="60" t="s">
        <v>183</v>
      </c>
      <c r="M2798" s="60" t="s">
        <v>183</v>
      </c>
      <c r="N2798" s="60" t="b">
        <f>FALSE()</f>
        <v>0</v>
      </c>
      <c r="O2798" s="60"/>
      <c r="P2798" s="60"/>
      <c r="Q2798" s="60" t="s">
        <v>3663</v>
      </c>
      <c r="R2798" s="60" t="s">
        <v>236</v>
      </c>
      <c r="S2798" s="60"/>
      <c r="T2798" s="60" t="b">
        <f>FALSE()</f>
        <v>0</v>
      </c>
      <c r="U2798" s="60" t="b">
        <f>FALSE()</f>
        <v>0</v>
      </c>
      <c r="V2798" s="60">
        <v>678</v>
      </c>
      <c r="W2798" s="62" t="s">
        <v>10608</v>
      </c>
      <c r="X2798" s="60">
        <v>1</v>
      </c>
      <c r="Y2798" s="63">
        <v>0.24</v>
      </c>
      <c r="Z2798" s="60" t="b">
        <f>FALSE()</f>
        <v>0</v>
      </c>
      <c r="AA2798" s="60" t="b">
        <f>TRUE()</f>
        <v>1</v>
      </c>
      <c r="AB2798" s="60" t="b">
        <f>FALSE()</f>
        <v>0</v>
      </c>
      <c r="AC2798" s="60" t="b">
        <f>FALSE()</f>
        <v>0</v>
      </c>
      <c r="AD2798" s="60" t="b">
        <f>FALSE()</f>
        <v>0</v>
      </c>
      <c r="AE2798" s="60">
        <v>1</v>
      </c>
      <c r="AF2798" s="64">
        <v>14.3</v>
      </c>
      <c r="AG2798" s="60" t="s">
        <v>74</v>
      </c>
      <c r="AH2798" s="60" t="s">
        <v>10609</v>
      </c>
      <c r="AI2798">
        <f>IF(AND(OR(Company_Explorer!$B$5="All Companies",$E2798=Company_Explorer!$B$5),OR(Company_Explorer!$B$6="All Platforms",$B2798=Company_Explorer!$B$6),OR(Company_Explorer!$B$7="All Roles",$D2798=Company_Explorer!$B$7),OR(Company_Explorer!$B$8="All Ghost Labels",$AG2798=Company_Explorer!$B$8)),1,0)</f>
        <v>0</v>
      </c>
    </row>
    <row r="2799" spans="1:35" ht="15" customHeight="1" x14ac:dyDescent="0.3">
      <c r="A2799" s="65" t="s">
        <v>10610</v>
      </c>
      <c r="B2799" s="65" t="s">
        <v>82</v>
      </c>
      <c r="C2799" s="65" t="s">
        <v>10611</v>
      </c>
      <c r="D2799" s="65" t="s">
        <v>126</v>
      </c>
      <c r="E2799" s="65" t="s">
        <v>10612</v>
      </c>
      <c r="F2799" s="65" t="b">
        <f>TRUE()</f>
        <v>1</v>
      </c>
      <c r="G2799" s="65" t="s">
        <v>166</v>
      </c>
      <c r="H2799" s="65" t="s">
        <v>235</v>
      </c>
      <c r="I2799" s="66">
        <v>46191</v>
      </c>
      <c r="J2799" s="66">
        <v>46210.286503703697</v>
      </c>
      <c r="K2799" s="65">
        <v>19</v>
      </c>
      <c r="L2799" s="65" t="s">
        <v>183</v>
      </c>
      <c r="M2799" s="65" t="s">
        <v>183</v>
      </c>
      <c r="N2799" s="65" t="b">
        <f>TRUE()</f>
        <v>1</v>
      </c>
      <c r="O2799" s="71">
        <v>400000</v>
      </c>
      <c r="P2799" s="71">
        <v>444167</v>
      </c>
      <c r="Q2799" s="65" t="s">
        <v>3663</v>
      </c>
      <c r="R2799" s="65" t="s">
        <v>7351</v>
      </c>
      <c r="S2799" s="71">
        <v>422084</v>
      </c>
      <c r="T2799" s="65" t="b">
        <f>TRUE()</f>
        <v>1</v>
      </c>
      <c r="U2799" s="65" t="b">
        <f>FALSE()</f>
        <v>0</v>
      </c>
      <c r="V2799" s="65">
        <v>770</v>
      </c>
      <c r="W2799" s="65" t="s">
        <v>10613</v>
      </c>
      <c r="X2799" s="65">
        <v>2</v>
      </c>
      <c r="Y2799" s="68">
        <v>0.48</v>
      </c>
      <c r="Z2799" s="65" t="b">
        <f>FALSE()</f>
        <v>0</v>
      </c>
      <c r="AA2799" s="65" t="b">
        <f>FALSE()</f>
        <v>0</v>
      </c>
      <c r="AB2799" s="65" t="b">
        <f>FALSE()</f>
        <v>0</v>
      </c>
      <c r="AC2799" s="65" t="b">
        <f>FALSE()</f>
        <v>0</v>
      </c>
      <c r="AD2799" s="65" t="b">
        <f>FALSE()</f>
        <v>0</v>
      </c>
      <c r="AE2799" s="65">
        <v>0</v>
      </c>
      <c r="AF2799" s="69">
        <v>0</v>
      </c>
      <c r="AG2799" s="65" t="s">
        <v>74</v>
      </c>
      <c r="AH2799" s="65" t="s">
        <v>10614</v>
      </c>
      <c r="AI2799">
        <f>IF(AND(OR(Company_Explorer!$B$5="All Companies",$E2799=Company_Explorer!$B$5),OR(Company_Explorer!$B$6="All Platforms",$B2799=Company_Explorer!$B$6),OR(Company_Explorer!$B$7="All Roles",$D2799=Company_Explorer!$B$7),OR(Company_Explorer!$B$8="All Ghost Labels",$AG2799=Company_Explorer!$B$8)),1,0)</f>
        <v>0</v>
      </c>
    </row>
    <row r="2800" spans="1:35" ht="15" customHeight="1" x14ac:dyDescent="0.3">
      <c r="A2800" s="60" t="s">
        <v>10615</v>
      </c>
      <c r="B2800" s="60" t="s">
        <v>82</v>
      </c>
      <c r="C2800" s="60" t="s">
        <v>127</v>
      </c>
      <c r="D2800" s="60" t="s">
        <v>127</v>
      </c>
      <c r="E2800" s="60" t="s">
        <v>7988</v>
      </c>
      <c r="F2800" s="60" t="b">
        <f>TRUE()</f>
        <v>1</v>
      </c>
      <c r="G2800" s="60" t="s">
        <v>166</v>
      </c>
      <c r="H2800" s="60" t="s">
        <v>235</v>
      </c>
      <c r="I2800" s="61">
        <v>46186</v>
      </c>
      <c r="J2800" s="61">
        <v>46210.286505625001</v>
      </c>
      <c r="K2800" s="60">
        <v>24</v>
      </c>
      <c r="L2800" s="60" t="s">
        <v>192</v>
      </c>
      <c r="M2800" s="60" t="s">
        <v>183</v>
      </c>
      <c r="N2800" s="60" t="b">
        <f>FALSE()</f>
        <v>0</v>
      </c>
      <c r="O2800" s="60"/>
      <c r="P2800" s="60"/>
      <c r="Q2800" s="60" t="s">
        <v>3663</v>
      </c>
      <c r="R2800" s="60" t="s">
        <v>236</v>
      </c>
      <c r="S2800" s="60"/>
      <c r="T2800" s="60" t="b">
        <f>FALSE()</f>
        <v>0</v>
      </c>
      <c r="U2800" s="60" t="b">
        <f>FALSE()</f>
        <v>0</v>
      </c>
      <c r="V2800" s="60">
        <v>309</v>
      </c>
      <c r="W2800" s="62" t="s">
        <v>10616</v>
      </c>
      <c r="X2800" s="60">
        <v>2</v>
      </c>
      <c r="Y2800" s="63">
        <v>0.48</v>
      </c>
      <c r="Z2800" s="60" t="b">
        <f>FALSE()</f>
        <v>0</v>
      </c>
      <c r="AA2800" s="60" t="b">
        <f>TRUE()</f>
        <v>1</v>
      </c>
      <c r="AB2800" s="60" t="b">
        <f>FALSE()</f>
        <v>0</v>
      </c>
      <c r="AC2800" s="60" t="b">
        <f>FALSE()</f>
        <v>0</v>
      </c>
      <c r="AD2800" s="60" t="b">
        <f>FALSE()</f>
        <v>0</v>
      </c>
      <c r="AE2800" s="60">
        <v>1</v>
      </c>
      <c r="AF2800" s="64">
        <v>14.3</v>
      </c>
      <c r="AG2800" s="60" t="s">
        <v>74</v>
      </c>
      <c r="AH2800" s="60" t="s">
        <v>10617</v>
      </c>
      <c r="AI2800">
        <f>IF(AND(OR(Company_Explorer!$B$5="All Companies",$E2800=Company_Explorer!$B$5),OR(Company_Explorer!$B$6="All Platforms",$B2800=Company_Explorer!$B$6),OR(Company_Explorer!$B$7="All Roles",$D2800=Company_Explorer!$B$7),OR(Company_Explorer!$B$8="All Ghost Labels",$AG2800=Company_Explorer!$B$8)),1,0)</f>
        <v>0</v>
      </c>
    </row>
    <row r="2801" spans="1:35" ht="15" customHeight="1" x14ac:dyDescent="0.3">
      <c r="A2801" s="65" t="s">
        <v>10618</v>
      </c>
      <c r="B2801" s="65" t="s">
        <v>82</v>
      </c>
      <c r="C2801" s="65" t="s">
        <v>10619</v>
      </c>
      <c r="D2801" s="65" t="s">
        <v>127</v>
      </c>
      <c r="E2801" s="65" t="s">
        <v>10620</v>
      </c>
      <c r="F2801" s="65" t="b">
        <f>TRUE()</f>
        <v>1</v>
      </c>
      <c r="G2801" s="65" t="s">
        <v>165</v>
      </c>
      <c r="H2801" s="65" t="s">
        <v>165</v>
      </c>
      <c r="I2801" s="66">
        <v>46186</v>
      </c>
      <c r="J2801" s="66">
        <v>46210.286507013901</v>
      </c>
      <c r="K2801" s="65">
        <v>55</v>
      </c>
      <c r="L2801" s="65" t="s">
        <v>192</v>
      </c>
      <c r="M2801" s="65" t="s">
        <v>183</v>
      </c>
      <c r="N2801" s="65" t="b">
        <f>FALSE()</f>
        <v>0</v>
      </c>
      <c r="O2801" s="65"/>
      <c r="P2801" s="65"/>
      <c r="Q2801" s="65" t="s">
        <v>3663</v>
      </c>
      <c r="R2801" s="65" t="s">
        <v>236</v>
      </c>
      <c r="S2801" s="65"/>
      <c r="T2801" s="65" t="b">
        <f>FALSE()</f>
        <v>0</v>
      </c>
      <c r="U2801" s="65" t="b">
        <f>FALSE()</f>
        <v>0</v>
      </c>
      <c r="V2801" s="65">
        <v>260</v>
      </c>
      <c r="W2801" s="67" t="s">
        <v>10621</v>
      </c>
      <c r="X2801" s="65">
        <v>1</v>
      </c>
      <c r="Y2801" s="68">
        <v>0.24</v>
      </c>
      <c r="Z2801" s="65" t="b">
        <f>FALSE()</f>
        <v>0</v>
      </c>
      <c r="AA2801" s="65" t="b">
        <f>TRUE()</f>
        <v>1</v>
      </c>
      <c r="AB2801" s="65" t="b">
        <f>FALSE()</f>
        <v>0</v>
      </c>
      <c r="AC2801" s="65" t="b">
        <f>FALSE()</f>
        <v>0</v>
      </c>
      <c r="AD2801" s="65" t="b">
        <f>FALSE()</f>
        <v>0</v>
      </c>
      <c r="AE2801" s="65">
        <v>1</v>
      </c>
      <c r="AF2801" s="69">
        <v>14.3</v>
      </c>
      <c r="AG2801" s="65" t="s">
        <v>74</v>
      </c>
      <c r="AH2801" s="65" t="s">
        <v>10622</v>
      </c>
      <c r="AI2801">
        <f>IF(AND(OR(Company_Explorer!$B$5="All Companies",$E2801=Company_Explorer!$B$5),OR(Company_Explorer!$B$6="All Platforms",$B2801=Company_Explorer!$B$6),OR(Company_Explorer!$B$7="All Roles",$D2801=Company_Explorer!$B$7),OR(Company_Explorer!$B$8="All Ghost Labels",$AG2801=Company_Explorer!$B$8)),1,0)</f>
        <v>0</v>
      </c>
    </row>
    <row r="2802" spans="1:35" ht="15" customHeight="1" x14ac:dyDescent="0.3">
      <c r="A2802" s="60" t="s">
        <v>10623</v>
      </c>
      <c r="B2802" s="60" t="s">
        <v>82</v>
      </c>
      <c r="C2802" s="60" t="s">
        <v>10624</v>
      </c>
      <c r="D2802" s="60" t="s">
        <v>126</v>
      </c>
      <c r="E2802" s="60" t="s">
        <v>10625</v>
      </c>
      <c r="F2802" s="60" t="b">
        <f>TRUE()</f>
        <v>1</v>
      </c>
      <c r="G2802" s="60" t="s">
        <v>165</v>
      </c>
      <c r="H2802" s="60" t="s">
        <v>165</v>
      </c>
      <c r="I2802" s="61">
        <v>46192</v>
      </c>
      <c r="J2802" s="61">
        <v>46210.286507199096</v>
      </c>
      <c r="K2802" s="60">
        <v>18</v>
      </c>
      <c r="L2802" s="60" t="s">
        <v>183</v>
      </c>
      <c r="M2802" s="60" t="s">
        <v>183</v>
      </c>
      <c r="N2802" s="60" t="b">
        <f>FALSE()</f>
        <v>0</v>
      </c>
      <c r="O2802" s="60"/>
      <c r="P2802" s="60"/>
      <c r="Q2802" s="60" t="s">
        <v>3663</v>
      </c>
      <c r="R2802" s="60" t="s">
        <v>236</v>
      </c>
      <c r="S2802" s="60"/>
      <c r="T2802" s="60" t="b">
        <f>FALSE()</f>
        <v>0</v>
      </c>
      <c r="U2802" s="60" t="b">
        <f>FALSE()</f>
        <v>0</v>
      </c>
      <c r="V2802" s="60">
        <v>219</v>
      </c>
      <c r="W2802" s="60" t="s">
        <v>10626</v>
      </c>
      <c r="X2802" s="60">
        <v>2</v>
      </c>
      <c r="Y2802" s="63">
        <v>0.48</v>
      </c>
      <c r="Z2802" s="60" t="b">
        <f>FALSE()</f>
        <v>0</v>
      </c>
      <c r="AA2802" s="60" t="b">
        <f>TRUE()</f>
        <v>1</v>
      </c>
      <c r="AB2802" s="60" t="b">
        <f>FALSE()</f>
        <v>0</v>
      </c>
      <c r="AC2802" s="60" t="b">
        <f>FALSE()</f>
        <v>0</v>
      </c>
      <c r="AD2802" s="60" t="b">
        <f>FALSE()</f>
        <v>0</v>
      </c>
      <c r="AE2802" s="60">
        <v>1</v>
      </c>
      <c r="AF2802" s="64">
        <v>14.3</v>
      </c>
      <c r="AG2802" s="60" t="s">
        <v>74</v>
      </c>
      <c r="AH2802" s="60" t="s">
        <v>10627</v>
      </c>
      <c r="AI2802">
        <f>IF(AND(OR(Company_Explorer!$B$5="All Companies",$E2802=Company_Explorer!$B$5),OR(Company_Explorer!$B$6="All Platforms",$B2802=Company_Explorer!$B$6),OR(Company_Explorer!$B$7="All Roles",$D2802=Company_Explorer!$B$7),OR(Company_Explorer!$B$8="All Ghost Labels",$AG2802=Company_Explorer!$B$8)),1,0)</f>
        <v>0</v>
      </c>
    </row>
    <row r="2803" spans="1:35" ht="15" customHeight="1" x14ac:dyDescent="0.3">
      <c r="A2803" s="65" t="s">
        <v>10628</v>
      </c>
      <c r="B2803" s="65" t="s">
        <v>82</v>
      </c>
      <c r="C2803" s="65" t="s">
        <v>10629</v>
      </c>
      <c r="D2803" s="65" t="s">
        <v>127</v>
      </c>
      <c r="E2803" s="65" t="s">
        <v>157</v>
      </c>
      <c r="F2803" s="65" t="b">
        <f>TRUE()</f>
        <v>1</v>
      </c>
      <c r="G2803" s="65" t="s">
        <v>165</v>
      </c>
      <c r="H2803" s="65" t="s">
        <v>165</v>
      </c>
      <c r="I2803" s="66">
        <v>46187</v>
      </c>
      <c r="J2803" s="66">
        <v>46210.286508773199</v>
      </c>
      <c r="K2803" s="65">
        <v>84</v>
      </c>
      <c r="L2803" s="65" t="s">
        <v>192</v>
      </c>
      <c r="M2803" s="65" t="s">
        <v>183</v>
      </c>
      <c r="N2803" s="65" t="b">
        <f>FALSE()</f>
        <v>0</v>
      </c>
      <c r="O2803" s="65"/>
      <c r="P2803" s="65"/>
      <c r="Q2803" s="65" t="s">
        <v>3663</v>
      </c>
      <c r="R2803" s="65" t="s">
        <v>236</v>
      </c>
      <c r="S2803" s="65"/>
      <c r="T2803" s="65" t="b">
        <f>FALSE()</f>
        <v>0</v>
      </c>
      <c r="U2803" s="65" t="b">
        <f>FALSE()</f>
        <v>0</v>
      </c>
      <c r="V2803" s="65">
        <v>215</v>
      </c>
      <c r="W2803" s="67" t="s">
        <v>10630</v>
      </c>
      <c r="X2803" s="65">
        <v>15</v>
      </c>
      <c r="Y2803" s="68">
        <v>3.62</v>
      </c>
      <c r="Z2803" s="65" t="b">
        <f>FALSE()</f>
        <v>0</v>
      </c>
      <c r="AA2803" s="65" t="b">
        <f>TRUE()</f>
        <v>1</v>
      </c>
      <c r="AB2803" s="65" t="b">
        <f>FALSE()</f>
        <v>0</v>
      </c>
      <c r="AC2803" s="65" t="b">
        <f>FALSE()</f>
        <v>0</v>
      </c>
      <c r="AD2803" s="65" t="b">
        <f>TRUE()</f>
        <v>1</v>
      </c>
      <c r="AE2803" s="65">
        <v>3</v>
      </c>
      <c r="AF2803" s="69">
        <v>42.9</v>
      </c>
      <c r="AG2803" s="65" t="s">
        <v>73</v>
      </c>
      <c r="AH2803" s="65" t="s">
        <v>10631</v>
      </c>
      <c r="AI2803">
        <f>IF(AND(OR(Company_Explorer!$B$5="All Companies",$E2803=Company_Explorer!$B$5),OR(Company_Explorer!$B$6="All Platforms",$B2803=Company_Explorer!$B$6),OR(Company_Explorer!$B$7="All Roles",$D2803=Company_Explorer!$B$7),OR(Company_Explorer!$B$8="All Ghost Labels",$AG2803=Company_Explorer!$B$8)),1,0)</f>
        <v>0</v>
      </c>
    </row>
    <row r="2804" spans="1:35" ht="15" customHeight="1" x14ac:dyDescent="0.3">
      <c r="A2804" s="60" t="s">
        <v>10632</v>
      </c>
      <c r="B2804" s="60" t="s">
        <v>82</v>
      </c>
      <c r="C2804" s="60" t="s">
        <v>10633</v>
      </c>
      <c r="D2804" s="60" t="s">
        <v>127</v>
      </c>
      <c r="E2804" s="60" t="s">
        <v>151</v>
      </c>
      <c r="F2804" s="60" t="b">
        <f>TRUE()</f>
        <v>1</v>
      </c>
      <c r="G2804" s="60" t="s">
        <v>165</v>
      </c>
      <c r="H2804" s="60" t="s">
        <v>165</v>
      </c>
      <c r="I2804" s="61">
        <v>46200</v>
      </c>
      <c r="J2804" s="61">
        <v>46210.286509131998</v>
      </c>
      <c r="K2804" s="60">
        <v>10</v>
      </c>
      <c r="L2804" s="60" t="s">
        <v>192</v>
      </c>
      <c r="M2804" s="60" t="s">
        <v>183</v>
      </c>
      <c r="N2804" s="60" t="b">
        <f>FALSE()</f>
        <v>0</v>
      </c>
      <c r="O2804" s="60"/>
      <c r="P2804" s="60"/>
      <c r="Q2804" s="60" t="s">
        <v>3663</v>
      </c>
      <c r="R2804" s="60" t="s">
        <v>236</v>
      </c>
      <c r="S2804" s="60"/>
      <c r="T2804" s="60" t="b">
        <f>FALSE()</f>
        <v>0</v>
      </c>
      <c r="U2804" s="60" t="b">
        <f>FALSE()</f>
        <v>0</v>
      </c>
      <c r="V2804" s="60">
        <v>681</v>
      </c>
      <c r="W2804" s="62" t="s">
        <v>10634</v>
      </c>
      <c r="X2804" s="60">
        <v>17</v>
      </c>
      <c r="Y2804" s="63">
        <v>4.0999999999999996</v>
      </c>
      <c r="Z2804" s="60" t="b">
        <f>FALSE()</f>
        <v>0</v>
      </c>
      <c r="AA2804" s="60" t="b">
        <f>TRUE()</f>
        <v>1</v>
      </c>
      <c r="AB2804" s="60" t="b">
        <f>FALSE()</f>
        <v>0</v>
      </c>
      <c r="AC2804" s="60" t="b">
        <f>FALSE()</f>
        <v>0</v>
      </c>
      <c r="AD2804" s="60" t="b">
        <f>TRUE()</f>
        <v>1</v>
      </c>
      <c r="AE2804" s="60">
        <v>3</v>
      </c>
      <c r="AF2804" s="64">
        <v>42.9</v>
      </c>
      <c r="AG2804" s="60" t="s">
        <v>73</v>
      </c>
      <c r="AH2804" s="60" t="s">
        <v>10635</v>
      </c>
      <c r="AI2804">
        <f>IF(AND(OR(Company_Explorer!$B$5="All Companies",$E2804=Company_Explorer!$B$5),OR(Company_Explorer!$B$6="All Platforms",$B2804=Company_Explorer!$B$6),OR(Company_Explorer!$B$7="All Roles",$D2804=Company_Explorer!$B$7),OR(Company_Explorer!$B$8="All Ghost Labels",$AG2804=Company_Explorer!$B$8)),1,0)</f>
        <v>0</v>
      </c>
    </row>
    <row r="2805" spans="1:35" ht="15" customHeight="1" x14ac:dyDescent="0.3">
      <c r="A2805" s="65" t="s">
        <v>10636</v>
      </c>
      <c r="B2805" s="65" t="s">
        <v>82</v>
      </c>
      <c r="C2805" s="65" t="s">
        <v>127</v>
      </c>
      <c r="D2805" s="65" t="s">
        <v>127</v>
      </c>
      <c r="E2805" s="65" t="s">
        <v>3754</v>
      </c>
      <c r="F2805" s="65" t="b">
        <f>TRUE()</f>
        <v>1</v>
      </c>
      <c r="G2805" s="65" t="s">
        <v>165</v>
      </c>
      <c r="H2805" s="65" t="s">
        <v>165</v>
      </c>
      <c r="I2805" s="66">
        <v>46211</v>
      </c>
      <c r="J2805" s="66">
        <v>46210.286509942103</v>
      </c>
      <c r="K2805" s="65">
        <v>0</v>
      </c>
      <c r="L2805" s="65" t="s">
        <v>192</v>
      </c>
      <c r="M2805" s="65" t="s">
        <v>183</v>
      </c>
      <c r="N2805" s="65" t="b">
        <f>TRUE()</f>
        <v>1</v>
      </c>
      <c r="O2805" s="71">
        <v>34000</v>
      </c>
      <c r="P2805" s="71">
        <v>34000</v>
      </c>
      <c r="Q2805" s="65" t="s">
        <v>3663</v>
      </c>
      <c r="R2805" s="65" t="s">
        <v>7445</v>
      </c>
      <c r="S2805" s="71">
        <v>408000</v>
      </c>
      <c r="T2805" s="65" t="b">
        <f>TRUE()</f>
        <v>1</v>
      </c>
      <c r="U2805" s="65" t="b">
        <f>FALSE()</f>
        <v>0</v>
      </c>
      <c r="V2805" s="65">
        <v>486</v>
      </c>
      <c r="W2805" s="67" t="s">
        <v>3755</v>
      </c>
      <c r="X2805" s="65">
        <v>1</v>
      </c>
      <c r="Y2805" s="68">
        <v>0.24</v>
      </c>
      <c r="Z2805" s="65" t="b">
        <f>FALSE()</f>
        <v>0</v>
      </c>
      <c r="AA2805" s="65" t="b">
        <f>FALSE()</f>
        <v>0</v>
      </c>
      <c r="AB2805" s="65" t="b">
        <f>FALSE()</f>
        <v>0</v>
      </c>
      <c r="AC2805" s="65" t="b">
        <f>FALSE()</f>
        <v>0</v>
      </c>
      <c r="AD2805" s="65" t="b">
        <f>FALSE()</f>
        <v>0</v>
      </c>
      <c r="AE2805" s="65">
        <v>0</v>
      </c>
      <c r="AF2805" s="69">
        <v>0</v>
      </c>
      <c r="AG2805" s="65" t="s">
        <v>74</v>
      </c>
      <c r="AH2805" s="65" t="s">
        <v>10637</v>
      </c>
      <c r="AI2805">
        <f>IF(AND(OR(Company_Explorer!$B$5="All Companies",$E2805=Company_Explorer!$B$5),OR(Company_Explorer!$B$6="All Platforms",$B2805=Company_Explorer!$B$6),OR(Company_Explorer!$B$7="All Roles",$D2805=Company_Explorer!$B$7),OR(Company_Explorer!$B$8="All Ghost Labels",$AG2805=Company_Explorer!$B$8)),1,0)</f>
        <v>0</v>
      </c>
    </row>
    <row r="2806" spans="1:35" ht="15" customHeight="1" x14ac:dyDescent="0.3">
      <c r="A2806" s="60" t="s">
        <v>10638</v>
      </c>
      <c r="B2806" s="60" t="s">
        <v>82</v>
      </c>
      <c r="C2806" s="60" t="s">
        <v>10639</v>
      </c>
      <c r="D2806" s="60" t="s">
        <v>126</v>
      </c>
      <c r="E2806" s="60" t="s">
        <v>10640</v>
      </c>
      <c r="F2806" s="60" t="b">
        <f>TRUE()</f>
        <v>1</v>
      </c>
      <c r="G2806" s="60" t="s">
        <v>165</v>
      </c>
      <c r="H2806" s="60" t="s">
        <v>165</v>
      </c>
      <c r="I2806" s="61">
        <v>46197</v>
      </c>
      <c r="J2806" s="61">
        <v>46210.286511435203</v>
      </c>
      <c r="K2806" s="60">
        <v>13</v>
      </c>
      <c r="L2806" s="60" t="s">
        <v>192</v>
      </c>
      <c r="M2806" s="60" t="s">
        <v>183</v>
      </c>
      <c r="N2806" s="60" t="b">
        <f>FALSE()</f>
        <v>0</v>
      </c>
      <c r="O2806" s="60"/>
      <c r="P2806" s="60"/>
      <c r="Q2806" s="60" t="s">
        <v>3663</v>
      </c>
      <c r="R2806" s="60" t="s">
        <v>236</v>
      </c>
      <c r="S2806" s="60"/>
      <c r="T2806" s="60" t="b">
        <f>FALSE()</f>
        <v>0</v>
      </c>
      <c r="U2806" s="60" t="b">
        <f>FALSE()</f>
        <v>0</v>
      </c>
      <c r="V2806" s="60">
        <v>697</v>
      </c>
      <c r="W2806" s="62" t="s">
        <v>5885</v>
      </c>
      <c r="X2806" s="60">
        <v>2</v>
      </c>
      <c r="Y2806" s="63">
        <v>0.48</v>
      </c>
      <c r="Z2806" s="60" t="b">
        <f>FALSE()</f>
        <v>0</v>
      </c>
      <c r="AA2806" s="60" t="b">
        <f>TRUE()</f>
        <v>1</v>
      </c>
      <c r="AB2806" s="60" t="b">
        <f>FALSE()</f>
        <v>0</v>
      </c>
      <c r="AC2806" s="60" t="b">
        <f>FALSE()</f>
        <v>0</v>
      </c>
      <c r="AD2806" s="60" t="b">
        <f>FALSE()</f>
        <v>0</v>
      </c>
      <c r="AE2806" s="60">
        <v>1</v>
      </c>
      <c r="AF2806" s="64">
        <v>14.3</v>
      </c>
      <c r="AG2806" s="60" t="s">
        <v>74</v>
      </c>
      <c r="AH2806" s="60" t="s">
        <v>10641</v>
      </c>
      <c r="AI2806">
        <f>IF(AND(OR(Company_Explorer!$B$5="All Companies",$E2806=Company_Explorer!$B$5),OR(Company_Explorer!$B$6="All Platforms",$B2806=Company_Explorer!$B$6),OR(Company_Explorer!$B$7="All Roles",$D2806=Company_Explorer!$B$7),OR(Company_Explorer!$B$8="All Ghost Labels",$AG2806=Company_Explorer!$B$8)),1,0)</f>
        <v>0</v>
      </c>
    </row>
    <row r="2807" spans="1:35" ht="15" customHeight="1" x14ac:dyDescent="0.3">
      <c r="A2807" s="65" t="s">
        <v>10642</v>
      </c>
      <c r="B2807" s="65" t="s">
        <v>82</v>
      </c>
      <c r="C2807" s="65" t="s">
        <v>5780</v>
      </c>
      <c r="D2807" s="65" t="s">
        <v>127</v>
      </c>
      <c r="E2807" s="65" t="s">
        <v>8170</v>
      </c>
      <c r="F2807" s="65" t="b">
        <f>TRUE()</f>
        <v>1</v>
      </c>
      <c r="G2807" s="65" t="s">
        <v>165</v>
      </c>
      <c r="H2807" s="65" t="s">
        <v>165</v>
      </c>
      <c r="I2807" s="66">
        <v>46210</v>
      </c>
      <c r="J2807" s="66">
        <v>46210.286514236097</v>
      </c>
      <c r="K2807" s="65">
        <v>61</v>
      </c>
      <c r="L2807" s="65" t="s">
        <v>183</v>
      </c>
      <c r="M2807" s="65" t="s">
        <v>183</v>
      </c>
      <c r="N2807" s="65" t="b">
        <f>FALSE()</f>
        <v>0</v>
      </c>
      <c r="O2807" s="65"/>
      <c r="P2807" s="65"/>
      <c r="Q2807" s="65" t="s">
        <v>3663</v>
      </c>
      <c r="R2807" s="65" t="s">
        <v>236</v>
      </c>
      <c r="S2807" s="65"/>
      <c r="T2807" s="65" t="b">
        <f>FALSE()</f>
        <v>0</v>
      </c>
      <c r="U2807" s="65" t="b">
        <f>FALSE()</f>
        <v>0</v>
      </c>
      <c r="V2807" s="65">
        <v>223</v>
      </c>
      <c r="W2807" s="65" t="s">
        <v>10643</v>
      </c>
      <c r="X2807" s="65">
        <v>2</v>
      </c>
      <c r="Y2807" s="68">
        <v>0.48</v>
      </c>
      <c r="Z2807" s="65" t="b">
        <f>FALSE()</f>
        <v>0</v>
      </c>
      <c r="AA2807" s="65" t="b">
        <f>TRUE()</f>
        <v>1</v>
      </c>
      <c r="AB2807" s="65" t="b">
        <f>FALSE()</f>
        <v>0</v>
      </c>
      <c r="AC2807" s="65" t="b">
        <f>FALSE()</f>
        <v>0</v>
      </c>
      <c r="AD2807" s="65" t="b">
        <f>FALSE()</f>
        <v>0</v>
      </c>
      <c r="AE2807" s="65">
        <v>1</v>
      </c>
      <c r="AF2807" s="69">
        <v>14.3</v>
      </c>
      <c r="AG2807" s="65" t="s">
        <v>74</v>
      </c>
      <c r="AH2807" s="65" t="s">
        <v>10644</v>
      </c>
      <c r="AI2807">
        <f>IF(AND(OR(Company_Explorer!$B$5="All Companies",$E2807=Company_Explorer!$B$5),OR(Company_Explorer!$B$6="All Platforms",$B2807=Company_Explorer!$B$6),OR(Company_Explorer!$B$7="All Roles",$D2807=Company_Explorer!$B$7),OR(Company_Explorer!$B$8="All Ghost Labels",$AG2807=Company_Explorer!$B$8)),1,0)</f>
        <v>0</v>
      </c>
    </row>
    <row r="2808" spans="1:35" ht="15" customHeight="1" x14ac:dyDescent="0.3">
      <c r="A2808" s="60" t="s">
        <v>10645</v>
      </c>
      <c r="B2808" s="60" t="s">
        <v>82</v>
      </c>
      <c r="C2808" s="60" t="s">
        <v>127</v>
      </c>
      <c r="D2808" s="60" t="s">
        <v>127</v>
      </c>
      <c r="E2808" s="60" t="s">
        <v>10646</v>
      </c>
      <c r="F2808" s="60" t="b">
        <f>TRUE()</f>
        <v>1</v>
      </c>
      <c r="G2808" s="60" t="s">
        <v>165</v>
      </c>
      <c r="H2808" s="60" t="s">
        <v>165</v>
      </c>
      <c r="I2808" s="61">
        <v>46201</v>
      </c>
      <c r="J2808" s="61">
        <v>46210.286514814798</v>
      </c>
      <c r="K2808" s="60">
        <v>130</v>
      </c>
      <c r="L2808" s="60" t="s">
        <v>192</v>
      </c>
      <c r="M2808" s="60" t="s">
        <v>183</v>
      </c>
      <c r="N2808" s="60" t="b">
        <f>FALSE()</f>
        <v>0</v>
      </c>
      <c r="O2808" s="60"/>
      <c r="P2808" s="60"/>
      <c r="Q2808" s="60" t="s">
        <v>3663</v>
      </c>
      <c r="R2808" s="60" t="s">
        <v>236</v>
      </c>
      <c r="S2808" s="60"/>
      <c r="T2808" s="60" t="b">
        <f>FALSE()</f>
        <v>0</v>
      </c>
      <c r="U2808" s="60" t="b">
        <f>FALSE()</f>
        <v>0</v>
      </c>
      <c r="V2808" s="60">
        <v>67</v>
      </c>
      <c r="W2808" s="62" t="s">
        <v>10647</v>
      </c>
      <c r="X2808" s="60">
        <v>1</v>
      </c>
      <c r="Y2808" s="63">
        <v>0.24</v>
      </c>
      <c r="Z2808" s="60" t="b">
        <f>FALSE()</f>
        <v>0</v>
      </c>
      <c r="AA2808" s="60" t="b">
        <f>TRUE()</f>
        <v>1</v>
      </c>
      <c r="AB2808" s="60" t="b">
        <f>TRUE()</f>
        <v>1</v>
      </c>
      <c r="AC2808" s="60" t="b">
        <f>TRUE()</f>
        <v>1</v>
      </c>
      <c r="AD2808" s="60" t="b">
        <f>FALSE()</f>
        <v>0</v>
      </c>
      <c r="AE2808" s="60">
        <v>3</v>
      </c>
      <c r="AF2808" s="64">
        <v>42.9</v>
      </c>
      <c r="AG2808" s="60" t="s">
        <v>73</v>
      </c>
      <c r="AH2808" s="60" t="s">
        <v>10648</v>
      </c>
      <c r="AI2808">
        <f>IF(AND(OR(Company_Explorer!$B$5="All Companies",$E2808=Company_Explorer!$B$5),OR(Company_Explorer!$B$6="All Platforms",$B2808=Company_Explorer!$B$6),OR(Company_Explorer!$B$7="All Roles",$D2808=Company_Explorer!$B$7),OR(Company_Explorer!$B$8="All Ghost Labels",$AG2808=Company_Explorer!$B$8)),1,0)</f>
        <v>0</v>
      </c>
    </row>
    <row r="2809" spans="1:35" ht="15" customHeight="1" x14ac:dyDescent="0.3">
      <c r="A2809" s="65" t="s">
        <v>10649</v>
      </c>
      <c r="B2809" s="65" t="s">
        <v>82</v>
      </c>
      <c r="C2809" s="65" t="s">
        <v>4738</v>
      </c>
      <c r="D2809" s="65" t="s">
        <v>132</v>
      </c>
      <c r="E2809" s="65" t="s">
        <v>10650</v>
      </c>
      <c r="F2809" s="65" t="b">
        <f>TRUE()</f>
        <v>1</v>
      </c>
      <c r="G2809" s="65" t="s">
        <v>165</v>
      </c>
      <c r="H2809" s="65" t="s">
        <v>165</v>
      </c>
      <c r="I2809" s="66">
        <v>46210</v>
      </c>
      <c r="J2809" s="66">
        <v>46210.286515266198</v>
      </c>
      <c r="K2809" s="65">
        <v>0</v>
      </c>
      <c r="L2809" s="65" t="s">
        <v>192</v>
      </c>
      <c r="M2809" s="65" t="s">
        <v>183</v>
      </c>
      <c r="N2809" s="65" t="b">
        <f>FALSE()</f>
        <v>0</v>
      </c>
      <c r="O2809" s="65"/>
      <c r="P2809" s="65"/>
      <c r="Q2809" s="65" t="s">
        <v>3663</v>
      </c>
      <c r="R2809" s="65" t="s">
        <v>236</v>
      </c>
      <c r="S2809" s="65"/>
      <c r="T2809" s="65" t="b">
        <f>FALSE()</f>
        <v>0</v>
      </c>
      <c r="U2809" s="65" t="b">
        <f>FALSE()</f>
        <v>0</v>
      </c>
      <c r="V2809" s="65">
        <v>939</v>
      </c>
      <c r="W2809" s="65" t="s">
        <v>2464</v>
      </c>
      <c r="X2809" s="65">
        <v>1</v>
      </c>
      <c r="Y2809" s="68">
        <v>0.24</v>
      </c>
      <c r="Z2809" s="65" t="b">
        <f>FALSE()</f>
        <v>0</v>
      </c>
      <c r="AA2809" s="65" t="b">
        <f>TRUE()</f>
        <v>1</v>
      </c>
      <c r="AB2809" s="65" t="b">
        <f>FALSE()</f>
        <v>0</v>
      </c>
      <c r="AC2809" s="65" t="b">
        <f>FALSE()</f>
        <v>0</v>
      </c>
      <c r="AD2809" s="65" t="b">
        <f>FALSE()</f>
        <v>0</v>
      </c>
      <c r="AE2809" s="65">
        <v>1</v>
      </c>
      <c r="AF2809" s="69">
        <v>14.3</v>
      </c>
      <c r="AG2809" s="65" t="s">
        <v>74</v>
      </c>
      <c r="AH2809" s="65" t="s">
        <v>10651</v>
      </c>
      <c r="AI2809">
        <f>IF(AND(OR(Company_Explorer!$B$5="All Companies",$E2809=Company_Explorer!$B$5),OR(Company_Explorer!$B$6="All Platforms",$B2809=Company_Explorer!$B$6),OR(Company_Explorer!$B$7="All Roles",$D2809=Company_Explorer!$B$7),OR(Company_Explorer!$B$8="All Ghost Labels",$AG2809=Company_Explorer!$B$8)),1,0)</f>
        <v>0</v>
      </c>
    </row>
    <row r="2810" spans="1:35" ht="15" customHeight="1" x14ac:dyDescent="0.3">
      <c r="A2810" s="60" t="s">
        <v>10652</v>
      </c>
      <c r="B2810" s="60" t="s">
        <v>82</v>
      </c>
      <c r="C2810" s="60" t="s">
        <v>127</v>
      </c>
      <c r="D2810" s="60" t="s">
        <v>127</v>
      </c>
      <c r="E2810" s="60" t="s">
        <v>10653</v>
      </c>
      <c r="F2810" s="60" t="b">
        <f>TRUE()</f>
        <v>1</v>
      </c>
      <c r="G2810" s="60" t="s">
        <v>165</v>
      </c>
      <c r="H2810" s="60" t="s">
        <v>165</v>
      </c>
      <c r="I2810" s="61">
        <v>46197</v>
      </c>
      <c r="J2810" s="61">
        <v>46210.286516088003</v>
      </c>
      <c r="K2810" s="60">
        <v>13</v>
      </c>
      <c r="L2810" s="60" t="s">
        <v>192</v>
      </c>
      <c r="M2810" s="60" t="s">
        <v>183</v>
      </c>
      <c r="N2810" s="60" t="b">
        <f>FALSE()</f>
        <v>0</v>
      </c>
      <c r="O2810" s="60"/>
      <c r="P2810" s="60"/>
      <c r="Q2810" s="60" t="s">
        <v>3663</v>
      </c>
      <c r="R2810" s="60" t="s">
        <v>236</v>
      </c>
      <c r="S2810" s="60"/>
      <c r="T2810" s="60" t="b">
        <f>FALSE()</f>
        <v>0</v>
      </c>
      <c r="U2810" s="60" t="b">
        <f>FALSE()</f>
        <v>0</v>
      </c>
      <c r="V2810" s="60">
        <v>190</v>
      </c>
      <c r="W2810" s="62" t="s">
        <v>10654</v>
      </c>
      <c r="X2810" s="60">
        <v>1</v>
      </c>
      <c r="Y2810" s="63">
        <v>0.24</v>
      </c>
      <c r="Z2810" s="60" t="b">
        <f>FALSE()</f>
        <v>0</v>
      </c>
      <c r="AA2810" s="60" t="b">
        <f>TRUE()</f>
        <v>1</v>
      </c>
      <c r="AB2810" s="60" t="b">
        <f>TRUE()</f>
        <v>1</v>
      </c>
      <c r="AC2810" s="60" t="b">
        <f>FALSE()</f>
        <v>0</v>
      </c>
      <c r="AD2810" s="60" t="b">
        <f>FALSE()</f>
        <v>0</v>
      </c>
      <c r="AE2810" s="60">
        <v>2</v>
      </c>
      <c r="AF2810" s="64">
        <v>28.6</v>
      </c>
      <c r="AG2810" s="60" t="s">
        <v>73</v>
      </c>
      <c r="AH2810" s="60" t="s">
        <v>10655</v>
      </c>
      <c r="AI2810">
        <f>IF(AND(OR(Company_Explorer!$B$5="All Companies",$E2810=Company_Explorer!$B$5),OR(Company_Explorer!$B$6="All Platforms",$B2810=Company_Explorer!$B$6),OR(Company_Explorer!$B$7="All Roles",$D2810=Company_Explorer!$B$7),OR(Company_Explorer!$B$8="All Ghost Labels",$AG2810=Company_Explorer!$B$8)),1,0)</f>
        <v>0</v>
      </c>
    </row>
    <row r="2811" spans="1:35" ht="15" customHeight="1" x14ac:dyDescent="0.3">
      <c r="A2811" s="65" t="s">
        <v>10656</v>
      </c>
      <c r="B2811" s="65" t="s">
        <v>82</v>
      </c>
      <c r="C2811" s="65" t="s">
        <v>10657</v>
      </c>
      <c r="D2811" s="65" t="s">
        <v>126</v>
      </c>
      <c r="E2811" s="65" t="s">
        <v>7927</v>
      </c>
      <c r="F2811" s="65" t="b">
        <f>TRUE()</f>
        <v>1</v>
      </c>
      <c r="G2811" s="65" t="s">
        <v>165</v>
      </c>
      <c r="H2811" s="65" t="s">
        <v>165</v>
      </c>
      <c r="I2811" s="66">
        <v>46198</v>
      </c>
      <c r="J2811" s="66">
        <v>46210.286520636597</v>
      </c>
      <c r="K2811" s="65">
        <v>13</v>
      </c>
      <c r="L2811" s="65" t="s">
        <v>192</v>
      </c>
      <c r="M2811" s="65" t="s">
        <v>183</v>
      </c>
      <c r="N2811" s="65" t="b">
        <f>FALSE()</f>
        <v>0</v>
      </c>
      <c r="O2811" s="65"/>
      <c r="P2811" s="65"/>
      <c r="Q2811" s="65" t="s">
        <v>3663</v>
      </c>
      <c r="R2811" s="65" t="s">
        <v>236</v>
      </c>
      <c r="S2811" s="65"/>
      <c r="T2811" s="65" t="b">
        <f>FALSE()</f>
        <v>0</v>
      </c>
      <c r="U2811" s="65" t="b">
        <f>FALSE()</f>
        <v>0</v>
      </c>
      <c r="V2811" s="65">
        <v>680</v>
      </c>
      <c r="W2811" s="67" t="s">
        <v>7928</v>
      </c>
      <c r="X2811" s="65">
        <v>2</v>
      </c>
      <c r="Y2811" s="68">
        <v>0.48</v>
      </c>
      <c r="Z2811" s="65" t="b">
        <f>FALSE()</f>
        <v>0</v>
      </c>
      <c r="AA2811" s="65" t="b">
        <f>TRUE()</f>
        <v>1</v>
      </c>
      <c r="AB2811" s="65" t="b">
        <f>FALSE()</f>
        <v>0</v>
      </c>
      <c r="AC2811" s="65" t="b">
        <f>FALSE()</f>
        <v>0</v>
      </c>
      <c r="AD2811" s="65" t="b">
        <f>FALSE()</f>
        <v>0</v>
      </c>
      <c r="AE2811" s="65">
        <v>1</v>
      </c>
      <c r="AF2811" s="69">
        <v>14.3</v>
      </c>
      <c r="AG2811" s="65" t="s">
        <v>74</v>
      </c>
      <c r="AH2811" s="65" t="s">
        <v>10658</v>
      </c>
      <c r="AI2811">
        <f>IF(AND(OR(Company_Explorer!$B$5="All Companies",$E2811=Company_Explorer!$B$5),OR(Company_Explorer!$B$6="All Platforms",$B2811=Company_Explorer!$B$6),OR(Company_Explorer!$B$7="All Roles",$D2811=Company_Explorer!$B$7),OR(Company_Explorer!$B$8="All Ghost Labels",$AG2811=Company_Explorer!$B$8)),1,0)</f>
        <v>0</v>
      </c>
    </row>
    <row r="2812" spans="1:35" ht="15" customHeight="1" x14ac:dyDescent="0.3">
      <c r="A2812" s="60" t="s">
        <v>10659</v>
      </c>
      <c r="B2812" s="60" t="s">
        <v>82</v>
      </c>
      <c r="C2812" s="60" t="s">
        <v>10660</v>
      </c>
      <c r="D2812" s="60" t="s">
        <v>125</v>
      </c>
      <c r="E2812" s="60" t="s">
        <v>10661</v>
      </c>
      <c r="F2812" s="60" t="b">
        <f>TRUE()</f>
        <v>1</v>
      </c>
      <c r="G2812" s="60" t="s">
        <v>165</v>
      </c>
      <c r="H2812" s="60" t="s">
        <v>165</v>
      </c>
      <c r="I2812" s="61">
        <v>46211</v>
      </c>
      <c r="J2812" s="61">
        <v>46210.286521087997</v>
      </c>
      <c r="K2812" s="60">
        <v>90</v>
      </c>
      <c r="L2812" s="60" t="s">
        <v>183</v>
      </c>
      <c r="M2812" s="60" t="s">
        <v>183</v>
      </c>
      <c r="N2812" s="60" t="b">
        <f>FALSE()</f>
        <v>0</v>
      </c>
      <c r="O2812" s="60"/>
      <c r="P2812" s="60"/>
      <c r="Q2812" s="60" t="s">
        <v>3663</v>
      </c>
      <c r="R2812" s="60" t="s">
        <v>236</v>
      </c>
      <c r="S2812" s="60"/>
      <c r="T2812" s="60" t="b">
        <f>FALSE()</f>
        <v>0</v>
      </c>
      <c r="U2812" s="60" t="b">
        <f>FALSE()</f>
        <v>0</v>
      </c>
      <c r="V2812" s="60">
        <v>186</v>
      </c>
      <c r="W2812" s="62" t="s">
        <v>10662</v>
      </c>
      <c r="X2812" s="60">
        <v>1</v>
      </c>
      <c r="Y2812" s="63">
        <v>0.24</v>
      </c>
      <c r="Z2812" s="60" t="b">
        <f>FALSE()</f>
        <v>0</v>
      </c>
      <c r="AA2812" s="60" t="b">
        <f>TRUE()</f>
        <v>1</v>
      </c>
      <c r="AB2812" s="60" t="b">
        <f>TRUE()</f>
        <v>1</v>
      </c>
      <c r="AC2812" s="60" t="b">
        <f>FALSE()</f>
        <v>0</v>
      </c>
      <c r="AD2812" s="60" t="b">
        <f>FALSE()</f>
        <v>0</v>
      </c>
      <c r="AE2812" s="60">
        <v>2</v>
      </c>
      <c r="AF2812" s="64">
        <v>28.6</v>
      </c>
      <c r="AG2812" s="60" t="s">
        <v>73</v>
      </c>
      <c r="AH2812" s="60" t="s">
        <v>10663</v>
      </c>
      <c r="AI2812">
        <f>IF(AND(OR(Company_Explorer!$B$5="All Companies",$E2812=Company_Explorer!$B$5),OR(Company_Explorer!$B$6="All Platforms",$B2812=Company_Explorer!$B$6),OR(Company_Explorer!$B$7="All Roles",$D2812=Company_Explorer!$B$7),OR(Company_Explorer!$B$8="All Ghost Labels",$AG2812=Company_Explorer!$B$8)),1,0)</f>
        <v>0</v>
      </c>
    </row>
    <row r="2813" spans="1:35" ht="15" customHeight="1" x14ac:dyDescent="0.3">
      <c r="A2813" s="65" t="s">
        <v>10664</v>
      </c>
      <c r="B2813" s="65" t="s">
        <v>82</v>
      </c>
      <c r="C2813" s="65" t="s">
        <v>10665</v>
      </c>
      <c r="D2813" s="65" t="s">
        <v>127</v>
      </c>
      <c r="E2813" s="65" t="s">
        <v>151</v>
      </c>
      <c r="F2813" s="65" t="b">
        <f>TRUE()</f>
        <v>1</v>
      </c>
      <c r="G2813" s="65" t="s">
        <v>167</v>
      </c>
      <c r="H2813" s="65" t="s">
        <v>276</v>
      </c>
      <c r="I2813" s="66">
        <v>46203</v>
      </c>
      <c r="J2813" s="66">
        <v>46210.286521412003</v>
      </c>
      <c r="K2813" s="65">
        <v>7</v>
      </c>
      <c r="L2813" s="65" t="s">
        <v>192</v>
      </c>
      <c r="M2813" s="65" t="s">
        <v>183</v>
      </c>
      <c r="N2813" s="65" t="b">
        <f>TRUE()</f>
        <v>1</v>
      </c>
      <c r="O2813" s="71">
        <v>500000</v>
      </c>
      <c r="P2813" s="71">
        <v>1000000</v>
      </c>
      <c r="Q2813" s="65" t="s">
        <v>3663</v>
      </c>
      <c r="R2813" s="65" t="s">
        <v>7351</v>
      </c>
      <c r="S2813" s="71">
        <v>750000</v>
      </c>
      <c r="T2813" s="65" t="b">
        <f>TRUE()</f>
        <v>1</v>
      </c>
      <c r="U2813" s="65" t="b">
        <f>FALSE()</f>
        <v>0</v>
      </c>
      <c r="V2813" s="65">
        <v>753</v>
      </c>
      <c r="W2813" s="67" t="s">
        <v>10666</v>
      </c>
      <c r="X2813" s="65">
        <v>17</v>
      </c>
      <c r="Y2813" s="68">
        <v>4.0999999999999996</v>
      </c>
      <c r="Z2813" s="65" t="b">
        <f>FALSE()</f>
        <v>0</v>
      </c>
      <c r="AA2813" s="65" t="b">
        <f>FALSE()</f>
        <v>0</v>
      </c>
      <c r="AB2813" s="65" t="b">
        <f>FALSE()</f>
        <v>0</v>
      </c>
      <c r="AC2813" s="65" t="b">
        <f>FALSE()</f>
        <v>0</v>
      </c>
      <c r="AD2813" s="65" t="b">
        <f>TRUE()</f>
        <v>1</v>
      </c>
      <c r="AE2813" s="65">
        <v>2</v>
      </c>
      <c r="AF2813" s="69">
        <v>28.6</v>
      </c>
      <c r="AG2813" s="65" t="s">
        <v>73</v>
      </c>
      <c r="AH2813" s="65" t="s">
        <v>10667</v>
      </c>
      <c r="AI2813">
        <f>IF(AND(OR(Company_Explorer!$B$5="All Companies",$E2813=Company_Explorer!$B$5),OR(Company_Explorer!$B$6="All Platforms",$B2813=Company_Explorer!$B$6),OR(Company_Explorer!$B$7="All Roles",$D2813=Company_Explorer!$B$7),OR(Company_Explorer!$B$8="All Ghost Labels",$AG2813=Company_Explorer!$B$8)),1,0)</f>
        <v>0</v>
      </c>
    </row>
    <row r="2814" spans="1:35" ht="15" customHeight="1" x14ac:dyDescent="0.3">
      <c r="A2814" s="60" t="s">
        <v>10668</v>
      </c>
      <c r="B2814" s="60" t="s">
        <v>82</v>
      </c>
      <c r="C2814" s="60" t="s">
        <v>5780</v>
      </c>
      <c r="D2814" s="60" t="s">
        <v>127</v>
      </c>
      <c r="E2814" s="60" t="s">
        <v>3726</v>
      </c>
      <c r="F2814" s="60" t="b">
        <f>FALSE()</f>
        <v>0</v>
      </c>
      <c r="G2814" s="60" t="s">
        <v>167</v>
      </c>
      <c r="H2814" s="60" t="s">
        <v>276</v>
      </c>
      <c r="I2814" s="61">
        <v>46183</v>
      </c>
      <c r="J2814" s="61">
        <v>46210.286521990703</v>
      </c>
      <c r="K2814" s="60">
        <v>27</v>
      </c>
      <c r="L2814" s="60" t="s">
        <v>192</v>
      </c>
      <c r="M2814" s="60" t="s">
        <v>183</v>
      </c>
      <c r="N2814" s="60" t="b">
        <f>TRUE()</f>
        <v>1</v>
      </c>
      <c r="O2814" s="70">
        <v>350000</v>
      </c>
      <c r="P2814" s="70">
        <v>700000</v>
      </c>
      <c r="Q2814" s="60" t="s">
        <v>3663</v>
      </c>
      <c r="R2814" s="60" t="s">
        <v>7351</v>
      </c>
      <c r="S2814" s="70">
        <v>525000</v>
      </c>
      <c r="T2814" s="60" t="b">
        <f>TRUE()</f>
        <v>1</v>
      </c>
      <c r="U2814" s="60" t="b">
        <f>FALSE()</f>
        <v>0</v>
      </c>
      <c r="V2814" s="60">
        <v>251</v>
      </c>
      <c r="W2814" s="60" t="s">
        <v>5782</v>
      </c>
      <c r="X2814" s="60"/>
      <c r="Y2814" s="63"/>
      <c r="Z2814" s="60" t="b">
        <f>TRUE()</f>
        <v>1</v>
      </c>
      <c r="AA2814" s="60" t="b">
        <f>FALSE()</f>
        <v>0</v>
      </c>
      <c r="AB2814" s="60" t="b">
        <f>FALSE()</f>
        <v>0</v>
      </c>
      <c r="AC2814" s="60" t="b">
        <f>FALSE()</f>
        <v>0</v>
      </c>
      <c r="AD2814" s="60" t="b">
        <f>FALSE()</f>
        <v>0</v>
      </c>
      <c r="AE2814" s="60">
        <v>2</v>
      </c>
      <c r="AF2814" s="64">
        <v>28.6</v>
      </c>
      <c r="AG2814" s="60" t="s">
        <v>73</v>
      </c>
      <c r="AH2814" s="60" t="s">
        <v>10669</v>
      </c>
      <c r="AI2814">
        <f>IF(AND(OR(Company_Explorer!$B$5="All Companies",$E2814=Company_Explorer!$B$5),OR(Company_Explorer!$B$6="All Platforms",$B2814=Company_Explorer!$B$6),OR(Company_Explorer!$B$7="All Roles",$D2814=Company_Explorer!$B$7),OR(Company_Explorer!$B$8="All Ghost Labels",$AG2814=Company_Explorer!$B$8)),1,0)</f>
        <v>0</v>
      </c>
    </row>
    <row r="2815" spans="1:35" ht="15" customHeight="1" x14ac:dyDescent="0.3">
      <c r="A2815" s="65" t="s">
        <v>10670</v>
      </c>
      <c r="B2815" s="65" t="s">
        <v>82</v>
      </c>
      <c r="C2815" s="65" t="s">
        <v>10671</v>
      </c>
      <c r="D2815" s="65" t="s">
        <v>126</v>
      </c>
      <c r="E2815" s="65" t="s">
        <v>8818</v>
      </c>
      <c r="F2815" s="65" t="b">
        <f>TRUE()</f>
        <v>1</v>
      </c>
      <c r="G2815" s="65" t="s">
        <v>165</v>
      </c>
      <c r="H2815" s="65" t="s">
        <v>165</v>
      </c>
      <c r="I2815" s="66">
        <v>46206</v>
      </c>
      <c r="J2815" s="66">
        <v>46210.286522152797</v>
      </c>
      <c r="K2815" s="65">
        <v>5</v>
      </c>
      <c r="L2815" s="65" t="s">
        <v>183</v>
      </c>
      <c r="M2815" s="65" t="s">
        <v>183</v>
      </c>
      <c r="N2815" s="65" t="b">
        <f>FALSE()</f>
        <v>0</v>
      </c>
      <c r="O2815" s="65"/>
      <c r="P2815" s="65"/>
      <c r="Q2815" s="65" t="s">
        <v>3663</v>
      </c>
      <c r="R2815" s="65" t="s">
        <v>236</v>
      </c>
      <c r="S2815" s="65"/>
      <c r="T2815" s="65" t="b">
        <f>FALSE()</f>
        <v>0</v>
      </c>
      <c r="U2815" s="65" t="b">
        <f>FALSE()</f>
        <v>0</v>
      </c>
      <c r="V2815" s="65">
        <v>538</v>
      </c>
      <c r="W2815" s="67" t="s">
        <v>10672</v>
      </c>
      <c r="X2815" s="65">
        <v>3</v>
      </c>
      <c r="Y2815" s="68">
        <v>0.72</v>
      </c>
      <c r="Z2815" s="65" t="b">
        <f>FALSE()</f>
        <v>0</v>
      </c>
      <c r="AA2815" s="65" t="b">
        <f>TRUE()</f>
        <v>1</v>
      </c>
      <c r="AB2815" s="65" t="b">
        <f>FALSE()</f>
        <v>0</v>
      </c>
      <c r="AC2815" s="65" t="b">
        <f>FALSE()</f>
        <v>0</v>
      </c>
      <c r="AD2815" s="65" t="b">
        <f>FALSE()</f>
        <v>0</v>
      </c>
      <c r="AE2815" s="65">
        <v>1</v>
      </c>
      <c r="AF2815" s="69">
        <v>14.3</v>
      </c>
      <c r="AG2815" s="65" t="s">
        <v>74</v>
      </c>
      <c r="AH2815" s="65" t="s">
        <v>10673</v>
      </c>
      <c r="AI2815">
        <f>IF(AND(OR(Company_Explorer!$B$5="All Companies",$E2815=Company_Explorer!$B$5),OR(Company_Explorer!$B$6="All Platforms",$B2815=Company_Explorer!$B$6),OR(Company_Explorer!$B$7="All Roles",$D2815=Company_Explorer!$B$7),OR(Company_Explorer!$B$8="All Ghost Labels",$AG2815=Company_Explorer!$B$8)),1,0)</f>
        <v>0</v>
      </c>
    </row>
    <row r="2816" spans="1:35" ht="15" customHeight="1" x14ac:dyDescent="0.3">
      <c r="A2816" s="60" t="s">
        <v>10674</v>
      </c>
      <c r="B2816" s="60" t="s">
        <v>82</v>
      </c>
      <c r="C2816" s="60" t="s">
        <v>5765</v>
      </c>
      <c r="D2816" s="60" t="s">
        <v>125</v>
      </c>
      <c r="E2816" s="60" t="s">
        <v>3726</v>
      </c>
      <c r="F2816" s="60" t="b">
        <f>FALSE()</f>
        <v>0</v>
      </c>
      <c r="G2816" s="60" t="s">
        <v>165</v>
      </c>
      <c r="H2816" s="60" t="s">
        <v>165</v>
      </c>
      <c r="I2816" s="61">
        <v>46205</v>
      </c>
      <c r="J2816" s="61">
        <v>46210.2865262384</v>
      </c>
      <c r="K2816" s="60">
        <v>5</v>
      </c>
      <c r="L2816" s="60" t="s">
        <v>193</v>
      </c>
      <c r="M2816" s="60" t="s">
        <v>183</v>
      </c>
      <c r="N2816" s="60" t="b">
        <f>TRUE()</f>
        <v>1</v>
      </c>
      <c r="O2816" s="70">
        <v>70000</v>
      </c>
      <c r="P2816" s="70">
        <v>70000</v>
      </c>
      <c r="Q2816" s="60" t="s">
        <v>3663</v>
      </c>
      <c r="R2816" s="60" t="s">
        <v>7445</v>
      </c>
      <c r="S2816" s="70">
        <v>840000</v>
      </c>
      <c r="T2816" s="60" t="b">
        <f>TRUE()</f>
        <v>1</v>
      </c>
      <c r="U2816" s="60" t="b">
        <f>FALSE()</f>
        <v>0</v>
      </c>
      <c r="V2816" s="60">
        <v>225</v>
      </c>
      <c r="W2816" s="62" t="s">
        <v>10675</v>
      </c>
      <c r="X2816" s="60"/>
      <c r="Y2816" s="63"/>
      <c r="Z2816" s="60" t="b">
        <f>TRUE()</f>
        <v>1</v>
      </c>
      <c r="AA2816" s="60" t="b">
        <f>FALSE()</f>
        <v>0</v>
      </c>
      <c r="AB2816" s="60" t="b">
        <f>FALSE()</f>
        <v>0</v>
      </c>
      <c r="AC2816" s="60" t="b">
        <f>FALSE()</f>
        <v>0</v>
      </c>
      <c r="AD2816" s="60" t="b">
        <f>FALSE()</f>
        <v>0</v>
      </c>
      <c r="AE2816" s="60">
        <v>2</v>
      </c>
      <c r="AF2816" s="64">
        <v>28.6</v>
      </c>
      <c r="AG2816" s="60" t="s">
        <v>73</v>
      </c>
      <c r="AH2816" s="60" t="s">
        <v>10676</v>
      </c>
      <c r="AI2816">
        <f>IF(AND(OR(Company_Explorer!$B$5="All Companies",$E2816=Company_Explorer!$B$5),OR(Company_Explorer!$B$6="All Platforms",$B2816=Company_Explorer!$B$6),OR(Company_Explorer!$B$7="All Roles",$D2816=Company_Explorer!$B$7),OR(Company_Explorer!$B$8="All Ghost Labels",$AG2816=Company_Explorer!$B$8)),1,0)</f>
        <v>0</v>
      </c>
    </row>
    <row r="2817" spans="1:35" ht="15" customHeight="1" x14ac:dyDescent="0.3">
      <c r="A2817" s="65" t="s">
        <v>10677</v>
      </c>
      <c r="B2817" s="65" t="s">
        <v>82</v>
      </c>
      <c r="C2817" s="65" t="s">
        <v>127</v>
      </c>
      <c r="D2817" s="65" t="s">
        <v>127</v>
      </c>
      <c r="E2817" s="65" t="s">
        <v>3726</v>
      </c>
      <c r="F2817" s="65" t="b">
        <f>FALSE()</f>
        <v>0</v>
      </c>
      <c r="G2817" s="65" t="s">
        <v>165</v>
      </c>
      <c r="H2817" s="65" t="s">
        <v>165</v>
      </c>
      <c r="I2817" s="66">
        <v>46196</v>
      </c>
      <c r="J2817" s="66">
        <v>46210.286527650504</v>
      </c>
      <c r="K2817" s="65">
        <v>14</v>
      </c>
      <c r="L2817" s="65" t="s">
        <v>192</v>
      </c>
      <c r="M2817" s="65" t="s">
        <v>183</v>
      </c>
      <c r="N2817" s="65" t="b">
        <f>TRUE()</f>
        <v>1</v>
      </c>
      <c r="O2817" s="71">
        <v>600000</v>
      </c>
      <c r="P2817" s="71">
        <v>700000</v>
      </c>
      <c r="Q2817" s="65" t="s">
        <v>3663</v>
      </c>
      <c r="R2817" s="65" t="s">
        <v>7351</v>
      </c>
      <c r="S2817" s="71">
        <v>650000</v>
      </c>
      <c r="T2817" s="65" t="b">
        <f>TRUE()</f>
        <v>1</v>
      </c>
      <c r="U2817" s="65" t="b">
        <f>FALSE()</f>
        <v>0</v>
      </c>
      <c r="V2817" s="65">
        <v>142</v>
      </c>
      <c r="W2817" s="67" t="s">
        <v>10678</v>
      </c>
      <c r="X2817" s="65"/>
      <c r="Y2817" s="68"/>
      <c r="Z2817" s="65" t="b">
        <f>TRUE()</f>
        <v>1</v>
      </c>
      <c r="AA2817" s="65" t="b">
        <f>FALSE()</f>
        <v>0</v>
      </c>
      <c r="AB2817" s="65" t="b">
        <f>TRUE()</f>
        <v>1</v>
      </c>
      <c r="AC2817" s="65" t="b">
        <f>FALSE()</f>
        <v>0</v>
      </c>
      <c r="AD2817" s="65" t="b">
        <f>FALSE()</f>
        <v>0</v>
      </c>
      <c r="AE2817" s="65">
        <v>3</v>
      </c>
      <c r="AF2817" s="69">
        <v>42.9</v>
      </c>
      <c r="AG2817" s="65" t="s">
        <v>73</v>
      </c>
      <c r="AH2817" s="65" t="s">
        <v>10679</v>
      </c>
      <c r="AI2817">
        <f>IF(AND(OR(Company_Explorer!$B$5="All Companies",$E2817=Company_Explorer!$B$5),OR(Company_Explorer!$B$6="All Platforms",$B2817=Company_Explorer!$B$6),OR(Company_Explorer!$B$7="All Roles",$D2817=Company_Explorer!$B$7),OR(Company_Explorer!$B$8="All Ghost Labels",$AG2817=Company_Explorer!$B$8)),1,0)</f>
        <v>0</v>
      </c>
    </row>
    <row r="2818" spans="1:35" ht="15" customHeight="1" x14ac:dyDescent="0.3">
      <c r="A2818" s="60" t="s">
        <v>10680</v>
      </c>
      <c r="B2818" s="60" t="s">
        <v>82</v>
      </c>
      <c r="C2818" s="60" t="s">
        <v>3640</v>
      </c>
      <c r="D2818" s="60" t="s">
        <v>126</v>
      </c>
      <c r="E2818" s="60" t="s">
        <v>10681</v>
      </c>
      <c r="F2818" s="60" t="b">
        <f>TRUE()</f>
        <v>1</v>
      </c>
      <c r="G2818" s="60" t="s">
        <v>545</v>
      </c>
      <c r="H2818" s="60" t="s">
        <v>270</v>
      </c>
      <c r="I2818" s="61">
        <v>46201</v>
      </c>
      <c r="J2818" s="61">
        <v>46210.286527835699</v>
      </c>
      <c r="K2818" s="60">
        <v>130</v>
      </c>
      <c r="L2818" s="60" t="s">
        <v>183</v>
      </c>
      <c r="M2818" s="60" t="s">
        <v>183</v>
      </c>
      <c r="N2818" s="60" t="b">
        <f>TRUE()</f>
        <v>1</v>
      </c>
      <c r="O2818" s="70">
        <v>255000</v>
      </c>
      <c r="P2818" s="70">
        <v>587500</v>
      </c>
      <c r="Q2818" s="60" t="s">
        <v>3663</v>
      </c>
      <c r="R2818" s="60" t="s">
        <v>7351</v>
      </c>
      <c r="S2818" s="70">
        <v>421250</v>
      </c>
      <c r="T2818" s="60" t="b">
        <f>TRUE()</f>
        <v>1</v>
      </c>
      <c r="U2818" s="60" t="b">
        <f>FALSE()</f>
        <v>0</v>
      </c>
      <c r="V2818" s="60">
        <v>105</v>
      </c>
      <c r="W2818" s="62" t="s">
        <v>10682</v>
      </c>
      <c r="X2818" s="60">
        <v>1</v>
      </c>
      <c r="Y2818" s="63">
        <v>0.24</v>
      </c>
      <c r="Z2818" s="60" t="b">
        <f>FALSE()</f>
        <v>0</v>
      </c>
      <c r="AA2818" s="60" t="b">
        <f>FALSE()</f>
        <v>0</v>
      </c>
      <c r="AB2818" s="60" t="b">
        <f>TRUE()</f>
        <v>1</v>
      </c>
      <c r="AC2818" s="60" t="b">
        <f>TRUE()</f>
        <v>1</v>
      </c>
      <c r="AD2818" s="60" t="b">
        <f>FALSE()</f>
        <v>0</v>
      </c>
      <c r="AE2818" s="60">
        <v>2</v>
      </c>
      <c r="AF2818" s="64">
        <v>28.6</v>
      </c>
      <c r="AG2818" s="60" t="s">
        <v>73</v>
      </c>
      <c r="AH2818" s="60" t="s">
        <v>10683</v>
      </c>
      <c r="AI2818">
        <f>IF(AND(OR(Company_Explorer!$B$5="All Companies",$E2818=Company_Explorer!$B$5),OR(Company_Explorer!$B$6="All Platforms",$B2818=Company_Explorer!$B$6),OR(Company_Explorer!$B$7="All Roles",$D2818=Company_Explorer!$B$7),OR(Company_Explorer!$B$8="All Ghost Labels",$AG2818=Company_Explorer!$B$8)),1,0)</f>
        <v>0</v>
      </c>
    </row>
    <row r="2819" spans="1:35" ht="15" customHeight="1" x14ac:dyDescent="0.3">
      <c r="A2819" s="65" t="s">
        <v>10684</v>
      </c>
      <c r="B2819" s="65" t="s">
        <v>82</v>
      </c>
      <c r="C2819" s="65" t="s">
        <v>10685</v>
      </c>
      <c r="D2819" s="65" t="s">
        <v>125</v>
      </c>
      <c r="E2819" s="65" t="s">
        <v>8632</v>
      </c>
      <c r="F2819" s="65" t="b">
        <f>TRUE()</f>
        <v>1</v>
      </c>
      <c r="G2819" s="65" t="s">
        <v>165</v>
      </c>
      <c r="H2819" s="65" t="s">
        <v>165</v>
      </c>
      <c r="I2819" s="66">
        <v>46197</v>
      </c>
      <c r="J2819" s="66">
        <v>46210.2865280556</v>
      </c>
      <c r="K2819" s="65">
        <v>133</v>
      </c>
      <c r="L2819" s="65" t="s">
        <v>192</v>
      </c>
      <c r="M2819" s="65" t="s">
        <v>183</v>
      </c>
      <c r="N2819" s="65" t="b">
        <f>FALSE()</f>
        <v>0</v>
      </c>
      <c r="O2819" s="65"/>
      <c r="P2819" s="65"/>
      <c r="Q2819" s="65" t="s">
        <v>3663</v>
      </c>
      <c r="R2819" s="65" t="s">
        <v>236</v>
      </c>
      <c r="S2819" s="65"/>
      <c r="T2819" s="65" t="b">
        <f>FALSE()</f>
        <v>0</v>
      </c>
      <c r="U2819" s="65" t="b">
        <f>FALSE()</f>
        <v>0</v>
      </c>
      <c r="V2819" s="65">
        <v>327</v>
      </c>
      <c r="W2819" s="67" t="s">
        <v>10686</v>
      </c>
      <c r="X2819" s="65">
        <v>2</v>
      </c>
      <c r="Y2819" s="68">
        <v>0.48</v>
      </c>
      <c r="Z2819" s="65" t="b">
        <f>FALSE()</f>
        <v>0</v>
      </c>
      <c r="AA2819" s="65" t="b">
        <f>TRUE()</f>
        <v>1</v>
      </c>
      <c r="AB2819" s="65" t="b">
        <f>FALSE()</f>
        <v>0</v>
      </c>
      <c r="AC2819" s="65" t="b">
        <f>TRUE()</f>
        <v>1</v>
      </c>
      <c r="AD2819" s="65" t="b">
        <f>FALSE()</f>
        <v>0</v>
      </c>
      <c r="AE2819" s="65">
        <v>2</v>
      </c>
      <c r="AF2819" s="69">
        <v>28.6</v>
      </c>
      <c r="AG2819" s="65" t="s">
        <v>73</v>
      </c>
      <c r="AH2819" s="65" t="s">
        <v>10687</v>
      </c>
      <c r="AI2819">
        <f>IF(AND(OR(Company_Explorer!$B$5="All Companies",$E2819=Company_Explorer!$B$5),OR(Company_Explorer!$B$6="All Platforms",$B2819=Company_Explorer!$B$6),OR(Company_Explorer!$B$7="All Roles",$D2819=Company_Explorer!$B$7),OR(Company_Explorer!$B$8="All Ghost Labels",$AG2819=Company_Explorer!$B$8)),1,0)</f>
        <v>0</v>
      </c>
    </row>
    <row r="2820" spans="1:35" ht="15" customHeight="1" x14ac:dyDescent="0.3">
      <c r="A2820" s="60" t="s">
        <v>10688</v>
      </c>
      <c r="B2820" s="60" t="s">
        <v>82</v>
      </c>
      <c r="C2820" s="60" t="s">
        <v>127</v>
      </c>
      <c r="D2820" s="60" t="s">
        <v>127</v>
      </c>
      <c r="E2820" s="60" t="s">
        <v>10689</v>
      </c>
      <c r="F2820" s="60" t="b">
        <f>TRUE()</f>
        <v>1</v>
      </c>
      <c r="G2820" s="60" t="s">
        <v>9151</v>
      </c>
      <c r="H2820" s="60" t="s">
        <v>827</v>
      </c>
      <c r="I2820" s="61">
        <v>46197</v>
      </c>
      <c r="J2820" s="61">
        <v>46210.286529328703</v>
      </c>
      <c r="K2820" s="60">
        <v>133</v>
      </c>
      <c r="L2820" s="60" t="s">
        <v>183</v>
      </c>
      <c r="M2820" s="60" t="s">
        <v>183</v>
      </c>
      <c r="N2820" s="60" t="b">
        <f>TRUE()</f>
        <v>1</v>
      </c>
      <c r="O2820" s="70">
        <v>250000</v>
      </c>
      <c r="P2820" s="70">
        <v>742500</v>
      </c>
      <c r="Q2820" s="60" t="s">
        <v>3663</v>
      </c>
      <c r="R2820" s="60" t="s">
        <v>7351</v>
      </c>
      <c r="S2820" s="70">
        <v>496250</v>
      </c>
      <c r="T2820" s="60" t="b">
        <f>TRUE()</f>
        <v>1</v>
      </c>
      <c r="U2820" s="60" t="b">
        <f>FALSE()</f>
        <v>0</v>
      </c>
      <c r="V2820" s="60">
        <v>216</v>
      </c>
      <c r="W2820" s="62" t="s">
        <v>10690</v>
      </c>
      <c r="X2820" s="60">
        <v>1</v>
      </c>
      <c r="Y2820" s="63">
        <v>0.24</v>
      </c>
      <c r="Z2820" s="60" t="b">
        <f>FALSE()</f>
        <v>0</v>
      </c>
      <c r="AA2820" s="60" t="b">
        <f>FALSE()</f>
        <v>0</v>
      </c>
      <c r="AB2820" s="60" t="b">
        <f>FALSE()</f>
        <v>0</v>
      </c>
      <c r="AC2820" s="60" t="b">
        <f>TRUE()</f>
        <v>1</v>
      </c>
      <c r="AD2820" s="60" t="b">
        <f>FALSE()</f>
        <v>0</v>
      </c>
      <c r="AE2820" s="60">
        <v>1</v>
      </c>
      <c r="AF2820" s="64">
        <v>14.3</v>
      </c>
      <c r="AG2820" s="60" t="s">
        <v>74</v>
      </c>
      <c r="AH2820" s="60" t="s">
        <v>10691</v>
      </c>
      <c r="AI2820">
        <f>IF(AND(OR(Company_Explorer!$B$5="All Companies",$E2820=Company_Explorer!$B$5),OR(Company_Explorer!$B$6="All Platforms",$B2820=Company_Explorer!$B$6),OR(Company_Explorer!$B$7="All Roles",$D2820=Company_Explorer!$B$7),OR(Company_Explorer!$B$8="All Ghost Labels",$AG2820=Company_Explorer!$B$8)),1,0)</f>
        <v>0</v>
      </c>
    </row>
    <row r="2821" spans="1:35" ht="15" customHeight="1" x14ac:dyDescent="0.3">
      <c r="A2821" s="65" t="s">
        <v>10692</v>
      </c>
      <c r="B2821" s="65" t="s">
        <v>82</v>
      </c>
      <c r="C2821" s="65" t="s">
        <v>10693</v>
      </c>
      <c r="D2821" s="65" t="s">
        <v>126</v>
      </c>
      <c r="E2821" s="65" t="s">
        <v>10694</v>
      </c>
      <c r="F2821" s="65" t="b">
        <f>TRUE()</f>
        <v>1</v>
      </c>
      <c r="G2821" s="65" t="s">
        <v>166</v>
      </c>
      <c r="H2821" s="65" t="s">
        <v>235</v>
      </c>
      <c r="I2821" s="66">
        <v>46193</v>
      </c>
      <c r="J2821" s="66">
        <v>46210.286529386598</v>
      </c>
      <c r="K2821" s="65">
        <v>17</v>
      </c>
      <c r="L2821" s="65" t="s">
        <v>183</v>
      </c>
      <c r="M2821" s="65" t="s">
        <v>183</v>
      </c>
      <c r="N2821" s="65" t="b">
        <f>TRUE()</f>
        <v>1</v>
      </c>
      <c r="O2821" s="71">
        <v>500000</v>
      </c>
      <c r="P2821" s="71">
        <v>900000</v>
      </c>
      <c r="Q2821" s="65" t="s">
        <v>3663</v>
      </c>
      <c r="R2821" s="65" t="s">
        <v>7351</v>
      </c>
      <c r="S2821" s="71">
        <v>700000</v>
      </c>
      <c r="T2821" s="65" t="b">
        <f>TRUE()</f>
        <v>1</v>
      </c>
      <c r="U2821" s="65" t="b">
        <f>FALSE()</f>
        <v>0</v>
      </c>
      <c r="V2821" s="65">
        <v>1250</v>
      </c>
      <c r="W2821" s="67" t="s">
        <v>10695</v>
      </c>
      <c r="X2821" s="65">
        <v>1</v>
      </c>
      <c r="Y2821" s="68">
        <v>0.24</v>
      </c>
      <c r="Z2821" s="65" t="b">
        <f>FALSE()</f>
        <v>0</v>
      </c>
      <c r="AA2821" s="65" t="b">
        <f>FALSE()</f>
        <v>0</v>
      </c>
      <c r="AB2821" s="65" t="b">
        <f>FALSE()</f>
        <v>0</v>
      </c>
      <c r="AC2821" s="65" t="b">
        <f>FALSE()</f>
        <v>0</v>
      </c>
      <c r="AD2821" s="65" t="b">
        <f>FALSE()</f>
        <v>0</v>
      </c>
      <c r="AE2821" s="65">
        <v>0</v>
      </c>
      <c r="AF2821" s="69">
        <v>0</v>
      </c>
      <c r="AG2821" s="65" t="s">
        <v>74</v>
      </c>
      <c r="AH2821" s="65" t="s">
        <v>10696</v>
      </c>
      <c r="AI2821">
        <f>IF(AND(OR(Company_Explorer!$B$5="All Companies",$E2821=Company_Explorer!$B$5),OR(Company_Explorer!$B$6="All Platforms",$B2821=Company_Explorer!$B$6),OR(Company_Explorer!$B$7="All Roles",$D2821=Company_Explorer!$B$7),OR(Company_Explorer!$B$8="All Ghost Labels",$AG2821=Company_Explorer!$B$8)),1,0)</f>
        <v>0</v>
      </c>
    </row>
    <row r="2822" spans="1:35" ht="15" customHeight="1" x14ac:dyDescent="0.3">
      <c r="A2822" s="60" t="s">
        <v>10697</v>
      </c>
      <c r="B2822" s="60" t="s">
        <v>82</v>
      </c>
      <c r="C2822" s="60" t="s">
        <v>127</v>
      </c>
      <c r="D2822" s="60" t="s">
        <v>127</v>
      </c>
      <c r="E2822" s="60" t="s">
        <v>10698</v>
      </c>
      <c r="F2822" s="60" t="b">
        <f>TRUE()</f>
        <v>1</v>
      </c>
      <c r="G2822" s="60" t="s">
        <v>325</v>
      </c>
      <c r="H2822" s="60" t="s">
        <v>326</v>
      </c>
      <c r="I2822" s="61">
        <v>46208</v>
      </c>
      <c r="J2822" s="61">
        <v>46210.286529594901</v>
      </c>
      <c r="K2822" s="60">
        <v>124</v>
      </c>
      <c r="L2822" s="60" t="s">
        <v>192</v>
      </c>
      <c r="M2822" s="60" t="s">
        <v>183</v>
      </c>
      <c r="N2822" s="60" t="b">
        <f>TRUE()</f>
        <v>1</v>
      </c>
      <c r="O2822" s="70">
        <v>274000</v>
      </c>
      <c r="P2822" s="70">
        <v>475000</v>
      </c>
      <c r="Q2822" s="60" t="s">
        <v>3663</v>
      </c>
      <c r="R2822" s="60" t="s">
        <v>7351</v>
      </c>
      <c r="S2822" s="70">
        <v>374500</v>
      </c>
      <c r="T2822" s="60" t="b">
        <f>TRUE()</f>
        <v>1</v>
      </c>
      <c r="U2822" s="60" t="b">
        <f>FALSE()</f>
        <v>0</v>
      </c>
      <c r="V2822" s="60">
        <v>256</v>
      </c>
      <c r="W2822" s="62" t="s">
        <v>10699</v>
      </c>
      <c r="X2822" s="60">
        <v>1</v>
      </c>
      <c r="Y2822" s="63">
        <v>0.24</v>
      </c>
      <c r="Z2822" s="60" t="b">
        <f>FALSE()</f>
        <v>0</v>
      </c>
      <c r="AA2822" s="60" t="b">
        <f>FALSE()</f>
        <v>0</v>
      </c>
      <c r="AB2822" s="60" t="b">
        <f>FALSE()</f>
        <v>0</v>
      </c>
      <c r="AC2822" s="60" t="b">
        <f>TRUE()</f>
        <v>1</v>
      </c>
      <c r="AD2822" s="60" t="b">
        <f>FALSE()</f>
        <v>0</v>
      </c>
      <c r="AE2822" s="60">
        <v>1</v>
      </c>
      <c r="AF2822" s="64">
        <v>14.3</v>
      </c>
      <c r="AG2822" s="60" t="s">
        <v>74</v>
      </c>
      <c r="AH2822" s="60" t="s">
        <v>10700</v>
      </c>
      <c r="AI2822">
        <f>IF(AND(OR(Company_Explorer!$B$5="All Companies",$E2822=Company_Explorer!$B$5),OR(Company_Explorer!$B$6="All Platforms",$B2822=Company_Explorer!$B$6),OR(Company_Explorer!$B$7="All Roles",$D2822=Company_Explorer!$B$7),OR(Company_Explorer!$B$8="All Ghost Labels",$AG2822=Company_Explorer!$B$8)),1,0)</f>
        <v>0</v>
      </c>
    </row>
    <row r="2823" spans="1:35" ht="15" customHeight="1" x14ac:dyDescent="0.3">
      <c r="A2823" s="65" t="s">
        <v>10701</v>
      </c>
      <c r="B2823" s="65" t="s">
        <v>82</v>
      </c>
      <c r="C2823" s="65" t="s">
        <v>10702</v>
      </c>
      <c r="D2823" s="65" t="s">
        <v>126</v>
      </c>
      <c r="E2823" s="65" t="s">
        <v>10703</v>
      </c>
      <c r="F2823" s="65" t="b">
        <f>TRUE()</f>
        <v>1</v>
      </c>
      <c r="G2823" s="65" t="s">
        <v>165</v>
      </c>
      <c r="H2823" s="65" t="s">
        <v>165</v>
      </c>
      <c r="I2823" s="66">
        <v>46193</v>
      </c>
      <c r="J2823" s="66">
        <v>46210.286530381898</v>
      </c>
      <c r="K2823" s="65">
        <v>17</v>
      </c>
      <c r="L2823" s="65" t="s">
        <v>192</v>
      </c>
      <c r="M2823" s="65" t="s">
        <v>183</v>
      </c>
      <c r="N2823" s="65" t="b">
        <f>FALSE()</f>
        <v>0</v>
      </c>
      <c r="O2823" s="65"/>
      <c r="P2823" s="65"/>
      <c r="Q2823" s="65" t="s">
        <v>3663</v>
      </c>
      <c r="R2823" s="65" t="s">
        <v>236</v>
      </c>
      <c r="S2823" s="65"/>
      <c r="T2823" s="65" t="b">
        <f>FALSE()</f>
        <v>0</v>
      </c>
      <c r="U2823" s="65" t="b">
        <f>FALSE()</f>
        <v>0</v>
      </c>
      <c r="V2823" s="65">
        <v>567</v>
      </c>
      <c r="W2823" s="65" t="s">
        <v>10704</v>
      </c>
      <c r="X2823" s="65">
        <v>1</v>
      </c>
      <c r="Y2823" s="68">
        <v>0.24</v>
      </c>
      <c r="Z2823" s="65" t="b">
        <f>FALSE()</f>
        <v>0</v>
      </c>
      <c r="AA2823" s="65" t="b">
        <f>TRUE()</f>
        <v>1</v>
      </c>
      <c r="AB2823" s="65" t="b">
        <f>FALSE()</f>
        <v>0</v>
      </c>
      <c r="AC2823" s="65" t="b">
        <f>FALSE()</f>
        <v>0</v>
      </c>
      <c r="AD2823" s="65" t="b">
        <f>FALSE()</f>
        <v>0</v>
      </c>
      <c r="AE2823" s="65">
        <v>1</v>
      </c>
      <c r="AF2823" s="69">
        <v>14.3</v>
      </c>
      <c r="AG2823" s="65" t="s">
        <v>74</v>
      </c>
      <c r="AH2823" s="65" t="s">
        <v>10705</v>
      </c>
      <c r="AI2823">
        <f>IF(AND(OR(Company_Explorer!$B$5="All Companies",$E2823=Company_Explorer!$B$5),OR(Company_Explorer!$B$6="All Platforms",$B2823=Company_Explorer!$B$6),OR(Company_Explorer!$B$7="All Roles",$D2823=Company_Explorer!$B$7),OR(Company_Explorer!$B$8="All Ghost Labels",$AG2823=Company_Explorer!$B$8)),1,0)</f>
        <v>0</v>
      </c>
    </row>
    <row r="2824" spans="1:35" ht="15" customHeight="1" x14ac:dyDescent="0.3">
      <c r="A2824" s="60" t="s">
        <v>10706</v>
      </c>
      <c r="B2824" s="60" t="s">
        <v>82</v>
      </c>
      <c r="C2824" s="60" t="s">
        <v>10707</v>
      </c>
      <c r="D2824" s="60" t="s">
        <v>127</v>
      </c>
      <c r="E2824" s="60" t="s">
        <v>10708</v>
      </c>
      <c r="F2824" s="60" t="b">
        <f>TRUE()</f>
        <v>1</v>
      </c>
      <c r="G2824" s="60" t="s">
        <v>165</v>
      </c>
      <c r="H2824" s="60" t="s">
        <v>165</v>
      </c>
      <c r="I2824" s="61">
        <v>46200</v>
      </c>
      <c r="J2824" s="61">
        <v>46210.286530474499</v>
      </c>
      <c r="K2824" s="60">
        <v>41</v>
      </c>
      <c r="L2824" s="60" t="s">
        <v>192</v>
      </c>
      <c r="M2824" s="60" t="s">
        <v>183</v>
      </c>
      <c r="N2824" s="60" t="b">
        <f>FALSE()</f>
        <v>0</v>
      </c>
      <c r="O2824" s="60"/>
      <c r="P2824" s="60"/>
      <c r="Q2824" s="60" t="s">
        <v>3663</v>
      </c>
      <c r="R2824" s="60" t="s">
        <v>236</v>
      </c>
      <c r="S2824" s="60"/>
      <c r="T2824" s="60" t="b">
        <f>FALSE()</f>
        <v>0</v>
      </c>
      <c r="U2824" s="60" t="b">
        <f>FALSE()</f>
        <v>0</v>
      </c>
      <c r="V2824" s="60">
        <v>482</v>
      </c>
      <c r="W2824" s="62" t="s">
        <v>10709</v>
      </c>
      <c r="X2824" s="60">
        <v>2</v>
      </c>
      <c r="Y2824" s="63">
        <v>0.48</v>
      </c>
      <c r="Z2824" s="60" t="b">
        <f>FALSE()</f>
        <v>0</v>
      </c>
      <c r="AA2824" s="60" t="b">
        <f>TRUE()</f>
        <v>1</v>
      </c>
      <c r="AB2824" s="60" t="b">
        <f>FALSE()</f>
        <v>0</v>
      </c>
      <c r="AC2824" s="60" t="b">
        <f>FALSE()</f>
        <v>0</v>
      </c>
      <c r="AD2824" s="60" t="b">
        <f>FALSE()</f>
        <v>0</v>
      </c>
      <c r="AE2824" s="60">
        <v>1</v>
      </c>
      <c r="AF2824" s="64">
        <v>14.3</v>
      </c>
      <c r="AG2824" s="60" t="s">
        <v>74</v>
      </c>
      <c r="AH2824" s="60" t="s">
        <v>10710</v>
      </c>
      <c r="AI2824">
        <f>IF(AND(OR(Company_Explorer!$B$5="All Companies",$E2824=Company_Explorer!$B$5),OR(Company_Explorer!$B$6="All Platforms",$B2824=Company_Explorer!$B$6),OR(Company_Explorer!$B$7="All Roles",$D2824=Company_Explorer!$B$7),OR(Company_Explorer!$B$8="All Ghost Labels",$AG2824=Company_Explorer!$B$8)),1,0)</f>
        <v>0</v>
      </c>
    </row>
    <row r="2825" spans="1:35" ht="15" customHeight="1" x14ac:dyDescent="0.3">
      <c r="A2825" s="65" t="s">
        <v>10711</v>
      </c>
      <c r="B2825" s="65" t="s">
        <v>82</v>
      </c>
      <c r="C2825" s="65" t="s">
        <v>7407</v>
      </c>
      <c r="D2825" s="65" t="s">
        <v>127</v>
      </c>
      <c r="E2825" s="65" t="s">
        <v>10712</v>
      </c>
      <c r="F2825" s="65" t="b">
        <f>TRUE()</f>
        <v>1</v>
      </c>
      <c r="G2825" s="65" t="s">
        <v>166</v>
      </c>
      <c r="H2825" s="65" t="s">
        <v>235</v>
      </c>
      <c r="I2825" s="66">
        <v>46190</v>
      </c>
      <c r="J2825" s="66">
        <v>46210.2865366435</v>
      </c>
      <c r="K2825" s="65">
        <v>20</v>
      </c>
      <c r="L2825" s="65" t="s">
        <v>183</v>
      </c>
      <c r="M2825" s="65" t="s">
        <v>183</v>
      </c>
      <c r="N2825" s="65" t="b">
        <f>FALSE()</f>
        <v>0</v>
      </c>
      <c r="O2825" s="65"/>
      <c r="P2825" s="65"/>
      <c r="Q2825" s="65" t="s">
        <v>3663</v>
      </c>
      <c r="R2825" s="65" t="s">
        <v>236</v>
      </c>
      <c r="S2825" s="65"/>
      <c r="T2825" s="65" t="b">
        <f>FALSE()</f>
        <v>0</v>
      </c>
      <c r="U2825" s="65" t="b">
        <f>FALSE()</f>
        <v>0</v>
      </c>
      <c r="V2825" s="65">
        <v>436</v>
      </c>
      <c r="W2825" s="67" t="s">
        <v>10713</v>
      </c>
      <c r="X2825" s="65">
        <v>2</v>
      </c>
      <c r="Y2825" s="68">
        <v>0.48</v>
      </c>
      <c r="Z2825" s="65" t="b">
        <f>FALSE()</f>
        <v>0</v>
      </c>
      <c r="AA2825" s="65" t="b">
        <f>TRUE()</f>
        <v>1</v>
      </c>
      <c r="AB2825" s="65" t="b">
        <f>FALSE()</f>
        <v>0</v>
      </c>
      <c r="AC2825" s="65" t="b">
        <f>FALSE()</f>
        <v>0</v>
      </c>
      <c r="AD2825" s="65" t="b">
        <f>FALSE()</f>
        <v>0</v>
      </c>
      <c r="AE2825" s="65">
        <v>1</v>
      </c>
      <c r="AF2825" s="69">
        <v>14.3</v>
      </c>
      <c r="AG2825" s="65" t="s">
        <v>74</v>
      </c>
      <c r="AH2825" s="65" t="s">
        <v>10714</v>
      </c>
      <c r="AI2825">
        <f>IF(AND(OR(Company_Explorer!$B$5="All Companies",$E2825=Company_Explorer!$B$5),OR(Company_Explorer!$B$6="All Platforms",$B2825=Company_Explorer!$B$6),OR(Company_Explorer!$B$7="All Roles",$D2825=Company_Explorer!$B$7),OR(Company_Explorer!$B$8="All Ghost Labels",$AG2825=Company_Explorer!$B$8)),1,0)</f>
        <v>0</v>
      </c>
    </row>
    <row r="2826" spans="1:35" ht="15" customHeight="1" x14ac:dyDescent="0.3">
      <c r="A2826" s="60" t="s">
        <v>10715</v>
      </c>
      <c r="B2826" s="60" t="s">
        <v>82</v>
      </c>
      <c r="C2826" s="60" t="s">
        <v>127</v>
      </c>
      <c r="D2826" s="60" t="s">
        <v>127</v>
      </c>
      <c r="E2826" s="60" t="s">
        <v>10716</v>
      </c>
      <c r="F2826" s="60" t="b">
        <f>TRUE()</f>
        <v>1</v>
      </c>
      <c r="G2826" s="60" t="s">
        <v>165</v>
      </c>
      <c r="H2826" s="60" t="s">
        <v>165</v>
      </c>
      <c r="I2826" s="61">
        <v>46206</v>
      </c>
      <c r="J2826" s="61">
        <v>46210.286537395797</v>
      </c>
      <c r="K2826" s="60">
        <v>95</v>
      </c>
      <c r="L2826" s="60" t="s">
        <v>192</v>
      </c>
      <c r="M2826" s="60" t="s">
        <v>183</v>
      </c>
      <c r="N2826" s="60" t="b">
        <f>FALSE()</f>
        <v>0</v>
      </c>
      <c r="O2826" s="60"/>
      <c r="P2826" s="60"/>
      <c r="Q2826" s="60" t="s">
        <v>3663</v>
      </c>
      <c r="R2826" s="60" t="s">
        <v>236</v>
      </c>
      <c r="S2826" s="60"/>
      <c r="T2826" s="60" t="b">
        <f>FALSE()</f>
        <v>0</v>
      </c>
      <c r="U2826" s="60" t="b">
        <f>FALSE()</f>
        <v>0</v>
      </c>
      <c r="V2826" s="60">
        <v>196</v>
      </c>
      <c r="W2826" s="62" t="s">
        <v>10717</v>
      </c>
      <c r="X2826" s="60">
        <v>1</v>
      </c>
      <c r="Y2826" s="63">
        <v>0.24</v>
      </c>
      <c r="Z2826" s="60" t="b">
        <f>FALSE()</f>
        <v>0</v>
      </c>
      <c r="AA2826" s="60" t="b">
        <f>TRUE()</f>
        <v>1</v>
      </c>
      <c r="AB2826" s="60" t="b">
        <f>TRUE()</f>
        <v>1</v>
      </c>
      <c r="AC2826" s="60" t="b">
        <f>FALSE()</f>
        <v>0</v>
      </c>
      <c r="AD2826" s="60" t="b">
        <f>FALSE()</f>
        <v>0</v>
      </c>
      <c r="AE2826" s="60">
        <v>2</v>
      </c>
      <c r="AF2826" s="64">
        <v>28.6</v>
      </c>
      <c r="AG2826" s="60" t="s">
        <v>73</v>
      </c>
      <c r="AH2826" s="60" t="s">
        <v>10718</v>
      </c>
      <c r="AI2826">
        <f>IF(AND(OR(Company_Explorer!$B$5="All Companies",$E2826=Company_Explorer!$B$5),OR(Company_Explorer!$B$6="All Platforms",$B2826=Company_Explorer!$B$6),OR(Company_Explorer!$B$7="All Roles",$D2826=Company_Explorer!$B$7),OR(Company_Explorer!$B$8="All Ghost Labels",$AG2826=Company_Explorer!$B$8)),1,0)</f>
        <v>0</v>
      </c>
    </row>
    <row r="2827" spans="1:35" ht="15" customHeight="1" x14ac:dyDescent="0.3">
      <c r="A2827" s="65" t="s">
        <v>10719</v>
      </c>
      <c r="B2827" s="65" t="s">
        <v>82</v>
      </c>
      <c r="C2827" s="65" t="s">
        <v>5780</v>
      </c>
      <c r="D2827" s="65" t="s">
        <v>127</v>
      </c>
      <c r="E2827" s="65" t="s">
        <v>10720</v>
      </c>
      <c r="F2827" s="65" t="b">
        <f>TRUE()</f>
        <v>1</v>
      </c>
      <c r="G2827" s="65" t="s">
        <v>165</v>
      </c>
      <c r="H2827" s="65" t="s">
        <v>165</v>
      </c>
      <c r="I2827" s="66">
        <v>46189</v>
      </c>
      <c r="J2827" s="66">
        <v>46210.2865375232</v>
      </c>
      <c r="K2827" s="65">
        <v>21</v>
      </c>
      <c r="L2827" s="65" t="s">
        <v>183</v>
      </c>
      <c r="M2827" s="65" t="s">
        <v>183</v>
      </c>
      <c r="N2827" s="65" t="b">
        <f>FALSE()</f>
        <v>0</v>
      </c>
      <c r="O2827" s="65"/>
      <c r="P2827" s="65"/>
      <c r="Q2827" s="65" t="s">
        <v>3663</v>
      </c>
      <c r="R2827" s="65" t="s">
        <v>236</v>
      </c>
      <c r="S2827" s="65"/>
      <c r="T2827" s="65" t="b">
        <f>FALSE()</f>
        <v>0</v>
      </c>
      <c r="U2827" s="65" t="b">
        <f>FALSE()</f>
        <v>0</v>
      </c>
      <c r="V2827" s="65">
        <v>501</v>
      </c>
      <c r="W2827" s="67" t="s">
        <v>10721</v>
      </c>
      <c r="X2827" s="65">
        <v>1</v>
      </c>
      <c r="Y2827" s="68">
        <v>0.24</v>
      </c>
      <c r="Z2827" s="65" t="b">
        <f>FALSE()</f>
        <v>0</v>
      </c>
      <c r="AA2827" s="65" t="b">
        <f>TRUE()</f>
        <v>1</v>
      </c>
      <c r="AB2827" s="65" t="b">
        <f>FALSE()</f>
        <v>0</v>
      </c>
      <c r="AC2827" s="65" t="b">
        <f>FALSE()</f>
        <v>0</v>
      </c>
      <c r="AD2827" s="65" t="b">
        <f>FALSE()</f>
        <v>0</v>
      </c>
      <c r="AE2827" s="65">
        <v>1</v>
      </c>
      <c r="AF2827" s="69">
        <v>14.3</v>
      </c>
      <c r="AG2827" s="65" t="s">
        <v>74</v>
      </c>
      <c r="AH2827" s="65" t="s">
        <v>10722</v>
      </c>
      <c r="AI2827">
        <f>IF(AND(OR(Company_Explorer!$B$5="All Companies",$E2827=Company_Explorer!$B$5),OR(Company_Explorer!$B$6="All Platforms",$B2827=Company_Explorer!$B$6),OR(Company_Explorer!$B$7="All Roles",$D2827=Company_Explorer!$B$7),OR(Company_Explorer!$B$8="All Ghost Labels",$AG2827=Company_Explorer!$B$8)),1,0)</f>
        <v>0</v>
      </c>
    </row>
    <row r="2828" spans="1:35" ht="15" customHeight="1" x14ac:dyDescent="0.3">
      <c r="A2828" s="60" t="s">
        <v>10723</v>
      </c>
      <c r="B2828" s="60" t="s">
        <v>82</v>
      </c>
      <c r="C2828" s="60" t="s">
        <v>127</v>
      </c>
      <c r="D2828" s="60" t="s">
        <v>127</v>
      </c>
      <c r="E2828" s="60" t="s">
        <v>8702</v>
      </c>
      <c r="F2828" s="60" t="b">
        <f>TRUE()</f>
        <v>1</v>
      </c>
      <c r="G2828" s="60" t="s">
        <v>165</v>
      </c>
      <c r="H2828" s="60" t="s">
        <v>165</v>
      </c>
      <c r="I2828" s="61">
        <v>46191</v>
      </c>
      <c r="J2828" s="61">
        <v>46210.286540451401</v>
      </c>
      <c r="K2828" s="60">
        <v>19</v>
      </c>
      <c r="L2828" s="60" t="s">
        <v>192</v>
      </c>
      <c r="M2828" s="60" t="s">
        <v>183</v>
      </c>
      <c r="N2828" s="60" t="b">
        <f>FALSE()</f>
        <v>0</v>
      </c>
      <c r="O2828" s="60"/>
      <c r="P2828" s="60"/>
      <c r="Q2828" s="60" t="s">
        <v>3663</v>
      </c>
      <c r="R2828" s="60" t="s">
        <v>236</v>
      </c>
      <c r="S2828" s="60"/>
      <c r="T2828" s="60" t="b">
        <f>FALSE()</f>
        <v>0</v>
      </c>
      <c r="U2828" s="60" t="b">
        <f>FALSE()</f>
        <v>0</v>
      </c>
      <c r="V2828" s="60">
        <v>234</v>
      </c>
      <c r="W2828" s="60" t="s">
        <v>10724</v>
      </c>
      <c r="X2828" s="60">
        <v>7</v>
      </c>
      <c r="Y2828" s="63">
        <v>1.69</v>
      </c>
      <c r="Z2828" s="60" t="b">
        <f>FALSE()</f>
        <v>0</v>
      </c>
      <c r="AA2828" s="60" t="b">
        <f>TRUE()</f>
        <v>1</v>
      </c>
      <c r="AB2828" s="60" t="b">
        <f>FALSE()</f>
        <v>0</v>
      </c>
      <c r="AC2828" s="60" t="b">
        <f>FALSE()</f>
        <v>0</v>
      </c>
      <c r="AD2828" s="60" t="b">
        <f>FALSE()</f>
        <v>0</v>
      </c>
      <c r="AE2828" s="60">
        <v>1</v>
      </c>
      <c r="AF2828" s="64">
        <v>14.3</v>
      </c>
      <c r="AG2828" s="60" t="s">
        <v>74</v>
      </c>
      <c r="AH2828" s="60" t="s">
        <v>10725</v>
      </c>
      <c r="AI2828">
        <f>IF(AND(OR(Company_Explorer!$B$5="All Companies",$E2828=Company_Explorer!$B$5),OR(Company_Explorer!$B$6="All Platforms",$B2828=Company_Explorer!$B$6),OR(Company_Explorer!$B$7="All Roles",$D2828=Company_Explorer!$B$7),OR(Company_Explorer!$B$8="All Ghost Labels",$AG2828=Company_Explorer!$B$8)),1,0)</f>
        <v>0</v>
      </c>
    </row>
    <row r="2829" spans="1:35" ht="15" customHeight="1" x14ac:dyDescent="0.3">
      <c r="A2829" s="65" t="s">
        <v>10726</v>
      </c>
      <c r="B2829" s="65" t="s">
        <v>82</v>
      </c>
      <c r="C2829" s="65" t="s">
        <v>10727</v>
      </c>
      <c r="D2829" s="65" t="s">
        <v>125</v>
      </c>
      <c r="E2829" s="65" t="s">
        <v>7431</v>
      </c>
      <c r="F2829" s="65" t="b">
        <f>TRUE()</f>
        <v>1</v>
      </c>
      <c r="G2829" s="65" t="s">
        <v>165</v>
      </c>
      <c r="H2829" s="65" t="s">
        <v>165</v>
      </c>
      <c r="I2829" s="66">
        <v>46200</v>
      </c>
      <c r="J2829" s="66">
        <v>46210.286541064801</v>
      </c>
      <c r="K2829" s="65">
        <v>10</v>
      </c>
      <c r="L2829" s="65" t="s">
        <v>183</v>
      </c>
      <c r="M2829" s="65" t="s">
        <v>183</v>
      </c>
      <c r="N2829" s="65" t="b">
        <f>FALSE()</f>
        <v>0</v>
      </c>
      <c r="O2829" s="65"/>
      <c r="P2829" s="65"/>
      <c r="Q2829" s="65" t="s">
        <v>3663</v>
      </c>
      <c r="R2829" s="65" t="s">
        <v>236</v>
      </c>
      <c r="S2829" s="65"/>
      <c r="T2829" s="65" t="b">
        <f>FALSE()</f>
        <v>0</v>
      </c>
      <c r="U2829" s="65" t="b">
        <f>FALSE()</f>
        <v>0</v>
      </c>
      <c r="V2829" s="65">
        <v>696</v>
      </c>
      <c r="W2829" s="67" t="s">
        <v>10728</v>
      </c>
      <c r="X2829" s="65">
        <v>4</v>
      </c>
      <c r="Y2829" s="68">
        <v>0.97</v>
      </c>
      <c r="Z2829" s="65" t="b">
        <f>FALSE()</f>
        <v>0</v>
      </c>
      <c r="AA2829" s="65" t="b">
        <f>TRUE()</f>
        <v>1</v>
      </c>
      <c r="AB2829" s="65" t="b">
        <f>FALSE()</f>
        <v>0</v>
      </c>
      <c r="AC2829" s="65" t="b">
        <f>FALSE()</f>
        <v>0</v>
      </c>
      <c r="AD2829" s="65" t="b">
        <f>FALSE()</f>
        <v>0</v>
      </c>
      <c r="AE2829" s="65">
        <v>1</v>
      </c>
      <c r="AF2829" s="69">
        <v>14.3</v>
      </c>
      <c r="AG2829" s="65" t="s">
        <v>74</v>
      </c>
      <c r="AH2829" s="65" t="s">
        <v>10729</v>
      </c>
      <c r="AI2829">
        <f>IF(AND(OR(Company_Explorer!$B$5="All Companies",$E2829=Company_Explorer!$B$5),OR(Company_Explorer!$B$6="All Platforms",$B2829=Company_Explorer!$B$6),OR(Company_Explorer!$B$7="All Roles",$D2829=Company_Explorer!$B$7),OR(Company_Explorer!$B$8="All Ghost Labels",$AG2829=Company_Explorer!$B$8)),1,0)</f>
        <v>0</v>
      </c>
    </row>
    <row r="2830" spans="1:35" ht="15" customHeight="1" x14ac:dyDescent="0.3">
      <c r="A2830" s="60" t="s">
        <v>10730</v>
      </c>
      <c r="B2830" s="60" t="s">
        <v>82</v>
      </c>
      <c r="C2830" s="60" t="s">
        <v>10731</v>
      </c>
      <c r="D2830" s="60" t="s">
        <v>127</v>
      </c>
      <c r="E2830" s="60" t="s">
        <v>10732</v>
      </c>
      <c r="F2830" s="60" t="b">
        <f>TRUE()</f>
        <v>1</v>
      </c>
      <c r="G2830" s="60" t="s">
        <v>166</v>
      </c>
      <c r="H2830" s="60" t="s">
        <v>235</v>
      </c>
      <c r="I2830" s="61">
        <v>46185</v>
      </c>
      <c r="J2830" s="61">
        <v>46210.286542245398</v>
      </c>
      <c r="K2830" s="60">
        <v>25</v>
      </c>
      <c r="L2830" s="60" t="s">
        <v>192</v>
      </c>
      <c r="M2830" s="60" t="s">
        <v>183</v>
      </c>
      <c r="N2830" s="60" t="b">
        <f>TRUE()</f>
        <v>1</v>
      </c>
      <c r="O2830" s="70">
        <v>500000</v>
      </c>
      <c r="P2830" s="70">
        <v>862500</v>
      </c>
      <c r="Q2830" s="60" t="s">
        <v>3663</v>
      </c>
      <c r="R2830" s="60" t="s">
        <v>7351</v>
      </c>
      <c r="S2830" s="70">
        <v>681250</v>
      </c>
      <c r="T2830" s="60" t="b">
        <f>TRUE()</f>
        <v>1</v>
      </c>
      <c r="U2830" s="60" t="b">
        <f>FALSE()</f>
        <v>0</v>
      </c>
      <c r="V2830" s="60">
        <v>684</v>
      </c>
      <c r="W2830" s="62" t="s">
        <v>10733</v>
      </c>
      <c r="X2830" s="60">
        <v>2</v>
      </c>
      <c r="Y2830" s="63">
        <v>0.48</v>
      </c>
      <c r="Z2830" s="60" t="b">
        <f>FALSE()</f>
        <v>0</v>
      </c>
      <c r="AA2830" s="60" t="b">
        <f>FALSE()</f>
        <v>0</v>
      </c>
      <c r="AB2830" s="60" t="b">
        <f>FALSE()</f>
        <v>0</v>
      </c>
      <c r="AC2830" s="60" t="b">
        <f>FALSE()</f>
        <v>0</v>
      </c>
      <c r="AD2830" s="60" t="b">
        <f>FALSE()</f>
        <v>0</v>
      </c>
      <c r="AE2830" s="60">
        <v>0</v>
      </c>
      <c r="AF2830" s="64">
        <v>0</v>
      </c>
      <c r="AG2830" s="60" t="s">
        <v>74</v>
      </c>
      <c r="AH2830" s="60" t="s">
        <v>10734</v>
      </c>
      <c r="AI2830">
        <f>IF(AND(OR(Company_Explorer!$B$5="All Companies",$E2830=Company_Explorer!$B$5),OR(Company_Explorer!$B$6="All Platforms",$B2830=Company_Explorer!$B$6),OR(Company_Explorer!$B$7="All Roles",$D2830=Company_Explorer!$B$7),OR(Company_Explorer!$B$8="All Ghost Labels",$AG2830=Company_Explorer!$B$8)),1,0)</f>
        <v>0</v>
      </c>
    </row>
    <row r="2831" spans="1:35" ht="15" customHeight="1" x14ac:dyDescent="0.3">
      <c r="A2831" s="65" t="s">
        <v>10735</v>
      </c>
      <c r="B2831" s="65" t="s">
        <v>82</v>
      </c>
      <c r="C2831" s="65" t="s">
        <v>10736</v>
      </c>
      <c r="D2831" s="65" t="s">
        <v>127</v>
      </c>
      <c r="E2831" s="65" t="s">
        <v>10737</v>
      </c>
      <c r="F2831" s="65" t="b">
        <f>TRUE()</f>
        <v>1</v>
      </c>
      <c r="G2831" s="65" t="s">
        <v>165</v>
      </c>
      <c r="H2831" s="65" t="s">
        <v>165</v>
      </c>
      <c r="I2831" s="66">
        <v>46182</v>
      </c>
      <c r="J2831" s="66">
        <v>46210.286542303198</v>
      </c>
      <c r="K2831" s="65">
        <v>28</v>
      </c>
      <c r="L2831" s="65" t="s">
        <v>192</v>
      </c>
      <c r="M2831" s="65" t="s">
        <v>183</v>
      </c>
      <c r="N2831" s="65" t="b">
        <f>FALSE()</f>
        <v>0</v>
      </c>
      <c r="O2831" s="65"/>
      <c r="P2831" s="65"/>
      <c r="Q2831" s="65" t="s">
        <v>3663</v>
      </c>
      <c r="R2831" s="65" t="s">
        <v>236</v>
      </c>
      <c r="S2831" s="65"/>
      <c r="T2831" s="65" t="b">
        <f>FALSE()</f>
        <v>0</v>
      </c>
      <c r="U2831" s="65" t="b">
        <f>FALSE()</f>
        <v>0</v>
      </c>
      <c r="V2831" s="65">
        <v>235</v>
      </c>
      <c r="W2831" s="65" t="s">
        <v>10738</v>
      </c>
      <c r="X2831" s="65">
        <v>1</v>
      </c>
      <c r="Y2831" s="68">
        <v>0.24</v>
      </c>
      <c r="Z2831" s="65" t="b">
        <f>FALSE()</f>
        <v>0</v>
      </c>
      <c r="AA2831" s="65" t="b">
        <f>TRUE()</f>
        <v>1</v>
      </c>
      <c r="AB2831" s="65" t="b">
        <f>FALSE()</f>
        <v>0</v>
      </c>
      <c r="AC2831" s="65" t="b">
        <f>FALSE()</f>
        <v>0</v>
      </c>
      <c r="AD2831" s="65" t="b">
        <f>FALSE()</f>
        <v>0</v>
      </c>
      <c r="AE2831" s="65">
        <v>1</v>
      </c>
      <c r="AF2831" s="69">
        <v>14.3</v>
      </c>
      <c r="AG2831" s="65" t="s">
        <v>74</v>
      </c>
      <c r="AH2831" s="65" t="s">
        <v>10739</v>
      </c>
      <c r="AI2831">
        <f>IF(AND(OR(Company_Explorer!$B$5="All Companies",$E2831=Company_Explorer!$B$5),OR(Company_Explorer!$B$6="All Platforms",$B2831=Company_Explorer!$B$6),OR(Company_Explorer!$B$7="All Roles",$D2831=Company_Explorer!$B$7),OR(Company_Explorer!$B$8="All Ghost Labels",$AG2831=Company_Explorer!$B$8)),1,0)</f>
        <v>0</v>
      </c>
    </row>
    <row r="2832" spans="1:35" ht="15" customHeight="1" x14ac:dyDescent="0.3">
      <c r="A2832" s="60" t="s">
        <v>10740</v>
      </c>
      <c r="B2832" s="60" t="s">
        <v>82</v>
      </c>
      <c r="C2832" s="60" t="s">
        <v>127</v>
      </c>
      <c r="D2832" s="60" t="s">
        <v>127</v>
      </c>
      <c r="E2832" s="60" t="s">
        <v>8702</v>
      </c>
      <c r="F2832" s="60" t="b">
        <f>TRUE()</f>
        <v>1</v>
      </c>
      <c r="G2832" s="60" t="s">
        <v>175</v>
      </c>
      <c r="H2832" s="60" t="s">
        <v>254</v>
      </c>
      <c r="I2832" s="61">
        <v>46207</v>
      </c>
      <c r="J2832" s="61">
        <v>46210.286543923597</v>
      </c>
      <c r="K2832" s="60">
        <v>3</v>
      </c>
      <c r="L2832" s="60" t="s">
        <v>192</v>
      </c>
      <c r="M2832" s="60" t="s">
        <v>183</v>
      </c>
      <c r="N2832" s="60" t="b">
        <f>TRUE()</f>
        <v>1</v>
      </c>
      <c r="O2832" s="70">
        <v>780000</v>
      </c>
      <c r="P2832" s="70">
        <v>830000</v>
      </c>
      <c r="Q2832" s="60" t="s">
        <v>3663</v>
      </c>
      <c r="R2832" s="60" t="s">
        <v>7351</v>
      </c>
      <c r="S2832" s="70">
        <v>805000</v>
      </c>
      <c r="T2832" s="60" t="b">
        <f>TRUE()</f>
        <v>1</v>
      </c>
      <c r="U2832" s="60" t="b">
        <f>FALSE()</f>
        <v>0</v>
      </c>
      <c r="V2832" s="60">
        <v>654</v>
      </c>
      <c r="W2832" s="62" t="s">
        <v>10741</v>
      </c>
      <c r="X2832" s="60">
        <v>7</v>
      </c>
      <c r="Y2832" s="63">
        <v>1.69</v>
      </c>
      <c r="Z2832" s="60" t="b">
        <f>FALSE()</f>
        <v>0</v>
      </c>
      <c r="AA2832" s="60" t="b">
        <f>FALSE()</f>
        <v>0</v>
      </c>
      <c r="AB2832" s="60" t="b">
        <f>FALSE()</f>
        <v>0</v>
      </c>
      <c r="AC2832" s="60" t="b">
        <f>FALSE()</f>
        <v>0</v>
      </c>
      <c r="AD2832" s="60" t="b">
        <f>FALSE()</f>
        <v>0</v>
      </c>
      <c r="AE2832" s="60">
        <v>0</v>
      </c>
      <c r="AF2832" s="64">
        <v>0</v>
      </c>
      <c r="AG2832" s="60" t="s">
        <v>74</v>
      </c>
      <c r="AH2832" s="60" t="s">
        <v>10742</v>
      </c>
      <c r="AI2832">
        <f>IF(AND(OR(Company_Explorer!$B$5="All Companies",$E2832=Company_Explorer!$B$5),OR(Company_Explorer!$B$6="All Platforms",$B2832=Company_Explorer!$B$6),OR(Company_Explorer!$B$7="All Roles",$D2832=Company_Explorer!$B$7),OR(Company_Explorer!$B$8="All Ghost Labels",$AG2832=Company_Explorer!$B$8)),1,0)</f>
        <v>0</v>
      </c>
    </row>
    <row r="2833" spans="1:35" ht="15" customHeight="1" x14ac:dyDescent="0.3">
      <c r="A2833" s="65" t="s">
        <v>10743</v>
      </c>
      <c r="B2833" s="65" t="s">
        <v>82</v>
      </c>
      <c r="C2833" s="65" t="s">
        <v>127</v>
      </c>
      <c r="D2833" s="65" t="s">
        <v>127</v>
      </c>
      <c r="E2833" s="65" t="s">
        <v>10744</v>
      </c>
      <c r="F2833" s="65" t="b">
        <f>TRUE()</f>
        <v>1</v>
      </c>
      <c r="G2833" s="65" t="s">
        <v>167</v>
      </c>
      <c r="H2833" s="65" t="s">
        <v>276</v>
      </c>
      <c r="I2833" s="66">
        <v>46202</v>
      </c>
      <c r="J2833" s="66">
        <v>46210.286544085699</v>
      </c>
      <c r="K2833" s="65">
        <v>128</v>
      </c>
      <c r="L2833" s="65" t="s">
        <v>192</v>
      </c>
      <c r="M2833" s="65" t="s">
        <v>183</v>
      </c>
      <c r="N2833" s="65" t="b">
        <f>TRUE()</f>
        <v>1</v>
      </c>
      <c r="O2833" s="71">
        <v>400000</v>
      </c>
      <c r="P2833" s="71">
        <v>600000</v>
      </c>
      <c r="Q2833" s="65" t="s">
        <v>3663</v>
      </c>
      <c r="R2833" s="65" t="s">
        <v>7351</v>
      </c>
      <c r="S2833" s="71">
        <v>500000</v>
      </c>
      <c r="T2833" s="65" t="b">
        <f>TRUE()</f>
        <v>1</v>
      </c>
      <c r="U2833" s="65" t="b">
        <f>FALSE()</f>
        <v>0</v>
      </c>
      <c r="V2833" s="65">
        <v>27</v>
      </c>
      <c r="W2833" s="67" t="s">
        <v>10745</v>
      </c>
      <c r="X2833" s="65">
        <v>1</v>
      </c>
      <c r="Y2833" s="68">
        <v>0.24</v>
      </c>
      <c r="Z2833" s="65" t="b">
        <f>FALSE()</f>
        <v>0</v>
      </c>
      <c r="AA2833" s="65" t="b">
        <f>FALSE()</f>
        <v>0</v>
      </c>
      <c r="AB2833" s="65" t="b">
        <f>TRUE()</f>
        <v>1</v>
      </c>
      <c r="AC2833" s="65" t="b">
        <f>TRUE()</f>
        <v>1</v>
      </c>
      <c r="AD2833" s="65" t="b">
        <f>FALSE()</f>
        <v>0</v>
      </c>
      <c r="AE2833" s="65">
        <v>2</v>
      </c>
      <c r="AF2833" s="69">
        <v>28.6</v>
      </c>
      <c r="AG2833" s="65" t="s">
        <v>73</v>
      </c>
      <c r="AH2833" s="65" t="s">
        <v>10746</v>
      </c>
      <c r="AI2833">
        <f>IF(AND(OR(Company_Explorer!$B$5="All Companies",$E2833=Company_Explorer!$B$5),OR(Company_Explorer!$B$6="All Platforms",$B2833=Company_Explorer!$B$6),OR(Company_Explorer!$B$7="All Roles",$D2833=Company_Explorer!$B$7),OR(Company_Explorer!$B$8="All Ghost Labels",$AG2833=Company_Explorer!$B$8)),1,0)</f>
        <v>0</v>
      </c>
    </row>
    <row r="2834" spans="1:35" ht="15" customHeight="1" x14ac:dyDescent="0.3">
      <c r="A2834" s="60" t="s">
        <v>10747</v>
      </c>
      <c r="B2834" s="60" t="s">
        <v>82</v>
      </c>
      <c r="C2834" s="60" t="s">
        <v>10748</v>
      </c>
      <c r="D2834" s="60" t="s">
        <v>126</v>
      </c>
      <c r="E2834" s="60" t="s">
        <v>10196</v>
      </c>
      <c r="F2834" s="60" t="b">
        <f>TRUE()</f>
        <v>1</v>
      </c>
      <c r="G2834" s="60" t="s">
        <v>165</v>
      </c>
      <c r="H2834" s="60" t="s">
        <v>165</v>
      </c>
      <c r="I2834" s="61">
        <v>46207</v>
      </c>
      <c r="J2834" s="61">
        <v>46210.286546967603</v>
      </c>
      <c r="K2834" s="60">
        <v>3</v>
      </c>
      <c r="L2834" s="60" t="s">
        <v>192</v>
      </c>
      <c r="M2834" s="60" t="s">
        <v>183</v>
      </c>
      <c r="N2834" s="60" t="b">
        <f>FALSE()</f>
        <v>0</v>
      </c>
      <c r="O2834" s="60"/>
      <c r="P2834" s="60"/>
      <c r="Q2834" s="60" t="s">
        <v>3663</v>
      </c>
      <c r="R2834" s="60" t="s">
        <v>236</v>
      </c>
      <c r="S2834" s="60"/>
      <c r="T2834" s="60" t="b">
        <f>FALSE()</f>
        <v>0</v>
      </c>
      <c r="U2834" s="60" t="b">
        <f>FALSE()</f>
        <v>0</v>
      </c>
      <c r="V2834" s="60">
        <v>744</v>
      </c>
      <c r="W2834" s="62" t="s">
        <v>10749</v>
      </c>
      <c r="X2834" s="60">
        <v>3</v>
      </c>
      <c r="Y2834" s="63">
        <v>0.72</v>
      </c>
      <c r="Z2834" s="60" t="b">
        <f>FALSE()</f>
        <v>0</v>
      </c>
      <c r="AA2834" s="60" t="b">
        <f>TRUE()</f>
        <v>1</v>
      </c>
      <c r="AB2834" s="60" t="b">
        <f>FALSE()</f>
        <v>0</v>
      </c>
      <c r="AC2834" s="60" t="b">
        <f>FALSE()</f>
        <v>0</v>
      </c>
      <c r="AD2834" s="60" t="b">
        <f>FALSE()</f>
        <v>0</v>
      </c>
      <c r="AE2834" s="60">
        <v>1</v>
      </c>
      <c r="AF2834" s="64">
        <v>14.3</v>
      </c>
      <c r="AG2834" s="60" t="s">
        <v>74</v>
      </c>
      <c r="AH2834" s="60" t="s">
        <v>10750</v>
      </c>
      <c r="AI2834">
        <f>IF(AND(OR(Company_Explorer!$B$5="All Companies",$E2834=Company_Explorer!$B$5),OR(Company_Explorer!$B$6="All Platforms",$B2834=Company_Explorer!$B$6),OR(Company_Explorer!$B$7="All Roles",$D2834=Company_Explorer!$B$7),OR(Company_Explorer!$B$8="All Ghost Labels",$AG2834=Company_Explorer!$B$8)),1,0)</f>
        <v>0</v>
      </c>
    </row>
    <row r="2835" spans="1:35" ht="15" customHeight="1" x14ac:dyDescent="0.3">
      <c r="A2835" s="65" t="s">
        <v>10751</v>
      </c>
      <c r="B2835" s="65" t="s">
        <v>82</v>
      </c>
      <c r="C2835" s="65" t="s">
        <v>10752</v>
      </c>
      <c r="D2835" s="65" t="s">
        <v>127</v>
      </c>
      <c r="E2835" s="65" t="s">
        <v>10753</v>
      </c>
      <c r="F2835" s="65" t="b">
        <f>TRUE()</f>
        <v>1</v>
      </c>
      <c r="G2835" s="65" t="s">
        <v>165</v>
      </c>
      <c r="H2835" s="65" t="s">
        <v>165</v>
      </c>
      <c r="I2835" s="66">
        <v>46202</v>
      </c>
      <c r="J2835" s="66">
        <v>46210.286546932897</v>
      </c>
      <c r="K2835" s="65">
        <v>129</v>
      </c>
      <c r="L2835" s="65" t="s">
        <v>183</v>
      </c>
      <c r="M2835" s="65" t="s">
        <v>183</v>
      </c>
      <c r="N2835" s="65" t="b">
        <f>TRUE()</f>
        <v>1</v>
      </c>
      <c r="O2835" s="71">
        <v>25000</v>
      </c>
      <c r="P2835" s="71">
        <v>25000</v>
      </c>
      <c r="Q2835" s="65" t="s">
        <v>3663</v>
      </c>
      <c r="R2835" s="65" t="s">
        <v>7445</v>
      </c>
      <c r="S2835" s="71">
        <v>300000</v>
      </c>
      <c r="T2835" s="65" t="b">
        <f>TRUE()</f>
        <v>1</v>
      </c>
      <c r="U2835" s="65" t="b">
        <f>FALSE()</f>
        <v>0</v>
      </c>
      <c r="V2835" s="65">
        <v>113</v>
      </c>
      <c r="W2835" s="67" t="s">
        <v>10754</v>
      </c>
      <c r="X2835" s="65">
        <v>1</v>
      </c>
      <c r="Y2835" s="68">
        <v>0.24</v>
      </c>
      <c r="Z2835" s="65" t="b">
        <f>FALSE()</f>
        <v>0</v>
      </c>
      <c r="AA2835" s="65" t="b">
        <f>FALSE()</f>
        <v>0</v>
      </c>
      <c r="AB2835" s="65" t="b">
        <f>TRUE()</f>
        <v>1</v>
      </c>
      <c r="AC2835" s="65" t="b">
        <f>TRUE()</f>
        <v>1</v>
      </c>
      <c r="AD2835" s="65" t="b">
        <f>FALSE()</f>
        <v>0</v>
      </c>
      <c r="AE2835" s="65">
        <v>2</v>
      </c>
      <c r="AF2835" s="69">
        <v>28.6</v>
      </c>
      <c r="AG2835" s="65" t="s">
        <v>73</v>
      </c>
      <c r="AH2835" s="65" t="s">
        <v>10755</v>
      </c>
      <c r="AI2835">
        <f>IF(AND(OR(Company_Explorer!$B$5="All Companies",$E2835=Company_Explorer!$B$5),OR(Company_Explorer!$B$6="All Platforms",$B2835=Company_Explorer!$B$6),OR(Company_Explorer!$B$7="All Roles",$D2835=Company_Explorer!$B$7),OR(Company_Explorer!$B$8="All Ghost Labels",$AG2835=Company_Explorer!$B$8)),1,0)</f>
        <v>0</v>
      </c>
    </row>
    <row r="2836" spans="1:35" ht="15" customHeight="1" x14ac:dyDescent="0.3">
      <c r="A2836" s="60" t="s">
        <v>10756</v>
      </c>
      <c r="B2836" s="60" t="s">
        <v>82</v>
      </c>
      <c r="C2836" s="60" t="s">
        <v>10757</v>
      </c>
      <c r="D2836" s="60" t="s">
        <v>127</v>
      </c>
      <c r="E2836" s="60" t="s">
        <v>10758</v>
      </c>
      <c r="F2836" s="60" t="b">
        <f>TRUE()</f>
        <v>1</v>
      </c>
      <c r="G2836" s="60" t="s">
        <v>167</v>
      </c>
      <c r="H2836" s="60" t="s">
        <v>276</v>
      </c>
      <c r="I2836" s="61">
        <v>46205</v>
      </c>
      <c r="J2836" s="61">
        <v>46210.286546863397</v>
      </c>
      <c r="K2836" s="60">
        <v>128</v>
      </c>
      <c r="L2836" s="60" t="s">
        <v>183</v>
      </c>
      <c r="M2836" s="60" t="s">
        <v>183</v>
      </c>
      <c r="N2836" s="60" t="b">
        <f>TRUE()</f>
        <v>1</v>
      </c>
      <c r="O2836" s="70">
        <v>445000</v>
      </c>
      <c r="P2836" s="70">
        <v>800000</v>
      </c>
      <c r="Q2836" s="60" t="s">
        <v>3663</v>
      </c>
      <c r="R2836" s="60" t="s">
        <v>7351</v>
      </c>
      <c r="S2836" s="70">
        <v>622500</v>
      </c>
      <c r="T2836" s="60" t="b">
        <f>TRUE()</f>
        <v>1</v>
      </c>
      <c r="U2836" s="60" t="b">
        <f>FALSE()</f>
        <v>0</v>
      </c>
      <c r="V2836" s="60">
        <v>552</v>
      </c>
      <c r="W2836" s="62" t="s">
        <v>10759</v>
      </c>
      <c r="X2836" s="60">
        <v>2</v>
      </c>
      <c r="Y2836" s="63">
        <v>0.48</v>
      </c>
      <c r="Z2836" s="60" t="b">
        <f>FALSE()</f>
        <v>0</v>
      </c>
      <c r="AA2836" s="60" t="b">
        <f>FALSE()</f>
        <v>0</v>
      </c>
      <c r="AB2836" s="60" t="b">
        <f>FALSE()</f>
        <v>0</v>
      </c>
      <c r="AC2836" s="60" t="b">
        <f>TRUE()</f>
        <v>1</v>
      </c>
      <c r="AD2836" s="60" t="b">
        <f>FALSE()</f>
        <v>0</v>
      </c>
      <c r="AE2836" s="60">
        <v>1</v>
      </c>
      <c r="AF2836" s="64">
        <v>14.3</v>
      </c>
      <c r="AG2836" s="60" t="s">
        <v>74</v>
      </c>
      <c r="AH2836" s="60" t="s">
        <v>10760</v>
      </c>
      <c r="AI2836">
        <f>IF(AND(OR(Company_Explorer!$B$5="All Companies",$E2836=Company_Explorer!$B$5),OR(Company_Explorer!$B$6="All Platforms",$B2836=Company_Explorer!$B$6),OR(Company_Explorer!$B$7="All Roles",$D2836=Company_Explorer!$B$7),OR(Company_Explorer!$B$8="All Ghost Labels",$AG2836=Company_Explorer!$B$8)),1,0)</f>
        <v>0</v>
      </c>
    </row>
    <row r="2837" spans="1:35" ht="15" customHeight="1" x14ac:dyDescent="0.3">
      <c r="A2837" s="65" t="s">
        <v>10761</v>
      </c>
      <c r="B2837" s="65" t="s">
        <v>82</v>
      </c>
      <c r="C2837" s="65" t="s">
        <v>5780</v>
      </c>
      <c r="D2837" s="65" t="s">
        <v>127</v>
      </c>
      <c r="E2837" s="65" t="s">
        <v>10762</v>
      </c>
      <c r="F2837" s="65" t="b">
        <f>TRUE()</f>
        <v>1</v>
      </c>
      <c r="G2837" s="65" t="s">
        <v>165</v>
      </c>
      <c r="H2837" s="65" t="s">
        <v>165</v>
      </c>
      <c r="I2837" s="66">
        <v>46197</v>
      </c>
      <c r="J2837" s="66">
        <v>46210.286547025498</v>
      </c>
      <c r="K2837" s="65">
        <v>13</v>
      </c>
      <c r="L2837" s="65" t="s">
        <v>183</v>
      </c>
      <c r="M2837" s="65" t="s">
        <v>183</v>
      </c>
      <c r="N2837" s="65" t="b">
        <f>FALSE()</f>
        <v>0</v>
      </c>
      <c r="O2837" s="65"/>
      <c r="P2837" s="65"/>
      <c r="Q2837" s="65" t="s">
        <v>3663</v>
      </c>
      <c r="R2837" s="65" t="s">
        <v>236</v>
      </c>
      <c r="S2837" s="65"/>
      <c r="T2837" s="65" t="b">
        <f>FALSE()</f>
        <v>0</v>
      </c>
      <c r="U2837" s="65" t="b">
        <f>FALSE()</f>
        <v>0</v>
      </c>
      <c r="V2837" s="65">
        <v>899</v>
      </c>
      <c r="W2837" s="67" t="s">
        <v>10763</v>
      </c>
      <c r="X2837" s="65">
        <v>1</v>
      </c>
      <c r="Y2837" s="68">
        <v>0.24</v>
      </c>
      <c r="Z2837" s="65" t="b">
        <f>FALSE()</f>
        <v>0</v>
      </c>
      <c r="AA2837" s="65" t="b">
        <f>TRUE()</f>
        <v>1</v>
      </c>
      <c r="AB2837" s="65" t="b">
        <f>FALSE()</f>
        <v>0</v>
      </c>
      <c r="AC2837" s="65" t="b">
        <f>FALSE()</f>
        <v>0</v>
      </c>
      <c r="AD2837" s="65" t="b">
        <f>FALSE()</f>
        <v>0</v>
      </c>
      <c r="AE2837" s="65">
        <v>1</v>
      </c>
      <c r="AF2837" s="69">
        <v>14.3</v>
      </c>
      <c r="AG2837" s="65" t="s">
        <v>74</v>
      </c>
      <c r="AH2837" s="65" t="s">
        <v>10764</v>
      </c>
      <c r="AI2837">
        <f>IF(AND(OR(Company_Explorer!$B$5="All Companies",$E2837=Company_Explorer!$B$5),OR(Company_Explorer!$B$6="All Platforms",$B2837=Company_Explorer!$B$6),OR(Company_Explorer!$B$7="All Roles",$D2837=Company_Explorer!$B$7),OR(Company_Explorer!$B$8="All Ghost Labels",$AG2837=Company_Explorer!$B$8)),1,0)</f>
        <v>0</v>
      </c>
    </row>
    <row r="2838" spans="1:35" ht="15" customHeight="1" x14ac:dyDescent="0.3">
      <c r="A2838" s="60" t="s">
        <v>10765</v>
      </c>
      <c r="B2838" s="60" t="s">
        <v>82</v>
      </c>
      <c r="C2838" s="60" t="s">
        <v>10766</v>
      </c>
      <c r="D2838" s="60" t="s">
        <v>127</v>
      </c>
      <c r="E2838" s="60" t="s">
        <v>10767</v>
      </c>
      <c r="F2838" s="60" t="b">
        <f>TRUE()</f>
        <v>1</v>
      </c>
      <c r="G2838" s="60" t="s">
        <v>165</v>
      </c>
      <c r="H2838" s="60" t="s">
        <v>165</v>
      </c>
      <c r="I2838" s="61">
        <v>46209</v>
      </c>
      <c r="J2838" s="61">
        <v>46210.286550034703</v>
      </c>
      <c r="K2838" s="60">
        <v>31</v>
      </c>
      <c r="L2838" s="60" t="s">
        <v>183</v>
      </c>
      <c r="M2838" s="60" t="s">
        <v>183</v>
      </c>
      <c r="N2838" s="60" t="b">
        <f>FALSE()</f>
        <v>0</v>
      </c>
      <c r="O2838" s="60"/>
      <c r="P2838" s="60"/>
      <c r="Q2838" s="60" t="s">
        <v>3663</v>
      </c>
      <c r="R2838" s="60" t="s">
        <v>236</v>
      </c>
      <c r="S2838" s="60"/>
      <c r="T2838" s="60" t="b">
        <f>FALSE()</f>
        <v>0</v>
      </c>
      <c r="U2838" s="60" t="b">
        <f>FALSE()</f>
        <v>0</v>
      </c>
      <c r="V2838" s="60">
        <v>791</v>
      </c>
      <c r="W2838" s="62" t="s">
        <v>10768</v>
      </c>
      <c r="X2838" s="60">
        <v>1</v>
      </c>
      <c r="Y2838" s="63">
        <v>0.24</v>
      </c>
      <c r="Z2838" s="60" t="b">
        <f>FALSE()</f>
        <v>0</v>
      </c>
      <c r="AA2838" s="60" t="b">
        <f>TRUE()</f>
        <v>1</v>
      </c>
      <c r="AB2838" s="60" t="b">
        <f>FALSE()</f>
        <v>0</v>
      </c>
      <c r="AC2838" s="60" t="b">
        <f>FALSE()</f>
        <v>0</v>
      </c>
      <c r="AD2838" s="60" t="b">
        <f>FALSE()</f>
        <v>0</v>
      </c>
      <c r="AE2838" s="60">
        <v>1</v>
      </c>
      <c r="AF2838" s="64">
        <v>14.3</v>
      </c>
      <c r="AG2838" s="60" t="s">
        <v>74</v>
      </c>
      <c r="AH2838" s="60" t="s">
        <v>10769</v>
      </c>
      <c r="AI2838">
        <f>IF(AND(OR(Company_Explorer!$B$5="All Companies",$E2838=Company_Explorer!$B$5),OR(Company_Explorer!$B$6="All Platforms",$B2838=Company_Explorer!$B$6),OR(Company_Explorer!$B$7="All Roles",$D2838=Company_Explorer!$B$7),OR(Company_Explorer!$B$8="All Ghost Labels",$AG2838=Company_Explorer!$B$8)),1,0)</f>
        <v>0</v>
      </c>
    </row>
    <row r="2839" spans="1:35" ht="15" customHeight="1" x14ac:dyDescent="0.3">
      <c r="A2839" s="65" t="s">
        <v>10770</v>
      </c>
      <c r="B2839" s="65" t="s">
        <v>82</v>
      </c>
      <c r="C2839" s="65" t="s">
        <v>127</v>
      </c>
      <c r="D2839" s="65" t="s">
        <v>127</v>
      </c>
      <c r="E2839" s="65" t="s">
        <v>3726</v>
      </c>
      <c r="F2839" s="65" t="b">
        <f>FALSE()</f>
        <v>0</v>
      </c>
      <c r="G2839" s="65" t="s">
        <v>165</v>
      </c>
      <c r="H2839" s="65" t="s">
        <v>165</v>
      </c>
      <c r="I2839" s="66">
        <v>46208</v>
      </c>
      <c r="J2839" s="66">
        <v>46210.286551759302</v>
      </c>
      <c r="K2839" s="65">
        <v>2</v>
      </c>
      <c r="L2839" s="65" t="s">
        <v>192</v>
      </c>
      <c r="M2839" s="65" t="s">
        <v>183</v>
      </c>
      <c r="N2839" s="65" t="b">
        <f>TRUE()</f>
        <v>1</v>
      </c>
      <c r="O2839" s="71">
        <v>20000</v>
      </c>
      <c r="P2839" s="71">
        <v>25000</v>
      </c>
      <c r="Q2839" s="65" t="s">
        <v>3663</v>
      </c>
      <c r="R2839" s="65" t="s">
        <v>7445</v>
      </c>
      <c r="S2839" s="71">
        <v>270000</v>
      </c>
      <c r="T2839" s="65" t="b">
        <f>TRUE()</f>
        <v>1</v>
      </c>
      <c r="U2839" s="65" t="b">
        <f>FALSE()</f>
        <v>0</v>
      </c>
      <c r="V2839" s="65">
        <v>81</v>
      </c>
      <c r="W2839" s="67" t="s">
        <v>6750</v>
      </c>
      <c r="X2839" s="65"/>
      <c r="Y2839" s="68"/>
      <c r="Z2839" s="65" t="b">
        <f>TRUE()</f>
        <v>1</v>
      </c>
      <c r="AA2839" s="65" t="b">
        <f>FALSE()</f>
        <v>0</v>
      </c>
      <c r="AB2839" s="65" t="b">
        <f>TRUE()</f>
        <v>1</v>
      </c>
      <c r="AC2839" s="65" t="b">
        <f>FALSE()</f>
        <v>0</v>
      </c>
      <c r="AD2839" s="65" t="b">
        <f>FALSE()</f>
        <v>0</v>
      </c>
      <c r="AE2839" s="65">
        <v>3</v>
      </c>
      <c r="AF2839" s="69">
        <v>42.9</v>
      </c>
      <c r="AG2839" s="65" t="s">
        <v>73</v>
      </c>
      <c r="AH2839" s="65" t="s">
        <v>10771</v>
      </c>
      <c r="AI2839">
        <f>IF(AND(OR(Company_Explorer!$B$5="All Companies",$E2839=Company_Explorer!$B$5),OR(Company_Explorer!$B$6="All Platforms",$B2839=Company_Explorer!$B$6),OR(Company_Explorer!$B$7="All Roles",$D2839=Company_Explorer!$B$7),OR(Company_Explorer!$B$8="All Ghost Labels",$AG2839=Company_Explorer!$B$8)),1,0)</f>
        <v>0</v>
      </c>
    </row>
    <row r="2840" spans="1:35" ht="15" customHeight="1" x14ac:dyDescent="0.3">
      <c r="A2840" s="60" t="s">
        <v>10772</v>
      </c>
      <c r="B2840" s="60" t="s">
        <v>82</v>
      </c>
      <c r="C2840" s="60" t="s">
        <v>10773</v>
      </c>
      <c r="D2840" s="60" t="s">
        <v>126</v>
      </c>
      <c r="E2840" s="60" t="s">
        <v>10774</v>
      </c>
      <c r="F2840" s="60" t="b">
        <f>TRUE()</f>
        <v>1</v>
      </c>
      <c r="G2840" s="60" t="s">
        <v>165</v>
      </c>
      <c r="H2840" s="60" t="s">
        <v>165</v>
      </c>
      <c r="I2840" s="61">
        <v>46207</v>
      </c>
      <c r="J2840" s="61">
        <v>46210.286552754602</v>
      </c>
      <c r="K2840" s="60">
        <v>33</v>
      </c>
      <c r="L2840" s="60" t="s">
        <v>183</v>
      </c>
      <c r="M2840" s="60" t="s">
        <v>183</v>
      </c>
      <c r="N2840" s="60" t="b">
        <f>FALSE()</f>
        <v>0</v>
      </c>
      <c r="O2840" s="60"/>
      <c r="P2840" s="60"/>
      <c r="Q2840" s="60" t="s">
        <v>3663</v>
      </c>
      <c r="R2840" s="60" t="s">
        <v>236</v>
      </c>
      <c r="S2840" s="60"/>
      <c r="T2840" s="60" t="b">
        <f>FALSE()</f>
        <v>0</v>
      </c>
      <c r="U2840" s="60" t="b">
        <f>FALSE()</f>
        <v>0</v>
      </c>
      <c r="V2840" s="60">
        <v>644</v>
      </c>
      <c r="W2840" s="62" t="s">
        <v>10775</v>
      </c>
      <c r="X2840" s="60">
        <v>1</v>
      </c>
      <c r="Y2840" s="63">
        <v>0.24</v>
      </c>
      <c r="Z2840" s="60" t="b">
        <f>FALSE()</f>
        <v>0</v>
      </c>
      <c r="AA2840" s="60" t="b">
        <f>TRUE()</f>
        <v>1</v>
      </c>
      <c r="AB2840" s="60" t="b">
        <f>FALSE()</f>
        <v>0</v>
      </c>
      <c r="AC2840" s="60" t="b">
        <f>FALSE()</f>
        <v>0</v>
      </c>
      <c r="AD2840" s="60" t="b">
        <f>FALSE()</f>
        <v>0</v>
      </c>
      <c r="AE2840" s="60">
        <v>1</v>
      </c>
      <c r="AF2840" s="64">
        <v>14.3</v>
      </c>
      <c r="AG2840" s="60" t="s">
        <v>74</v>
      </c>
      <c r="AH2840" s="60" t="s">
        <v>10776</v>
      </c>
      <c r="AI2840">
        <f>IF(AND(OR(Company_Explorer!$B$5="All Companies",$E2840=Company_Explorer!$B$5),OR(Company_Explorer!$B$6="All Platforms",$B2840=Company_Explorer!$B$6),OR(Company_Explorer!$B$7="All Roles",$D2840=Company_Explorer!$B$7),OR(Company_Explorer!$B$8="All Ghost Labels",$AG2840=Company_Explorer!$B$8)),1,0)</f>
        <v>0</v>
      </c>
    </row>
    <row r="2841" spans="1:35" ht="15" customHeight="1" x14ac:dyDescent="0.3">
      <c r="A2841" s="65" t="s">
        <v>10777</v>
      </c>
      <c r="B2841" s="65" t="s">
        <v>82</v>
      </c>
      <c r="C2841" s="65" t="s">
        <v>10778</v>
      </c>
      <c r="D2841" s="65" t="s">
        <v>127</v>
      </c>
      <c r="E2841" s="65" t="s">
        <v>7491</v>
      </c>
      <c r="F2841" s="65" t="b">
        <f>TRUE()</f>
        <v>1</v>
      </c>
      <c r="G2841" s="65" t="s">
        <v>7492</v>
      </c>
      <c r="H2841" s="65" t="s">
        <v>754</v>
      </c>
      <c r="I2841" s="66">
        <v>46188</v>
      </c>
      <c r="J2841" s="66">
        <v>46210.2865528357</v>
      </c>
      <c r="K2841" s="65">
        <v>53</v>
      </c>
      <c r="L2841" s="65" t="s">
        <v>192</v>
      </c>
      <c r="M2841" s="65" t="s">
        <v>183</v>
      </c>
      <c r="N2841" s="65" t="b">
        <f>TRUE()</f>
        <v>1</v>
      </c>
      <c r="O2841" s="71">
        <v>477881</v>
      </c>
      <c r="P2841" s="71">
        <v>900000</v>
      </c>
      <c r="Q2841" s="65" t="s">
        <v>3663</v>
      </c>
      <c r="R2841" s="65" t="s">
        <v>7351</v>
      </c>
      <c r="S2841" s="71">
        <v>688940</v>
      </c>
      <c r="T2841" s="65" t="b">
        <f>TRUE()</f>
        <v>1</v>
      </c>
      <c r="U2841" s="65" t="b">
        <f>FALSE()</f>
        <v>0</v>
      </c>
      <c r="V2841" s="65">
        <v>1074</v>
      </c>
      <c r="W2841" s="67" t="s">
        <v>10779</v>
      </c>
      <c r="X2841" s="65">
        <v>6</v>
      </c>
      <c r="Y2841" s="68">
        <v>1.45</v>
      </c>
      <c r="Z2841" s="65" t="b">
        <f>FALSE()</f>
        <v>0</v>
      </c>
      <c r="AA2841" s="65" t="b">
        <f>FALSE()</f>
        <v>0</v>
      </c>
      <c r="AB2841" s="65" t="b">
        <f>FALSE()</f>
        <v>0</v>
      </c>
      <c r="AC2841" s="65" t="b">
        <f>FALSE()</f>
        <v>0</v>
      </c>
      <c r="AD2841" s="65" t="b">
        <f>FALSE()</f>
        <v>0</v>
      </c>
      <c r="AE2841" s="65">
        <v>0</v>
      </c>
      <c r="AF2841" s="69">
        <v>0</v>
      </c>
      <c r="AG2841" s="65" t="s">
        <v>74</v>
      </c>
      <c r="AH2841" s="65" t="s">
        <v>10780</v>
      </c>
      <c r="AI2841">
        <f>IF(AND(OR(Company_Explorer!$B$5="All Companies",$E2841=Company_Explorer!$B$5),OR(Company_Explorer!$B$6="All Platforms",$B2841=Company_Explorer!$B$6),OR(Company_Explorer!$B$7="All Roles",$D2841=Company_Explorer!$B$7),OR(Company_Explorer!$B$8="All Ghost Labels",$AG2841=Company_Explorer!$B$8)),1,0)</f>
        <v>0</v>
      </c>
    </row>
    <row r="2842" spans="1:35" ht="15" customHeight="1" x14ac:dyDescent="0.3">
      <c r="A2842" s="60" t="s">
        <v>10781</v>
      </c>
      <c r="B2842" s="60" t="s">
        <v>82</v>
      </c>
      <c r="C2842" s="60" t="s">
        <v>127</v>
      </c>
      <c r="D2842" s="60" t="s">
        <v>127</v>
      </c>
      <c r="E2842" s="60" t="s">
        <v>3726</v>
      </c>
      <c r="F2842" s="60" t="b">
        <f>FALSE()</f>
        <v>0</v>
      </c>
      <c r="G2842" s="60" t="s">
        <v>9780</v>
      </c>
      <c r="H2842" s="60" t="s">
        <v>326</v>
      </c>
      <c r="I2842" s="61">
        <v>46202</v>
      </c>
      <c r="J2842" s="61">
        <v>46210.286554247701</v>
      </c>
      <c r="K2842" s="60">
        <v>8</v>
      </c>
      <c r="L2842" s="60" t="s">
        <v>193</v>
      </c>
      <c r="M2842" s="60" t="s">
        <v>183</v>
      </c>
      <c r="N2842" s="60" t="b">
        <f>TRUE()</f>
        <v>1</v>
      </c>
      <c r="O2842" s="70">
        <v>200000</v>
      </c>
      <c r="P2842" s="70">
        <v>500000</v>
      </c>
      <c r="Q2842" s="60" t="s">
        <v>3663</v>
      </c>
      <c r="R2842" s="60" t="s">
        <v>7351</v>
      </c>
      <c r="S2842" s="70">
        <v>350000</v>
      </c>
      <c r="T2842" s="60" t="b">
        <f>TRUE()</f>
        <v>1</v>
      </c>
      <c r="U2842" s="60" t="b">
        <f>FALSE()</f>
        <v>0</v>
      </c>
      <c r="V2842" s="60">
        <v>128</v>
      </c>
      <c r="W2842" s="62" t="s">
        <v>10782</v>
      </c>
      <c r="X2842" s="60"/>
      <c r="Y2842" s="63"/>
      <c r="Z2842" s="60" t="b">
        <f>TRUE()</f>
        <v>1</v>
      </c>
      <c r="AA2842" s="60" t="b">
        <f>FALSE()</f>
        <v>0</v>
      </c>
      <c r="AB2842" s="60" t="b">
        <f>TRUE()</f>
        <v>1</v>
      </c>
      <c r="AC2842" s="60" t="b">
        <f>FALSE()</f>
        <v>0</v>
      </c>
      <c r="AD2842" s="60" t="b">
        <f>FALSE()</f>
        <v>0</v>
      </c>
      <c r="AE2842" s="60">
        <v>3</v>
      </c>
      <c r="AF2842" s="64">
        <v>42.9</v>
      </c>
      <c r="AG2842" s="60" t="s">
        <v>73</v>
      </c>
      <c r="AH2842" s="60" t="s">
        <v>10783</v>
      </c>
      <c r="AI2842">
        <f>IF(AND(OR(Company_Explorer!$B$5="All Companies",$E2842=Company_Explorer!$B$5),OR(Company_Explorer!$B$6="All Platforms",$B2842=Company_Explorer!$B$6),OR(Company_Explorer!$B$7="All Roles",$D2842=Company_Explorer!$B$7),OR(Company_Explorer!$B$8="All Ghost Labels",$AG2842=Company_Explorer!$B$8)),1,0)</f>
        <v>0</v>
      </c>
    </row>
    <row r="2843" spans="1:35" ht="15" customHeight="1" x14ac:dyDescent="0.3">
      <c r="A2843" s="65" t="s">
        <v>10784</v>
      </c>
      <c r="B2843" s="65" t="s">
        <v>82</v>
      </c>
      <c r="C2843" s="65" t="s">
        <v>10785</v>
      </c>
      <c r="D2843" s="65" t="s">
        <v>127</v>
      </c>
      <c r="E2843" s="65" t="s">
        <v>10786</v>
      </c>
      <c r="F2843" s="65" t="b">
        <f>TRUE()</f>
        <v>1</v>
      </c>
      <c r="G2843" s="65" t="s">
        <v>167</v>
      </c>
      <c r="H2843" s="65" t="s">
        <v>276</v>
      </c>
      <c r="I2843" s="66">
        <v>46203</v>
      </c>
      <c r="J2843" s="66">
        <v>46210.286554594903</v>
      </c>
      <c r="K2843" s="65">
        <v>7</v>
      </c>
      <c r="L2843" s="65" t="s">
        <v>192</v>
      </c>
      <c r="M2843" s="65" t="s">
        <v>183</v>
      </c>
      <c r="N2843" s="65" t="b">
        <f>TRUE()</f>
        <v>1</v>
      </c>
      <c r="O2843" s="71">
        <v>650000</v>
      </c>
      <c r="P2843" s="71">
        <v>900000</v>
      </c>
      <c r="Q2843" s="65" t="s">
        <v>3663</v>
      </c>
      <c r="R2843" s="65" t="s">
        <v>7351</v>
      </c>
      <c r="S2843" s="71">
        <v>775000</v>
      </c>
      <c r="T2843" s="65" t="b">
        <f>TRUE()</f>
        <v>1</v>
      </c>
      <c r="U2843" s="65" t="b">
        <f>FALSE()</f>
        <v>0</v>
      </c>
      <c r="V2843" s="65">
        <v>640</v>
      </c>
      <c r="W2843" s="67" t="s">
        <v>10787</v>
      </c>
      <c r="X2843" s="65">
        <v>1</v>
      </c>
      <c r="Y2843" s="68">
        <v>0.24</v>
      </c>
      <c r="Z2843" s="65" t="b">
        <f>FALSE()</f>
        <v>0</v>
      </c>
      <c r="AA2843" s="65" t="b">
        <f>FALSE()</f>
        <v>0</v>
      </c>
      <c r="AB2843" s="65" t="b">
        <f>FALSE()</f>
        <v>0</v>
      </c>
      <c r="AC2843" s="65" t="b">
        <f>FALSE()</f>
        <v>0</v>
      </c>
      <c r="AD2843" s="65" t="b">
        <f>FALSE()</f>
        <v>0</v>
      </c>
      <c r="AE2843" s="65">
        <v>0</v>
      </c>
      <c r="AF2843" s="69">
        <v>0</v>
      </c>
      <c r="AG2843" s="65" t="s">
        <v>74</v>
      </c>
      <c r="AH2843" s="65" t="s">
        <v>10788</v>
      </c>
      <c r="AI2843">
        <f>IF(AND(OR(Company_Explorer!$B$5="All Companies",$E2843=Company_Explorer!$B$5),OR(Company_Explorer!$B$6="All Platforms",$B2843=Company_Explorer!$B$6),OR(Company_Explorer!$B$7="All Roles",$D2843=Company_Explorer!$B$7),OR(Company_Explorer!$B$8="All Ghost Labels",$AG2843=Company_Explorer!$B$8)),1,0)</f>
        <v>0</v>
      </c>
    </row>
    <row r="2844" spans="1:35" ht="15" customHeight="1" x14ac:dyDescent="0.3">
      <c r="A2844" s="60" t="s">
        <v>10789</v>
      </c>
      <c r="B2844" s="60" t="s">
        <v>82</v>
      </c>
      <c r="C2844" s="60" t="s">
        <v>5780</v>
      </c>
      <c r="D2844" s="60" t="s">
        <v>127</v>
      </c>
      <c r="E2844" s="60" t="s">
        <v>10790</v>
      </c>
      <c r="F2844" s="60" t="b">
        <f>TRUE()</f>
        <v>1</v>
      </c>
      <c r="G2844" s="60" t="s">
        <v>165</v>
      </c>
      <c r="H2844" s="60" t="s">
        <v>165</v>
      </c>
      <c r="I2844" s="61">
        <v>46203</v>
      </c>
      <c r="J2844" s="61">
        <v>46210.286555983803</v>
      </c>
      <c r="K2844" s="60">
        <v>7</v>
      </c>
      <c r="L2844" s="60" t="s">
        <v>183</v>
      </c>
      <c r="M2844" s="60" t="s">
        <v>183</v>
      </c>
      <c r="N2844" s="60" t="b">
        <f>FALSE()</f>
        <v>0</v>
      </c>
      <c r="O2844" s="60"/>
      <c r="P2844" s="60"/>
      <c r="Q2844" s="60" t="s">
        <v>3663</v>
      </c>
      <c r="R2844" s="60" t="s">
        <v>236</v>
      </c>
      <c r="S2844" s="60"/>
      <c r="T2844" s="60" t="b">
        <f>FALSE()</f>
        <v>0</v>
      </c>
      <c r="U2844" s="60" t="b">
        <f>FALSE()</f>
        <v>0</v>
      </c>
      <c r="V2844" s="60">
        <v>828</v>
      </c>
      <c r="W2844" s="60" t="s">
        <v>10791</v>
      </c>
      <c r="X2844" s="60">
        <v>1</v>
      </c>
      <c r="Y2844" s="63">
        <v>0.24</v>
      </c>
      <c r="Z2844" s="60" t="b">
        <f>FALSE()</f>
        <v>0</v>
      </c>
      <c r="AA2844" s="60" t="b">
        <f>TRUE()</f>
        <v>1</v>
      </c>
      <c r="AB2844" s="60" t="b">
        <f>FALSE()</f>
        <v>0</v>
      </c>
      <c r="AC2844" s="60" t="b">
        <f>FALSE()</f>
        <v>0</v>
      </c>
      <c r="AD2844" s="60" t="b">
        <f>FALSE()</f>
        <v>0</v>
      </c>
      <c r="AE2844" s="60">
        <v>1</v>
      </c>
      <c r="AF2844" s="64">
        <v>14.3</v>
      </c>
      <c r="AG2844" s="60" t="s">
        <v>74</v>
      </c>
      <c r="AH2844" s="60" t="s">
        <v>10792</v>
      </c>
      <c r="AI2844">
        <f>IF(AND(OR(Company_Explorer!$B$5="All Companies",$E2844=Company_Explorer!$B$5),OR(Company_Explorer!$B$6="All Platforms",$B2844=Company_Explorer!$B$6),OR(Company_Explorer!$B$7="All Roles",$D2844=Company_Explorer!$B$7),OR(Company_Explorer!$B$8="All Ghost Labels",$AG2844=Company_Explorer!$B$8)),1,0)</f>
        <v>0</v>
      </c>
    </row>
    <row r="2845" spans="1:35" ht="15" customHeight="1" x14ac:dyDescent="0.3">
      <c r="A2845" s="65" t="s">
        <v>10793</v>
      </c>
      <c r="B2845" s="65" t="s">
        <v>82</v>
      </c>
      <c r="C2845" s="65" t="s">
        <v>10794</v>
      </c>
      <c r="D2845" s="65" t="s">
        <v>126</v>
      </c>
      <c r="E2845" s="65" t="s">
        <v>10708</v>
      </c>
      <c r="F2845" s="65" t="b">
        <f>TRUE()</f>
        <v>1</v>
      </c>
      <c r="G2845" s="65" t="s">
        <v>165</v>
      </c>
      <c r="H2845" s="65" t="s">
        <v>165</v>
      </c>
      <c r="I2845" s="66">
        <v>46201</v>
      </c>
      <c r="J2845" s="66">
        <v>46210.286556307903</v>
      </c>
      <c r="K2845" s="65">
        <v>70</v>
      </c>
      <c r="L2845" s="65" t="s">
        <v>192</v>
      </c>
      <c r="M2845" s="65" t="s">
        <v>183</v>
      </c>
      <c r="N2845" s="65" t="b">
        <f>FALSE()</f>
        <v>0</v>
      </c>
      <c r="O2845" s="65"/>
      <c r="P2845" s="65"/>
      <c r="Q2845" s="65" t="s">
        <v>3663</v>
      </c>
      <c r="R2845" s="65" t="s">
        <v>236</v>
      </c>
      <c r="S2845" s="65"/>
      <c r="T2845" s="65" t="b">
        <f>FALSE()</f>
        <v>0</v>
      </c>
      <c r="U2845" s="65" t="b">
        <f>FALSE()</f>
        <v>0</v>
      </c>
      <c r="V2845" s="65">
        <v>490</v>
      </c>
      <c r="W2845" s="67" t="s">
        <v>10795</v>
      </c>
      <c r="X2845" s="65">
        <v>2</v>
      </c>
      <c r="Y2845" s="68">
        <v>0.48</v>
      </c>
      <c r="Z2845" s="65" t="b">
        <f>FALSE()</f>
        <v>0</v>
      </c>
      <c r="AA2845" s="65" t="b">
        <f>TRUE()</f>
        <v>1</v>
      </c>
      <c r="AB2845" s="65" t="b">
        <f>FALSE()</f>
        <v>0</v>
      </c>
      <c r="AC2845" s="65" t="b">
        <f>FALSE()</f>
        <v>0</v>
      </c>
      <c r="AD2845" s="65" t="b">
        <f>FALSE()</f>
        <v>0</v>
      </c>
      <c r="AE2845" s="65">
        <v>1</v>
      </c>
      <c r="AF2845" s="69">
        <v>14.3</v>
      </c>
      <c r="AG2845" s="65" t="s">
        <v>74</v>
      </c>
      <c r="AH2845" s="65" t="s">
        <v>10796</v>
      </c>
      <c r="AI2845">
        <f>IF(AND(OR(Company_Explorer!$B$5="All Companies",$E2845=Company_Explorer!$B$5),OR(Company_Explorer!$B$6="All Platforms",$B2845=Company_Explorer!$B$6),OR(Company_Explorer!$B$7="All Roles",$D2845=Company_Explorer!$B$7),OR(Company_Explorer!$B$8="All Ghost Labels",$AG2845=Company_Explorer!$B$8)),1,0)</f>
        <v>0</v>
      </c>
    </row>
    <row r="2846" spans="1:35" ht="15" customHeight="1" x14ac:dyDescent="0.3">
      <c r="A2846" s="60" t="s">
        <v>10797</v>
      </c>
      <c r="B2846" s="60" t="s">
        <v>82</v>
      </c>
      <c r="C2846" s="60" t="s">
        <v>10798</v>
      </c>
      <c r="D2846" s="60" t="s">
        <v>127</v>
      </c>
      <c r="E2846" s="60" t="s">
        <v>3726</v>
      </c>
      <c r="F2846" s="60" t="b">
        <f>FALSE()</f>
        <v>0</v>
      </c>
      <c r="G2846" s="60" t="s">
        <v>165</v>
      </c>
      <c r="H2846" s="60" t="s">
        <v>165</v>
      </c>
      <c r="I2846" s="61">
        <v>46185</v>
      </c>
      <c r="J2846" s="61">
        <v>46210.286556655097</v>
      </c>
      <c r="K2846" s="60">
        <v>26</v>
      </c>
      <c r="L2846" s="60" t="s">
        <v>192</v>
      </c>
      <c r="M2846" s="60" t="s">
        <v>183</v>
      </c>
      <c r="N2846" s="60" t="b">
        <f>TRUE()</f>
        <v>1</v>
      </c>
      <c r="O2846" s="70">
        <v>240000</v>
      </c>
      <c r="P2846" s="70">
        <v>360000</v>
      </c>
      <c r="Q2846" s="60" t="s">
        <v>3663</v>
      </c>
      <c r="R2846" s="60" t="s">
        <v>7351</v>
      </c>
      <c r="S2846" s="70">
        <v>300000</v>
      </c>
      <c r="T2846" s="60" t="b">
        <f>TRUE()</f>
        <v>1</v>
      </c>
      <c r="U2846" s="60" t="b">
        <f>FALSE()</f>
        <v>0</v>
      </c>
      <c r="V2846" s="60">
        <v>268</v>
      </c>
      <c r="W2846" s="62" t="s">
        <v>10799</v>
      </c>
      <c r="X2846" s="60"/>
      <c r="Y2846" s="63"/>
      <c r="Z2846" s="60" t="b">
        <f>TRUE()</f>
        <v>1</v>
      </c>
      <c r="AA2846" s="60" t="b">
        <f>FALSE()</f>
        <v>0</v>
      </c>
      <c r="AB2846" s="60" t="b">
        <f>FALSE()</f>
        <v>0</v>
      </c>
      <c r="AC2846" s="60" t="b">
        <f>FALSE()</f>
        <v>0</v>
      </c>
      <c r="AD2846" s="60" t="b">
        <f>FALSE()</f>
        <v>0</v>
      </c>
      <c r="AE2846" s="60">
        <v>2</v>
      </c>
      <c r="AF2846" s="64">
        <v>28.6</v>
      </c>
      <c r="AG2846" s="60" t="s">
        <v>73</v>
      </c>
      <c r="AH2846" s="60" t="s">
        <v>10800</v>
      </c>
      <c r="AI2846">
        <f>IF(AND(OR(Company_Explorer!$B$5="All Companies",$E2846=Company_Explorer!$B$5),OR(Company_Explorer!$B$6="All Platforms",$B2846=Company_Explorer!$B$6),OR(Company_Explorer!$B$7="All Roles",$D2846=Company_Explorer!$B$7),OR(Company_Explorer!$B$8="All Ghost Labels",$AG2846=Company_Explorer!$B$8)),1,0)</f>
        <v>0</v>
      </c>
    </row>
    <row r="2847" spans="1:35" ht="15" customHeight="1" x14ac:dyDescent="0.3">
      <c r="A2847" s="65" t="s">
        <v>10801</v>
      </c>
      <c r="B2847" s="65" t="s">
        <v>82</v>
      </c>
      <c r="C2847" s="65" t="s">
        <v>6985</v>
      </c>
      <c r="D2847" s="65" t="s">
        <v>126</v>
      </c>
      <c r="E2847" s="65" t="s">
        <v>150</v>
      </c>
      <c r="F2847" s="65" t="b">
        <f>TRUE()</f>
        <v>1</v>
      </c>
      <c r="G2847" s="65" t="s">
        <v>167</v>
      </c>
      <c r="H2847" s="65" t="s">
        <v>276</v>
      </c>
      <c r="I2847" s="66">
        <v>46206</v>
      </c>
      <c r="J2847" s="66">
        <v>46210.286557337997</v>
      </c>
      <c r="K2847" s="65">
        <v>4</v>
      </c>
      <c r="L2847" s="65" t="s">
        <v>192</v>
      </c>
      <c r="M2847" s="65" t="s">
        <v>183</v>
      </c>
      <c r="N2847" s="65" t="b">
        <f>TRUE()</f>
        <v>1</v>
      </c>
      <c r="O2847" s="71">
        <v>500000</v>
      </c>
      <c r="P2847" s="71">
        <v>900000</v>
      </c>
      <c r="Q2847" s="65" t="s">
        <v>3663</v>
      </c>
      <c r="R2847" s="65" t="s">
        <v>7351</v>
      </c>
      <c r="S2847" s="71">
        <v>700000</v>
      </c>
      <c r="T2847" s="65" t="b">
        <f>TRUE()</f>
        <v>1</v>
      </c>
      <c r="U2847" s="65" t="b">
        <f>FALSE()</f>
        <v>0</v>
      </c>
      <c r="V2847" s="65">
        <v>652</v>
      </c>
      <c r="W2847" s="67" t="s">
        <v>3698</v>
      </c>
      <c r="X2847" s="65">
        <v>18</v>
      </c>
      <c r="Y2847" s="68">
        <v>4.34</v>
      </c>
      <c r="Z2847" s="65" t="b">
        <f>FALSE()</f>
        <v>0</v>
      </c>
      <c r="AA2847" s="65" t="b">
        <f>FALSE()</f>
        <v>0</v>
      </c>
      <c r="AB2847" s="65" t="b">
        <f>FALSE()</f>
        <v>0</v>
      </c>
      <c r="AC2847" s="65" t="b">
        <f>FALSE()</f>
        <v>0</v>
      </c>
      <c r="AD2847" s="65" t="b">
        <f>TRUE()</f>
        <v>1</v>
      </c>
      <c r="AE2847" s="65">
        <v>2</v>
      </c>
      <c r="AF2847" s="69">
        <v>28.6</v>
      </c>
      <c r="AG2847" s="65" t="s">
        <v>73</v>
      </c>
      <c r="AH2847" s="65" t="s">
        <v>10802</v>
      </c>
      <c r="AI2847">
        <f>IF(AND(OR(Company_Explorer!$B$5="All Companies",$E2847=Company_Explorer!$B$5),OR(Company_Explorer!$B$6="All Platforms",$B2847=Company_Explorer!$B$6),OR(Company_Explorer!$B$7="All Roles",$D2847=Company_Explorer!$B$7),OR(Company_Explorer!$B$8="All Ghost Labels",$AG2847=Company_Explorer!$B$8)),1,0)</f>
        <v>0</v>
      </c>
    </row>
    <row r="2848" spans="1:35" ht="15" customHeight="1" x14ac:dyDescent="0.3">
      <c r="A2848" s="60" t="s">
        <v>10803</v>
      </c>
      <c r="B2848" s="60" t="s">
        <v>82</v>
      </c>
      <c r="C2848" s="60" t="s">
        <v>10804</v>
      </c>
      <c r="D2848" s="60" t="s">
        <v>126</v>
      </c>
      <c r="E2848" s="60" t="s">
        <v>3726</v>
      </c>
      <c r="F2848" s="60" t="b">
        <f>FALSE()</f>
        <v>0</v>
      </c>
      <c r="G2848" s="60" t="s">
        <v>167</v>
      </c>
      <c r="H2848" s="60" t="s">
        <v>276</v>
      </c>
      <c r="I2848" s="61">
        <v>46196</v>
      </c>
      <c r="J2848" s="61">
        <v>46210.286559965301</v>
      </c>
      <c r="K2848" s="60">
        <v>15</v>
      </c>
      <c r="L2848" s="60" t="s">
        <v>192</v>
      </c>
      <c r="M2848" s="60" t="s">
        <v>183</v>
      </c>
      <c r="N2848" s="60" t="b">
        <f>TRUE()</f>
        <v>1</v>
      </c>
      <c r="O2848" s="70">
        <v>281098</v>
      </c>
      <c r="P2848" s="70">
        <v>1154840</v>
      </c>
      <c r="Q2848" s="60" t="s">
        <v>3663</v>
      </c>
      <c r="R2848" s="60" t="s">
        <v>7351</v>
      </c>
      <c r="S2848" s="70">
        <v>717969</v>
      </c>
      <c r="T2848" s="60" t="b">
        <f>TRUE()</f>
        <v>1</v>
      </c>
      <c r="U2848" s="60" t="b">
        <f>FALSE()</f>
        <v>0</v>
      </c>
      <c r="V2848" s="60">
        <v>153</v>
      </c>
      <c r="W2848" s="60" t="s">
        <v>10805</v>
      </c>
      <c r="X2848" s="60"/>
      <c r="Y2848" s="63"/>
      <c r="Z2848" s="60" t="b">
        <f>TRUE()</f>
        <v>1</v>
      </c>
      <c r="AA2848" s="60" t="b">
        <f>FALSE()</f>
        <v>0</v>
      </c>
      <c r="AB2848" s="60" t="b">
        <f>TRUE()</f>
        <v>1</v>
      </c>
      <c r="AC2848" s="60" t="b">
        <f>FALSE()</f>
        <v>0</v>
      </c>
      <c r="AD2848" s="60" t="b">
        <f>FALSE()</f>
        <v>0</v>
      </c>
      <c r="AE2848" s="60">
        <v>3</v>
      </c>
      <c r="AF2848" s="64">
        <v>42.9</v>
      </c>
      <c r="AG2848" s="60" t="s">
        <v>73</v>
      </c>
      <c r="AH2848" s="60" t="s">
        <v>10806</v>
      </c>
      <c r="AI2848">
        <f>IF(AND(OR(Company_Explorer!$B$5="All Companies",$E2848=Company_Explorer!$B$5),OR(Company_Explorer!$B$6="All Platforms",$B2848=Company_Explorer!$B$6),OR(Company_Explorer!$B$7="All Roles",$D2848=Company_Explorer!$B$7),OR(Company_Explorer!$B$8="All Ghost Labels",$AG2848=Company_Explorer!$B$8)),1,0)</f>
        <v>0</v>
      </c>
    </row>
    <row r="2849" spans="1:35" ht="15" customHeight="1" x14ac:dyDescent="0.3">
      <c r="A2849" s="65" t="s">
        <v>10807</v>
      </c>
      <c r="B2849" s="65" t="s">
        <v>82</v>
      </c>
      <c r="C2849" s="65" t="s">
        <v>10808</v>
      </c>
      <c r="D2849" s="65" t="s">
        <v>127</v>
      </c>
      <c r="E2849" s="65" t="s">
        <v>3445</v>
      </c>
      <c r="F2849" s="65" t="b">
        <f>TRUE()</f>
        <v>1</v>
      </c>
      <c r="G2849" s="65" t="s">
        <v>167</v>
      </c>
      <c r="H2849" s="65" t="s">
        <v>276</v>
      </c>
      <c r="I2849" s="66">
        <v>46203</v>
      </c>
      <c r="J2849" s="66">
        <v>46210.286560648201</v>
      </c>
      <c r="K2849" s="65">
        <v>7</v>
      </c>
      <c r="L2849" s="65" t="s">
        <v>183</v>
      </c>
      <c r="M2849" s="65" t="s">
        <v>183</v>
      </c>
      <c r="N2849" s="65" t="b">
        <f>TRUE()</f>
        <v>1</v>
      </c>
      <c r="O2849" s="71">
        <v>300000</v>
      </c>
      <c r="P2849" s="71">
        <v>360000</v>
      </c>
      <c r="Q2849" s="65" t="s">
        <v>3663</v>
      </c>
      <c r="R2849" s="65" t="s">
        <v>7351</v>
      </c>
      <c r="S2849" s="71">
        <v>330000</v>
      </c>
      <c r="T2849" s="65" t="b">
        <f>TRUE()</f>
        <v>1</v>
      </c>
      <c r="U2849" s="65" t="b">
        <f>FALSE()</f>
        <v>0</v>
      </c>
      <c r="V2849" s="65">
        <v>218</v>
      </c>
      <c r="W2849" s="67" t="s">
        <v>10809</v>
      </c>
      <c r="X2849" s="65">
        <v>4</v>
      </c>
      <c r="Y2849" s="68">
        <v>0.97</v>
      </c>
      <c r="Z2849" s="65" t="b">
        <f>FALSE()</f>
        <v>0</v>
      </c>
      <c r="AA2849" s="65" t="b">
        <f>FALSE()</f>
        <v>0</v>
      </c>
      <c r="AB2849" s="65" t="b">
        <f>FALSE()</f>
        <v>0</v>
      </c>
      <c r="AC2849" s="65" t="b">
        <f>FALSE()</f>
        <v>0</v>
      </c>
      <c r="AD2849" s="65" t="b">
        <f>FALSE()</f>
        <v>0</v>
      </c>
      <c r="AE2849" s="65">
        <v>0</v>
      </c>
      <c r="AF2849" s="69">
        <v>0</v>
      </c>
      <c r="AG2849" s="65" t="s">
        <v>74</v>
      </c>
      <c r="AH2849" s="65" t="s">
        <v>10810</v>
      </c>
      <c r="AI2849">
        <f>IF(AND(OR(Company_Explorer!$B$5="All Companies",$E2849=Company_Explorer!$B$5),OR(Company_Explorer!$B$6="All Platforms",$B2849=Company_Explorer!$B$6),OR(Company_Explorer!$B$7="All Roles",$D2849=Company_Explorer!$B$7),OR(Company_Explorer!$B$8="All Ghost Labels",$AG2849=Company_Explorer!$B$8)),1,0)</f>
        <v>0</v>
      </c>
    </row>
    <row r="2850" spans="1:35" ht="15" customHeight="1" x14ac:dyDescent="0.3">
      <c r="A2850" s="60" t="s">
        <v>10811</v>
      </c>
      <c r="B2850" s="60" t="s">
        <v>82</v>
      </c>
      <c r="C2850" s="60" t="s">
        <v>10812</v>
      </c>
      <c r="D2850" s="60" t="s">
        <v>127</v>
      </c>
      <c r="E2850" s="60" t="s">
        <v>10813</v>
      </c>
      <c r="F2850" s="60" t="b">
        <f>TRUE()</f>
        <v>1</v>
      </c>
      <c r="G2850" s="60" t="s">
        <v>165</v>
      </c>
      <c r="H2850" s="60" t="s">
        <v>165</v>
      </c>
      <c r="I2850" s="61">
        <v>46199</v>
      </c>
      <c r="J2850" s="61">
        <v>46210.286560706001</v>
      </c>
      <c r="K2850" s="60">
        <v>12</v>
      </c>
      <c r="L2850" s="60" t="s">
        <v>192</v>
      </c>
      <c r="M2850" s="60" t="s">
        <v>183</v>
      </c>
      <c r="N2850" s="60" t="b">
        <f>FALSE()</f>
        <v>0</v>
      </c>
      <c r="O2850" s="60"/>
      <c r="P2850" s="60"/>
      <c r="Q2850" s="60" t="s">
        <v>3663</v>
      </c>
      <c r="R2850" s="60" t="s">
        <v>236</v>
      </c>
      <c r="S2850" s="60"/>
      <c r="T2850" s="60" t="b">
        <f>FALSE()</f>
        <v>0</v>
      </c>
      <c r="U2850" s="60" t="b">
        <f>FALSE()</f>
        <v>0</v>
      </c>
      <c r="V2850" s="60">
        <v>526</v>
      </c>
      <c r="W2850" s="62" t="s">
        <v>10814</v>
      </c>
      <c r="X2850" s="60">
        <v>1</v>
      </c>
      <c r="Y2850" s="63">
        <v>0.24</v>
      </c>
      <c r="Z2850" s="60" t="b">
        <f>FALSE()</f>
        <v>0</v>
      </c>
      <c r="AA2850" s="60" t="b">
        <f>TRUE()</f>
        <v>1</v>
      </c>
      <c r="AB2850" s="60" t="b">
        <f>FALSE()</f>
        <v>0</v>
      </c>
      <c r="AC2850" s="60" t="b">
        <f>FALSE()</f>
        <v>0</v>
      </c>
      <c r="AD2850" s="60" t="b">
        <f>FALSE()</f>
        <v>0</v>
      </c>
      <c r="AE2850" s="60">
        <v>1</v>
      </c>
      <c r="AF2850" s="64">
        <v>14.3</v>
      </c>
      <c r="AG2850" s="60" t="s">
        <v>74</v>
      </c>
      <c r="AH2850" s="60" t="s">
        <v>10815</v>
      </c>
      <c r="AI2850">
        <f>IF(AND(OR(Company_Explorer!$B$5="All Companies",$E2850=Company_Explorer!$B$5),OR(Company_Explorer!$B$6="All Platforms",$B2850=Company_Explorer!$B$6),OR(Company_Explorer!$B$7="All Roles",$D2850=Company_Explorer!$B$7),OR(Company_Explorer!$B$8="All Ghost Labels",$AG2850=Company_Explorer!$B$8)),1,0)</f>
        <v>0</v>
      </c>
    </row>
    <row r="2851" spans="1:35" ht="15" customHeight="1" x14ac:dyDescent="0.3">
      <c r="A2851" s="65" t="s">
        <v>10816</v>
      </c>
      <c r="B2851" s="65" t="s">
        <v>82</v>
      </c>
      <c r="C2851" s="65" t="s">
        <v>10817</v>
      </c>
      <c r="D2851" s="65" t="s">
        <v>127</v>
      </c>
      <c r="E2851" s="65" t="s">
        <v>154</v>
      </c>
      <c r="F2851" s="65" t="b">
        <f>TRUE()</f>
        <v>1</v>
      </c>
      <c r="G2851" s="65" t="s">
        <v>165</v>
      </c>
      <c r="H2851" s="65" t="s">
        <v>165</v>
      </c>
      <c r="I2851" s="66">
        <v>46186</v>
      </c>
      <c r="J2851" s="66">
        <v>46210.2865634259</v>
      </c>
      <c r="K2851" s="65">
        <v>56</v>
      </c>
      <c r="L2851" s="65" t="s">
        <v>192</v>
      </c>
      <c r="M2851" s="65" t="s">
        <v>183</v>
      </c>
      <c r="N2851" s="65" t="b">
        <f>FALSE()</f>
        <v>0</v>
      </c>
      <c r="O2851" s="65"/>
      <c r="P2851" s="65"/>
      <c r="Q2851" s="65" t="s">
        <v>3663</v>
      </c>
      <c r="R2851" s="65" t="s">
        <v>236</v>
      </c>
      <c r="S2851" s="65"/>
      <c r="T2851" s="65" t="b">
        <f>FALSE()</f>
        <v>0</v>
      </c>
      <c r="U2851" s="65" t="b">
        <f>FALSE()</f>
        <v>0</v>
      </c>
      <c r="V2851" s="65">
        <v>1036</v>
      </c>
      <c r="W2851" s="65" t="s">
        <v>3893</v>
      </c>
      <c r="X2851" s="65">
        <v>16</v>
      </c>
      <c r="Y2851" s="68">
        <v>3.86</v>
      </c>
      <c r="Z2851" s="65" t="b">
        <f>FALSE()</f>
        <v>0</v>
      </c>
      <c r="AA2851" s="65" t="b">
        <f>TRUE()</f>
        <v>1</v>
      </c>
      <c r="AB2851" s="65" t="b">
        <f>FALSE()</f>
        <v>0</v>
      </c>
      <c r="AC2851" s="65" t="b">
        <f>FALSE()</f>
        <v>0</v>
      </c>
      <c r="AD2851" s="65" t="b">
        <f>TRUE()</f>
        <v>1</v>
      </c>
      <c r="AE2851" s="65">
        <v>3</v>
      </c>
      <c r="AF2851" s="69">
        <v>42.9</v>
      </c>
      <c r="AG2851" s="65" t="s">
        <v>73</v>
      </c>
      <c r="AH2851" s="65" t="s">
        <v>10818</v>
      </c>
      <c r="AI2851">
        <f>IF(AND(OR(Company_Explorer!$B$5="All Companies",$E2851=Company_Explorer!$B$5),OR(Company_Explorer!$B$6="All Platforms",$B2851=Company_Explorer!$B$6),OR(Company_Explorer!$B$7="All Roles",$D2851=Company_Explorer!$B$7),OR(Company_Explorer!$B$8="All Ghost Labels",$AG2851=Company_Explorer!$B$8)),1,0)</f>
        <v>0</v>
      </c>
    </row>
    <row r="2852" spans="1:35" ht="15" customHeight="1" x14ac:dyDescent="0.3">
      <c r="A2852" s="60" t="s">
        <v>10819</v>
      </c>
      <c r="B2852" s="60" t="s">
        <v>82</v>
      </c>
      <c r="C2852" s="60" t="s">
        <v>10820</v>
      </c>
      <c r="D2852" s="60" t="s">
        <v>126</v>
      </c>
      <c r="E2852" s="60" t="s">
        <v>10821</v>
      </c>
      <c r="F2852" s="60" t="b">
        <f>TRUE()</f>
        <v>1</v>
      </c>
      <c r="G2852" s="60" t="s">
        <v>166</v>
      </c>
      <c r="H2852" s="60" t="s">
        <v>235</v>
      </c>
      <c r="I2852" s="61">
        <v>46199</v>
      </c>
      <c r="J2852" s="61">
        <v>46210.286563611102</v>
      </c>
      <c r="K2852" s="60">
        <v>11</v>
      </c>
      <c r="L2852" s="60" t="s">
        <v>192</v>
      </c>
      <c r="M2852" s="60" t="s">
        <v>183</v>
      </c>
      <c r="N2852" s="60" t="b">
        <f>TRUE()</f>
        <v>1</v>
      </c>
      <c r="O2852" s="70">
        <v>535500</v>
      </c>
      <c r="P2852" s="70">
        <v>787500</v>
      </c>
      <c r="Q2852" s="60" t="s">
        <v>3663</v>
      </c>
      <c r="R2852" s="60" t="s">
        <v>7351</v>
      </c>
      <c r="S2852" s="70">
        <v>661500</v>
      </c>
      <c r="T2852" s="60" t="b">
        <f>TRUE()</f>
        <v>1</v>
      </c>
      <c r="U2852" s="60" t="b">
        <f>FALSE()</f>
        <v>0</v>
      </c>
      <c r="V2852" s="60">
        <v>1128</v>
      </c>
      <c r="W2852" s="62" t="s">
        <v>10822</v>
      </c>
      <c r="X2852" s="60">
        <v>1</v>
      </c>
      <c r="Y2852" s="63">
        <v>0.24</v>
      </c>
      <c r="Z2852" s="60" t="b">
        <f>FALSE()</f>
        <v>0</v>
      </c>
      <c r="AA2852" s="60" t="b">
        <f>FALSE()</f>
        <v>0</v>
      </c>
      <c r="AB2852" s="60" t="b">
        <f>FALSE()</f>
        <v>0</v>
      </c>
      <c r="AC2852" s="60" t="b">
        <f>FALSE()</f>
        <v>0</v>
      </c>
      <c r="AD2852" s="60" t="b">
        <f>FALSE()</f>
        <v>0</v>
      </c>
      <c r="AE2852" s="60">
        <v>0</v>
      </c>
      <c r="AF2852" s="64">
        <v>0</v>
      </c>
      <c r="AG2852" s="60" t="s">
        <v>74</v>
      </c>
      <c r="AH2852" s="60" t="s">
        <v>10823</v>
      </c>
      <c r="AI2852">
        <f>IF(AND(OR(Company_Explorer!$B$5="All Companies",$E2852=Company_Explorer!$B$5),OR(Company_Explorer!$B$6="All Platforms",$B2852=Company_Explorer!$B$6),OR(Company_Explorer!$B$7="All Roles",$D2852=Company_Explorer!$B$7),OR(Company_Explorer!$B$8="All Ghost Labels",$AG2852=Company_Explorer!$B$8)),1,0)</f>
        <v>0</v>
      </c>
    </row>
    <row r="2853" spans="1:35" ht="15" customHeight="1" x14ac:dyDescent="0.3">
      <c r="A2853" s="65" t="s">
        <v>10824</v>
      </c>
      <c r="B2853" s="65" t="s">
        <v>82</v>
      </c>
      <c r="C2853" s="65" t="s">
        <v>127</v>
      </c>
      <c r="D2853" s="65" t="s">
        <v>127</v>
      </c>
      <c r="E2853" s="65" t="s">
        <v>8717</v>
      </c>
      <c r="F2853" s="65" t="b">
        <f>TRUE()</f>
        <v>1</v>
      </c>
      <c r="G2853" s="65" t="s">
        <v>165</v>
      </c>
      <c r="H2853" s="65" t="s">
        <v>165</v>
      </c>
      <c r="I2853" s="66">
        <v>46201</v>
      </c>
      <c r="J2853" s="66">
        <v>46210.286564282404</v>
      </c>
      <c r="K2853" s="65">
        <v>40</v>
      </c>
      <c r="L2853" s="65" t="s">
        <v>183</v>
      </c>
      <c r="M2853" s="65" t="s">
        <v>183</v>
      </c>
      <c r="N2853" s="65" t="b">
        <f>FALSE()</f>
        <v>0</v>
      </c>
      <c r="O2853" s="65"/>
      <c r="P2853" s="65"/>
      <c r="Q2853" s="65" t="s">
        <v>3663</v>
      </c>
      <c r="R2853" s="65" t="s">
        <v>236</v>
      </c>
      <c r="S2853" s="65"/>
      <c r="T2853" s="65" t="b">
        <f>FALSE()</f>
        <v>0</v>
      </c>
      <c r="U2853" s="65" t="b">
        <f>FALSE()</f>
        <v>0</v>
      </c>
      <c r="V2853" s="65">
        <v>957</v>
      </c>
      <c r="W2853" s="67" t="s">
        <v>8718</v>
      </c>
      <c r="X2853" s="65">
        <v>2</v>
      </c>
      <c r="Y2853" s="68">
        <v>0.48</v>
      </c>
      <c r="Z2853" s="65" t="b">
        <f>FALSE()</f>
        <v>0</v>
      </c>
      <c r="AA2853" s="65" t="b">
        <f>TRUE()</f>
        <v>1</v>
      </c>
      <c r="AB2853" s="65" t="b">
        <f>FALSE()</f>
        <v>0</v>
      </c>
      <c r="AC2853" s="65" t="b">
        <f>FALSE()</f>
        <v>0</v>
      </c>
      <c r="AD2853" s="65" t="b">
        <f>FALSE()</f>
        <v>0</v>
      </c>
      <c r="AE2853" s="65">
        <v>1</v>
      </c>
      <c r="AF2853" s="69">
        <v>14.3</v>
      </c>
      <c r="AG2853" s="65" t="s">
        <v>74</v>
      </c>
      <c r="AH2853" s="65" t="s">
        <v>10825</v>
      </c>
      <c r="AI2853">
        <f>IF(AND(OR(Company_Explorer!$B$5="All Companies",$E2853=Company_Explorer!$B$5),OR(Company_Explorer!$B$6="All Platforms",$B2853=Company_Explorer!$B$6),OR(Company_Explorer!$B$7="All Roles",$D2853=Company_Explorer!$B$7),OR(Company_Explorer!$B$8="All Ghost Labels",$AG2853=Company_Explorer!$B$8)),1,0)</f>
        <v>0</v>
      </c>
    </row>
    <row r="2854" spans="1:35" ht="15" customHeight="1" x14ac:dyDescent="0.3">
      <c r="A2854" s="60" t="s">
        <v>10826</v>
      </c>
      <c r="B2854" s="60" t="s">
        <v>82</v>
      </c>
      <c r="C2854" s="60" t="s">
        <v>3882</v>
      </c>
      <c r="D2854" s="60" t="s">
        <v>126</v>
      </c>
      <c r="E2854" s="60" t="s">
        <v>10612</v>
      </c>
      <c r="F2854" s="60" t="b">
        <f>TRUE()</f>
        <v>1</v>
      </c>
      <c r="G2854" s="60" t="s">
        <v>165</v>
      </c>
      <c r="H2854" s="60" t="s">
        <v>165</v>
      </c>
      <c r="I2854" s="61">
        <v>46210</v>
      </c>
      <c r="J2854" s="61">
        <v>46210.286564953698</v>
      </c>
      <c r="K2854" s="60">
        <v>0</v>
      </c>
      <c r="L2854" s="60" t="s">
        <v>183</v>
      </c>
      <c r="M2854" s="60" t="s">
        <v>183</v>
      </c>
      <c r="N2854" s="60" t="b">
        <f>FALSE()</f>
        <v>0</v>
      </c>
      <c r="O2854" s="60"/>
      <c r="P2854" s="60"/>
      <c r="Q2854" s="60" t="s">
        <v>3663</v>
      </c>
      <c r="R2854" s="60" t="s">
        <v>236</v>
      </c>
      <c r="S2854" s="60"/>
      <c r="T2854" s="60" t="b">
        <f>FALSE()</f>
        <v>0</v>
      </c>
      <c r="U2854" s="60" t="b">
        <f>FALSE()</f>
        <v>0</v>
      </c>
      <c r="V2854" s="60">
        <v>753</v>
      </c>
      <c r="W2854" s="62" t="s">
        <v>3861</v>
      </c>
      <c r="X2854" s="60">
        <v>2</v>
      </c>
      <c r="Y2854" s="63">
        <v>0.48</v>
      </c>
      <c r="Z2854" s="60" t="b">
        <f>FALSE()</f>
        <v>0</v>
      </c>
      <c r="AA2854" s="60" t="b">
        <f>TRUE()</f>
        <v>1</v>
      </c>
      <c r="AB2854" s="60" t="b">
        <f>FALSE()</f>
        <v>0</v>
      </c>
      <c r="AC2854" s="60" t="b">
        <f>FALSE()</f>
        <v>0</v>
      </c>
      <c r="AD2854" s="60" t="b">
        <f>FALSE()</f>
        <v>0</v>
      </c>
      <c r="AE2854" s="60">
        <v>1</v>
      </c>
      <c r="AF2854" s="64">
        <v>14.3</v>
      </c>
      <c r="AG2854" s="60" t="s">
        <v>74</v>
      </c>
      <c r="AH2854" s="60" t="s">
        <v>10827</v>
      </c>
      <c r="AI2854">
        <f>IF(AND(OR(Company_Explorer!$B$5="All Companies",$E2854=Company_Explorer!$B$5),OR(Company_Explorer!$B$6="All Platforms",$B2854=Company_Explorer!$B$6),OR(Company_Explorer!$B$7="All Roles",$D2854=Company_Explorer!$B$7),OR(Company_Explorer!$B$8="All Ghost Labels",$AG2854=Company_Explorer!$B$8)),1,0)</f>
        <v>0</v>
      </c>
    </row>
    <row r="2855" spans="1:35" ht="15" customHeight="1" x14ac:dyDescent="0.3">
      <c r="A2855" s="65" t="s">
        <v>10828</v>
      </c>
      <c r="B2855" s="65" t="s">
        <v>82</v>
      </c>
      <c r="C2855" s="65" t="s">
        <v>10829</v>
      </c>
      <c r="D2855" s="65" t="s">
        <v>127</v>
      </c>
      <c r="E2855" s="65" t="s">
        <v>10830</v>
      </c>
      <c r="F2855" s="65" t="b">
        <f>TRUE()</f>
        <v>1</v>
      </c>
      <c r="G2855" s="65" t="s">
        <v>10831</v>
      </c>
      <c r="H2855" s="65" t="s">
        <v>276</v>
      </c>
      <c r="I2855" s="66">
        <v>46207</v>
      </c>
      <c r="J2855" s="66">
        <v>46210.2865660764</v>
      </c>
      <c r="K2855" s="65">
        <v>3</v>
      </c>
      <c r="L2855" s="65" t="s">
        <v>192</v>
      </c>
      <c r="M2855" s="65" t="s">
        <v>183</v>
      </c>
      <c r="N2855" s="65" t="b">
        <f>TRUE()</f>
        <v>1</v>
      </c>
      <c r="O2855" s="71">
        <v>440000</v>
      </c>
      <c r="P2855" s="71">
        <v>727500</v>
      </c>
      <c r="Q2855" s="65" t="s">
        <v>3663</v>
      </c>
      <c r="R2855" s="65" t="s">
        <v>7351</v>
      </c>
      <c r="S2855" s="71">
        <v>583750</v>
      </c>
      <c r="T2855" s="65" t="b">
        <f>TRUE()</f>
        <v>1</v>
      </c>
      <c r="U2855" s="65" t="b">
        <f>FALSE()</f>
        <v>0</v>
      </c>
      <c r="V2855" s="65">
        <v>303</v>
      </c>
      <c r="W2855" s="67" t="s">
        <v>10832</v>
      </c>
      <c r="X2855" s="65">
        <v>1</v>
      </c>
      <c r="Y2855" s="68">
        <v>0.24</v>
      </c>
      <c r="Z2855" s="65" t="b">
        <f>FALSE()</f>
        <v>0</v>
      </c>
      <c r="AA2855" s="65" t="b">
        <f>FALSE()</f>
        <v>0</v>
      </c>
      <c r="AB2855" s="65" t="b">
        <f>FALSE()</f>
        <v>0</v>
      </c>
      <c r="AC2855" s="65" t="b">
        <f>FALSE()</f>
        <v>0</v>
      </c>
      <c r="AD2855" s="65" t="b">
        <f>FALSE()</f>
        <v>0</v>
      </c>
      <c r="AE2855" s="65">
        <v>0</v>
      </c>
      <c r="AF2855" s="69">
        <v>0</v>
      </c>
      <c r="AG2855" s="65" t="s">
        <v>74</v>
      </c>
      <c r="AH2855" s="65" t="s">
        <v>10833</v>
      </c>
      <c r="AI2855">
        <f>IF(AND(OR(Company_Explorer!$B$5="All Companies",$E2855=Company_Explorer!$B$5),OR(Company_Explorer!$B$6="All Platforms",$B2855=Company_Explorer!$B$6),OR(Company_Explorer!$B$7="All Roles",$D2855=Company_Explorer!$B$7),OR(Company_Explorer!$B$8="All Ghost Labels",$AG2855=Company_Explorer!$B$8)),1,0)</f>
        <v>0</v>
      </c>
    </row>
    <row r="2856" spans="1:35" ht="15" customHeight="1" x14ac:dyDescent="0.3">
      <c r="A2856" s="60" t="s">
        <v>10834</v>
      </c>
      <c r="B2856" s="60" t="s">
        <v>82</v>
      </c>
      <c r="C2856" s="60" t="s">
        <v>127</v>
      </c>
      <c r="D2856" s="60" t="s">
        <v>127</v>
      </c>
      <c r="E2856" s="60" t="s">
        <v>10835</v>
      </c>
      <c r="F2856" s="60" t="b">
        <f>TRUE()</f>
        <v>1</v>
      </c>
      <c r="G2856" s="60" t="s">
        <v>165</v>
      </c>
      <c r="H2856" s="60" t="s">
        <v>165</v>
      </c>
      <c r="I2856" s="61">
        <v>46193</v>
      </c>
      <c r="J2856" s="61">
        <v>46210.286566620402</v>
      </c>
      <c r="K2856" s="60">
        <v>18</v>
      </c>
      <c r="L2856" s="60" t="s">
        <v>192</v>
      </c>
      <c r="M2856" s="60" t="s">
        <v>183</v>
      </c>
      <c r="N2856" s="60" t="b">
        <f>TRUE()</f>
        <v>1</v>
      </c>
      <c r="O2856" s="70">
        <v>100000</v>
      </c>
      <c r="P2856" s="70">
        <v>100000</v>
      </c>
      <c r="Q2856" s="60" t="s">
        <v>3663</v>
      </c>
      <c r="R2856" s="60" t="s">
        <v>7445</v>
      </c>
      <c r="S2856" s="70">
        <v>1200000</v>
      </c>
      <c r="T2856" s="60" t="b">
        <f>TRUE()</f>
        <v>1</v>
      </c>
      <c r="U2856" s="60" t="b">
        <f>FALSE()</f>
        <v>0</v>
      </c>
      <c r="V2856" s="60">
        <v>135</v>
      </c>
      <c r="W2856" s="62" t="s">
        <v>10836</v>
      </c>
      <c r="X2856" s="60">
        <v>1</v>
      </c>
      <c r="Y2856" s="63">
        <v>0.24</v>
      </c>
      <c r="Z2856" s="60" t="b">
        <f>FALSE()</f>
        <v>0</v>
      </c>
      <c r="AA2856" s="60" t="b">
        <f>FALSE()</f>
        <v>0</v>
      </c>
      <c r="AB2856" s="60" t="b">
        <f>TRUE()</f>
        <v>1</v>
      </c>
      <c r="AC2856" s="60" t="b">
        <f>FALSE()</f>
        <v>0</v>
      </c>
      <c r="AD2856" s="60" t="b">
        <f>FALSE()</f>
        <v>0</v>
      </c>
      <c r="AE2856" s="60">
        <v>1</v>
      </c>
      <c r="AF2856" s="64">
        <v>14.3</v>
      </c>
      <c r="AG2856" s="60" t="s">
        <v>74</v>
      </c>
      <c r="AH2856" s="60" t="s">
        <v>10837</v>
      </c>
      <c r="AI2856">
        <f>IF(AND(OR(Company_Explorer!$B$5="All Companies",$E2856=Company_Explorer!$B$5),OR(Company_Explorer!$B$6="All Platforms",$B2856=Company_Explorer!$B$6),OR(Company_Explorer!$B$7="All Roles",$D2856=Company_Explorer!$B$7),OR(Company_Explorer!$B$8="All Ghost Labels",$AG2856=Company_Explorer!$B$8)),1,0)</f>
        <v>0</v>
      </c>
    </row>
    <row r="2857" spans="1:35" ht="15" customHeight="1" x14ac:dyDescent="0.3">
      <c r="A2857" s="65" t="s">
        <v>10838</v>
      </c>
      <c r="B2857" s="65" t="s">
        <v>82</v>
      </c>
      <c r="C2857" s="65" t="s">
        <v>7041</v>
      </c>
      <c r="D2857" s="65" t="s">
        <v>126</v>
      </c>
      <c r="E2857" s="65" t="s">
        <v>7887</v>
      </c>
      <c r="F2857" s="65" t="b">
        <f>TRUE()</f>
        <v>1</v>
      </c>
      <c r="G2857" s="65" t="s">
        <v>166</v>
      </c>
      <c r="H2857" s="65" t="s">
        <v>235</v>
      </c>
      <c r="I2857" s="66">
        <v>46207</v>
      </c>
      <c r="J2857" s="66">
        <v>46210.286566713003</v>
      </c>
      <c r="K2857" s="65">
        <v>3</v>
      </c>
      <c r="L2857" s="65" t="s">
        <v>192</v>
      </c>
      <c r="M2857" s="65" t="s">
        <v>183</v>
      </c>
      <c r="N2857" s="65" t="b">
        <f>TRUE()</f>
        <v>1</v>
      </c>
      <c r="O2857" s="71">
        <v>140000</v>
      </c>
      <c r="P2857" s="71">
        <v>235000</v>
      </c>
      <c r="Q2857" s="65" t="s">
        <v>3663</v>
      </c>
      <c r="R2857" s="65" t="s">
        <v>7351</v>
      </c>
      <c r="S2857" s="71">
        <v>187500</v>
      </c>
      <c r="T2857" s="65" t="b">
        <f>TRUE()</f>
        <v>1</v>
      </c>
      <c r="U2857" s="65" t="b">
        <f>FALSE()</f>
        <v>0</v>
      </c>
      <c r="V2857" s="65">
        <v>299</v>
      </c>
      <c r="W2857" s="67" t="s">
        <v>10839</v>
      </c>
      <c r="X2857" s="65">
        <v>3</v>
      </c>
      <c r="Y2857" s="68">
        <v>0.72</v>
      </c>
      <c r="Z2857" s="65" t="b">
        <f>FALSE()</f>
        <v>0</v>
      </c>
      <c r="AA2857" s="65" t="b">
        <f>FALSE()</f>
        <v>0</v>
      </c>
      <c r="AB2857" s="65" t="b">
        <f>FALSE()</f>
        <v>0</v>
      </c>
      <c r="AC2857" s="65" t="b">
        <f>FALSE()</f>
        <v>0</v>
      </c>
      <c r="AD2857" s="65" t="b">
        <f>FALSE()</f>
        <v>0</v>
      </c>
      <c r="AE2857" s="65">
        <v>0</v>
      </c>
      <c r="AF2857" s="69">
        <v>0</v>
      </c>
      <c r="AG2857" s="65" t="s">
        <v>74</v>
      </c>
      <c r="AH2857" s="65" t="s">
        <v>10840</v>
      </c>
      <c r="AI2857">
        <f>IF(AND(OR(Company_Explorer!$B$5="All Companies",$E2857=Company_Explorer!$B$5),OR(Company_Explorer!$B$6="All Platforms",$B2857=Company_Explorer!$B$6),OR(Company_Explorer!$B$7="All Roles",$D2857=Company_Explorer!$B$7),OR(Company_Explorer!$B$8="All Ghost Labels",$AG2857=Company_Explorer!$B$8)),1,0)</f>
        <v>0</v>
      </c>
    </row>
    <row r="2858" spans="1:35" ht="15" customHeight="1" x14ac:dyDescent="0.3">
      <c r="A2858" s="60" t="s">
        <v>10841</v>
      </c>
      <c r="B2858" s="60" t="s">
        <v>82</v>
      </c>
      <c r="C2858" s="60" t="s">
        <v>5540</v>
      </c>
      <c r="D2858" s="60" t="s">
        <v>127</v>
      </c>
      <c r="E2858" s="60" t="s">
        <v>10842</v>
      </c>
      <c r="F2858" s="60" t="b">
        <f>TRUE()</f>
        <v>1</v>
      </c>
      <c r="G2858" s="60" t="s">
        <v>165</v>
      </c>
      <c r="H2858" s="60" t="s">
        <v>165</v>
      </c>
      <c r="I2858" s="61">
        <v>46210</v>
      </c>
      <c r="J2858" s="61">
        <v>46210.286567858799</v>
      </c>
      <c r="K2858" s="60">
        <v>0</v>
      </c>
      <c r="L2858" s="60" t="s">
        <v>192</v>
      </c>
      <c r="M2858" s="60" t="s">
        <v>183</v>
      </c>
      <c r="N2858" s="60" t="b">
        <f>TRUE()</f>
        <v>1</v>
      </c>
      <c r="O2858" s="70">
        <v>400000</v>
      </c>
      <c r="P2858" s="70">
        <v>700000</v>
      </c>
      <c r="Q2858" s="60" t="s">
        <v>3663</v>
      </c>
      <c r="R2858" s="60" t="s">
        <v>7351</v>
      </c>
      <c r="S2858" s="70">
        <v>550000</v>
      </c>
      <c r="T2858" s="60" t="b">
        <f>TRUE()</f>
        <v>1</v>
      </c>
      <c r="U2858" s="60" t="b">
        <f>FALSE()</f>
        <v>0</v>
      </c>
      <c r="V2858" s="60">
        <v>1224</v>
      </c>
      <c r="W2858" s="62" t="s">
        <v>5542</v>
      </c>
      <c r="X2858" s="60">
        <v>1</v>
      </c>
      <c r="Y2858" s="63">
        <v>0.24</v>
      </c>
      <c r="Z2858" s="60" t="b">
        <f>FALSE()</f>
        <v>0</v>
      </c>
      <c r="AA2858" s="60" t="b">
        <f>FALSE()</f>
        <v>0</v>
      </c>
      <c r="AB2858" s="60" t="b">
        <f>FALSE()</f>
        <v>0</v>
      </c>
      <c r="AC2858" s="60" t="b">
        <f>FALSE()</f>
        <v>0</v>
      </c>
      <c r="AD2858" s="60" t="b">
        <f>FALSE()</f>
        <v>0</v>
      </c>
      <c r="AE2858" s="60">
        <v>0</v>
      </c>
      <c r="AF2858" s="64">
        <v>0</v>
      </c>
      <c r="AG2858" s="60" t="s">
        <v>74</v>
      </c>
      <c r="AH2858" s="60" t="s">
        <v>10843</v>
      </c>
      <c r="AI2858">
        <f>IF(AND(OR(Company_Explorer!$B$5="All Companies",$E2858=Company_Explorer!$B$5),OR(Company_Explorer!$B$6="All Platforms",$B2858=Company_Explorer!$B$6),OR(Company_Explorer!$B$7="All Roles",$D2858=Company_Explorer!$B$7),OR(Company_Explorer!$B$8="All Ghost Labels",$AG2858=Company_Explorer!$B$8)),1,0)</f>
        <v>0</v>
      </c>
    </row>
    <row r="2859" spans="1:35" ht="15" customHeight="1" x14ac:dyDescent="0.3">
      <c r="A2859" s="65" t="s">
        <v>10844</v>
      </c>
      <c r="B2859" s="65" t="s">
        <v>82</v>
      </c>
      <c r="C2859" s="65" t="s">
        <v>10845</v>
      </c>
      <c r="D2859" s="65" t="s">
        <v>126</v>
      </c>
      <c r="E2859" s="65" t="s">
        <v>10625</v>
      </c>
      <c r="F2859" s="65" t="b">
        <f>TRUE()</f>
        <v>1</v>
      </c>
      <c r="G2859" s="65" t="s">
        <v>165</v>
      </c>
      <c r="H2859" s="65" t="s">
        <v>165</v>
      </c>
      <c r="I2859" s="66">
        <v>46193</v>
      </c>
      <c r="J2859" s="66">
        <v>46210.2865681482</v>
      </c>
      <c r="K2859" s="65">
        <v>17</v>
      </c>
      <c r="L2859" s="65" t="s">
        <v>183</v>
      </c>
      <c r="M2859" s="65" t="s">
        <v>183</v>
      </c>
      <c r="N2859" s="65" t="b">
        <f>FALSE()</f>
        <v>0</v>
      </c>
      <c r="O2859" s="65"/>
      <c r="P2859" s="65"/>
      <c r="Q2859" s="65" t="s">
        <v>3663</v>
      </c>
      <c r="R2859" s="65" t="s">
        <v>236</v>
      </c>
      <c r="S2859" s="65"/>
      <c r="T2859" s="65" t="b">
        <f>FALSE()</f>
        <v>0</v>
      </c>
      <c r="U2859" s="65" t="b">
        <f>FALSE()</f>
        <v>0</v>
      </c>
      <c r="V2859" s="65">
        <v>72</v>
      </c>
      <c r="W2859" s="67" t="s">
        <v>10846</v>
      </c>
      <c r="X2859" s="65">
        <v>2</v>
      </c>
      <c r="Y2859" s="68">
        <v>0.48</v>
      </c>
      <c r="Z2859" s="65" t="b">
        <f>FALSE()</f>
        <v>0</v>
      </c>
      <c r="AA2859" s="65" t="b">
        <f>TRUE()</f>
        <v>1</v>
      </c>
      <c r="AB2859" s="65" t="b">
        <f>TRUE()</f>
        <v>1</v>
      </c>
      <c r="AC2859" s="65" t="b">
        <f>FALSE()</f>
        <v>0</v>
      </c>
      <c r="AD2859" s="65" t="b">
        <f>FALSE()</f>
        <v>0</v>
      </c>
      <c r="AE2859" s="65">
        <v>2</v>
      </c>
      <c r="AF2859" s="69">
        <v>28.6</v>
      </c>
      <c r="AG2859" s="65" t="s">
        <v>73</v>
      </c>
      <c r="AH2859" s="65" t="s">
        <v>10847</v>
      </c>
      <c r="AI2859">
        <f>IF(AND(OR(Company_Explorer!$B$5="All Companies",$E2859=Company_Explorer!$B$5),OR(Company_Explorer!$B$6="All Platforms",$B2859=Company_Explorer!$B$6),OR(Company_Explorer!$B$7="All Roles",$D2859=Company_Explorer!$B$7),OR(Company_Explorer!$B$8="All Ghost Labels",$AG2859=Company_Explorer!$B$8)),1,0)</f>
        <v>0</v>
      </c>
    </row>
    <row r="2860" spans="1:35" ht="15" customHeight="1" x14ac:dyDescent="0.3">
      <c r="A2860" s="60" t="s">
        <v>10848</v>
      </c>
      <c r="B2860" s="60" t="s">
        <v>82</v>
      </c>
      <c r="C2860" s="60" t="s">
        <v>10849</v>
      </c>
      <c r="D2860" s="60" t="s">
        <v>132</v>
      </c>
      <c r="E2860" s="60" t="s">
        <v>10850</v>
      </c>
      <c r="F2860" s="60" t="b">
        <f>TRUE()</f>
        <v>1</v>
      </c>
      <c r="G2860" s="60" t="s">
        <v>165</v>
      </c>
      <c r="H2860" s="60" t="s">
        <v>165</v>
      </c>
      <c r="I2860" s="61">
        <v>46206</v>
      </c>
      <c r="J2860" s="61">
        <v>46210.286568483803</v>
      </c>
      <c r="K2860" s="60">
        <v>4</v>
      </c>
      <c r="L2860" s="60" t="s">
        <v>183</v>
      </c>
      <c r="M2860" s="60" t="s">
        <v>183</v>
      </c>
      <c r="N2860" s="60" t="b">
        <f>FALSE()</f>
        <v>0</v>
      </c>
      <c r="O2860" s="60"/>
      <c r="P2860" s="60"/>
      <c r="Q2860" s="60" t="s">
        <v>3663</v>
      </c>
      <c r="R2860" s="60" t="s">
        <v>236</v>
      </c>
      <c r="S2860" s="60"/>
      <c r="T2860" s="60" t="b">
        <f>FALSE()</f>
        <v>0</v>
      </c>
      <c r="U2860" s="60" t="b">
        <f>FALSE()</f>
        <v>0</v>
      </c>
      <c r="V2860" s="60">
        <v>327</v>
      </c>
      <c r="W2860" s="62" t="s">
        <v>10851</v>
      </c>
      <c r="X2860" s="60">
        <v>1</v>
      </c>
      <c r="Y2860" s="63">
        <v>0.24</v>
      </c>
      <c r="Z2860" s="60" t="b">
        <f>FALSE()</f>
        <v>0</v>
      </c>
      <c r="AA2860" s="60" t="b">
        <f>TRUE()</f>
        <v>1</v>
      </c>
      <c r="AB2860" s="60" t="b">
        <f>FALSE()</f>
        <v>0</v>
      </c>
      <c r="AC2860" s="60" t="b">
        <f>FALSE()</f>
        <v>0</v>
      </c>
      <c r="AD2860" s="60" t="b">
        <f>FALSE()</f>
        <v>0</v>
      </c>
      <c r="AE2860" s="60">
        <v>1</v>
      </c>
      <c r="AF2860" s="64">
        <v>14.3</v>
      </c>
      <c r="AG2860" s="60" t="s">
        <v>74</v>
      </c>
      <c r="AH2860" s="60" t="s">
        <v>10852</v>
      </c>
      <c r="AI2860">
        <f>IF(AND(OR(Company_Explorer!$B$5="All Companies",$E2860=Company_Explorer!$B$5),OR(Company_Explorer!$B$6="All Platforms",$B2860=Company_Explorer!$B$6),OR(Company_Explorer!$B$7="All Roles",$D2860=Company_Explorer!$B$7),OR(Company_Explorer!$B$8="All Ghost Labels",$AG2860=Company_Explorer!$B$8)),1,0)</f>
        <v>0</v>
      </c>
    </row>
    <row r="2861" spans="1:35" ht="15" customHeight="1" x14ac:dyDescent="0.3">
      <c r="A2861" s="65" t="s">
        <v>10853</v>
      </c>
      <c r="B2861" s="65" t="s">
        <v>82</v>
      </c>
      <c r="C2861" s="65" t="s">
        <v>6947</v>
      </c>
      <c r="D2861" s="65" t="s">
        <v>126</v>
      </c>
      <c r="E2861" s="65" t="s">
        <v>150</v>
      </c>
      <c r="F2861" s="65" t="b">
        <f>TRUE()</f>
        <v>1</v>
      </c>
      <c r="G2861" s="65" t="s">
        <v>165</v>
      </c>
      <c r="H2861" s="65" t="s">
        <v>165</v>
      </c>
      <c r="I2861" s="66">
        <v>46207</v>
      </c>
      <c r="J2861" s="66">
        <v>46210.2865690857</v>
      </c>
      <c r="K2861" s="65">
        <v>3</v>
      </c>
      <c r="L2861" s="65" t="s">
        <v>192</v>
      </c>
      <c r="M2861" s="65" t="s">
        <v>183</v>
      </c>
      <c r="N2861" s="65" t="b">
        <f>FALSE()</f>
        <v>0</v>
      </c>
      <c r="O2861" s="65"/>
      <c r="P2861" s="65"/>
      <c r="Q2861" s="65" t="s">
        <v>3663</v>
      </c>
      <c r="R2861" s="65" t="s">
        <v>236</v>
      </c>
      <c r="S2861" s="65"/>
      <c r="T2861" s="65" t="b">
        <f>FALSE()</f>
        <v>0</v>
      </c>
      <c r="U2861" s="65" t="b">
        <f>FALSE()</f>
        <v>0</v>
      </c>
      <c r="V2861" s="65">
        <v>711</v>
      </c>
      <c r="W2861" s="67" t="s">
        <v>3698</v>
      </c>
      <c r="X2861" s="65">
        <v>18</v>
      </c>
      <c r="Y2861" s="68">
        <v>4.34</v>
      </c>
      <c r="Z2861" s="65" t="b">
        <f>FALSE()</f>
        <v>0</v>
      </c>
      <c r="AA2861" s="65" t="b">
        <f>TRUE()</f>
        <v>1</v>
      </c>
      <c r="AB2861" s="65" t="b">
        <f>FALSE()</f>
        <v>0</v>
      </c>
      <c r="AC2861" s="65" t="b">
        <f>FALSE()</f>
        <v>0</v>
      </c>
      <c r="AD2861" s="65" t="b">
        <f>TRUE()</f>
        <v>1</v>
      </c>
      <c r="AE2861" s="65">
        <v>3</v>
      </c>
      <c r="AF2861" s="69">
        <v>42.9</v>
      </c>
      <c r="AG2861" s="65" t="s">
        <v>73</v>
      </c>
      <c r="AH2861" s="65" t="s">
        <v>10854</v>
      </c>
      <c r="AI2861">
        <f>IF(AND(OR(Company_Explorer!$B$5="All Companies",$E2861=Company_Explorer!$B$5),OR(Company_Explorer!$B$6="All Platforms",$B2861=Company_Explorer!$B$6),OR(Company_Explorer!$B$7="All Roles",$D2861=Company_Explorer!$B$7),OR(Company_Explorer!$B$8="All Ghost Labels",$AG2861=Company_Explorer!$B$8)),1,0)</f>
        <v>0</v>
      </c>
    </row>
    <row r="2862" spans="1:35" ht="15" customHeight="1" x14ac:dyDescent="0.3">
      <c r="A2862" s="60" t="s">
        <v>10855</v>
      </c>
      <c r="B2862" s="60" t="s">
        <v>82</v>
      </c>
      <c r="C2862" s="60" t="s">
        <v>10856</v>
      </c>
      <c r="D2862" s="60" t="s">
        <v>133</v>
      </c>
      <c r="E2862" s="60" t="s">
        <v>151</v>
      </c>
      <c r="F2862" s="60" t="b">
        <f>TRUE()</f>
        <v>1</v>
      </c>
      <c r="G2862" s="60" t="s">
        <v>166</v>
      </c>
      <c r="H2862" s="60" t="s">
        <v>235</v>
      </c>
      <c r="I2862" s="61">
        <v>46203</v>
      </c>
      <c r="J2862" s="61">
        <v>46210.286569571799</v>
      </c>
      <c r="K2862" s="60">
        <v>7</v>
      </c>
      <c r="L2862" s="60" t="s">
        <v>192</v>
      </c>
      <c r="M2862" s="60" t="s">
        <v>183</v>
      </c>
      <c r="N2862" s="60" t="b">
        <f>TRUE()</f>
        <v>1</v>
      </c>
      <c r="O2862" s="70">
        <v>425000</v>
      </c>
      <c r="P2862" s="70">
        <v>745000</v>
      </c>
      <c r="Q2862" s="60" t="s">
        <v>3663</v>
      </c>
      <c r="R2862" s="60" t="s">
        <v>7351</v>
      </c>
      <c r="S2862" s="70">
        <v>585000</v>
      </c>
      <c r="T2862" s="60" t="b">
        <f>TRUE()</f>
        <v>1</v>
      </c>
      <c r="U2862" s="60" t="b">
        <f>FALSE()</f>
        <v>0</v>
      </c>
      <c r="V2862" s="60">
        <v>370</v>
      </c>
      <c r="W2862" s="62" t="s">
        <v>10857</v>
      </c>
      <c r="X2862" s="60">
        <v>17</v>
      </c>
      <c r="Y2862" s="63">
        <v>4.0999999999999996</v>
      </c>
      <c r="Z2862" s="60" t="b">
        <f>FALSE()</f>
        <v>0</v>
      </c>
      <c r="AA2862" s="60" t="b">
        <f>FALSE()</f>
        <v>0</v>
      </c>
      <c r="AB2862" s="60" t="b">
        <f>FALSE()</f>
        <v>0</v>
      </c>
      <c r="AC2862" s="60" t="b">
        <f>FALSE()</f>
        <v>0</v>
      </c>
      <c r="AD2862" s="60" t="b">
        <f>TRUE()</f>
        <v>1</v>
      </c>
      <c r="AE2862" s="60">
        <v>2</v>
      </c>
      <c r="AF2862" s="64">
        <v>28.6</v>
      </c>
      <c r="AG2862" s="60" t="s">
        <v>73</v>
      </c>
      <c r="AH2862" s="60" t="s">
        <v>10858</v>
      </c>
      <c r="AI2862">
        <f>IF(AND(OR(Company_Explorer!$B$5="All Companies",$E2862=Company_Explorer!$B$5),OR(Company_Explorer!$B$6="All Platforms",$B2862=Company_Explorer!$B$6),OR(Company_Explorer!$B$7="All Roles",$D2862=Company_Explorer!$B$7),OR(Company_Explorer!$B$8="All Ghost Labels",$AG2862=Company_Explorer!$B$8)),1,0)</f>
        <v>0</v>
      </c>
    </row>
    <row r="2863" spans="1:35" ht="15" customHeight="1" x14ac:dyDescent="0.3">
      <c r="A2863" s="65" t="s">
        <v>10859</v>
      </c>
      <c r="B2863" s="65" t="s">
        <v>82</v>
      </c>
      <c r="C2863" s="65" t="s">
        <v>3645</v>
      </c>
      <c r="D2863" s="65" t="s">
        <v>127</v>
      </c>
      <c r="E2863" s="65" t="s">
        <v>10860</v>
      </c>
      <c r="F2863" s="65" t="b">
        <f>TRUE()</f>
        <v>1</v>
      </c>
      <c r="G2863" s="65" t="s">
        <v>165</v>
      </c>
      <c r="H2863" s="65" t="s">
        <v>165</v>
      </c>
      <c r="I2863" s="66">
        <v>46210</v>
      </c>
      <c r="J2863" s="66">
        <v>46210.2865698264</v>
      </c>
      <c r="K2863" s="65">
        <v>0</v>
      </c>
      <c r="L2863" s="65" t="s">
        <v>192</v>
      </c>
      <c r="M2863" s="65" t="s">
        <v>183</v>
      </c>
      <c r="N2863" s="65" t="b">
        <f>FALSE()</f>
        <v>0</v>
      </c>
      <c r="O2863" s="65"/>
      <c r="P2863" s="65"/>
      <c r="Q2863" s="65" t="s">
        <v>3663</v>
      </c>
      <c r="R2863" s="65" t="s">
        <v>236</v>
      </c>
      <c r="S2863" s="65"/>
      <c r="T2863" s="65" t="b">
        <f>FALSE()</f>
        <v>0</v>
      </c>
      <c r="U2863" s="65" t="b">
        <f>FALSE()</f>
        <v>0</v>
      </c>
      <c r="V2863" s="65">
        <v>840</v>
      </c>
      <c r="W2863" s="67" t="s">
        <v>3646</v>
      </c>
      <c r="X2863" s="65">
        <v>1</v>
      </c>
      <c r="Y2863" s="68">
        <v>0.24</v>
      </c>
      <c r="Z2863" s="65" t="b">
        <f>FALSE()</f>
        <v>0</v>
      </c>
      <c r="AA2863" s="65" t="b">
        <f>TRUE()</f>
        <v>1</v>
      </c>
      <c r="AB2863" s="65" t="b">
        <f>FALSE()</f>
        <v>0</v>
      </c>
      <c r="AC2863" s="65" t="b">
        <f>FALSE()</f>
        <v>0</v>
      </c>
      <c r="AD2863" s="65" t="b">
        <f>FALSE()</f>
        <v>0</v>
      </c>
      <c r="AE2863" s="65">
        <v>1</v>
      </c>
      <c r="AF2863" s="69">
        <v>14.3</v>
      </c>
      <c r="AG2863" s="65" t="s">
        <v>74</v>
      </c>
      <c r="AH2863" s="65" t="s">
        <v>10861</v>
      </c>
      <c r="AI2863">
        <f>IF(AND(OR(Company_Explorer!$B$5="All Companies",$E2863=Company_Explorer!$B$5),OR(Company_Explorer!$B$6="All Platforms",$B2863=Company_Explorer!$B$6),OR(Company_Explorer!$B$7="All Roles",$D2863=Company_Explorer!$B$7),OR(Company_Explorer!$B$8="All Ghost Labels",$AG2863=Company_Explorer!$B$8)),1,0)</f>
        <v>0</v>
      </c>
    </row>
    <row r="2864" spans="1:35" ht="15" customHeight="1" x14ac:dyDescent="0.3">
      <c r="A2864" s="60" t="s">
        <v>10862</v>
      </c>
      <c r="B2864" s="60" t="s">
        <v>82</v>
      </c>
      <c r="C2864" s="60" t="s">
        <v>4000</v>
      </c>
      <c r="D2864" s="60" t="s">
        <v>126</v>
      </c>
      <c r="E2864" s="60" t="s">
        <v>7559</v>
      </c>
      <c r="F2864" s="60" t="b">
        <f>TRUE()</f>
        <v>1</v>
      </c>
      <c r="G2864" s="60" t="s">
        <v>167</v>
      </c>
      <c r="H2864" s="60" t="s">
        <v>276</v>
      </c>
      <c r="I2864" s="61">
        <v>46183</v>
      </c>
      <c r="J2864" s="61">
        <v>46210.286570219898</v>
      </c>
      <c r="K2864" s="60">
        <v>27</v>
      </c>
      <c r="L2864" s="60" t="s">
        <v>183</v>
      </c>
      <c r="M2864" s="60" t="s">
        <v>183</v>
      </c>
      <c r="N2864" s="60" t="b">
        <f>TRUE()</f>
        <v>1</v>
      </c>
      <c r="O2864" s="70">
        <v>438750</v>
      </c>
      <c r="P2864" s="70">
        <v>789129</v>
      </c>
      <c r="Q2864" s="60" t="s">
        <v>3663</v>
      </c>
      <c r="R2864" s="60" t="s">
        <v>7351</v>
      </c>
      <c r="S2864" s="70">
        <v>613940</v>
      </c>
      <c r="T2864" s="60" t="b">
        <f>TRUE()</f>
        <v>1</v>
      </c>
      <c r="U2864" s="60" t="b">
        <f>FALSE()</f>
        <v>0</v>
      </c>
      <c r="V2864" s="60">
        <v>198</v>
      </c>
      <c r="W2864" s="62" t="s">
        <v>10863</v>
      </c>
      <c r="X2864" s="60">
        <v>10</v>
      </c>
      <c r="Y2864" s="63">
        <v>2.41</v>
      </c>
      <c r="Z2864" s="60" t="b">
        <f>FALSE()</f>
        <v>0</v>
      </c>
      <c r="AA2864" s="60" t="b">
        <f>FALSE()</f>
        <v>0</v>
      </c>
      <c r="AB2864" s="60" t="b">
        <f>TRUE()</f>
        <v>1</v>
      </c>
      <c r="AC2864" s="60" t="b">
        <f>FALSE()</f>
        <v>0</v>
      </c>
      <c r="AD2864" s="60" t="b">
        <f>TRUE()</f>
        <v>1</v>
      </c>
      <c r="AE2864" s="60">
        <v>3</v>
      </c>
      <c r="AF2864" s="64">
        <v>42.9</v>
      </c>
      <c r="AG2864" s="60" t="s">
        <v>73</v>
      </c>
      <c r="AH2864" s="60" t="s">
        <v>10864</v>
      </c>
      <c r="AI2864">
        <f>IF(AND(OR(Company_Explorer!$B$5="All Companies",$E2864=Company_Explorer!$B$5),OR(Company_Explorer!$B$6="All Platforms",$B2864=Company_Explorer!$B$6),OR(Company_Explorer!$B$7="All Roles",$D2864=Company_Explorer!$B$7),OR(Company_Explorer!$B$8="All Ghost Labels",$AG2864=Company_Explorer!$B$8)),1,0)</f>
        <v>0</v>
      </c>
    </row>
    <row r="2865" spans="1:35" ht="15" customHeight="1" x14ac:dyDescent="0.3">
      <c r="A2865" s="65" t="s">
        <v>10865</v>
      </c>
      <c r="B2865" s="65" t="s">
        <v>82</v>
      </c>
      <c r="C2865" s="65" t="s">
        <v>10866</v>
      </c>
      <c r="D2865" s="65" t="s">
        <v>127</v>
      </c>
      <c r="E2865" s="65" t="s">
        <v>10867</v>
      </c>
      <c r="F2865" s="65" t="b">
        <f>TRUE()</f>
        <v>1</v>
      </c>
      <c r="G2865" s="65" t="s">
        <v>167</v>
      </c>
      <c r="H2865" s="65" t="s">
        <v>276</v>
      </c>
      <c r="I2865" s="66">
        <v>46189</v>
      </c>
      <c r="J2865" s="66">
        <v>46210.286571944504</v>
      </c>
      <c r="K2865" s="65">
        <v>21</v>
      </c>
      <c r="L2865" s="65" t="s">
        <v>192</v>
      </c>
      <c r="M2865" s="65" t="s">
        <v>183</v>
      </c>
      <c r="N2865" s="65" t="b">
        <f>TRUE()</f>
        <v>1</v>
      </c>
      <c r="O2865" s="71">
        <v>300000</v>
      </c>
      <c r="P2865" s="71">
        <v>500000</v>
      </c>
      <c r="Q2865" s="65" t="s">
        <v>3663</v>
      </c>
      <c r="R2865" s="65" t="s">
        <v>7351</v>
      </c>
      <c r="S2865" s="71">
        <v>400000</v>
      </c>
      <c r="T2865" s="65" t="b">
        <f>TRUE()</f>
        <v>1</v>
      </c>
      <c r="U2865" s="65" t="b">
        <f>FALSE()</f>
        <v>0</v>
      </c>
      <c r="V2865" s="65">
        <v>136</v>
      </c>
      <c r="W2865" s="67" t="s">
        <v>10868</v>
      </c>
      <c r="X2865" s="65">
        <v>1</v>
      </c>
      <c r="Y2865" s="68">
        <v>0.24</v>
      </c>
      <c r="Z2865" s="65" t="b">
        <f>FALSE()</f>
        <v>0</v>
      </c>
      <c r="AA2865" s="65" t="b">
        <f>FALSE()</f>
        <v>0</v>
      </c>
      <c r="AB2865" s="65" t="b">
        <f>TRUE()</f>
        <v>1</v>
      </c>
      <c r="AC2865" s="65" t="b">
        <f>FALSE()</f>
        <v>0</v>
      </c>
      <c r="AD2865" s="65" t="b">
        <f>FALSE()</f>
        <v>0</v>
      </c>
      <c r="AE2865" s="65">
        <v>1</v>
      </c>
      <c r="AF2865" s="69">
        <v>14.3</v>
      </c>
      <c r="AG2865" s="65" t="s">
        <v>74</v>
      </c>
      <c r="AH2865" s="65" t="s">
        <v>10869</v>
      </c>
      <c r="AI2865">
        <f>IF(AND(OR(Company_Explorer!$B$5="All Companies",$E2865=Company_Explorer!$B$5),OR(Company_Explorer!$B$6="All Platforms",$B2865=Company_Explorer!$B$6),OR(Company_Explorer!$B$7="All Roles",$D2865=Company_Explorer!$B$7),OR(Company_Explorer!$B$8="All Ghost Labels",$AG2865=Company_Explorer!$B$8)),1,0)</f>
        <v>0</v>
      </c>
    </row>
    <row r="2866" spans="1:35" ht="15" customHeight="1" x14ac:dyDescent="0.3">
      <c r="A2866" s="60" t="s">
        <v>10870</v>
      </c>
      <c r="B2866" s="60" t="s">
        <v>82</v>
      </c>
      <c r="C2866" s="60" t="s">
        <v>10871</v>
      </c>
      <c r="D2866" s="60" t="s">
        <v>127</v>
      </c>
      <c r="E2866" s="60" t="s">
        <v>10872</v>
      </c>
      <c r="F2866" s="60" t="b">
        <f>TRUE()</f>
        <v>1</v>
      </c>
      <c r="G2866" s="60" t="s">
        <v>165</v>
      </c>
      <c r="H2866" s="60" t="s">
        <v>165</v>
      </c>
      <c r="I2866" s="61">
        <v>46198</v>
      </c>
      <c r="J2866" s="61">
        <v>46210.286571909703</v>
      </c>
      <c r="K2866" s="60">
        <v>12</v>
      </c>
      <c r="L2866" s="60" t="s">
        <v>192</v>
      </c>
      <c r="M2866" s="60" t="s">
        <v>183</v>
      </c>
      <c r="N2866" s="60" t="b">
        <f>FALSE()</f>
        <v>0</v>
      </c>
      <c r="O2866" s="60"/>
      <c r="P2866" s="60"/>
      <c r="Q2866" s="60" t="s">
        <v>3663</v>
      </c>
      <c r="R2866" s="60" t="s">
        <v>236</v>
      </c>
      <c r="S2866" s="60"/>
      <c r="T2866" s="60" t="b">
        <f>FALSE()</f>
        <v>0</v>
      </c>
      <c r="U2866" s="60" t="b">
        <f>FALSE()</f>
        <v>0</v>
      </c>
      <c r="V2866" s="60">
        <v>1134</v>
      </c>
      <c r="W2866" s="62" t="s">
        <v>10873</v>
      </c>
      <c r="X2866" s="60">
        <v>1</v>
      </c>
      <c r="Y2866" s="63">
        <v>0.24</v>
      </c>
      <c r="Z2866" s="60" t="b">
        <f>FALSE()</f>
        <v>0</v>
      </c>
      <c r="AA2866" s="60" t="b">
        <f>TRUE()</f>
        <v>1</v>
      </c>
      <c r="AB2866" s="60" t="b">
        <f>FALSE()</f>
        <v>0</v>
      </c>
      <c r="AC2866" s="60" t="b">
        <f>FALSE()</f>
        <v>0</v>
      </c>
      <c r="AD2866" s="60" t="b">
        <f>FALSE()</f>
        <v>0</v>
      </c>
      <c r="AE2866" s="60">
        <v>1</v>
      </c>
      <c r="AF2866" s="64">
        <v>14.3</v>
      </c>
      <c r="AG2866" s="60" t="s">
        <v>74</v>
      </c>
      <c r="AH2866" s="60" t="s">
        <v>10874</v>
      </c>
      <c r="AI2866">
        <f>IF(AND(OR(Company_Explorer!$B$5="All Companies",$E2866=Company_Explorer!$B$5),OR(Company_Explorer!$B$6="All Platforms",$B2866=Company_Explorer!$B$6),OR(Company_Explorer!$B$7="All Roles",$D2866=Company_Explorer!$B$7),OR(Company_Explorer!$B$8="All Ghost Labels",$AG2866=Company_Explorer!$B$8)),1,0)</f>
        <v>0</v>
      </c>
    </row>
    <row r="2867" spans="1:35" ht="15" customHeight="1" x14ac:dyDescent="0.3">
      <c r="A2867" s="65" t="s">
        <v>10875</v>
      </c>
      <c r="B2867" s="65" t="s">
        <v>82</v>
      </c>
      <c r="C2867" s="65" t="s">
        <v>127</v>
      </c>
      <c r="D2867" s="65" t="s">
        <v>127</v>
      </c>
      <c r="E2867" s="65" t="s">
        <v>3726</v>
      </c>
      <c r="F2867" s="65" t="b">
        <f>FALSE()</f>
        <v>0</v>
      </c>
      <c r="G2867" s="65" t="s">
        <v>165</v>
      </c>
      <c r="H2867" s="65" t="s">
        <v>165</v>
      </c>
      <c r="I2867" s="66">
        <v>46194</v>
      </c>
      <c r="J2867" s="66">
        <v>46210.2865741204</v>
      </c>
      <c r="K2867" s="65">
        <v>16</v>
      </c>
      <c r="L2867" s="65" t="s">
        <v>192</v>
      </c>
      <c r="M2867" s="65" t="s">
        <v>183</v>
      </c>
      <c r="N2867" s="65" t="b">
        <f>TRUE()</f>
        <v>1</v>
      </c>
      <c r="O2867" s="71">
        <v>20051.166000000001</v>
      </c>
      <c r="P2867" s="71">
        <v>30087.416000000001</v>
      </c>
      <c r="Q2867" s="65" t="s">
        <v>3663</v>
      </c>
      <c r="R2867" s="65" t="s">
        <v>7445</v>
      </c>
      <c r="S2867" s="71">
        <v>300831</v>
      </c>
      <c r="T2867" s="65" t="b">
        <f>TRUE()</f>
        <v>1</v>
      </c>
      <c r="U2867" s="65" t="b">
        <f>FALSE()</f>
        <v>0</v>
      </c>
      <c r="V2867" s="65">
        <v>93</v>
      </c>
      <c r="W2867" s="65" t="s">
        <v>10876</v>
      </c>
      <c r="X2867" s="65"/>
      <c r="Y2867" s="68"/>
      <c r="Z2867" s="65" t="b">
        <f>TRUE()</f>
        <v>1</v>
      </c>
      <c r="AA2867" s="65" t="b">
        <f>FALSE()</f>
        <v>0</v>
      </c>
      <c r="AB2867" s="65" t="b">
        <f>TRUE()</f>
        <v>1</v>
      </c>
      <c r="AC2867" s="65" t="b">
        <f>FALSE()</f>
        <v>0</v>
      </c>
      <c r="AD2867" s="65" t="b">
        <f>FALSE()</f>
        <v>0</v>
      </c>
      <c r="AE2867" s="65">
        <v>3</v>
      </c>
      <c r="AF2867" s="69">
        <v>42.9</v>
      </c>
      <c r="AG2867" s="65" t="s">
        <v>73</v>
      </c>
      <c r="AH2867" s="65" t="s">
        <v>10877</v>
      </c>
      <c r="AI2867">
        <f>IF(AND(OR(Company_Explorer!$B$5="All Companies",$E2867=Company_Explorer!$B$5),OR(Company_Explorer!$B$6="All Platforms",$B2867=Company_Explorer!$B$6),OR(Company_Explorer!$B$7="All Roles",$D2867=Company_Explorer!$B$7),OR(Company_Explorer!$B$8="All Ghost Labels",$AG2867=Company_Explorer!$B$8)),1,0)</f>
        <v>0</v>
      </c>
    </row>
    <row r="2868" spans="1:35" ht="15" customHeight="1" x14ac:dyDescent="0.3">
      <c r="A2868" s="60" t="s">
        <v>10878</v>
      </c>
      <c r="B2868" s="60" t="s">
        <v>82</v>
      </c>
      <c r="C2868" s="60" t="s">
        <v>10879</v>
      </c>
      <c r="D2868" s="60" t="s">
        <v>127</v>
      </c>
      <c r="E2868" s="60" t="s">
        <v>3726</v>
      </c>
      <c r="F2868" s="60" t="b">
        <f>FALSE()</f>
        <v>0</v>
      </c>
      <c r="G2868" s="60" t="s">
        <v>165</v>
      </c>
      <c r="H2868" s="60" t="s">
        <v>165</v>
      </c>
      <c r="I2868" s="61">
        <v>46201</v>
      </c>
      <c r="J2868" s="61">
        <v>46210.286575636601</v>
      </c>
      <c r="K2868" s="60">
        <v>101</v>
      </c>
      <c r="L2868" s="60" t="s">
        <v>192</v>
      </c>
      <c r="M2868" s="60" t="s">
        <v>183</v>
      </c>
      <c r="N2868" s="60" t="b">
        <f>TRUE()</f>
        <v>1</v>
      </c>
      <c r="O2868" s="70">
        <v>201258</v>
      </c>
      <c r="P2868" s="70">
        <v>699017</v>
      </c>
      <c r="Q2868" s="60" t="s">
        <v>3663</v>
      </c>
      <c r="R2868" s="60" t="s">
        <v>7351</v>
      </c>
      <c r="S2868" s="70">
        <v>450138</v>
      </c>
      <c r="T2868" s="60" t="b">
        <f>TRUE()</f>
        <v>1</v>
      </c>
      <c r="U2868" s="60" t="b">
        <f>FALSE()</f>
        <v>0</v>
      </c>
      <c r="V2868" s="60">
        <v>261</v>
      </c>
      <c r="W2868" s="62" t="s">
        <v>10880</v>
      </c>
      <c r="X2868" s="60"/>
      <c r="Y2868" s="63"/>
      <c r="Z2868" s="60" t="b">
        <f>TRUE()</f>
        <v>1</v>
      </c>
      <c r="AA2868" s="60" t="b">
        <f>FALSE()</f>
        <v>0</v>
      </c>
      <c r="AB2868" s="60" t="b">
        <f>FALSE()</f>
        <v>0</v>
      </c>
      <c r="AC2868" s="60" t="b">
        <f>FALSE()</f>
        <v>0</v>
      </c>
      <c r="AD2868" s="60" t="b">
        <f>FALSE()</f>
        <v>0</v>
      </c>
      <c r="AE2868" s="60">
        <v>2</v>
      </c>
      <c r="AF2868" s="64">
        <v>28.6</v>
      </c>
      <c r="AG2868" s="60" t="s">
        <v>73</v>
      </c>
      <c r="AH2868" s="60" t="s">
        <v>10881</v>
      </c>
      <c r="AI2868">
        <f>IF(AND(OR(Company_Explorer!$B$5="All Companies",$E2868=Company_Explorer!$B$5),OR(Company_Explorer!$B$6="All Platforms",$B2868=Company_Explorer!$B$6),OR(Company_Explorer!$B$7="All Roles",$D2868=Company_Explorer!$B$7),OR(Company_Explorer!$B$8="All Ghost Labels",$AG2868=Company_Explorer!$B$8)),1,0)</f>
        <v>0</v>
      </c>
    </row>
    <row r="2869" spans="1:35" ht="15" customHeight="1" x14ac:dyDescent="0.3">
      <c r="A2869" s="65" t="s">
        <v>10882</v>
      </c>
      <c r="B2869" s="65" t="s">
        <v>82</v>
      </c>
      <c r="C2869" s="65" t="s">
        <v>127</v>
      </c>
      <c r="D2869" s="65" t="s">
        <v>127</v>
      </c>
      <c r="E2869" s="65" t="s">
        <v>10883</v>
      </c>
      <c r="F2869" s="65" t="b">
        <f>TRUE()</f>
        <v>1</v>
      </c>
      <c r="G2869" s="65" t="s">
        <v>165</v>
      </c>
      <c r="H2869" s="65" t="s">
        <v>165</v>
      </c>
      <c r="I2869" s="66">
        <v>46210</v>
      </c>
      <c r="J2869" s="66">
        <v>46210.286576458297</v>
      </c>
      <c r="K2869" s="65">
        <v>61</v>
      </c>
      <c r="L2869" s="65" t="s">
        <v>183</v>
      </c>
      <c r="M2869" s="65" t="s">
        <v>183</v>
      </c>
      <c r="N2869" s="65" t="b">
        <f>FALSE()</f>
        <v>0</v>
      </c>
      <c r="O2869" s="65"/>
      <c r="P2869" s="65"/>
      <c r="Q2869" s="65" t="s">
        <v>3663</v>
      </c>
      <c r="R2869" s="65" t="s">
        <v>236</v>
      </c>
      <c r="S2869" s="65"/>
      <c r="T2869" s="65" t="b">
        <f>FALSE()</f>
        <v>0</v>
      </c>
      <c r="U2869" s="65" t="b">
        <f>FALSE()</f>
        <v>0</v>
      </c>
      <c r="V2869" s="65">
        <v>156</v>
      </c>
      <c r="W2869" s="67" t="s">
        <v>10884</v>
      </c>
      <c r="X2869" s="65">
        <v>1</v>
      </c>
      <c r="Y2869" s="68">
        <v>0.24</v>
      </c>
      <c r="Z2869" s="65" t="b">
        <f>FALSE()</f>
        <v>0</v>
      </c>
      <c r="AA2869" s="65" t="b">
        <f>TRUE()</f>
        <v>1</v>
      </c>
      <c r="AB2869" s="65" t="b">
        <f>TRUE()</f>
        <v>1</v>
      </c>
      <c r="AC2869" s="65" t="b">
        <f>FALSE()</f>
        <v>0</v>
      </c>
      <c r="AD2869" s="65" t="b">
        <f>FALSE()</f>
        <v>0</v>
      </c>
      <c r="AE2869" s="65">
        <v>2</v>
      </c>
      <c r="AF2869" s="69">
        <v>28.6</v>
      </c>
      <c r="AG2869" s="65" t="s">
        <v>73</v>
      </c>
      <c r="AH2869" s="65" t="s">
        <v>10885</v>
      </c>
      <c r="AI2869">
        <f>IF(AND(OR(Company_Explorer!$B$5="All Companies",$E2869=Company_Explorer!$B$5),OR(Company_Explorer!$B$6="All Platforms",$B2869=Company_Explorer!$B$6),OR(Company_Explorer!$B$7="All Roles",$D2869=Company_Explorer!$B$7),OR(Company_Explorer!$B$8="All Ghost Labels",$AG2869=Company_Explorer!$B$8)),1,0)</f>
        <v>0</v>
      </c>
    </row>
    <row r="2870" spans="1:35" ht="15" customHeight="1" x14ac:dyDescent="0.3">
      <c r="A2870" s="60" t="s">
        <v>10886</v>
      </c>
      <c r="B2870" s="60" t="s">
        <v>82</v>
      </c>
      <c r="C2870" s="60" t="s">
        <v>10887</v>
      </c>
      <c r="D2870" s="60" t="s">
        <v>127</v>
      </c>
      <c r="E2870" s="60" t="s">
        <v>7730</v>
      </c>
      <c r="F2870" s="60" t="b">
        <f>TRUE()</f>
        <v>1</v>
      </c>
      <c r="G2870" s="60" t="s">
        <v>167</v>
      </c>
      <c r="H2870" s="60" t="s">
        <v>276</v>
      </c>
      <c r="I2870" s="61">
        <v>46202</v>
      </c>
      <c r="J2870" s="61">
        <v>46210.286577939798</v>
      </c>
      <c r="K2870" s="60">
        <v>128</v>
      </c>
      <c r="L2870" s="60" t="s">
        <v>192</v>
      </c>
      <c r="M2870" s="60" t="s">
        <v>183</v>
      </c>
      <c r="N2870" s="60" t="b">
        <f>TRUE()</f>
        <v>1</v>
      </c>
      <c r="O2870" s="70">
        <v>600000</v>
      </c>
      <c r="P2870" s="70">
        <v>850000</v>
      </c>
      <c r="Q2870" s="60" t="s">
        <v>3663</v>
      </c>
      <c r="R2870" s="60" t="s">
        <v>7351</v>
      </c>
      <c r="S2870" s="70">
        <v>725000</v>
      </c>
      <c r="T2870" s="60" t="b">
        <f>TRUE()</f>
        <v>1</v>
      </c>
      <c r="U2870" s="60" t="b">
        <f>FALSE()</f>
        <v>0</v>
      </c>
      <c r="V2870" s="60">
        <v>236</v>
      </c>
      <c r="W2870" s="62" t="s">
        <v>10888</v>
      </c>
      <c r="X2870" s="60">
        <v>7</v>
      </c>
      <c r="Y2870" s="63">
        <v>1.69</v>
      </c>
      <c r="Z2870" s="60" t="b">
        <f>FALSE()</f>
        <v>0</v>
      </c>
      <c r="AA2870" s="60" t="b">
        <f>FALSE()</f>
        <v>0</v>
      </c>
      <c r="AB2870" s="60" t="b">
        <f>FALSE()</f>
        <v>0</v>
      </c>
      <c r="AC2870" s="60" t="b">
        <f>TRUE()</f>
        <v>1</v>
      </c>
      <c r="AD2870" s="60" t="b">
        <f>FALSE()</f>
        <v>0</v>
      </c>
      <c r="AE2870" s="60">
        <v>1</v>
      </c>
      <c r="AF2870" s="64">
        <v>14.3</v>
      </c>
      <c r="AG2870" s="60" t="s">
        <v>74</v>
      </c>
      <c r="AH2870" s="60" t="s">
        <v>10889</v>
      </c>
      <c r="AI2870">
        <f>IF(AND(OR(Company_Explorer!$B$5="All Companies",$E2870=Company_Explorer!$B$5),OR(Company_Explorer!$B$6="All Platforms",$B2870=Company_Explorer!$B$6),OR(Company_Explorer!$B$7="All Roles",$D2870=Company_Explorer!$B$7),OR(Company_Explorer!$B$8="All Ghost Labels",$AG2870=Company_Explorer!$B$8)),1,0)</f>
        <v>0</v>
      </c>
    </row>
    <row r="2871" spans="1:35" ht="15" customHeight="1" x14ac:dyDescent="0.3">
      <c r="A2871" s="65" t="s">
        <v>10890</v>
      </c>
      <c r="B2871" s="65" t="s">
        <v>82</v>
      </c>
      <c r="C2871" s="65" t="s">
        <v>10891</v>
      </c>
      <c r="D2871" s="65" t="s">
        <v>126</v>
      </c>
      <c r="E2871" s="65" t="s">
        <v>10548</v>
      </c>
      <c r="F2871" s="65" t="b">
        <f>TRUE()</f>
        <v>1</v>
      </c>
      <c r="G2871" s="65" t="s">
        <v>165</v>
      </c>
      <c r="H2871" s="65" t="s">
        <v>165</v>
      </c>
      <c r="I2871" s="66">
        <v>46196</v>
      </c>
      <c r="J2871" s="66">
        <v>46210.2865795486</v>
      </c>
      <c r="K2871" s="65">
        <v>75</v>
      </c>
      <c r="L2871" s="65" t="s">
        <v>192</v>
      </c>
      <c r="M2871" s="65" t="s">
        <v>183</v>
      </c>
      <c r="N2871" s="65" t="b">
        <f>FALSE()</f>
        <v>0</v>
      </c>
      <c r="O2871" s="65"/>
      <c r="P2871" s="65"/>
      <c r="Q2871" s="65" t="s">
        <v>3663</v>
      </c>
      <c r="R2871" s="65" t="s">
        <v>236</v>
      </c>
      <c r="S2871" s="65"/>
      <c r="T2871" s="65" t="b">
        <f>FALSE()</f>
        <v>0</v>
      </c>
      <c r="U2871" s="65" t="b">
        <f>FALSE()</f>
        <v>0</v>
      </c>
      <c r="V2871" s="65">
        <v>274</v>
      </c>
      <c r="W2871" s="67" t="s">
        <v>10892</v>
      </c>
      <c r="X2871" s="65">
        <v>2</v>
      </c>
      <c r="Y2871" s="68">
        <v>0.48</v>
      </c>
      <c r="Z2871" s="65" t="b">
        <f>FALSE()</f>
        <v>0</v>
      </c>
      <c r="AA2871" s="65" t="b">
        <f>TRUE()</f>
        <v>1</v>
      </c>
      <c r="AB2871" s="65" t="b">
        <f>FALSE()</f>
        <v>0</v>
      </c>
      <c r="AC2871" s="65" t="b">
        <f>FALSE()</f>
        <v>0</v>
      </c>
      <c r="AD2871" s="65" t="b">
        <f>FALSE()</f>
        <v>0</v>
      </c>
      <c r="AE2871" s="65">
        <v>1</v>
      </c>
      <c r="AF2871" s="69">
        <v>14.3</v>
      </c>
      <c r="AG2871" s="65" t="s">
        <v>74</v>
      </c>
      <c r="AH2871" s="65" t="s">
        <v>10893</v>
      </c>
      <c r="AI2871">
        <f>IF(AND(OR(Company_Explorer!$B$5="All Companies",$E2871=Company_Explorer!$B$5),OR(Company_Explorer!$B$6="All Platforms",$B2871=Company_Explorer!$B$6),OR(Company_Explorer!$B$7="All Roles",$D2871=Company_Explorer!$B$7),OR(Company_Explorer!$B$8="All Ghost Labels",$AG2871=Company_Explorer!$B$8)),1,0)</f>
        <v>0</v>
      </c>
    </row>
    <row r="2872" spans="1:35" ht="15" customHeight="1" x14ac:dyDescent="0.3">
      <c r="A2872" s="60" t="s">
        <v>10894</v>
      </c>
      <c r="B2872" s="60" t="s">
        <v>82</v>
      </c>
      <c r="C2872" s="60" t="s">
        <v>5487</v>
      </c>
      <c r="D2872" s="60" t="s">
        <v>127</v>
      </c>
      <c r="E2872" s="60" t="s">
        <v>3726</v>
      </c>
      <c r="F2872" s="60" t="b">
        <f>FALSE()</f>
        <v>0</v>
      </c>
      <c r="G2872" s="60" t="s">
        <v>165</v>
      </c>
      <c r="H2872" s="60" t="s">
        <v>165</v>
      </c>
      <c r="I2872" s="61">
        <v>46194</v>
      </c>
      <c r="J2872" s="61">
        <v>46210.286579814798</v>
      </c>
      <c r="K2872" s="60">
        <v>77</v>
      </c>
      <c r="L2872" s="60" t="s">
        <v>192</v>
      </c>
      <c r="M2872" s="60" t="s">
        <v>183</v>
      </c>
      <c r="N2872" s="60" t="b">
        <f>TRUE()</f>
        <v>1</v>
      </c>
      <c r="O2872" s="70">
        <v>301733</v>
      </c>
      <c r="P2872" s="70">
        <v>998132</v>
      </c>
      <c r="Q2872" s="60" t="s">
        <v>3663</v>
      </c>
      <c r="R2872" s="60" t="s">
        <v>7351</v>
      </c>
      <c r="S2872" s="70">
        <v>649932</v>
      </c>
      <c r="T2872" s="60" t="b">
        <f>TRUE()</f>
        <v>1</v>
      </c>
      <c r="U2872" s="60" t="b">
        <f>FALSE()</f>
        <v>0</v>
      </c>
      <c r="V2872" s="60">
        <v>230</v>
      </c>
      <c r="W2872" s="62" t="s">
        <v>10895</v>
      </c>
      <c r="X2872" s="60"/>
      <c r="Y2872" s="63"/>
      <c r="Z2872" s="60" t="b">
        <f>TRUE()</f>
        <v>1</v>
      </c>
      <c r="AA2872" s="60" t="b">
        <f>FALSE()</f>
        <v>0</v>
      </c>
      <c r="AB2872" s="60" t="b">
        <f>FALSE()</f>
        <v>0</v>
      </c>
      <c r="AC2872" s="60" t="b">
        <f>FALSE()</f>
        <v>0</v>
      </c>
      <c r="AD2872" s="60" t="b">
        <f>FALSE()</f>
        <v>0</v>
      </c>
      <c r="AE2872" s="60">
        <v>2</v>
      </c>
      <c r="AF2872" s="64">
        <v>28.6</v>
      </c>
      <c r="AG2872" s="60" t="s">
        <v>73</v>
      </c>
      <c r="AH2872" s="60" t="s">
        <v>10896</v>
      </c>
      <c r="AI2872">
        <f>IF(AND(OR(Company_Explorer!$B$5="All Companies",$E2872=Company_Explorer!$B$5),OR(Company_Explorer!$B$6="All Platforms",$B2872=Company_Explorer!$B$6),OR(Company_Explorer!$B$7="All Roles",$D2872=Company_Explorer!$B$7),OR(Company_Explorer!$B$8="All Ghost Labels",$AG2872=Company_Explorer!$B$8)),1,0)</f>
        <v>0</v>
      </c>
    </row>
    <row r="2873" spans="1:35" ht="15" customHeight="1" x14ac:dyDescent="0.3">
      <c r="A2873" s="65" t="s">
        <v>10897</v>
      </c>
      <c r="B2873" s="65" t="s">
        <v>82</v>
      </c>
      <c r="C2873" s="65" t="s">
        <v>10898</v>
      </c>
      <c r="D2873" s="65" t="s">
        <v>126</v>
      </c>
      <c r="E2873" s="65" t="s">
        <v>10899</v>
      </c>
      <c r="F2873" s="65" t="b">
        <f>TRUE()</f>
        <v>1</v>
      </c>
      <c r="G2873" s="65" t="s">
        <v>165</v>
      </c>
      <c r="H2873" s="65" t="s">
        <v>165</v>
      </c>
      <c r="I2873" s="66">
        <v>46198</v>
      </c>
      <c r="J2873" s="66">
        <v>46210.286579953703</v>
      </c>
      <c r="K2873" s="65">
        <v>73</v>
      </c>
      <c r="L2873" s="65" t="s">
        <v>192</v>
      </c>
      <c r="M2873" s="65" t="s">
        <v>183</v>
      </c>
      <c r="N2873" s="65" t="b">
        <f>FALSE()</f>
        <v>0</v>
      </c>
      <c r="O2873" s="65"/>
      <c r="P2873" s="65"/>
      <c r="Q2873" s="65" t="s">
        <v>3663</v>
      </c>
      <c r="R2873" s="65" t="s">
        <v>236</v>
      </c>
      <c r="S2873" s="65"/>
      <c r="T2873" s="65" t="b">
        <f>FALSE()</f>
        <v>0</v>
      </c>
      <c r="U2873" s="65" t="b">
        <f>FALSE()</f>
        <v>0</v>
      </c>
      <c r="V2873" s="65">
        <v>540</v>
      </c>
      <c r="W2873" s="67" t="s">
        <v>10900</v>
      </c>
      <c r="X2873" s="65">
        <v>1</v>
      </c>
      <c r="Y2873" s="68">
        <v>0.24</v>
      </c>
      <c r="Z2873" s="65" t="b">
        <f>FALSE()</f>
        <v>0</v>
      </c>
      <c r="AA2873" s="65" t="b">
        <f>TRUE()</f>
        <v>1</v>
      </c>
      <c r="AB2873" s="65" t="b">
        <f>FALSE()</f>
        <v>0</v>
      </c>
      <c r="AC2873" s="65" t="b">
        <f>FALSE()</f>
        <v>0</v>
      </c>
      <c r="AD2873" s="65" t="b">
        <f>FALSE()</f>
        <v>0</v>
      </c>
      <c r="AE2873" s="65">
        <v>1</v>
      </c>
      <c r="AF2873" s="69">
        <v>14.3</v>
      </c>
      <c r="AG2873" s="65" t="s">
        <v>74</v>
      </c>
      <c r="AH2873" s="65" t="s">
        <v>10901</v>
      </c>
      <c r="AI2873">
        <f>IF(AND(OR(Company_Explorer!$B$5="All Companies",$E2873=Company_Explorer!$B$5),OR(Company_Explorer!$B$6="All Platforms",$B2873=Company_Explorer!$B$6),OR(Company_Explorer!$B$7="All Roles",$D2873=Company_Explorer!$B$7),OR(Company_Explorer!$B$8="All Ghost Labels",$AG2873=Company_Explorer!$B$8)),1,0)</f>
        <v>0</v>
      </c>
    </row>
    <row r="2874" spans="1:35" ht="15" customHeight="1" x14ac:dyDescent="0.3">
      <c r="A2874" s="60" t="s">
        <v>10902</v>
      </c>
      <c r="B2874" s="60" t="s">
        <v>82</v>
      </c>
      <c r="C2874" s="60" t="s">
        <v>4000</v>
      </c>
      <c r="D2874" s="60" t="s">
        <v>126</v>
      </c>
      <c r="E2874" s="60" t="s">
        <v>10903</v>
      </c>
      <c r="F2874" s="60" t="b">
        <f>TRUE()</f>
        <v>1</v>
      </c>
      <c r="G2874" s="60" t="s">
        <v>167</v>
      </c>
      <c r="H2874" s="60" t="s">
        <v>276</v>
      </c>
      <c r="I2874" s="61">
        <v>46201</v>
      </c>
      <c r="J2874" s="61">
        <v>46210.286580092601</v>
      </c>
      <c r="K2874" s="60">
        <v>129</v>
      </c>
      <c r="L2874" s="60" t="s">
        <v>192</v>
      </c>
      <c r="M2874" s="60" t="s">
        <v>183</v>
      </c>
      <c r="N2874" s="60" t="b">
        <f>TRUE()</f>
        <v>1</v>
      </c>
      <c r="O2874" s="70">
        <v>700000</v>
      </c>
      <c r="P2874" s="70">
        <v>818750</v>
      </c>
      <c r="Q2874" s="60" t="s">
        <v>3663</v>
      </c>
      <c r="R2874" s="60" t="s">
        <v>7351</v>
      </c>
      <c r="S2874" s="70">
        <v>759375</v>
      </c>
      <c r="T2874" s="60" t="b">
        <f>TRUE()</f>
        <v>1</v>
      </c>
      <c r="U2874" s="60" t="b">
        <f>FALSE()</f>
        <v>0</v>
      </c>
      <c r="V2874" s="60">
        <v>446</v>
      </c>
      <c r="W2874" s="62" t="s">
        <v>10904</v>
      </c>
      <c r="X2874" s="60">
        <v>1</v>
      </c>
      <c r="Y2874" s="63">
        <v>0.24</v>
      </c>
      <c r="Z2874" s="60" t="b">
        <f>FALSE()</f>
        <v>0</v>
      </c>
      <c r="AA2874" s="60" t="b">
        <f>FALSE()</f>
        <v>0</v>
      </c>
      <c r="AB2874" s="60" t="b">
        <f>FALSE()</f>
        <v>0</v>
      </c>
      <c r="AC2874" s="60" t="b">
        <f>TRUE()</f>
        <v>1</v>
      </c>
      <c r="AD2874" s="60" t="b">
        <f>FALSE()</f>
        <v>0</v>
      </c>
      <c r="AE2874" s="60">
        <v>1</v>
      </c>
      <c r="AF2874" s="64">
        <v>14.3</v>
      </c>
      <c r="AG2874" s="60" t="s">
        <v>74</v>
      </c>
      <c r="AH2874" s="60" t="s">
        <v>10905</v>
      </c>
      <c r="AI2874">
        <f>IF(AND(OR(Company_Explorer!$B$5="All Companies",$E2874=Company_Explorer!$B$5),OR(Company_Explorer!$B$6="All Platforms",$B2874=Company_Explorer!$B$6),OR(Company_Explorer!$B$7="All Roles",$D2874=Company_Explorer!$B$7),OR(Company_Explorer!$B$8="All Ghost Labels",$AG2874=Company_Explorer!$B$8)),1,0)</f>
        <v>0</v>
      </c>
    </row>
    <row r="2875" spans="1:35" ht="15" customHeight="1" x14ac:dyDescent="0.3">
      <c r="A2875" s="65" t="s">
        <v>10906</v>
      </c>
      <c r="B2875" s="65" t="s">
        <v>82</v>
      </c>
      <c r="C2875" s="65" t="s">
        <v>127</v>
      </c>
      <c r="D2875" s="65" t="s">
        <v>127</v>
      </c>
      <c r="E2875" s="65" t="s">
        <v>3726</v>
      </c>
      <c r="F2875" s="65" t="b">
        <f>FALSE()</f>
        <v>0</v>
      </c>
      <c r="G2875" s="65" t="s">
        <v>8607</v>
      </c>
      <c r="H2875" s="65" t="s">
        <v>263</v>
      </c>
      <c r="I2875" s="66">
        <v>46203</v>
      </c>
      <c r="J2875" s="66">
        <v>46210.286581041699</v>
      </c>
      <c r="K2875" s="65">
        <v>7</v>
      </c>
      <c r="L2875" s="65" t="s">
        <v>192</v>
      </c>
      <c r="M2875" s="65" t="s">
        <v>183</v>
      </c>
      <c r="N2875" s="65" t="b">
        <f>TRUE()</f>
        <v>1</v>
      </c>
      <c r="O2875" s="71">
        <v>20000</v>
      </c>
      <c r="P2875" s="71">
        <v>50000</v>
      </c>
      <c r="Q2875" s="65" t="s">
        <v>3663</v>
      </c>
      <c r="R2875" s="65" t="s">
        <v>7445</v>
      </c>
      <c r="S2875" s="71">
        <v>420000</v>
      </c>
      <c r="T2875" s="65" t="b">
        <f>TRUE()</f>
        <v>1</v>
      </c>
      <c r="U2875" s="65" t="b">
        <f>FALSE()</f>
        <v>0</v>
      </c>
      <c r="V2875" s="65">
        <v>207</v>
      </c>
      <c r="W2875" s="67" t="s">
        <v>10907</v>
      </c>
      <c r="X2875" s="65"/>
      <c r="Y2875" s="68"/>
      <c r="Z2875" s="65" t="b">
        <f>TRUE()</f>
        <v>1</v>
      </c>
      <c r="AA2875" s="65" t="b">
        <f>FALSE()</f>
        <v>0</v>
      </c>
      <c r="AB2875" s="65" t="b">
        <f>TRUE()</f>
        <v>1</v>
      </c>
      <c r="AC2875" s="65" t="b">
        <f>FALSE()</f>
        <v>0</v>
      </c>
      <c r="AD2875" s="65" t="b">
        <f>FALSE()</f>
        <v>0</v>
      </c>
      <c r="AE2875" s="65">
        <v>3</v>
      </c>
      <c r="AF2875" s="69">
        <v>42.9</v>
      </c>
      <c r="AG2875" s="65" t="s">
        <v>73</v>
      </c>
      <c r="AH2875" s="65" t="s">
        <v>10908</v>
      </c>
      <c r="AI2875">
        <f>IF(AND(OR(Company_Explorer!$B$5="All Companies",$E2875=Company_Explorer!$B$5),OR(Company_Explorer!$B$6="All Platforms",$B2875=Company_Explorer!$B$6),OR(Company_Explorer!$B$7="All Roles",$D2875=Company_Explorer!$B$7),OR(Company_Explorer!$B$8="All Ghost Labels",$AG2875=Company_Explorer!$B$8)),1,0)</f>
        <v>0</v>
      </c>
    </row>
    <row r="2876" spans="1:35" ht="15" customHeight="1" x14ac:dyDescent="0.3">
      <c r="A2876" s="60" t="s">
        <v>10909</v>
      </c>
      <c r="B2876" s="60" t="s">
        <v>82</v>
      </c>
      <c r="C2876" s="60" t="s">
        <v>6985</v>
      </c>
      <c r="D2876" s="60" t="s">
        <v>126</v>
      </c>
      <c r="E2876" s="60" t="s">
        <v>10910</v>
      </c>
      <c r="F2876" s="60" t="b">
        <f>TRUE()</f>
        <v>1</v>
      </c>
      <c r="G2876" s="60" t="s">
        <v>165</v>
      </c>
      <c r="H2876" s="60" t="s">
        <v>165</v>
      </c>
      <c r="I2876" s="61">
        <v>46204</v>
      </c>
      <c r="J2876" s="61">
        <v>46210.286581307897</v>
      </c>
      <c r="K2876" s="60">
        <v>7</v>
      </c>
      <c r="L2876" s="60" t="s">
        <v>192</v>
      </c>
      <c r="M2876" s="60" t="s">
        <v>183</v>
      </c>
      <c r="N2876" s="60" t="b">
        <f>FALSE()</f>
        <v>0</v>
      </c>
      <c r="O2876" s="60"/>
      <c r="P2876" s="60"/>
      <c r="Q2876" s="60" t="s">
        <v>3663</v>
      </c>
      <c r="R2876" s="60" t="s">
        <v>236</v>
      </c>
      <c r="S2876" s="60"/>
      <c r="T2876" s="60" t="b">
        <f>FALSE()</f>
        <v>0</v>
      </c>
      <c r="U2876" s="60" t="b">
        <f>FALSE()</f>
        <v>0</v>
      </c>
      <c r="V2876" s="60">
        <v>499</v>
      </c>
      <c r="W2876" s="62" t="s">
        <v>10911</v>
      </c>
      <c r="X2876" s="60">
        <v>1</v>
      </c>
      <c r="Y2876" s="63">
        <v>0.24</v>
      </c>
      <c r="Z2876" s="60" t="b">
        <f>FALSE()</f>
        <v>0</v>
      </c>
      <c r="AA2876" s="60" t="b">
        <f>TRUE()</f>
        <v>1</v>
      </c>
      <c r="AB2876" s="60" t="b">
        <f>FALSE()</f>
        <v>0</v>
      </c>
      <c r="AC2876" s="60" t="b">
        <f>FALSE()</f>
        <v>0</v>
      </c>
      <c r="AD2876" s="60" t="b">
        <f>FALSE()</f>
        <v>0</v>
      </c>
      <c r="AE2876" s="60">
        <v>1</v>
      </c>
      <c r="AF2876" s="64">
        <v>14.3</v>
      </c>
      <c r="AG2876" s="60" t="s">
        <v>74</v>
      </c>
      <c r="AH2876" s="60" t="s">
        <v>10912</v>
      </c>
      <c r="AI2876">
        <f>IF(AND(OR(Company_Explorer!$B$5="All Companies",$E2876=Company_Explorer!$B$5),OR(Company_Explorer!$B$6="All Platforms",$B2876=Company_Explorer!$B$6),OR(Company_Explorer!$B$7="All Roles",$D2876=Company_Explorer!$B$7),OR(Company_Explorer!$B$8="All Ghost Labels",$AG2876=Company_Explorer!$B$8)),1,0)</f>
        <v>0</v>
      </c>
    </row>
    <row r="2877" spans="1:35" ht="15" customHeight="1" x14ac:dyDescent="0.3">
      <c r="A2877" s="65" t="s">
        <v>10913</v>
      </c>
      <c r="B2877" s="65" t="s">
        <v>82</v>
      </c>
      <c r="C2877" s="65" t="s">
        <v>10914</v>
      </c>
      <c r="D2877" s="65" t="s">
        <v>127</v>
      </c>
      <c r="E2877" s="65" t="s">
        <v>7730</v>
      </c>
      <c r="F2877" s="65" t="b">
        <f>TRUE()</f>
        <v>1</v>
      </c>
      <c r="G2877" s="65" t="s">
        <v>165</v>
      </c>
      <c r="H2877" s="65" t="s">
        <v>165</v>
      </c>
      <c r="I2877" s="66">
        <v>46197</v>
      </c>
      <c r="J2877" s="66">
        <v>46210.286582268498</v>
      </c>
      <c r="K2877" s="65">
        <v>133</v>
      </c>
      <c r="L2877" s="65" t="s">
        <v>183</v>
      </c>
      <c r="M2877" s="65" t="s">
        <v>183</v>
      </c>
      <c r="N2877" s="65" t="b">
        <f>FALSE()</f>
        <v>0</v>
      </c>
      <c r="O2877" s="65"/>
      <c r="P2877" s="65"/>
      <c r="Q2877" s="65" t="s">
        <v>3663</v>
      </c>
      <c r="R2877" s="65" t="s">
        <v>236</v>
      </c>
      <c r="S2877" s="65"/>
      <c r="T2877" s="65" t="b">
        <f>FALSE()</f>
        <v>0</v>
      </c>
      <c r="U2877" s="65" t="b">
        <f>FALSE()</f>
        <v>0</v>
      </c>
      <c r="V2877" s="65">
        <v>338</v>
      </c>
      <c r="W2877" s="67" t="s">
        <v>10915</v>
      </c>
      <c r="X2877" s="65">
        <v>7</v>
      </c>
      <c r="Y2877" s="68">
        <v>1.69</v>
      </c>
      <c r="Z2877" s="65" t="b">
        <f>FALSE()</f>
        <v>0</v>
      </c>
      <c r="AA2877" s="65" t="b">
        <f>TRUE()</f>
        <v>1</v>
      </c>
      <c r="AB2877" s="65" t="b">
        <f>FALSE()</f>
        <v>0</v>
      </c>
      <c r="AC2877" s="65" t="b">
        <f>TRUE()</f>
        <v>1</v>
      </c>
      <c r="AD2877" s="65" t="b">
        <f>FALSE()</f>
        <v>0</v>
      </c>
      <c r="AE2877" s="65">
        <v>2</v>
      </c>
      <c r="AF2877" s="69">
        <v>28.6</v>
      </c>
      <c r="AG2877" s="65" t="s">
        <v>73</v>
      </c>
      <c r="AH2877" s="65" t="s">
        <v>10916</v>
      </c>
      <c r="AI2877">
        <f>IF(AND(OR(Company_Explorer!$B$5="All Companies",$E2877=Company_Explorer!$B$5),OR(Company_Explorer!$B$6="All Platforms",$B2877=Company_Explorer!$B$6),OR(Company_Explorer!$B$7="All Roles",$D2877=Company_Explorer!$B$7),OR(Company_Explorer!$B$8="All Ghost Labels",$AG2877=Company_Explorer!$B$8)),1,0)</f>
        <v>0</v>
      </c>
    </row>
    <row r="2878" spans="1:35" ht="15" customHeight="1" x14ac:dyDescent="0.3">
      <c r="A2878" s="60" t="s">
        <v>10917</v>
      </c>
      <c r="B2878" s="60" t="s">
        <v>82</v>
      </c>
      <c r="C2878" s="60" t="s">
        <v>10918</v>
      </c>
      <c r="D2878" s="60" t="s">
        <v>127</v>
      </c>
      <c r="E2878" s="60" t="s">
        <v>10565</v>
      </c>
      <c r="F2878" s="60" t="b">
        <f>TRUE()</f>
        <v>1</v>
      </c>
      <c r="G2878" s="60" t="s">
        <v>165</v>
      </c>
      <c r="H2878" s="60" t="s">
        <v>165</v>
      </c>
      <c r="I2878" s="61">
        <v>46190</v>
      </c>
      <c r="J2878" s="61">
        <v>46210.286582835703</v>
      </c>
      <c r="K2878" s="60">
        <v>112</v>
      </c>
      <c r="L2878" s="60" t="s">
        <v>183</v>
      </c>
      <c r="M2878" s="60" t="s">
        <v>183</v>
      </c>
      <c r="N2878" s="60" t="b">
        <f>FALSE()</f>
        <v>0</v>
      </c>
      <c r="O2878" s="60"/>
      <c r="P2878" s="60"/>
      <c r="Q2878" s="60" t="s">
        <v>3663</v>
      </c>
      <c r="R2878" s="60" t="s">
        <v>236</v>
      </c>
      <c r="S2878" s="60"/>
      <c r="T2878" s="60" t="b">
        <f>FALSE()</f>
        <v>0</v>
      </c>
      <c r="U2878" s="60" t="b">
        <f>FALSE()</f>
        <v>0</v>
      </c>
      <c r="V2878" s="60">
        <v>808</v>
      </c>
      <c r="W2878" s="62" t="s">
        <v>10919</v>
      </c>
      <c r="X2878" s="60">
        <v>2</v>
      </c>
      <c r="Y2878" s="63">
        <v>0.48</v>
      </c>
      <c r="Z2878" s="60" t="b">
        <f>FALSE()</f>
        <v>0</v>
      </c>
      <c r="AA2878" s="60" t="b">
        <f>TRUE()</f>
        <v>1</v>
      </c>
      <c r="AB2878" s="60" t="b">
        <f>FALSE()</f>
        <v>0</v>
      </c>
      <c r="AC2878" s="60" t="b">
        <f>FALSE()</f>
        <v>0</v>
      </c>
      <c r="AD2878" s="60" t="b">
        <f>FALSE()</f>
        <v>0</v>
      </c>
      <c r="AE2878" s="60">
        <v>1</v>
      </c>
      <c r="AF2878" s="64">
        <v>14.3</v>
      </c>
      <c r="AG2878" s="60" t="s">
        <v>74</v>
      </c>
      <c r="AH2878" s="60" t="s">
        <v>10920</v>
      </c>
      <c r="AI2878">
        <f>IF(AND(OR(Company_Explorer!$B$5="All Companies",$E2878=Company_Explorer!$B$5),OR(Company_Explorer!$B$6="All Platforms",$B2878=Company_Explorer!$B$6),OR(Company_Explorer!$B$7="All Roles",$D2878=Company_Explorer!$B$7),OR(Company_Explorer!$B$8="All Ghost Labels",$AG2878=Company_Explorer!$B$8)),1,0)</f>
        <v>0</v>
      </c>
    </row>
    <row r="2879" spans="1:35" ht="15" customHeight="1" x14ac:dyDescent="0.3">
      <c r="A2879" s="65" t="s">
        <v>10921</v>
      </c>
      <c r="B2879" s="65" t="s">
        <v>82</v>
      </c>
      <c r="C2879" s="65" t="s">
        <v>10922</v>
      </c>
      <c r="D2879" s="65" t="s">
        <v>126</v>
      </c>
      <c r="E2879" s="65" t="s">
        <v>10923</v>
      </c>
      <c r="F2879" s="65" t="b">
        <f>TRUE()</f>
        <v>1</v>
      </c>
      <c r="G2879" s="65" t="s">
        <v>9726</v>
      </c>
      <c r="H2879" s="65" t="s">
        <v>769</v>
      </c>
      <c r="I2879" s="66">
        <v>46187</v>
      </c>
      <c r="J2879" s="66">
        <v>46210.286583171299</v>
      </c>
      <c r="K2879" s="65">
        <v>54</v>
      </c>
      <c r="L2879" s="65" t="s">
        <v>192</v>
      </c>
      <c r="M2879" s="65" t="s">
        <v>183</v>
      </c>
      <c r="N2879" s="65" t="b">
        <f>TRUE()</f>
        <v>1</v>
      </c>
      <c r="O2879" s="71">
        <v>506250</v>
      </c>
      <c r="P2879" s="71">
        <v>650000</v>
      </c>
      <c r="Q2879" s="65" t="s">
        <v>3663</v>
      </c>
      <c r="R2879" s="65" t="s">
        <v>7351</v>
      </c>
      <c r="S2879" s="71">
        <v>578125</v>
      </c>
      <c r="T2879" s="65" t="b">
        <f>TRUE()</f>
        <v>1</v>
      </c>
      <c r="U2879" s="65" t="b">
        <f>FALSE()</f>
        <v>0</v>
      </c>
      <c r="V2879" s="65">
        <v>521</v>
      </c>
      <c r="W2879" s="65" t="s">
        <v>10924</v>
      </c>
      <c r="X2879" s="65">
        <v>1</v>
      </c>
      <c r="Y2879" s="68">
        <v>0.24</v>
      </c>
      <c r="Z2879" s="65" t="b">
        <f>FALSE()</f>
        <v>0</v>
      </c>
      <c r="AA2879" s="65" t="b">
        <f>FALSE()</f>
        <v>0</v>
      </c>
      <c r="AB2879" s="65" t="b">
        <f>FALSE()</f>
        <v>0</v>
      </c>
      <c r="AC2879" s="65" t="b">
        <f>FALSE()</f>
        <v>0</v>
      </c>
      <c r="AD2879" s="65" t="b">
        <f>FALSE()</f>
        <v>0</v>
      </c>
      <c r="AE2879" s="65">
        <v>0</v>
      </c>
      <c r="AF2879" s="69">
        <v>0</v>
      </c>
      <c r="AG2879" s="65" t="s">
        <v>74</v>
      </c>
      <c r="AH2879" s="65" t="s">
        <v>10925</v>
      </c>
      <c r="AI2879">
        <f>IF(AND(OR(Company_Explorer!$B$5="All Companies",$E2879=Company_Explorer!$B$5),OR(Company_Explorer!$B$6="All Platforms",$B2879=Company_Explorer!$B$6),OR(Company_Explorer!$B$7="All Roles",$D2879=Company_Explorer!$B$7),OR(Company_Explorer!$B$8="All Ghost Labels",$AG2879=Company_Explorer!$B$8)),1,0)</f>
        <v>0</v>
      </c>
    </row>
    <row r="2880" spans="1:35" ht="15" customHeight="1" x14ac:dyDescent="0.3">
      <c r="A2880" s="60" t="s">
        <v>10926</v>
      </c>
      <c r="B2880" s="60" t="s">
        <v>82</v>
      </c>
      <c r="C2880" s="60" t="s">
        <v>10927</v>
      </c>
      <c r="D2880" s="60" t="s">
        <v>127</v>
      </c>
      <c r="E2880" s="60" t="s">
        <v>10928</v>
      </c>
      <c r="F2880" s="60" t="b">
        <f>TRUE()</f>
        <v>1</v>
      </c>
      <c r="G2880" s="60" t="s">
        <v>165</v>
      </c>
      <c r="H2880" s="60" t="s">
        <v>165</v>
      </c>
      <c r="I2880" s="61">
        <v>46184</v>
      </c>
      <c r="J2880" s="61">
        <v>46210.2865859144</v>
      </c>
      <c r="K2880" s="60">
        <v>87</v>
      </c>
      <c r="L2880" s="60" t="s">
        <v>183</v>
      </c>
      <c r="M2880" s="60" t="s">
        <v>183</v>
      </c>
      <c r="N2880" s="60" t="b">
        <f>FALSE()</f>
        <v>0</v>
      </c>
      <c r="O2880" s="60"/>
      <c r="P2880" s="60"/>
      <c r="Q2880" s="60" t="s">
        <v>3663</v>
      </c>
      <c r="R2880" s="60" t="s">
        <v>236</v>
      </c>
      <c r="S2880" s="60"/>
      <c r="T2880" s="60" t="b">
        <f>FALSE()</f>
        <v>0</v>
      </c>
      <c r="U2880" s="60" t="b">
        <f>FALSE()</f>
        <v>0</v>
      </c>
      <c r="V2880" s="60">
        <v>579</v>
      </c>
      <c r="W2880" s="62" t="s">
        <v>10929</v>
      </c>
      <c r="X2880" s="60">
        <v>1</v>
      </c>
      <c r="Y2880" s="63">
        <v>0.24</v>
      </c>
      <c r="Z2880" s="60" t="b">
        <f>FALSE()</f>
        <v>0</v>
      </c>
      <c r="AA2880" s="60" t="b">
        <f>TRUE()</f>
        <v>1</v>
      </c>
      <c r="AB2880" s="60" t="b">
        <f>FALSE()</f>
        <v>0</v>
      </c>
      <c r="AC2880" s="60" t="b">
        <f>FALSE()</f>
        <v>0</v>
      </c>
      <c r="AD2880" s="60" t="b">
        <f>FALSE()</f>
        <v>0</v>
      </c>
      <c r="AE2880" s="60">
        <v>1</v>
      </c>
      <c r="AF2880" s="64">
        <v>14.3</v>
      </c>
      <c r="AG2880" s="60" t="s">
        <v>74</v>
      </c>
      <c r="AH2880" s="60" t="s">
        <v>10930</v>
      </c>
      <c r="AI2880">
        <f>IF(AND(OR(Company_Explorer!$B$5="All Companies",$E2880=Company_Explorer!$B$5),OR(Company_Explorer!$B$6="All Platforms",$B2880=Company_Explorer!$B$6),OR(Company_Explorer!$B$7="All Roles",$D2880=Company_Explorer!$B$7),OR(Company_Explorer!$B$8="All Ghost Labels",$AG2880=Company_Explorer!$B$8)),1,0)</f>
        <v>0</v>
      </c>
    </row>
    <row r="2881" spans="1:35" ht="15" customHeight="1" x14ac:dyDescent="0.3">
      <c r="A2881" s="65" t="s">
        <v>10931</v>
      </c>
      <c r="B2881" s="65" t="s">
        <v>82</v>
      </c>
      <c r="C2881" s="65" t="s">
        <v>10932</v>
      </c>
      <c r="D2881" s="65" t="s">
        <v>126</v>
      </c>
      <c r="E2881" s="65" t="s">
        <v>8730</v>
      </c>
      <c r="F2881" s="65" t="b">
        <f>TRUE()</f>
        <v>1</v>
      </c>
      <c r="G2881" s="65" t="s">
        <v>175</v>
      </c>
      <c r="H2881" s="65" t="s">
        <v>254</v>
      </c>
      <c r="I2881" s="66">
        <v>46199</v>
      </c>
      <c r="J2881" s="66">
        <v>46210.286587002302</v>
      </c>
      <c r="K2881" s="65">
        <v>11</v>
      </c>
      <c r="L2881" s="65" t="s">
        <v>192</v>
      </c>
      <c r="M2881" s="65" t="s">
        <v>183</v>
      </c>
      <c r="N2881" s="65" t="b">
        <f>TRUE()</f>
        <v>1</v>
      </c>
      <c r="O2881" s="71">
        <v>494000</v>
      </c>
      <c r="P2881" s="71">
        <v>800000</v>
      </c>
      <c r="Q2881" s="65" t="s">
        <v>3663</v>
      </c>
      <c r="R2881" s="65" t="s">
        <v>7351</v>
      </c>
      <c r="S2881" s="71">
        <v>647000</v>
      </c>
      <c r="T2881" s="65" t="b">
        <f>TRUE()</f>
        <v>1</v>
      </c>
      <c r="U2881" s="65" t="b">
        <f>FALSE()</f>
        <v>0</v>
      </c>
      <c r="V2881" s="65">
        <v>883</v>
      </c>
      <c r="W2881" s="67" t="s">
        <v>8731</v>
      </c>
      <c r="X2881" s="65">
        <v>2</v>
      </c>
      <c r="Y2881" s="68">
        <v>0.48</v>
      </c>
      <c r="Z2881" s="65" t="b">
        <f>FALSE()</f>
        <v>0</v>
      </c>
      <c r="AA2881" s="65" t="b">
        <f>FALSE()</f>
        <v>0</v>
      </c>
      <c r="AB2881" s="65" t="b">
        <f>FALSE()</f>
        <v>0</v>
      </c>
      <c r="AC2881" s="65" t="b">
        <f>FALSE()</f>
        <v>0</v>
      </c>
      <c r="AD2881" s="65" t="b">
        <f>FALSE()</f>
        <v>0</v>
      </c>
      <c r="AE2881" s="65">
        <v>0</v>
      </c>
      <c r="AF2881" s="69">
        <v>0</v>
      </c>
      <c r="AG2881" s="65" t="s">
        <v>74</v>
      </c>
      <c r="AH2881" s="65" t="s">
        <v>10933</v>
      </c>
      <c r="AI2881">
        <f>IF(AND(OR(Company_Explorer!$B$5="All Companies",$E2881=Company_Explorer!$B$5),OR(Company_Explorer!$B$6="All Platforms",$B2881=Company_Explorer!$B$6),OR(Company_Explorer!$B$7="All Roles",$D2881=Company_Explorer!$B$7),OR(Company_Explorer!$B$8="All Ghost Labels",$AG2881=Company_Explorer!$B$8)),1,0)</f>
        <v>0</v>
      </c>
    </row>
    <row r="2882" spans="1:35" ht="15" customHeight="1" x14ac:dyDescent="0.3">
      <c r="A2882" s="60" t="s">
        <v>10934</v>
      </c>
      <c r="B2882" s="60" t="s">
        <v>82</v>
      </c>
      <c r="C2882" s="60" t="s">
        <v>10935</v>
      </c>
      <c r="D2882" s="60" t="s">
        <v>126</v>
      </c>
      <c r="E2882" s="60" t="s">
        <v>150</v>
      </c>
      <c r="F2882" s="60" t="b">
        <f>TRUE()</f>
        <v>1</v>
      </c>
      <c r="G2882" s="60" t="s">
        <v>165</v>
      </c>
      <c r="H2882" s="60" t="s">
        <v>165</v>
      </c>
      <c r="I2882" s="61">
        <v>46189</v>
      </c>
      <c r="J2882" s="61">
        <v>46210.286587499999</v>
      </c>
      <c r="K2882" s="60">
        <v>21</v>
      </c>
      <c r="L2882" s="60" t="s">
        <v>192</v>
      </c>
      <c r="M2882" s="60" t="s">
        <v>183</v>
      </c>
      <c r="N2882" s="60" t="b">
        <f>FALSE()</f>
        <v>0</v>
      </c>
      <c r="O2882" s="60"/>
      <c r="P2882" s="60"/>
      <c r="Q2882" s="60" t="s">
        <v>3663</v>
      </c>
      <c r="R2882" s="60" t="s">
        <v>236</v>
      </c>
      <c r="S2882" s="60"/>
      <c r="T2882" s="60" t="b">
        <f>FALSE()</f>
        <v>0</v>
      </c>
      <c r="U2882" s="60" t="b">
        <f>FALSE()</f>
        <v>0</v>
      </c>
      <c r="V2882" s="60">
        <v>481</v>
      </c>
      <c r="W2882" s="62" t="s">
        <v>3698</v>
      </c>
      <c r="X2882" s="60">
        <v>18</v>
      </c>
      <c r="Y2882" s="63">
        <v>4.34</v>
      </c>
      <c r="Z2882" s="60" t="b">
        <f>FALSE()</f>
        <v>0</v>
      </c>
      <c r="AA2882" s="60" t="b">
        <f>TRUE()</f>
        <v>1</v>
      </c>
      <c r="AB2882" s="60" t="b">
        <f>FALSE()</f>
        <v>0</v>
      </c>
      <c r="AC2882" s="60" t="b">
        <f>FALSE()</f>
        <v>0</v>
      </c>
      <c r="AD2882" s="60" t="b">
        <f>TRUE()</f>
        <v>1</v>
      </c>
      <c r="AE2882" s="60">
        <v>3</v>
      </c>
      <c r="AF2882" s="64">
        <v>42.9</v>
      </c>
      <c r="AG2882" s="60" t="s">
        <v>73</v>
      </c>
      <c r="AH2882" s="60" t="s">
        <v>10936</v>
      </c>
      <c r="AI2882">
        <f>IF(AND(OR(Company_Explorer!$B$5="All Companies",$E2882=Company_Explorer!$B$5),OR(Company_Explorer!$B$6="All Platforms",$B2882=Company_Explorer!$B$6),OR(Company_Explorer!$B$7="All Roles",$D2882=Company_Explorer!$B$7),OR(Company_Explorer!$B$8="All Ghost Labels",$AG2882=Company_Explorer!$B$8)),1,0)</f>
        <v>0</v>
      </c>
    </row>
    <row r="2883" spans="1:35" ht="15" customHeight="1" x14ac:dyDescent="0.3">
      <c r="A2883" s="65" t="s">
        <v>10937</v>
      </c>
      <c r="B2883" s="65" t="s">
        <v>82</v>
      </c>
      <c r="C2883" s="65" t="s">
        <v>10938</v>
      </c>
      <c r="D2883" s="65" t="s">
        <v>127</v>
      </c>
      <c r="E2883" s="65" t="s">
        <v>151</v>
      </c>
      <c r="F2883" s="65" t="b">
        <f>TRUE()</f>
        <v>1</v>
      </c>
      <c r="G2883" s="65" t="s">
        <v>165</v>
      </c>
      <c r="H2883" s="65" t="s">
        <v>165</v>
      </c>
      <c r="I2883" s="66">
        <v>46203</v>
      </c>
      <c r="J2883" s="66">
        <v>46210.2865894676</v>
      </c>
      <c r="K2883" s="65">
        <v>7</v>
      </c>
      <c r="L2883" s="65" t="s">
        <v>192</v>
      </c>
      <c r="M2883" s="65" t="s">
        <v>183</v>
      </c>
      <c r="N2883" s="65" t="b">
        <f>FALSE()</f>
        <v>0</v>
      </c>
      <c r="O2883" s="65"/>
      <c r="P2883" s="65"/>
      <c r="Q2883" s="65" t="s">
        <v>3663</v>
      </c>
      <c r="R2883" s="65" t="s">
        <v>236</v>
      </c>
      <c r="S2883" s="65"/>
      <c r="T2883" s="65" t="b">
        <f>FALSE()</f>
        <v>0</v>
      </c>
      <c r="U2883" s="65" t="b">
        <f>FALSE()</f>
        <v>0</v>
      </c>
      <c r="V2883" s="65">
        <v>878</v>
      </c>
      <c r="W2883" s="67" t="s">
        <v>10939</v>
      </c>
      <c r="X2883" s="65">
        <v>17</v>
      </c>
      <c r="Y2883" s="68">
        <v>4.0999999999999996</v>
      </c>
      <c r="Z2883" s="65" t="b">
        <f>FALSE()</f>
        <v>0</v>
      </c>
      <c r="AA2883" s="65" t="b">
        <f>TRUE()</f>
        <v>1</v>
      </c>
      <c r="AB2883" s="65" t="b">
        <f>FALSE()</f>
        <v>0</v>
      </c>
      <c r="AC2883" s="65" t="b">
        <f>FALSE()</f>
        <v>0</v>
      </c>
      <c r="AD2883" s="65" t="b">
        <f>TRUE()</f>
        <v>1</v>
      </c>
      <c r="AE2883" s="65">
        <v>3</v>
      </c>
      <c r="AF2883" s="69">
        <v>42.9</v>
      </c>
      <c r="AG2883" s="65" t="s">
        <v>73</v>
      </c>
      <c r="AH2883" s="65" t="s">
        <v>10940</v>
      </c>
      <c r="AI2883">
        <f>IF(AND(OR(Company_Explorer!$B$5="All Companies",$E2883=Company_Explorer!$B$5),OR(Company_Explorer!$B$6="All Platforms",$B2883=Company_Explorer!$B$6),OR(Company_Explorer!$B$7="All Roles",$D2883=Company_Explorer!$B$7),OR(Company_Explorer!$B$8="All Ghost Labels",$AG2883=Company_Explorer!$B$8)),1,0)</f>
        <v>0</v>
      </c>
    </row>
    <row r="2884" spans="1:35" ht="15" customHeight="1" x14ac:dyDescent="0.3">
      <c r="A2884" s="60" t="s">
        <v>10941</v>
      </c>
      <c r="B2884" s="60" t="s">
        <v>82</v>
      </c>
      <c r="C2884" s="60" t="s">
        <v>10942</v>
      </c>
      <c r="D2884" s="60" t="s">
        <v>126</v>
      </c>
      <c r="E2884" s="60" t="s">
        <v>7413</v>
      </c>
      <c r="F2884" s="60" t="b">
        <f>TRUE()</f>
        <v>1</v>
      </c>
      <c r="G2884" s="60" t="s">
        <v>165</v>
      </c>
      <c r="H2884" s="60" t="s">
        <v>165</v>
      </c>
      <c r="I2884" s="61">
        <v>46183</v>
      </c>
      <c r="J2884" s="61">
        <v>46210.286589536998</v>
      </c>
      <c r="K2884" s="60">
        <v>27</v>
      </c>
      <c r="L2884" s="60" t="s">
        <v>192</v>
      </c>
      <c r="M2884" s="60" t="s">
        <v>183</v>
      </c>
      <c r="N2884" s="60" t="b">
        <f>FALSE()</f>
        <v>0</v>
      </c>
      <c r="O2884" s="60"/>
      <c r="P2884" s="60"/>
      <c r="Q2884" s="60" t="s">
        <v>3663</v>
      </c>
      <c r="R2884" s="60" t="s">
        <v>236</v>
      </c>
      <c r="S2884" s="60"/>
      <c r="T2884" s="60" t="b">
        <f>FALSE()</f>
        <v>0</v>
      </c>
      <c r="U2884" s="60" t="b">
        <f>FALSE()</f>
        <v>0</v>
      </c>
      <c r="V2884" s="60">
        <v>785</v>
      </c>
      <c r="W2884" s="62" t="s">
        <v>10943</v>
      </c>
      <c r="X2884" s="60">
        <v>7</v>
      </c>
      <c r="Y2884" s="63">
        <v>1.69</v>
      </c>
      <c r="Z2884" s="60" t="b">
        <f>FALSE()</f>
        <v>0</v>
      </c>
      <c r="AA2884" s="60" t="b">
        <f>TRUE()</f>
        <v>1</v>
      </c>
      <c r="AB2884" s="60" t="b">
        <f>FALSE()</f>
        <v>0</v>
      </c>
      <c r="AC2884" s="60" t="b">
        <f>FALSE()</f>
        <v>0</v>
      </c>
      <c r="AD2884" s="60" t="b">
        <f>FALSE()</f>
        <v>0</v>
      </c>
      <c r="AE2884" s="60">
        <v>1</v>
      </c>
      <c r="AF2884" s="64">
        <v>14.3</v>
      </c>
      <c r="AG2884" s="60" t="s">
        <v>74</v>
      </c>
      <c r="AH2884" s="60" t="s">
        <v>10944</v>
      </c>
      <c r="AI2884">
        <f>IF(AND(OR(Company_Explorer!$B$5="All Companies",$E2884=Company_Explorer!$B$5),OR(Company_Explorer!$B$6="All Platforms",$B2884=Company_Explorer!$B$6),OR(Company_Explorer!$B$7="All Roles",$D2884=Company_Explorer!$B$7),OR(Company_Explorer!$B$8="All Ghost Labels",$AG2884=Company_Explorer!$B$8)),1,0)</f>
        <v>0</v>
      </c>
    </row>
    <row r="2885" spans="1:35" ht="15" customHeight="1" x14ac:dyDescent="0.3">
      <c r="A2885" s="65" t="s">
        <v>10945</v>
      </c>
      <c r="B2885" s="65" t="s">
        <v>82</v>
      </c>
      <c r="C2885" s="65" t="s">
        <v>127</v>
      </c>
      <c r="D2885" s="65" t="s">
        <v>127</v>
      </c>
      <c r="E2885" s="65" t="s">
        <v>10946</v>
      </c>
      <c r="F2885" s="65" t="b">
        <f>TRUE()</f>
        <v>1</v>
      </c>
      <c r="G2885" s="65" t="s">
        <v>165</v>
      </c>
      <c r="H2885" s="65" t="s">
        <v>165</v>
      </c>
      <c r="I2885" s="66">
        <v>46201</v>
      </c>
      <c r="J2885" s="66">
        <v>46210.2865901736</v>
      </c>
      <c r="K2885" s="65">
        <v>129</v>
      </c>
      <c r="L2885" s="65" t="s">
        <v>183</v>
      </c>
      <c r="M2885" s="65" t="s">
        <v>183</v>
      </c>
      <c r="N2885" s="65" t="b">
        <f>FALSE()</f>
        <v>0</v>
      </c>
      <c r="O2885" s="65"/>
      <c r="P2885" s="65"/>
      <c r="Q2885" s="65" t="s">
        <v>3663</v>
      </c>
      <c r="R2885" s="65" t="s">
        <v>236</v>
      </c>
      <c r="S2885" s="65"/>
      <c r="T2885" s="65" t="b">
        <f>FALSE()</f>
        <v>0</v>
      </c>
      <c r="U2885" s="65" t="b">
        <f>FALSE()</f>
        <v>0</v>
      </c>
      <c r="V2885" s="65">
        <v>53</v>
      </c>
      <c r="W2885" s="67" t="s">
        <v>10947</v>
      </c>
      <c r="X2885" s="65">
        <v>1</v>
      </c>
      <c r="Y2885" s="68">
        <v>0.24</v>
      </c>
      <c r="Z2885" s="65" t="b">
        <f>FALSE()</f>
        <v>0</v>
      </c>
      <c r="AA2885" s="65" t="b">
        <f>TRUE()</f>
        <v>1</v>
      </c>
      <c r="AB2885" s="65" t="b">
        <f>TRUE()</f>
        <v>1</v>
      </c>
      <c r="AC2885" s="65" t="b">
        <f>TRUE()</f>
        <v>1</v>
      </c>
      <c r="AD2885" s="65" t="b">
        <f>FALSE()</f>
        <v>0</v>
      </c>
      <c r="AE2885" s="65">
        <v>3</v>
      </c>
      <c r="AF2885" s="69">
        <v>42.9</v>
      </c>
      <c r="AG2885" s="65" t="s">
        <v>73</v>
      </c>
      <c r="AH2885" s="65" t="s">
        <v>10948</v>
      </c>
      <c r="AI2885">
        <f>IF(AND(OR(Company_Explorer!$B$5="All Companies",$E2885=Company_Explorer!$B$5),OR(Company_Explorer!$B$6="All Platforms",$B2885=Company_Explorer!$B$6),OR(Company_Explorer!$B$7="All Roles",$D2885=Company_Explorer!$B$7),OR(Company_Explorer!$B$8="All Ghost Labels",$AG2885=Company_Explorer!$B$8)),1,0)</f>
        <v>0</v>
      </c>
    </row>
    <row r="2886" spans="1:35" ht="15" customHeight="1" x14ac:dyDescent="0.3">
      <c r="A2886" s="60" t="s">
        <v>10949</v>
      </c>
      <c r="B2886" s="60" t="s">
        <v>82</v>
      </c>
      <c r="C2886" s="60" t="s">
        <v>5765</v>
      </c>
      <c r="D2886" s="60" t="s">
        <v>125</v>
      </c>
      <c r="E2886" s="60" t="s">
        <v>3726</v>
      </c>
      <c r="F2886" s="60" t="b">
        <f>FALSE()</f>
        <v>0</v>
      </c>
      <c r="G2886" s="60" t="s">
        <v>165</v>
      </c>
      <c r="H2886" s="60" t="s">
        <v>165</v>
      </c>
      <c r="I2886" s="61">
        <v>46192</v>
      </c>
      <c r="J2886" s="61">
        <v>46210.286590185198</v>
      </c>
      <c r="K2886" s="60">
        <v>19</v>
      </c>
      <c r="L2886" s="60" t="s">
        <v>183</v>
      </c>
      <c r="M2886" s="60" t="s">
        <v>183</v>
      </c>
      <c r="N2886" s="60" t="b">
        <f>FALSE()</f>
        <v>0</v>
      </c>
      <c r="O2886" s="60"/>
      <c r="P2886" s="60"/>
      <c r="Q2886" s="60" t="s">
        <v>3663</v>
      </c>
      <c r="R2886" s="60" t="s">
        <v>236</v>
      </c>
      <c r="S2886" s="60"/>
      <c r="T2886" s="60" t="b">
        <f>FALSE()</f>
        <v>0</v>
      </c>
      <c r="U2886" s="60" t="b">
        <f>FALSE()</f>
        <v>0</v>
      </c>
      <c r="V2886" s="60">
        <v>345</v>
      </c>
      <c r="W2886" s="60" t="s">
        <v>10950</v>
      </c>
      <c r="X2886" s="60"/>
      <c r="Y2886" s="63"/>
      <c r="Z2886" s="60" t="b">
        <f>TRUE()</f>
        <v>1</v>
      </c>
      <c r="AA2886" s="60" t="b">
        <f>TRUE()</f>
        <v>1</v>
      </c>
      <c r="AB2886" s="60" t="b">
        <f>FALSE()</f>
        <v>0</v>
      </c>
      <c r="AC2886" s="60" t="b">
        <f>FALSE()</f>
        <v>0</v>
      </c>
      <c r="AD2886" s="60" t="b">
        <f>FALSE()</f>
        <v>0</v>
      </c>
      <c r="AE2886" s="60">
        <v>3</v>
      </c>
      <c r="AF2886" s="64">
        <v>42.9</v>
      </c>
      <c r="AG2886" s="60" t="s">
        <v>73</v>
      </c>
      <c r="AH2886" s="60" t="s">
        <v>10951</v>
      </c>
      <c r="AI2886">
        <f>IF(AND(OR(Company_Explorer!$B$5="All Companies",$E2886=Company_Explorer!$B$5),OR(Company_Explorer!$B$6="All Platforms",$B2886=Company_Explorer!$B$6),OR(Company_Explorer!$B$7="All Roles",$D2886=Company_Explorer!$B$7),OR(Company_Explorer!$B$8="All Ghost Labels",$AG2886=Company_Explorer!$B$8)),1,0)</f>
        <v>0</v>
      </c>
    </row>
    <row r="2887" spans="1:35" ht="15" customHeight="1" x14ac:dyDescent="0.3">
      <c r="A2887" s="65" t="s">
        <v>10952</v>
      </c>
      <c r="B2887" s="65" t="s">
        <v>82</v>
      </c>
      <c r="C2887" s="65" t="s">
        <v>10953</v>
      </c>
      <c r="D2887" s="65" t="s">
        <v>127</v>
      </c>
      <c r="E2887" s="65" t="s">
        <v>8021</v>
      </c>
      <c r="F2887" s="65" t="b">
        <f>TRUE()</f>
        <v>1</v>
      </c>
      <c r="G2887" s="65" t="s">
        <v>171</v>
      </c>
      <c r="H2887" s="65" t="s">
        <v>254</v>
      </c>
      <c r="I2887" s="66">
        <v>46193</v>
      </c>
      <c r="J2887" s="66">
        <v>46210.2865904051</v>
      </c>
      <c r="K2887" s="65">
        <v>17</v>
      </c>
      <c r="L2887" s="65" t="s">
        <v>192</v>
      </c>
      <c r="M2887" s="65" t="s">
        <v>183</v>
      </c>
      <c r="N2887" s="65" t="b">
        <f>TRUE()</f>
        <v>1</v>
      </c>
      <c r="O2887" s="71">
        <v>480000</v>
      </c>
      <c r="P2887" s="71">
        <v>650000</v>
      </c>
      <c r="Q2887" s="65" t="s">
        <v>3663</v>
      </c>
      <c r="R2887" s="65" t="s">
        <v>7351</v>
      </c>
      <c r="S2887" s="71">
        <v>565000</v>
      </c>
      <c r="T2887" s="65" t="b">
        <f>TRUE()</f>
        <v>1</v>
      </c>
      <c r="U2887" s="65" t="b">
        <f>FALSE()</f>
        <v>0</v>
      </c>
      <c r="V2887" s="65">
        <v>348</v>
      </c>
      <c r="W2887" s="67" t="s">
        <v>10954</v>
      </c>
      <c r="X2887" s="65">
        <v>2</v>
      </c>
      <c r="Y2887" s="68">
        <v>0.48</v>
      </c>
      <c r="Z2887" s="65" t="b">
        <f>FALSE()</f>
        <v>0</v>
      </c>
      <c r="AA2887" s="65" t="b">
        <f>FALSE()</f>
        <v>0</v>
      </c>
      <c r="AB2887" s="65" t="b">
        <f>FALSE()</f>
        <v>0</v>
      </c>
      <c r="AC2887" s="65" t="b">
        <f>FALSE()</f>
        <v>0</v>
      </c>
      <c r="AD2887" s="65" t="b">
        <f>FALSE()</f>
        <v>0</v>
      </c>
      <c r="AE2887" s="65">
        <v>0</v>
      </c>
      <c r="AF2887" s="69">
        <v>0</v>
      </c>
      <c r="AG2887" s="65" t="s">
        <v>74</v>
      </c>
      <c r="AH2887" s="65" t="s">
        <v>10955</v>
      </c>
      <c r="AI2887">
        <f>IF(AND(OR(Company_Explorer!$B$5="All Companies",$E2887=Company_Explorer!$B$5),OR(Company_Explorer!$B$6="All Platforms",$B2887=Company_Explorer!$B$6),OR(Company_Explorer!$B$7="All Roles",$D2887=Company_Explorer!$B$7),OR(Company_Explorer!$B$8="All Ghost Labels",$AG2887=Company_Explorer!$B$8)),1,0)</f>
        <v>0</v>
      </c>
    </row>
    <row r="2888" spans="1:35" ht="15" customHeight="1" x14ac:dyDescent="0.3">
      <c r="A2888" s="60" t="s">
        <v>10956</v>
      </c>
      <c r="B2888" s="60" t="s">
        <v>82</v>
      </c>
      <c r="C2888" s="60" t="s">
        <v>10957</v>
      </c>
      <c r="D2888" s="60" t="s">
        <v>126</v>
      </c>
      <c r="E2888" s="60" t="s">
        <v>10958</v>
      </c>
      <c r="F2888" s="60" t="b">
        <f>TRUE()</f>
        <v>1</v>
      </c>
      <c r="G2888" s="60" t="s">
        <v>165</v>
      </c>
      <c r="H2888" s="60" t="s">
        <v>165</v>
      </c>
      <c r="I2888" s="61">
        <v>46191</v>
      </c>
      <c r="J2888" s="61">
        <v>46210.286591099502</v>
      </c>
      <c r="K2888" s="60">
        <v>19</v>
      </c>
      <c r="L2888" s="60" t="s">
        <v>183</v>
      </c>
      <c r="M2888" s="60" t="s">
        <v>183</v>
      </c>
      <c r="N2888" s="60" t="b">
        <f>FALSE()</f>
        <v>0</v>
      </c>
      <c r="O2888" s="60"/>
      <c r="P2888" s="60"/>
      <c r="Q2888" s="60" t="s">
        <v>3663</v>
      </c>
      <c r="R2888" s="60" t="s">
        <v>236</v>
      </c>
      <c r="S2888" s="60"/>
      <c r="T2888" s="60" t="b">
        <f>FALSE()</f>
        <v>0</v>
      </c>
      <c r="U2888" s="60" t="b">
        <f>FALSE()</f>
        <v>0</v>
      </c>
      <c r="V2888" s="60">
        <v>850</v>
      </c>
      <c r="W2888" s="62" t="s">
        <v>4029</v>
      </c>
      <c r="X2888" s="60">
        <v>1</v>
      </c>
      <c r="Y2888" s="63">
        <v>0.24</v>
      </c>
      <c r="Z2888" s="60" t="b">
        <f>FALSE()</f>
        <v>0</v>
      </c>
      <c r="AA2888" s="60" t="b">
        <f>TRUE()</f>
        <v>1</v>
      </c>
      <c r="AB2888" s="60" t="b">
        <f>FALSE()</f>
        <v>0</v>
      </c>
      <c r="AC2888" s="60" t="b">
        <f>FALSE()</f>
        <v>0</v>
      </c>
      <c r="AD2888" s="60" t="b">
        <f>FALSE()</f>
        <v>0</v>
      </c>
      <c r="AE2888" s="60">
        <v>1</v>
      </c>
      <c r="AF2888" s="64">
        <v>14.3</v>
      </c>
      <c r="AG2888" s="60" t="s">
        <v>74</v>
      </c>
      <c r="AH2888" s="60" t="s">
        <v>10959</v>
      </c>
      <c r="AI2888">
        <f>IF(AND(OR(Company_Explorer!$B$5="All Companies",$E2888=Company_Explorer!$B$5),OR(Company_Explorer!$B$6="All Platforms",$B2888=Company_Explorer!$B$6),OR(Company_Explorer!$B$7="All Roles",$D2888=Company_Explorer!$B$7),OR(Company_Explorer!$B$8="All Ghost Labels",$AG2888=Company_Explorer!$B$8)),1,0)</f>
        <v>0</v>
      </c>
    </row>
    <row r="2889" spans="1:35" ht="15" customHeight="1" x14ac:dyDescent="0.3">
      <c r="A2889" s="65" t="s">
        <v>10960</v>
      </c>
      <c r="B2889" s="65" t="s">
        <v>82</v>
      </c>
      <c r="C2889" s="65" t="s">
        <v>127</v>
      </c>
      <c r="D2889" s="65" t="s">
        <v>127</v>
      </c>
      <c r="E2889" s="65" t="s">
        <v>7559</v>
      </c>
      <c r="F2889" s="65" t="b">
        <f>TRUE()</f>
        <v>1</v>
      </c>
      <c r="G2889" s="65" t="s">
        <v>165</v>
      </c>
      <c r="H2889" s="65" t="s">
        <v>165</v>
      </c>
      <c r="I2889" s="66">
        <v>46208</v>
      </c>
      <c r="J2889" s="66">
        <v>46210.286591909702</v>
      </c>
      <c r="K2889" s="65">
        <v>125</v>
      </c>
      <c r="L2889" s="65" t="s">
        <v>183</v>
      </c>
      <c r="M2889" s="65" t="s">
        <v>183</v>
      </c>
      <c r="N2889" s="65" t="b">
        <f>FALSE()</f>
        <v>0</v>
      </c>
      <c r="O2889" s="65"/>
      <c r="P2889" s="65"/>
      <c r="Q2889" s="65" t="s">
        <v>3663</v>
      </c>
      <c r="R2889" s="65" t="s">
        <v>236</v>
      </c>
      <c r="S2889" s="65"/>
      <c r="T2889" s="65" t="b">
        <f>FALSE()</f>
        <v>0</v>
      </c>
      <c r="U2889" s="65" t="b">
        <f>FALSE()</f>
        <v>0</v>
      </c>
      <c r="V2889" s="65">
        <v>89</v>
      </c>
      <c r="W2889" s="67" t="s">
        <v>10961</v>
      </c>
      <c r="X2889" s="65">
        <v>10</v>
      </c>
      <c r="Y2889" s="68">
        <v>2.41</v>
      </c>
      <c r="Z2889" s="65" t="b">
        <f>FALSE()</f>
        <v>0</v>
      </c>
      <c r="AA2889" s="65" t="b">
        <f>TRUE()</f>
        <v>1</v>
      </c>
      <c r="AB2889" s="65" t="b">
        <f>TRUE()</f>
        <v>1</v>
      </c>
      <c r="AC2889" s="65" t="b">
        <f>TRUE()</f>
        <v>1</v>
      </c>
      <c r="AD2889" s="65" t="b">
        <f>TRUE()</f>
        <v>1</v>
      </c>
      <c r="AE2889" s="65">
        <v>5</v>
      </c>
      <c r="AF2889" s="69">
        <v>71.400000000000006</v>
      </c>
      <c r="AG2889" s="65" t="s">
        <v>72</v>
      </c>
      <c r="AH2889" s="65" t="s">
        <v>10962</v>
      </c>
      <c r="AI2889">
        <f>IF(AND(OR(Company_Explorer!$B$5="All Companies",$E2889=Company_Explorer!$B$5),OR(Company_Explorer!$B$6="All Platforms",$B2889=Company_Explorer!$B$6),OR(Company_Explorer!$B$7="All Roles",$D2889=Company_Explorer!$B$7),OR(Company_Explorer!$B$8="All Ghost Labels",$AG2889=Company_Explorer!$B$8)),1,0)</f>
        <v>0</v>
      </c>
    </row>
    <row r="2890" spans="1:35" ht="15" customHeight="1" x14ac:dyDescent="0.3">
      <c r="A2890" s="60" t="s">
        <v>10963</v>
      </c>
      <c r="B2890" s="60" t="s">
        <v>82</v>
      </c>
      <c r="C2890" s="60" t="s">
        <v>5582</v>
      </c>
      <c r="D2890" s="60" t="s">
        <v>127</v>
      </c>
      <c r="E2890" s="60" t="s">
        <v>10964</v>
      </c>
      <c r="F2890" s="60" t="b">
        <f>TRUE()</f>
        <v>1</v>
      </c>
      <c r="G2890" s="60" t="s">
        <v>165</v>
      </c>
      <c r="H2890" s="60" t="s">
        <v>165</v>
      </c>
      <c r="I2890" s="61">
        <v>46197</v>
      </c>
      <c r="J2890" s="61">
        <v>46210.286592233802</v>
      </c>
      <c r="K2890" s="60">
        <v>13</v>
      </c>
      <c r="L2890" s="60" t="s">
        <v>183</v>
      </c>
      <c r="M2890" s="60" t="s">
        <v>183</v>
      </c>
      <c r="N2890" s="60" t="b">
        <f>FALSE()</f>
        <v>0</v>
      </c>
      <c r="O2890" s="60"/>
      <c r="P2890" s="60"/>
      <c r="Q2890" s="60" t="s">
        <v>3663</v>
      </c>
      <c r="R2890" s="60" t="s">
        <v>236</v>
      </c>
      <c r="S2890" s="60"/>
      <c r="T2890" s="60" t="b">
        <f>FALSE()</f>
        <v>0</v>
      </c>
      <c r="U2890" s="60" t="b">
        <f>FALSE()</f>
        <v>0</v>
      </c>
      <c r="V2890" s="60">
        <v>518</v>
      </c>
      <c r="W2890" s="62" t="s">
        <v>10965</v>
      </c>
      <c r="X2890" s="60">
        <v>1</v>
      </c>
      <c r="Y2890" s="63">
        <v>0.24</v>
      </c>
      <c r="Z2890" s="60" t="b">
        <f>FALSE()</f>
        <v>0</v>
      </c>
      <c r="AA2890" s="60" t="b">
        <f>TRUE()</f>
        <v>1</v>
      </c>
      <c r="AB2890" s="60" t="b">
        <f>FALSE()</f>
        <v>0</v>
      </c>
      <c r="AC2890" s="60" t="b">
        <f>FALSE()</f>
        <v>0</v>
      </c>
      <c r="AD2890" s="60" t="b">
        <f>FALSE()</f>
        <v>0</v>
      </c>
      <c r="AE2890" s="60">
        <v>1</v>
      </c>
      <c r="AF2890" s="64">
        <v>14.3</v>
      </c>
      <c r="AG2890" s="60" t="s">
        <v>74</v>
      </c>
      <c r="AH2890" s="60" t="s">
        <v>10966</v>
      </c>
      <c r="AI2890">
        <f>IF(AND(OR(Company_Explorer!$B$5="All Companies",$E2890=Company_Explorer!$B$5),OR(Company_Explorer!$B$6="All Platforms",$B2890=Company_Explorer!$B$6),OR(Company_Explorer!$B$7="All Roles",$D2890=Company_Explorer!$B$7),OR(Company_Explorer!$B$8="All Ghost Labels",$AG2890=Company_Explorer!$B$8)),1,0)</f>
        <v>0</v>
      </c>
    </row>
    <row r="2891" spans="1:35" ht="15" customHeight="1" x14ac:dyDescent="0.3">
      <c r="A2891" s="65" t="s">
        <v>10967</v>
      </c>
      <c r="B2891" s="65" t="s">
        <v>82</v>
      </c>
      <c r="C2891" s="65" t="s">
        <v>10968</v>
      </c>
      <c r="D2891" s="65" t="s">
        <v>127</v>
      </c>
      <c r="E2891" s="65" t="s">
        <v>10969</v>
      </c>
      <c r="F2891" s="65" t="b">
        <f>TRUE()</f>
        <v>1</v>
      </c>
      <c r="G2891" s="65" t="s">
        <v>165</v>
      </c>
      <c r="H2891" s="65" t="s">
        <v>165</v>
      </c>
      <c r="I2891" s="66">
        <v>46198</v>
      </c>
      <c r="J2891" s="66">
        <v>46210.286592870398</v>
      </c>
      <c r="K2891" s="65">
        <v>43</v>
      </c>
      <c r="L2891" s="65" t="s">
        <v>192</v>
      </c>
      <c r="M2891" s="65" t="s">
        <v>183</v>
      </c>
      <c r="N2891" s="65" t="b">
        <f>FALSE()</f>
        <v>0</v>
      </c>
      <c r="O2891" s="65"/>
      <c r="P2891" s="65"/>
      <c r="Q2891" s="65" t="s">
        <v>3663</v>
      </c>
      <c r="R2891" s="65" t="s">
        <v>236</v>
      </c>
      <c r="S2891" s="65"/>
      <c r="T2891" s="65" t="b">
        <f>FALSE()</f>
        <v>0</v>
      </c>
      <c r="U2891" s="65" t="b">
        <f>FALSE()</f>
        <v>0</v>
      </c>
      <c r="V2891" s="65">
        <v>786</v>
      </c>
      <c r="W2891" s="67" t="s">
        <v>10970</v>
      </c>
      <c r="X2891" s="65">
        <v>1</v>
      </c>
      <c r="Y2891" s="68">
        <v>0.24</v>
      </c>
      <c r="Z2891" s="65" t="b">
        <f>FALSE()</f>
        <v>0</v>
      </c>
      <c r="AA2891" s="65" t="b">
        <f>TRUE()</f>
        <v>1</v>
      </c>
      <c r="AB2891" s="65" t="b">
        <f>FALSE()</f>
        <v>0</v>
      </c>
      <c r="AC2891" s="65" t="b">
        <f>FALSE()</f>
        <v>0</v>
      </c>
      <c r="AD2891" s="65" t="b">
        <f>FALSE()</f>
        <v>0</v>
      </c>
      <c r="AE2891" s="65">
        <v>1</v>
      </c>
      <c r="AF2891" s="69">
        <v>14.3</v>
      </c>
      <c r="AG2891" s="65" t="s">
        <v>74</v>
      </c>
      <c r="AH2891" s="65" t="s">
        <v>10971</v>
      </c>
      <c r="AI2891">
        <f>IF(AND(OR(Company_Explorer!$B$5="All Companies",$E2891=Company_Explorer!$B$5),OR(Company_Explorer!$B$6="All Platforms",$B2891=Company_Explorer!$B$6),OR(Company_Explorer!$B$7="All Roles",$D2891=Company_Explorer!$B$7),OR(Company_Explorer!$B$8="All Ghost Labels",$AG2891=Company_Explorer!$B$8)),1,0)</f>
        <v>0</v>
      </c>
    </row>
    <row r="2892" spans="1:35" ht="15" customHeight="1" x14ac:dyDescent="0.3">
      <c r="A2892" s="60" t="s">
        <v>10972</v>
      </c>
      <c r="B2892" s="60" t="s">
        <v>82</v>
      </c>
      <c r="C2892" s="60" t="s">
        <v>10973</v>
      </c>
      <c r="D2892" s="60" t="s">
        <v>126</v>
      </c>
      <c r="E2892" s="60" t="s">
        <v>10974</v>
      </c>
      <c r="F2892" s="60" t="b">
        <f>TRUE()</f>
        <v>1</v>
      </c>
      <c r="G2892" s="60" t="s">
        <v>166</v>
      </c>
      <c r="H2892" s="60" t="s">
        <v>235</v>
      </c>
      <c r="I2892" s="61">
        <v>46206</v>
      </c>
      <c r="J2892" s="61">
        <v>46210.286594629601</v>
      </c>
      <c r="K2892" s="60">
        <v>4</v>
      </c>
      <c r="L2892" s="60" t="s">
        <v>183</v>
      </c>
      <c r="M2892" s="60" t="s">
        <v>183</v>
      </c>
      <c r="N2892" s="60" t="b">
        <f>TRUE()</f>
        <v>1</v>
      </c>
      <c r="O2892" s="70">
        <v>400000</v>
      </c>
      <c r="P2892" s="70">
        <v>875000</v>
      </c>
      <c r="Q2892" s="60" t="s">
        <v>3663</v>
      </c>
      <c r="R2892" s="60" t="s">
        <v>7351</v>
      </c>
      <c r="S2892" s="70">
        <v>637500</v>
      </c>
      <c r="T2892" s="60" t="b">
        <f>TRUE()</f>
        <v>1</v>
      </c>
      <c r="U2892" s="60" t="b">
        <f>FALSE()</f>
        <v>0</v>
      </c>
      <c r="V2892" s="60">
        <v>943</v>
      </c>
      <c r="W2892" s="62" t="s">
        <v>446</v>
      </c>
      <c r="X2892" s="60">
        <v>1</v>
      </c>
      <c r="Y2892" s="63">
        <v>0.24</v>
      </c>
      <c r="Z2892" s="60" t="b">
        <f>FALSE()</f>
        <v>0</v>
      </c>
      <c r="AA2892" s="60" t="b">
        <f>FALSE()</f>
        <v>0</v>
      </c>
      <c r="AB2892" s="60" t="b">
        <f>FALSE()</f>
        <v>0</v>
      </c>
      <c r="AC2892" s="60" t="b">
        <f>FALSE()</f>
        <v>0</v>
      </c>
      <c r="AD2892" s="60" t="b">
        <f>FALSE()</f>
        <v>0</v>
      </c>
      <c r="AE2892" s="60">
        <v>0</v>
      </c>
      <c r="AF2892" s="64">
        <v>0</v>
      </c>
      <c r="AG2892" s="60" t="s">
        <v>74</v>
      </c>
      <c r="AH2892" s="60" t="s">
        <v>10975</v>
      </c>
      <c r="AI2892">
        <f>IF(AND(OR(Company_Explorer!$B$5="All Companies",$E2892=Company_Explorer!$B$5),OR(Company_Explorer!$B$6="All Platforms",$B2892=Company_Explorer!$B$6),OR(Company_Explorer!$B$7="All Roles",$D2892=Company_Explorer!$B$7),OR(Company_Explorer!$B$8="All Ghost Labels",$AG2892=Company_Explorer!$B$8)),1,0)</f>
        <v>0</v>
      </c>
    </row>
    <row r="2893" spans="1:35" ht="15" customHeight="1" x14ac:dyDescent="0.3">
      <c r="A2893" s="65" t="s">
        <v>10976</v>
      </c>
      <c r="B2893" s="65" t="s">
        <v>82</v>
      </c>
      <c r="C2893" s="65" t="s">
        <v>10977</v>
      </c>
      <c r="D2893" s="65" t="s">
        <v>127</v>
      </c>
      <c r="E2893" s="65" t="s">
        <v>10978</v>
      </c>
      <c r="F2893" s="65" t="b">
        <f>TRUE()</f>
        <v>1</v>
      </c>
      <c r="G2893" s="65" t="s">
        <v>175</v>
      </c>
      <c r="H2893" s="65" t="s">
        <v>254</v>
      </c>
      <c r="I2893" s="66">
        <v>46209</v>
      </c>
      <c r="J2893" s="66">
        <v>46210.286595347199</v>
      </c>
      <c r="K2893" s="65">
        <v>123</v>
      </c>
      <c r="L2893" s="65" t="s">
        <v>183</v>
      </c>
      <c r="M2893" s="65" t="s">
        <v>183</v>
      </c>
      <c r="N2893" s="65" t="b">
        <f>TRUE()</f>
        <v>1</v>
      </c>
      <c r="O2893" s="71">
        <v>434000</v>
      </c>
      <c r="P2893" s="71">
        <v>700000</v>
      </c>
      <c r="Q2893" s="65" t="s">
        <v>3663</v>
      </c>
      <c r="R2893" s="65" t="s">
        <v>7351</v>
      </c>
      <c r="S2893" s="71">
        <v>567000</v>
      </c>
      <c r="T2893" s="65" t="b">
        <f>TRUE()</f>
        <v>1</v>
      </c>
      <c r="U2893" s="65" t="b">
        <f>FALSE()</f>
        <v>0</v>
      </c>
      <c r="V2893" s="65">
        <v>1660</v>
      </c>
      <c r="W2893" s="67" t="s">
        <v>10979</v>
      </c>
      <c r="X2893" s="65">
        <v>1</v>
      </c>
      <c r="Y2893" s="68">
        <v>0.24</v>
      </c>
      <c r="Z2893" s="65" t="b">
        <f>FALSE()</f>
        <v>0</v>
      </c>
      <c r="AA2893" s="65" t="b">
        <f>FALSE()</f>
        <v>0</v>
      </c>
      <c r="AB2893" s="65" t="b">
        <f>FALSE()</f>
        <v>0</v>
      </c>
      <c r="AC2893" s="65" t="b">
        <f>TRUE()</f>
        <v>1</v>
      </c>
      <c r="AD2893" s="65" t="b">
        <f>FALSE()</f>
        <v>0</v>
      </c>
      <c r="AE2893" s="65">
        <v>1</v>
      </c>
      <c r="AF2893" s="69">
        <v>14.3</v>
      </c>
      <c r="AG2893" s="65" t="s">
        <v>74</v>
      </c>
      <c r="AH2893" s="65" t="s">
        <v>10980</v>
      </c>
      <c r="AI2893">
        <f>IF(AND(OR(Company_Explorer!$B$5="All Companies",$E2893=Company_Explorer!$B$5),OR(Company_Explorer!$B$6="All Platforms",$B2893=Company_Explorer!$B$6),OR(Company_Explorer!$B$7="All Roles",$D2893=Company_Explorer!$B$7),OR(Company_Explorer!$B$8="All Ghost Labels",$AG2893=Company_Explorer!$B$8)),1,0)</f>
        <v>0</v>
      </c>
    </row>
    <row r="2894" spans="1:35" ht="15" customHeight="1" x14ac:dyDescent="0.3">
      <c r="A2894" s="60" t="s">
        <v>10981</v>
      </c>
      <c r="B2894" s="60" t="s">
        <v>82</v>
      </c>
      <c r="C2894" s="60" t="s">
        <v>10982</v>
      </c>
      <c r="D2894" s="60" t="s">
        <v>126</v>
      </c>
      <c r="E2894" s="60" t="s">
        <v>150</v>
      </c>
      <c r="F2894" s="60" t="b">
        <f>TRUE()</f>
        <v>1</v>
      </c>
      <c r="G2894" s="60" t="s">
        <v>166</v>
      </c>
      <c r="H2894" s="60" t="s">
        <v>235</v>
      </c>
      <c r="I2894" s="61">
        <v>46206</v>
      </c>
      <c r="J2894" s="61">
        <v>46210.286595428202</v>
      </c>
      <c r="K2894" s="60">
        <v>4</v>
      </c>
      <c r="L2894" s="60" t="s">
        <v>192</v>
      </c>
      <c r="M2894" s="60" t="s">
        <v>183</v>
      </c>
      <c r="N2894" s="60" t="b">
        <f>TRUE()</f>
        <v>1</v>
      </c>
      <c r="O2894" s="70">
        <v>544000</v>
      </c>
      <c r="P2894" s="70">
        <v>690000</v>
      </c>
      <c r="Q2894" s="60" t="s">
        <v>3663</v>
      </c>
      <c r="R2894" s="60" t="s">
        <v>7351</v>
      </c>
      <c r="S2894" s="70">
        <v>617000</v>
      </c>
      <c r="T2894" s="60" t="b">
        <f>TRUE()</f>
        <v>1</v>
      </c>
      <c r="U2894" s="60" t="b">
        <f>FALSE()</f>
        <v>0</v>
      </c>
      <c r="V2894" s="60">
        <v>514</v>
      </c>
      <c r="W2894" s="62" t="s">
        <v>3698</v>
      </c>
      <c r="X2894" s="60">
        <v>18</v>
      </c>
      <c r="Y2894" s="63">
        <v>4.34</v>
      </c>
      <c r="Z2894" s="60" t="b">
        <f>FALSE()</f>
        <v>0</v>
      </c>
      <c r="AA2894" s="60" t="b">
        <f>FALSE()</f>
        <v>0</v>
      </c>
      <c r="AB2894" s="60" t="b">
        <f>FALSE()</f>
        <v>0</v>
      </c>
      <c r="AC2894" s="60" t="b">
        <f>FALSE()</f>
        <v>0</v>
      </c>
      <c r="AD2894" s="60" t="b">
        <f>TRUE()</f>
        <v>1</v>
      </c>
      <c r="AE2894" s="60">
        <v>2</v>
      </c>
      <c r="AF2894" s="64">
        <v>28.6</v>
      </c>
      <c r="AG2894" s="60" t="s">
        <v>73</v>
      </c>
      <c r="AH2894" s="60" t="s">
        <v>10983</v>
      </c>
      <c r="AI2894">
        <f>IF(AND(OR(Company_Explorer!$B$5="All Companies",$E2894=Company_Explorer!$B$5),OR(Company_Explorer!$B$6="All Platforms",$B2894=Company_Explorer!$B$6),OR(Company_Explorer!$B$7="All Roles",$D2894=Company_Explorer!$B$7),OR(Company_Explorer!$B$8="All Ghost Labels",$AG2894=Company_Explorer!$B$8)),1,0)</f>
        <v>0</v>
      </c>
    </row>
    <row r="2895" spans="1:35" ht="15" customHeight="1" x14ac:dyDescent="0.3">
      <c r="A2895" s="65" t="s">
        <v>10984</v>
      </c>
      <c r="B2895" s="65" t="s">
        <v>82</v>
      </c>
      <c r="C2895" s="65" t="s">
        <v>10985</v>
      </c>
      <c r="D2895" s="65" t="s">
        <v>126</v>
      </c>
      <c r="E2895" s="65" t="s">
        <v>10986</v>
      </c>
      <c r="F2895" s="65" t="b">
        <f>TRUE()</f>
        <v>1</v>
      </c>
      <c r="G2895" s="65" t="s">
        <v>165</v>
      </c>
      <c r="H2895" s="65" t="s">
        <v>165</v>
      </c>
      <c r="I2895" s="66">
        <v>46193</v>
      </c>
      <c r="J2895" s="66">
        <v>46210.286598194398</v>
      </c>
      <c r="K2895" s="65">
        <v>17</v>
      </c>
      <c r="L2895" s="65" t="s">
        <v>192</v>
      </c>
      <c r="M2895" s="65" t="s">
        <v>183</v>
      </c>
      <c r="N2895" s="65" t="b">
        <f>FALSE()</f>
        <v>0</v>
      </c>
      <c r="O2895" s="65"/>
      <c r="P2895" s="65"/>
      <c r="Q2895" s="65" t="s">
        <v>3663</v>
      </c>
      <c r="R2895" s="65" t="s">
        <v>236</v>
      </c>
      <c r="S2895" s="65"/>
      <c r="T2895" s="65" t="b">
        <f>FALSE()</f>
        <v>0</v>
      </c>
      <c r="U2895" s="65" t="b">
        <f>FALSE()</f>
        <v>0</v>
      </c>
      <c r="V2895" s="65">
        <v>562</v>
      </c>
      <c r="W2895" s="65" t="s">
        <v>10987</v>
      </c>
      <c r="X2895" s="65">
        <v>1</v>
      </c>
      <c r="Y2895" s="68">
        <v>0.24</v>
      </c>
      <c r="Z2895" s="65" t="b">
        <f>FALSE()</f>
        <v>0</v>
      </c>
      <c r="AA2895" s="65" t="b">
        <f>TRUE()</f>
        <v>1</v>
      </c>
      <c r="AB2895" s="65" t="b">
        <f>FALSE()</f>
        <v>0</v>
      </c>
      <c r="AC2895" s="65" t="b">
        <f>FALSE()</f>
        <v>0</v>
      </c>
      <c r="AD2895" s="65" t="b">
        <f>FALSE()</f>
        <v>0</v>
      </c>
      <c r="AE2895" s="65">
        <v>1</v>
      </c>
      <c r="AF2895" s="69">
        <v>14.3</v>
      </c>
      <c r="AG2895" s="65" t="s">
        <v>74</v>
      </c>
      <c r="AH2895" s="65" t="s">
        <v>10988</v>
      </c>
      <c r="AI2895">
        <f>IF(AND(OR(Company_Explorer!$B$5="All Companies",$E2895=Company_Explorer!$B$5),OR(Company_Explorer!$B$6="All Platforms",$B2895=Company_Explorer!$B$6),OR(Company_Explorer!$B$7="All Roles",$D2895=Company_Explorer!$B$7),OR(Company_Explorer!$B$8="All Ghost Labels",$AG2895=Company_Explorer!$B$8)),1,0)</f>
        <v>0</v>
      </c>
    </row>
    <row r="2896" spans="1:35" ht="15" customHeight="1" x14ac:dyDescent="0.3">
      <c r="A2896" s="60" t="s">
        <v>10989</v>
      </c>
      <c r="B2896" s="60" t="s">
        <v>82</v>
      </c>
      <c r="C2896" s="60" t="s">
        <v>10990</v>
      </c>
      <c r="D2896" s="60" t="s">
        <v>126</v>
      </c>
      <c r="E2896" s="60" t="s">
        <v>10991</v>
      </c>
      <c r="F2896" s="60" t="b">
        <f>TRUE()</f>
        <v>1</v>
      </c>
      <c r="G2896" s="60" t="s">
        <v>165</v>
      </c>
      <c r="H2896" s="60" t="s">
        <v>165</v>
      </c>
      <c r="I2896" s="61">
        <v>46200</v>
      </c>
      <c r="J2896" s="61">
        <v>46210.286598518498</v>
      </c>
      <c r="K2896" s="60">
        <v>130</v>
      </c>
      <c r="L2896" s="60" t="s">
        <v>192</v>
      </c>
      <c r="M2896" s="60" t="s">
        <v>183</v>
      </c>
      <c r="N2896" s="60" t="b">
        <f>FALSE()</f>
        <v>0</v>
      </c>
      <c r="O2896" s="60"/>
      <c r="P2896" s="60"/>
      <c r="Q2896" s="60" t="s">
        <v>3663</v>
      </c>
      <c r="R2896" s="60" t="s">
        <v>236</v>
      </c>
      <c r="S2896" s="60"/>
      <c r="T2896" s="60" t="b">
        <f>FALSE()</f>
        <v>0</v>
      </c>
      <c r="U2896" s="60" t="b">
        <f>FALSE()</f>
        <v>0</v>
      </c>
      <c r="V2896" s="60">
        <v>555</v>
      </c>
      <c r="W2896" s="60" t="s">
        <v>10992</v>
      </c>
      <c r="X2896" s="60">
        <v>1</v>
      </c>
      <c r="Y2896" s="63">
        <v>0.24</v>
      </c>
      <c r="Z2896" s="60" t="b">
        <f>FALSE()</f>
        <v>0</v>
      </c>
      <c r="AA2896" s="60" t="b">
        <f>TRUE()</f>
        <v>1</v>
      </c>
      <c r="AB2896" s="60" t="b">
        <f>FALSE()</f>
        <v>0</v>
      </c>
      <c r="AC2896" s="60" t="b">
        <f>TRUE()</f>
        <v>1</v>
      </c>
      <c r="AD2896" s="60" t="b">
        <f>FALSE()</f>
        <v>0</v>
      </c>
      <c r="AE2896" s="60">
        <v>2</v>
      </c>
      <c r="AF2896" s="64">
        <v>28.6</v>
      </c>
      <c r="AG2896" s="60" t="s">
        <v>73</v>
      </c>
      <c r="AH2896" s="60" t="s">
        <v>10993</v>
      </c>
      <c r="AI2896">
        <f>IF(AND(OR(Company_Explorer!$B$5="All Companies",$E2896=Company_Explorer!$B$5),OR(Company_Explorer!$B$6="All Platforms",$B2896=Company_Explorer!$B$6),OR(Company_Explorer!$B$7="All Roles",$D2896=Company_Explorer!$B$7),OR(Company_Explorer!$B$8="All Ghost Labels",$AG2896=Company_Explorer!$B$8)),1,0)</f>
        <v>0</v>
      </c>
    </row>
    <row r="2897" spans="1:35" ht="15" customHeight="1" x14ac:dyDescent="0.3">
      <c r="A2897" s="65" t="s">
        <v>10994</v>
      </c>
      <c r="B2897" s="65" t="s">
        <v>82</v>
      </c>
      <c r="C2897" s="65" t="s">
        <v>10995</v>
      </c>
      <c r="D2897" s="65" t="s">
        <v>127</v>
      </c>
      <c r="E2897" s="65" t="s">
        <v>151</v>
      </c>
      <c r="F2897" s="65" t="b">
        <f>TRUE()</f>
        <v>1</v>
      </c>
      <c r="G2897" s="65" t="s">
        <v>165</v>
      </c>
      <c r="H2897" s="65" t="s">
        <v>165</v>
      </c>
      <c r="I2897" s="66">
        <v>46195</v>
      </c>
      <c r="J2897" s="66">
        <v>46210.286600405103</v>
      </c>
      <c r="K2897" s="65">
        <v>76</v>
      </c>
      <c r="L2897" s="65" t="s">
        <v>192</v>
      </c>
      <c r="M2897" s="65" t="s">
        <v>183</v>
      </c>
      <c r="N2897" s="65" t="b">
        <f>FALSE()</f>
        <v>0</v>
      </c>
      <c r="O2897" s="65"/>
      <c r="P2897" s="65"/>
      <c r="Q2897" s="65" t="s">
        <v>3663</v>
      </c>
      <c r="R2897" s="65" t="s">
        <v>236</v>
      </c>
      <c r="S2897" s="65"/>
      <c r="T2897" s="65" t="b">
        <f>FALSE()</f>
        <v>0</v>
      </c>
      <c r="U2897" s="65" t="b">
        <f>FALSE()</f>
        <v>0</v>
      </c>
      <c r="V2897" s="65">
        <v>681</v>
      </c>
      <c r="W2897" s="67" t="s">
        <v>10996</v>
      </c>
      <c r="X2897" s="65">
        <v>17</v>
      </c>
      <c r="Y2897" s="68">
        <v>4.0999999999999996</v>
      </c>
      <c r="Z2897" s="65" t="b">
        <f>FALSE()</f>
        <v>0</v>
      </c>
      <c r="AA2897" s="65" t="b">
        <f>TRUE()</f>
        <v>1</v>
      </c>
      <c r="AB2897" s="65" t="b">
        <f>FALSE()</f>
        <v>0</v>
      </c>
      <c r="AC2897" s="65" t="b">
        <f>FALSE()</f>
        <v>0</v>
      </c>
      <c r="AD2897" s="65" t="b">
        <f>TRUE()</f>
        <v>1</v>
      </c>
      <c r="AE2897" s="65">
        <v>3</v>
      </c>
      <c r="AF2897" s="69">
        <v>42.9</v>
      </c>
      <c r="AG2897" s="65" t="s">
        <v>73</v>
      </c>
      <c r="AH2897" s="65" t="s">
        <v>10997</v>
      </c>
      <c r="AI2897">
        <f>IF(AND(OR(Company_Explorer!$B$5="All Companies",$E2897=Company_Explorer!$B$5),OR(Company_Explorer!$B$6="All Platforms",$B2897=Company_Explorer!$B$6),OR(Company_Explorer!$B$7="All Roles",$D2897=Company_Explorer!$B$7),OR(Company_Explorer!$B$8="All Ghost Labels",$AG2897=Company_Explorer!$B$8)),1,0)</f>
        <v>0</v>
      </c>
    </row>
    <row r="2898" spans="1:35" ht="15" customHeight="1" x14ac:dyDescent="0.3">
      <c r="A2898" s="60" t="s">
        <v>10998</v>
      </c>
      <c r="B2898" s="60" t="s">
        <v>82</v>
      </c>
      <c r="C2898" s="60" t="s">
        <v>10999</v>
      </c>
      <c r="D2898" s="60" t="s">
        <v>125</v>
      </c>
      <c r="E2898" s="60" t="s">
        <v>9241</v>
      </c>
      <c r="F2898" s="60" t="b">
        <f>TRUE()</f>
        <v>1</v>
      </c>
      <c r="G2898" s="60" t="s">
        <v>165</v>
      </c>
      <c r="H2898" s="60" t="s">
        <v>165</v>
      </c>
      <c r="I2898" s="61">
        <v>46192</v>
      </c>
      <c r="J2898" s="61">
        <v>46210.286601423599</v>
      </c>
      <c r="K2898" s="60">
        <v>49</v>
      </c>
      <c r="L2898" s="60" t="s">
        <v>192</v>
      </c>
      <c r="M2898" s="60" t="s">
        <v>183</v>
      </c>
      <c r="N2898" s="60" t="b">
        <f>FALSE()</f>
        <v>0</v>
      </c>
      <c r="O2898" s="60"/>
      <c r="P2898" s="60"/>
      <c r="Q2898" s="60" t="s">
        <v>3663</v>
      </c>
      <c r="R2898" s="60" t="s">
        <v>236</v>
      </c>
      <c r="S2898" s="60"/>
      <c r="T2898" s="60" t="b">
        <f>FALSE()</f>
        <v>0</v>
      </c>
      <c r="U2898" s="60" t="b">
        <f>FALSE()</f>
        <v>0</v>
      </c>
      <c r="V2898" s="60">
        <v>84</v>
      </c>
      <c r="W2898" s="62" t="s">
        <v>11000</v>
      </c>
      <c r="X2898" s="60">
        <v>3</v>
      </c>
      <c r="Y2898" s="63">
        <v>0.72</v>
      </c>
      <c r="Z2898" s="60" t="b">
        <f>FALSE()</f>
        <v>0</v>
      </c>
      <c r="AA2898" s="60" t="b">
        <f>TRUE()</f>
        <v>1</v>
      </c>
      <c r="AB2898" s="60" t="b">
        <f>TRUE()</f>
        <v>1</v>
      </c>
      <c r="AC2898" s="60" t="b">
        <f>FALSE()</f>
        <v>0</v>
      </c>
      <c r="AD2898" s="60" t="b">
        <f>FALSE()</f>
        <v>0</v>
      </c>
      <c r="AE2898" s="60">
        <v>2</v>
      </c>
      <c r="AF2898" s="64">
        <v>28.6</v>
      </c>
      <c r="AG2898" s="60" t="s">
        <v>73</v>
      </c>
      <c r="AH2898" s="60" t="s">
        <v>11001</v>
      </c>
      <c r="AI2898">
        <f>IF(AND(OR(Company_Explorer!$B$5="All Companies",$E2898=Company_Explorer!$B$5),OR(Company_Explorer!$B$6="All Platforms",$B2898=Company_Explorer!$B$6),OR(Company_Explorer!$B$7="All Roles",$D2898=Company_Explorer!$B$7),OR(Company_Explorer!$B$8="All Ghost Labels",$AG2898=Company_Explorer!$B$8)),1,0)</f>
        <v>0</v>
      </c>
    </row>
    <row r="2899" spans="1:35" ht="15" customHeight="1" x14ac:dyDescent="0.3">
      <c r="A2899" s="65" t="s">
        <v>11002</v>
      </c>
      <c r="B2899" s="65" t="s">
        <v>82</v>
      </c>
      <c r="C2899" s="65" t="s">
        <v>5582</v>
      </c>
      <c r="D2899" s="65" t="s">
        <v>127</v>
      </c>
      <c r="E2899" s="65" t="s">
        <v>11003</v>
      </c>
      <c r="F2899" s="65" t="b">
        <f>TRUE()</f>
        <v>1</v>
      </c>
      <c r="G2899" s="65" t="s">
        <v>165</v>
      </c>
      <c r="H2899" s="65" t="s">
        <v>165</v>
      </c>
      <c r="I2899" s="66">
        <v>46208</v>
      </c>
      <c r="J2899" s="66">
        <v>46210.286601817097</v>
      </c>
      <c r="K2899" s="65">
        <v>32</v>
      </c>
      <c r="L2899" s="65" t="s">
        <v>192</v>
      </c>
      <c r="M2899" s="65" t="s">
        <v>183</v>
      </c>
      <c r="N2899" s="65" t="b">
        <f>FALSE()</f>
        <v>0</v>
      </c>
      <c r="O2899" s="65"/>
      <c r="P2899" s="65"/>
      <c r="Q2899" s="65" t="s">
        <v>3663</v>
      </c>
      <c r="R2899" s="65" t="s">
        <v>236</v>
      </c>
      <c r="S2899" s="65"/>
      <c r="T2899" s="65" t="b">
        <f>FALSE()</f>
        <v>0</v>
      </c>
      <c r="U2899" s="65" t="b">
        <f>FALSE()</f>
        <v>0</v>
      </c>
      <c r="V2899" s="65">
        <v>347</v>
      </c>
      <c r="W2899" s="67" t="s">
        <v>11004</v>
      </c>
      <c r="X2899" s="65">
        <v>1</v>
      </c>
      <c r="Y2899" s="68">
        <v>0.24</v>
      </c>
      <c r="Z2899" s="65" t="b">
        <f>FALSE()</f>
        <v>0</v>
      </c>
      <c r="AA2899" s="65" t="b">
        <f>TRUE()</f>
        <v>1</v>
      </c>
      <c r="AB2899" s="65" t="b">
        <f>FALSE()</f>
        <v>0</v>
      </c>
      <c r="AC2899" s="65" t="b">
        <f>FALSE()</f>
        <v>0</v>
      </c>
      <c r="AD2899" s="65" t="b">
        <f>FALSE()</f>
        <v>0</v>
      </c>
      <c r="AE2899" s="65">
        <v>1</v>
      </c>
      <c r="AF2899" s="69">
        <v>14.3</v>
      </c>
      <c r="AG2899" s="65" t="s">
        <v>74</v>
      </c>
      <c r="AH2899" s="65" t="s">
        <v>11005</v>
      </c>
      <c r="AI2899">
        <f>IF(AND(OR(Company_Explorer!$B$5="All Companies",$E2899=Company_Explorer!$B$5),OR(Company_Explorer!$B$6="All Platforms",$B2899=Company_Explorer!$B$6),OR(Company_Explorer!$B$7="All Roles",$D2899=Company_Explorer!$B$7),OR(Company_Explorer!$B$8="All Ghost Labels",$AG2899=Company_Explorer!$B$8)),1,0)</f>
        <v>0</v>
      </c>
    </row>
    <row r="2900" spans="1:35" ht="15" customHeight="1" x14ac:dyDescent="0.3">
      <c r="A2900" s="60" t="s">
        <v>11006</v>
      </c>
      <c r="B2900" s="60" t="s">
        <v>82</v>
      </c>
      <c r="C2900" s="60" t="s">
        <v>11007</v>
      </c>
      <c r="D2900" s="60" t="s">
        <v>126</v>
      </c>
      <c r="E2900" s="60" t="s">
        <v>11008</v>
      </c>
      <c r="F2900" s="60" t="b">
        <f>TRUE()</f>
        <v>1</v>
      </c>
      <c r="G2900" s="60" t="s">
        <v>165</v>
      </c>
      <c r="H2900" s="60" t="s">
        <v>165</v>
      </c>
      <c r="I2900" s="61">
        <v>46183</v>
      </c>
      <c r="J2900" s="61">
        <v>46210.2866031597</v>
      </c>
      <c r="K2900" s="60">
        <v>88</v>
      </c>
      <c r="L2900" s="60" t="s">
        <v>192</v>
      </c>
      <c r="M2900" s="60" t="s">
        <v>183</v>
      </c>
      <c r="N2900" s="60" t="b">
        <f>FALSE()</f>
        <v>0</v>
      </c>
      <c r="O2900" s="60"/>
      <c r="P2900" s="60"/>
      <c r="Q2900" s="60" t="s">
        <v>3663</v>
      </c>
      <c r="R2900" s="60" t="s">
        <v>236</v>
      </c>
      <c r="S2900" s="60"/>
      <c r="T2900" s="60" t="b">
        <f>FALSE()</f>
        <v>0</v>
      </c>
      <c r="U2900" s="60" t="b">
        <f>FALSE()</f>
        <v>0</v>
      </c>
      <c r="V2900" s="60">
        <v>717</v>
      </c>
      <c r="W2900" s="62" t="s">
        <v>11009</v>
      </c>
      <c r="X2900" s="60">
        <v>1</v>
      </c>
      <c r="Y2900" s="63">
        <v>0.24</v>
      </c>
      <c r="Z2900" s="60" t="b">
        <f>FALSE()</f>
        <v>0</v>
      </c>
      <c r="AA2900" s="60" t="b">
        <f>TRUE()</f>
        <v>1</v>
      </c>
      <c r="AB2900" s="60" t="b">
        <f>FALSE()</f>
        <v>0</v>
      </c>
      <c r="AC2900" s="60" t="b">
        <f>FALSE()</f>
        <v>0</v>
      </c>
      <c r="AD2900" s="60" t="b">
        <f>FALSE()</f>
        <v>0</v>
      </c>
      <c r="AE2900" s="60">
        <v>1</v>
      </c>
      <c r="AF2900" s="64">
        <v>14.3</v>
      </c>
      <c r="AG2900" s="60" t="s">
        <v>74</v>
      </c>
      <c r="AH2900" s="60" t="s">
        <v>11010</v>
      </c>
      <c r="AI2900">
        <f>IF(AND(OR(Company_Explorer!$B$5="All Companies",$E2900=Company_Explorer!$B$5),OR(Company_Explorer!$B$6="All Platforms",$B2900=Company_Explorer!$B$6),OR(Company_Explorer!$B$7="All Roles",$D2900=Company_Explorer!$B$7),OR(Company_Explorer!$B$8="All Ghost Labels",$AG2900=Company_Explorer!$B$8)),1,0)</f>
        <v>0</v>
      </c>
    </row>
    <row r="2901" spans="1:35" ht="15" customHeight="1" x14ac:dyDescent="0.3">
      <c r="A2901" s="65" t="s">
        <v>11011</v>
      </c>
      <c r="B2901" s="65" t="s">
        <v>82</v>
      </c>
      <c r="C2901" s="65" t="s">
        <v>11012</v>
      </c>
      <c r="D2901" s="65" t="s">
        <v>126</v>
      </c>
      <c r="E2901" s="65" t="s">
        <v>150</v>
      </c>
      <c r="F2901" s="65" t="b">
        <f>TRUE()</f>
        <v>1</v>
      </c>
      <c r="G2901" s="65" t="s">
        <v>166</v>
      </c>
      <c r="H2901" s="65" t="s">
        <v>235</v>
      </c>
      <c r="I2901" s="66">
        <v>46199</v>
      </c>
      <c r="J2901" s="66">
        <v>46210.2866032292</v>
      </c>
      <c r="K2901" s="65">
        <v>11</v>
      </c>
      <c r="L2901" s="65" t="s">
        <v>192</v>
      </c>
      <c r="M2901" s="65" t="s">
        <v>183</v>
      </c>
      <c r="N2901" s="65" t="b">
        <f>TRUE()</f>
        <v>1</v>
      </c>
      <c r="O2901" s="71">
        <v>518000</v>
      </c>
      <c r="P2901" s="71">
        <v>950000</v>
      </c>
      <c r="Q2901" s="65" t="s">
        <v>3663</v>
      </c>
      <c r="R2901" s="65" t="s">
        <v>7351</v>
      </c>
      <c r="S2901" s="71">
        <v>734000</v>
      </c>
      <c r="T2901" s="65" t="b">
        <f>TRUE()</f>
        <v>1</v>
      </c>
      <c r="U2901" s="65" t="b">
        <f>FALSE()</f>
        <v>0</v>
      </c>
      <c r="V2901" s="65">
        <v>944</v>
      </c>
      <c r="W2901" s="67" t="s">
        <v>3698</v>
      </c>
      <c r="X2901" s="65">
        <v>18</v>
      </c>
      <c r="Y2901" s="68">
        <v>4.34</v>
      </c>
      <c r="Z2901" s="65" t="b">
        <f>FALSE()</f>
        <v>0</v>
      </c>
      <c r="AA2901" s="65" t="b">
        <f>FALSE()</f>
        <v>0</v>
      </c>
      <c r="AB2901" s="65" t="b">
        <f>FALSE()</f>
        <v>0</v>
      </c>
      <c r="AC2901" s="65" t="b">
        <f>FALSE()</f>
        <v>0</v>
      </c>
      <c r="AD2901" s="65" t="b">
        <f>TRUE()</f>
        <v>1</v>
      </c>
      <c r="AE2901" s="65">
        <v>2</v>
      </c>
      <c r="AF2901" s="69">
        <v>28.6</v>
      </c>
      <c r="AG2901" s="65" t="s">
        <v>73</v>
      </c>
      <c r="AH2901" s="65" t="s">
        <v>11013</v>
      </c>
      <c r="AI2901">
        <f>IF(AND(OR(Company_Explorer!$B$5="All Companies",$E2901=Company_Explorer!$B$5),OR(Company_Explorer!$B$6="All Platforms",$B2901=Company_Explorer!$B$6),OR(Company_Explorer!$B$7="All Roles",$D2901=Company_Explorer!$B$7),OR(Company_Explorer!$B$8="All Ghost Labels",$AG2901=Company_Explorer!$B$8)),1,0)</f>
        <v>0</v>
      </c>
    </row>
    <row r="2902" spans="1:35" ht="15" customHeight="1" x14ac:dyDescent="0.3">
      <c r="A2902" s="60" t="s">
        <v>11014</v>
      </c>
      <c r="B2902" s="60" t="s">
        <v>82</v>
      </c>
      <c r="C2902" s="60" t="s">
        <v>11015</v>
      </c>
      <c r="D2902" s="60" t="s">
        <v>127</v>
      </c>
      <c r="E2902" s="60" t="s">
        <v>11016</v>
      </c>
      <c r="F2902" s="60" t="b">
        <f>TRUE()</f>
        <v>1</v>
      </c>
      <c r="G2902" s="60" t="s">
        <v>11017</v>
      </c>
      <c r="H2902" s="60" t="s">
        <v>11018</v>
      </c>
      <c r="I2902" s="61">
        <v>46197</v>
      </c>
      <c r="J2902" s="61">
        <v>46210.286604768502</v>
      </c>
      <c r="K2902" s="60">
        <v>133</v>
      </c>
      <c r="L2902" s="60" t="s">
        <v>183</v>
      </c>
      <c r="M2902" s="60" t="s">
        <v>183</v>
      </c>
      <c r="N2902" s="60" t="b">
        <f>TRUE()</f>
        <v>1</v>
      </c>
      <c r="O2902" s="70">
        <v>250000</v>
      </c>
      <c r="P2902" s="70">
        <v>742500</v>
      </c>
      <c r="Q2902" s="60" t="s">
        <v>3663</v>
      </c>
      <c r="R2902" s="60" t="s">
        <v>7351</v>
      </c>
      <c r="S2902" s="70">
        <v>496250</v>
      </c>
      <c r="T2902" s="60" t="b">
        <f>TRUE()</f>
        <v>1</v>
      </c>
      <c r="U2902" s="60" t="b">
        <f>FALSE()</f>
        <v>0</v>
      </c>
      <c r="V2902" s="60">
        <v>101</v>
      </c>
      <c r="W2902" s="62" t="s">
        <v>11019</v>
      </c>
      <c r="X2902" s="60">
        <v>1</v>
      </c>
      <c r="Y2902" s="63">
        <v>0.24</v>
      </c>
      <c r="Z2902" s="60" t="b">
        <f>FALSE()</f>
        <v>0</v>
      </c>
      <c r="AA2902" s="60" t="b">
        <f>FALSE()</f>
        <v>0</v>
      </c>
      <c r="AB2902" s="60" t="b">
        <f>TRUE()</f>
        <v>1</v>
      </c>
      <c r="AC2902" s="60" t="b">
        <f>TRUE()</f>
        <v>1</v>
      </c>
      <c r="AD2902" s="60" t="b">
        <f>FALSE()</f>
        <v>0</v>
      </c>
      <c r="AE2902" s="60">
        <v>2</v>
      </c>
      <c r="AF2902" s="64">
        <v>28.6</v>
      </c>
      <c r="AG2902" s="60" t="s">
        <v>73</v>
      </c>
      <c r="AH2902" s="60" t="s">
        <v>11020</v>
      </c>
      <c r="AI2902">
        <f>IF(AND(OR(Company_Explorer!$B$5="All Companies",$E2902=Company_Explorer!$B$5),OR(Company_Explorer!$B$6="All Platforms",$B2902=Company_Explorer!$B$6),OR(Company_Explorer!$B$7="All Roles",$D2902=Company_Explorer!$B$7),OR(Company_Explorer!$B$8="All Ghost Labels",$AG2902=Company_Explorer!$B$8)),1,0)</f>
        <v>0</v>
      </c>
    </row>
    <row r="2903" spans="1:35" ht="15" customHeight="1" x14ac:dyDescent="0.3">
      <c r="A2903" s="65" t="s">
        <v>11021</v>
      </c>
      <c r="B2903" s="65" t="s">
        <v>82</v>
      </c>
      <c r="C2903" s="65" t="s">
        <v>11022</v>
      </c>
      <c r="D2903" s="65" t="s">
        <v>126</v>
      </c>
      <c r="E2903" s="65" t="s">
        <v>11023</v>
      </c>
      <c r="F2903" s="65" t="b">
        <f>TRUE()</f>
        <v>1</v>
      </c>
      <c r="G2903" s="65" t="s">
        <v>167</v>
      </c>
      <c r="H2903" s="65" t="s">
        <v>276</v>
      </c>
      <c r="I2903" s="66">
        <v>46190</v>
      </c>
      <c r="J2903" s="66">
        <v>46210.286604838002</v>
      </c>
      <c r="K2903" s="65">
        <v>21</v>
      </c>
      <c r="L2903" s="65" t="s">
        <v>192</v>
      </c>
      <c r="M2903" s="65" t="s">
        <v>183</v>
      </c>
      <c r="N2903" s="65" t="b">
        <f>TRUE()</f>
        <v>1</v>
      </c>
      <c r="O2903" s="71">
        <v>587200</v>
      </c>
      <c r="P2903" s="71">
        <v>1605409</v>
      </c>
      <c r="Q2903" s="65" t="s">
        <v>3663</v>
      </c>
      <c r="R2903" s="65" t="s">
        <v>7351</v>
      </c>
      <c r="S2903" s="71">
        <v>1096304</v>
      </c>
      <c r="T2903" s="65" t="b">
        <f>TRUE()</f>
        <v>1</v>
      </c>
      <c r="U2903" s="65" t="b">
        <f>FALSE()</f>
        <v>0</v>
      </c>
      <c r="V2903" s="65">
        <v>73</v>
      </c>
      <c r="W2903" s="67" t="s">
        <v>11024</v>
      </c>
      <c r="X2903" s="65">
        <v>1</v>
      </c>
      <c r="Y2903" s="68">
        <v>0.24</v>
      </c>
      <c r="Z2903" s="65" t="b">
        <f>FALSE()</f>
        <v>0</v>
      </c>
      <c r="AA2903" s="65" t="b">
        <f>FALSE()</f>
        <v>0</v>
      </c>
      <c r="AB2903" s="65" t="b">
        <f>TRUE()</f>
        <v>1</v>
      </c>
      <c r="AC2903" s="65" t="b">
        <f>FALSE()</f>
        <v>0</v>
      </c>
      <c r="AD2903" s="65" t="b">
        <f>FALSE()</f>
        <v>0</v>
      </c>
      <c r="AE2903" s="65">
        <v>1</v>
      </c>
      <c r="AF2903" s="69">
        <v>14.3</v>
      </c>
      <c r="AG2903" s="65" t="s">
        <v>74</v>
      </c>
      <c r="AH2903" s="65" t="s">
        <v>11025</v>
      </c>
      <c r="AI2903">
        <f>IF(AND(OR(Company_Explorer!$B$5="All Companies",$E2903=Company_Explorer!$B$5),OR(Company_Explorer!$B$6="All Platforms",$B2903=Company_Explorer!$B$6),OR(Company_Explorer!$B$7="All Roles",$D2903=Company_Explorer!$B$7),OR(Company_Explorer!$B$8="All Ghost Labels",$AG2903=Company_Explorer!$B$8)),1,0)</f>
        <v>0</v>
      </c>
    </row>
    <row r="2904" spans="1:35" ht="15" customHeight="1" x14ac:dyDescent="0.3">
      <c r="A2904" s="60" t="s">
        <v>11026</v>
      </c>
      <c r="B2904" s="60" t="s">
        <v>82</v>
      </c>
      <c r="C2904" s="60" t="s">
        <v>3867</v>
      </c>
      <c r="D2904" s="60" t="s">
        <v>127</v>
      </c>
      <c r="E2904" s="60" t="s">
        <v>7427</v>
      </c>
      <c r="F2904" s="60" t="b">
        <f>TRUE()</f>
        <v>1</v>
      </c>
      <c r="G2904" s="60" t="s">
        <v>165</v>
      </c>
      <c r="H2904" s="60" t="s">
        <v>165</v>
      </c>
      <c r="I2904" s="61">
        <v>46211</v>
      </c>
      <c r="J2904" s="61">
        <v>46210.286604803201</v>
      </c>
      <c r="K2904" s="60">
        <v>0</v>
      </c>
      <c r="L2904" s="60" t="s">
        <v>192</v>
      </c>
      <c r="M2904" s="60" t="s">
        <v>183</v>
      </c>
      <c r="N2904" s="60" t="b">
        <f>FALSE()</f>
        <v>0</v>
      </c>
      <c r="O2904" s="60"/>
      <c r="P2904" s="60"/>
      <c r="Q2904" s="60" t="s">
        <v>3663</v>
      </c>
      <c r="R2904" s="60" t="s">
        <v>236</v>
      </c>
      <c r="S2904" s="60"/>
      <c r="T2904" s="60" t="b">
        <f>FALSE()</f>
        <v>0</v>
      </c>
      <c r="U2904" s="60" t="b">
        <f>FALSE()</f>
        <v>0</v>
      </c>
      <c r="V2904" s="60">
        <v>556</v>
      </c>
      <c r="W2904" s="62" t="s">
        <v>3869</v>
      </c>
      <c r="X2904" s="60">
        <v>2</v>
      </c>
      <c r="Y2904" s="63">
        <v>0.48</v>
      </c>
      <c r="Z2904" s="60" t="b">
        <f>FALSE()</f>
        <v>0</v>
      </c>
      <c r="AA2904" s="60" t="b">
        <f>TRUE()</f>
        <v>1</v>
      </c>
      <c r="AB2904" s="60" t="b">
        <f>FALSE()</f>
        <v>0</v>
      </c>
      <c r="AC2904" s="60" t="b">
        <f>FALSE()</f>
        <v>0</v>
      </c>
      <c r="AD2904" s="60" t="b">
        <f>FALSE()</f>
        <v>0</v>
      </c>
      <c r="AE2904" s="60">
        <v>1</v>
      </c>
      <c r="AF2904" s="64">
        <v>14.3</v>
      </c>
      <c r="AG2904" s="60" t="s">
        <v>74</v>
      </c>
      <c r="AH2904" s="60" t="s">
        <v>11027</v>
      </c>
      <c r="AI2904">
        <f>IF(AND(OR(Company_Explorer!$B$5="All Companies",$E2904=Company_Explorer!$B$5),OR(Company_Explorer!$B$6="All Platforms",$B2904=Company_Explorer!$B$6),OR(Company_Explorer!$B$7="All Roles",$D2904=Company_Explorer!$B$7),OR(Company_Explorer!$B$8="All Ghost Labels",$AG2904=Company_Explorer!$B$8)),1,0)</f>
        <v>0</v>
      </c>
    </row>
    <row r="2905" spans="1:35" ht="15" customHeight="1" x14ac:dyDescent="0.3">
      <c r="A2905" s="65" t="s">
        <v>11028</v>
      </c>
      <c r="B2905" s="65" t="s">
        <v>82</v>
      </c>
      <c r="C2905" s="65" t="s">
        <v>11029</v>
      </c>
      <c r="D2905" s="65" t="s">
        <v>126</v>
      </c>
      <c r="E2905" s="65" t="s">
        <v>10758</v>
      </c>
      <c r="F2905" s="65" t="b">
        <f>TRUE()</f>
        <v>1</v>
      </c>
      <c r="G2905" s="65" t="s">
        <v>165</v>
      </c>
      <c r="H2905" s="65" t="s">
        <v>165</v>
      </c>
      <c r="I2905" s="66">
        <v>46187</v>
      </c>
      <c r="J2905" s="66">
        <v>46210.286606203699</v>
      </c>
      <c r="K2905" s="65">
        <v>54</v>
      </c>
      <c r="L2905" s="65" t="s">
        <v>183</v>
      </c>
      <c r="M2905" s="65" t="s">
        <v>183</v>
      </c>
      <c r="N2905" s="65" t="b">
        <f>FALSE()</f>
        <v>0</v>
      </c>
      <c r="O2905" s="65"/>
      <c r="P2905" s="65"/>
      <c r="Q2905" s="65" t="s">
        <v>3663</v>
      </c>
      <c r="R2905" s="65" t="s">
        <v>236</v>
      </c>
      <c r="S2905" s="65"/>
      <c r="T2905" s="65" t="b">
        <f>FALSE()</f>
        <v>0</v>
      </c>
      <c r="U2905" s="65" t="b">
        <f>FALSE()</f>
        <v>0</v>
      </c>
      <c r="V2905" s="65">
        <v>735</v>
      </c>
      <c r="W2905" s="67" t="s">
        <v>11030</v>
      </c>
      <c r="X2905" s="65">
        <v>2</v>
      </c>
      <c r="Y2905" s="68">
        <v>0.48</v>
      </c>
      <c r="Z2905" s="65" t="b">
        <f>FALSE()</f>
        <v>0</v>
      </c>
      <c r="AA2905" s="65" t="b">
        <f>TRUE()</f>
        <v>1</v>
      </c>
      <c r="AB2905" s="65" t="b">
        <f>FALSE()</f>
        <v>0</v>
      </c>
      <c r="AC2905" s="65" t="b">
        <f>FALSE()</f>
        <v>0</v>
      </c>
      <c r="AD2905" s="65" t="b">
        <f>FALSE()</f>
        <v>0</v>
      </c>
      <c r="AE2905" s="65">
        <v>1</v>
      </c>
      <c r="AF2905" s="69">
        <v>14.3</v>
      </c>
      <c r="AG2905" s="65" t="s">
        <v>74</v>
      </c>
      <c r="AH2905" s="65" t="s">
        <v>11031</v>
      </c>
      <c r="AI2905">
        <f>IF(AND(OR(Company_Explorer!$B$5="All Companies",$E2905=Company_Explorer!$B$5),OR(Company_Explorer!$B$6="All Platforms",$B2905=Company_Explorer!$B$6),OR(Company_Explorer!$B$7="All Roles",$D2905=Company_Explorer!$B$7),OR(Company_Explorer!$B$8="All Ghost Labels",$AG2905=Company_Explorer!$B$8)),1,0)</f>
        <v>0</v>
      </c>
    </row>
    <row r="2906" spans="1:35" ht="15" customHeight="1" x14ac:dyDescent="0.3">
      <c r="A2906" s="60" t="s">
        <v>11032</v>
      </c>
      <c r="B2906" s="60" t="s">
        <v>82</v>
      </c>
      <c r="C2906" s="60" t="s">
        <v>5582</v>
      </c>
      <c r="D2906" s="60" t="s">
        <v>127</v>
      </c>
      <c r="E2906" s="60" t="s">
        <v>4040</v>
      </c>
      <c r="F2906" s="60" t="b">
        <f>TRUE()</f>
        <v>1</v>
      </c>
      <c r="G2906" s="60" t="s">
        <v>165</v>
      </c>
      <c r="H2906" s="60" t="s">
        <v>165</v>
      </c>
      <c r="I2906" s="61">
        <v>46183</v>
      </c>
      <c r="J2906" s="61">
        <v>46210.286608240698</v>
      </c>
      <c r="K2906" s="60">
        <v>89</v>
      </c>
      <c r="L2906" s="60" t="s">
        <v>183</v>
      </c>
      <c r="M2906" s="60" t="s">
        <v>183</v>
      </c>
      <c r="N2906" s="60" t="b">
        <f>FALSE()</f>
        <v>0</v>
      </c>
      <c r="O2906" s="60"/>
      <c r="P2906" s="60"/>
      <c r="Q2906" s="60" t="s">
        <v>3663</v>
      </c>
      <c r="R2906" s="60" t="s">
        <v>236</v>
      </c>
      <c r="S2906" s="60"/>
      <c r="T2906" s="60" t="b">
        <f>FALSE()</f>
        <v>0</v>
      </c>
      <c r="U2906" s="60" t="b">
        <f>FALSE()</f>
        <v>0</v>
      </c>
      <c r="V2906" s="60">
        <v>147</v>
      </c>
      <c r="W2906" s="62" t="s">
        <v>11033</v>
      </c>
      <c r="X2906" s="60">
        <v>2</v>
      </c>
      <c r="Y2906" s="63">
        <v>0.48</v>
      </c>
      <c r="Z2906" s="60" t="b">
        <f>FALSE()</f>
        <v>0</v>
      </c>
      <c r="AA2906" s="60" t="b">
        <f>TRUE()</f>
        <v>1</v>
      </c>
      <c r="AB2906" s="60" t="b">
        <f>TRUE()</f>
        <v>1</v>
      </c>
      <c r="AC2906" s="60" t="b">
        <f>FALSE()</f>
        <v>0</v>
      </c>
      <c r="AD2906" s="60" t="b">
        <f>FALSE()</f>
        <v>0</v>
      </c>
      <c r="AE2906" s="60">
        <v>2</v>
      </c>
      <c r="AF2906" s="64">
        <v>28.6</v>
      </c>
      <c r="AG2906" s="60" t="s">
        <v>73</v>
      </c>
      <c r="AH2906" s="60" t="s">
        <v>11034</v>
      </c>
      <c r="AI2906">
        <f>IF(AND(OR(Company_Explorer!$B$5="All Companies",$E2906=Company_Explorer!$B$5),OR(Company_Explorer!$B$6="All Platforms",$B2906=Company_Explorer!$B$6),OR(Company_Explorer!$B$7="All Roles",$D2906=Company_Explorer!$B$7),OR(Company_Explorer!$B$8="All Ghost Labels",$AG2906=Company_Explorer!$B$8)),1,0)</f>
        <v>0</v>
      </c>
    </row>
    <row r="2907" spans="1:35" ht="15" customHeight="1" x14ac:dyDescent="0.3">
      <c r="A2907" s="65" t="s">
        <v>11035</v>
      </c>
      <c r="B2907" s="65" t="s">
        <v>82</v>
      </c>
      <c r="C2907" s="65" t="s">
        <v>11036</v>
      </c>
      <c r="D2907" s="65" t="s">
        <v>127</v>
      </c>
      <c r="E2907" s="65" t="s">
        <v>10712</v>
      </c>
      <c r="F2907" s="65" t="b">
        <f>TRUE()</f>
        <v>1</v>
      </c>
      <c r="G2907" s="65" t="s">
        <v>166</v>
      </c>
      <c r="H2907" s="65" t="s">
        <v>235</v>
      </c>
      <c r="I2907" s="66">
        <v>46186</v>
      </c>
      <c r="J2907" s="66">
        <v>46210.286609965297</v>
      </c>
      <c r="K2907" s="65">
        <v>24</v>
      </c>
      <c r="L2907" s="65" t="s">
        <v>183</v>
      </c>
      <c r="M2907" s="65" t="s">
        <v>183</v>
      </c>
      <c r="N2907" s="65" t="b">
        <f>TRUE()</f>
        <v>1</v>
      </c>
      <c r="O2907" s="71">
        <v>1000000</v>
      </c>
      <c r="P2907" s="71">
        <v>1000000</v>
      </c>
      <c r="Q2907" s="65" t="s">
        <v>3663</v>
      </c>
      <c r="R2907" s="65" t="s">
        <v>7351</v>
      </c>
      <c r="S2907" s="71">
        <v>1000000</v>
      </c>
      <c r="T2907" s="65" t="b">
        <f>TRUE()</f>
        <v>1</v>
      </c>
      <c r="U2907" s="65" t="b">
        <f>FALSE()</f>
        <v>0</v>
      </c>
      <c r="V2907" s="65">
        <v>743</v>
      </c>
      <c r="W2907" s="67" t="s">
        <v>11037</v>
      </c>
      <c r="X2907" s="65">
        <v>2</v>
      </c>
      <c r="Y2907" s="68">
        <v>0.48</v>
      </c>
      <c r="Z2907" s="65" t="b">
        <f>FALSE()</f>
        <v>0</v>
      </c>
      <c r="AA2907" s="65" t="b">
        <f>FALSE()</f>
        <v>0</v>
      </c>
      <c r="AB2907" s="65" t="b">
        <f>FALSE()</f>
        <v>0</v>
      </c>
      <c r="AC2907" s="65" t="b">
        <f>FALSE()</f>
        <v>0</v>
      </c>
      <c r="AD2907" s="65" t="b">
        <f>FALSE()</f>
        <v>0</v>
      </c>
      <c r="AE2907" s="65">
        <v>0</v>
      </c>
      <c r="AF2907" s="69">
        <v>0</v>
      </c>
      <c r="AG2907" s="65" t="s">
        <v>74</v>
      </c>
      <c r="AH2907" s="65" t="s">
        <v>11038</v>
      </c>
      <c r="AI2907">
        <f>IF(AND(OR(Company_Explorer!$B$5="All Companies",$E2907=Company_Explorer!$B$5),OR(Company_Explorer!$B$6="All Platforms",$B2907=Company_Explorer!$B$6),OR(Company_Explorer!$B$7="All Roles",$D2907=Company_Explorer!$B$7),OR(Company_Explorer!$B$8="All Ghost Labels",$AG2907=Company_Explorer!$B$8)),1,0)</f>
        <v>0</v>
      </c>
    </row>
    <row r="2908" spans="1:35" ht="15" customHeight="1" x14ac:dyDescent="0.3">
      <c r="A2908" s="60" t="s">
        <v>11039</v>
      </c>
      <c r="B2908" s="60" t="s">
        <v>82</v>
      </c>
      <c r="C2908" s="60" t="s">
        <v>11040</v>
      </c>
      <c r="D2908" s="60" t="s">
        <v>126</v>
      </c>
      <c r="E2908" s="60" t="s">
        <v>8702</v>
      </c>
      <c r="F2908" s="60" t="b">
        <f>TRUE()</f>
        <v>1</v>
      </c>
      <c r="G2908" s="60" t="s">
        <v>175</v>
      </c>
      <c r="H2908" s="60" t="s">
        <v>254</v>
      </c>
      <c r="I2908" s="61">
        <v>46205</v>
      </c>
      <c r="J2908" s="61">
        <v>46210.286610729199</v>
      </c>
      <c r="K2908" s="60">
        <v>5</v>
      </c>
      <c r="L2908" s="60" t="s">
        <v>192</v>
      </c>
      <c r="M2908" s="60" t="s">
        <v>183</v>
      </c>
      <c r="N2908" s="60" t="b">
        <f>FALSE()</f>
        <v>0</v>
      </c>
      <c r="O2908" s="60"/>
      <c r="P2908" s="60"/>
      <c r="Q2908" s="60" t="s">
        <v>3663</v>
      </c>
      <c r="R2908" s="60" t="s">
        <v>236</v>
      </c>
      <c r="S2908" s="60"/>
      <c r="T2908" s="60" t="b">
        <f>FALSE()</f>
        <v>0</v>
      </c>
      <c r="U2908" s="60" t="b">
        <f>FALSE()</f>
        <v>0</v>
      </c>
      <c r="V2908" s="60">
        <v>517</v>
      </c>
      <c r="W2908" s="60" t="s">
        <v>11041</v>
      </c>
      <c r="X2908" s="60">
        <v>7</v>
      </c>
      <c r="Y2908" s="63">
        <v>1.69</v>
      </c>
      <c r="Z2908" s="60" t="b">
        <f>FALSE()</f>
        <v>0</v>
      </c>
      <c r="AA2908" s="60" t="b">
        <f>TRUE()</f>
        <v>1</v>
      </c>
      <c r="AB2908" s="60" t="b">
        <f>FALSE()</f>
        <v>0</v>
      </c>
      <c r="AC2908" s="60" t="b">
        <f>FALSE()</f>
        <v>0</v>
      </c>
      <c r="AD2908" s="60" t="b">
        <f>FALSE()</f>
        <v>0</v>
      </c>
      <c r="AE2908" s="60">
        <v>1</v>
      </c>
      <c r="AF2908" s="64">
        <v>14.3</v>
      </c>
      <c r="AG2908" s="60" t="s">
        <v>74</v>
      </c>
      <c r="AH2908" s="60" t="s">
        <v>11042</v>
      </c>
      <c r="AI2908">
        <f>IF(AND(OR(Company_Explorer!$B$5="All Companies",$E2908=Company_Explorer!$B$5),OR(Company_Explorer!$B$6="All Platforms",$B2908=Company_Explorer!$B$6),OR(Company_Explorer!$B$7="All Roles",$D2908=Company_Explorer!$B$7),OR(Company_Explorer!$B$8="All Ghost Labels",$AG2908=Company_Explorer!$B$8)),1,0)</f>
        <v>0</v>
      </c>
    </row>
    <row r="2909" spans="1:35" ht="15" customHeight="1" x14ac:dyDescent="0.3">
      <c r="A2909" s="65" t="s">
        <v>11043</v>
      </c>
      <c r="B2909" s="65" t="s">
        <v>82</v>
      </c>
      <c r="C2909" s="65" t="s">
        <v>11044</v>
      </c>
      <c r="D2909" s="65" t="s">
        <v>133</v>
      </c>
      <c r="E2909" s="65" t="s">
        <v>11045</v>
      </c>
      <c r="F2909" s="65" t="b">
        <f>TRUE()</f>
        <v>1</v>
      </c>
      <c r="G2909" s="65" t="s">
        <v>165</v>
      </c>
      <c r="H2909" s="65" t="s">
        <v>165</v>
      </c>
      <c r="I2909" s="66">
        <v>46190</v>
      </c>
      <c r="J2909" s="66">
        <v>46210.286611018499</v>
      </c>
      <c r="K2909" s="65">
        <v>81</v>
      </c>
      <c r="L2909" s="65" t="s">
        <v>183</v>
      </c>
      <c r="M2909" s="65" t="s">
        <v>183</v>
      </c>
      <c r="N2909" s="65" t="b">
        <f>FALSE()</f>
        <v>0</v>
      </c>
      <c r="O2909" s="65"/>
      <c r="P2909" s="65"/>
      <c r="Q2909" s="65" t="s">
        <v>3663</v>
      </c>
      <c r="R2909" s="65" t="s">
        <v>236</v>
      </c>
      <c r="S2909" s="65"/>
      <c r="T2909" s="65" t="b">
        <f>FALSE()</f>
        <v>0</v>
      </c>
      <c r="U2909" s="65" t="b">
        <f>FALSE()</f>
        <v>0</v>
      </c>
      <c r="V2909" s="65">
        <v>1213</v>
      </c>
      <c r="W2909" s="65" t="s">
        <v>11046</v>
      </c>
      <c r="X2909" s="65">
        <v>1</v>
      </c>
      <c r="Y2909" s="68">
        <v>0.24</v>
      </c>
      <c r="Z2909" s="65" t="b">
        <f>FALSE()</f>
        <v>0</v>
      </c>
      <c r="AA2909" s="65" t="b">
        <f>TRUE()</f>
        <v>1</v>
      </c>
      <c r="AB2909" s="65" t="b">
        <f>FALSE()</f>
        <v>0</v>
      </c>
      <c r="AC2909" s="65" t="b">
        <f>FALSE()</f>
        <v>0</v>
      </c>
      <c r="AD2909" s="65" t="b">
        <f>FALSE()</f>
        <v>0</v>
      </c>
      <c r="AE2909" s="65">
        <v>1</v>
      </c>
      <c r="AF2909" s="69">
        <v>14.3</v>
      </c>
      <c r="AG2909" s="65" t="s">
        <v>74</v>
      </c>
      <c r="AH2909" s="65" t="s">
        <v>11047</v>
      </c>
      <c r="AI2909">
        <f>IF(AND(OR(Company_Explorer!$B$5="All Companies",$E2909=Company_Explorer!$B$5),OR(Company_Explorer!$B$6="All Platforms",$B2909=Company_Explorer!$B$6),OR(Company_Explorer!$B$7="All Roles",$D2909=Company_Explorer!$B$7),OR(Company_Explorer!$B$8="All Ghost Labels",$AG2909=Company_Explorer!$B$8)),1,0)</f>
        <v>0</v>
      </c>
    </row>
    <row r="2910" spans="1:35" ht="15" customHeight="1" x14ac:dyDescent="0.3">
      <c r="A2910" s="60" t="s">
        <v>11048</v>
      </c>
      <c r="B2910" s="60" t="s">
        <v>82</v>
      </c>
      <c r="C2910" s="60" t="s">
        <v>4741</v>
      </c>
      <c r="D2910" s="60" t="s">
        <v>127</v>
      </c>
      <c r="E2910" s="60" t="s">
        <v>3726</v>
      </c>
      <c r="F2910" s="60" t="b">
        <f>FALSE()</f>
        <v>0</v>
      </c>
      <c r="G2910" s="60" t="s">
        <v>165</v>
      </c>
      <c r="H2910" s="60" t="s">
        <v>165</v>
      </c>
      <c r="I2910" s="61">
        <v>46210</v>
      </c>
      <c r="J2910" s="61">
        <v>46210.286610960698</v>
      </c>
      <c r="K2910" s="60">
        <v>0</v>
      </c>
      <c r="L2910" s="60" t="s">
        <v>196</v>
      </c>
      <c r="M2910" s="60" t="s">
        <v>183</v>
      </c>
      <c r="N2910" s="60" t="b">
        <f>TRUE()</f>
        <v>1</v>
      </c>
      <c r="O2910" s="70">
        <v>304646</v>
      </c>
      <c r="P2910" s="70">
        <v>1306501</v>
      </c>
      <c r="Q2910" s="60" t="s">
        <v>3663</v>
      </c>
      <c r="R2910" s="60" t="s">
        <v>7351</v>
      </c>
      <c r="S2910" s="70">
        <v>805574</v>
      </c>
      <c r="T2910" s="60" t="b">
        <f>TRUE()</f>
        <v>1</v>
      </c>
      <c r="U2910" s="60" t="b">
        <f>FALSE()</f>
        <v>0</v>
      </c>
      <c r="V2910" s="60">
        <v>278</v>
      </c>
      <c r="W2910" s="62" t="s">
        <v>4743</v>
      </c>
      <c r="X2910" s="60"/>
      <c r="Y2910" s="63"/>
      <c r="Z2910" s="60" t="b">
        <f>TRUE()</f>
        <v>1</v>
      </c>
      <c r="AA2910" s="60" t="b">
        <f>FALSE()</f>
        <v>0</v>
      </c>
      <c r="AB2910" s="60" t="b">
        <f>FALSE()</f>
        <v>0</v>
      </c>
      <c r="AC2910" s="60" t="b">
        <f>FALSE()</f>
        <v>0</v>
      </c>
      <c r="AD2910" s="60" t="b">
        <f>FALSE()</f>
        <v>0</v>
      </c>
      <c r="AE2910" s="60">
        <v>2</v>
      </c>
      <c r="AF2910" s="64">
        <v>28.6</v>
      </c>
      <c r="AG2910" s="60" t="s">
        <v>73</v>
      </c>
      <c r="AH2910" s="60" t="s">
        <v>11049</v>
      </c>
      <c r="AI2910">
        <f>IF(AND(OR(Company_Explorer!$B$5="All Companies",$E2910=Company_Explorer!$B$5),OR(Company_Explorer!$B$6="All Platforms",$B2910=Company_Explorer!$B$6),OR(Company_Explorer!$B$7="All Roles",$D2910=Company_Explorer!$B$7),OR(Company_Explorer!$B$8="All Ghost Labels",$AG2910=Company_Explorer!$B$8)),1,0)</f>
        <v>0</v>
      </c>
    </row>
    <row r="2911" spans="1:35" ht="15" customHeight="1" x14ac:dyDescent="0.3">
      <c r="A2911" s="65" t="s">
        <v>11050</v>
      </c>
      <c r="B2911" s="65" t="s">
        <v>82</v>
      </c>
      <c r="C2911" s="65" t="s">
        <v>11051</v>
      </c>
      <c r="D2911" s="65" t="s">
        <v>127</v>
      </c>
      <c r="E2911" s="65" t="s">
        <v>11052</v>
      </c>
      <c r="F2911" s="65" t="b">
        <f>TRUE()</f>
        <v>1</v>
      </c>
      <c r="G2911" s="65" t="s">
        <v>165</v>
      </c>
      <c r="H2911" s="65" t="s">
        <v>165</v>
      </c>
      <c r="I2911" s="66">
        <v>46209</v>
      </c>
      <c r="J2911" s="66">
        <v>46210.286611469899</v>
      </c>
      <c r="K2911" s="65">
        <v>123</v>
      </c>
      <c r="L2911" s="65" t="s">
        <v>183</v>
      </c>
      <c r="M2911" s="65" t="s">
        <v>183</v>
      </c>
      <c r="N2911" s="65" t="b">
        <f>FALSE()</f>
        <v>0</v>
      </c>
      <c r="O2911" s="65"/>
      <c r="P2911" s="65"/>
      <c r="Q2911" s="65" t="s">
        <v>3663</v>
      </c>
      <c r="R2911" s="65" t="s">
        <v>236</v>
      </c>
      <c r="S2911" s="65"/>
      <c r="T2911" s="65" t="b">
        <f>FALSE()</f>
        <v>0</v>
      </c>
      <c r="U2911" s="65" t="b">
        <f>FALSE()</f>
        <v>0</v>
      </c>
      <c r="V2911" s="65">
        <v>364</v>
      </c>
      <c r="W2911" s="67" t="s">
        <v>11053</v>
      </c>
      <c r="X2911" s="65">
        <v>1</v>
      </c>
      <c r="Y2911" s="68">
        <v>0.24</v>
      </c>
      <c r="Z2911" s="65" t="b">
        <f>FALSE()</f>
        <v>0</v>
      </c>
      <c r="AA2911" s="65" t="b">
        <f>TRUE()</f>
        <v>1</v>
      </c>
      <c r="AB2911" s="65" t="b">
        <f>FALSE()</f>
        <v>0</v>
      </c>
      <c r="AC2911" s="65" t="b">
        <f>TRUE()</f>
        <v>1</v>
      </c>
      <c r="AD2911" s="65" t="b">
        <f>FALSE()</f>
        <v>0</v>
      </c>
      <c r="AE2911" s="65">
        <v>2</v>
      </c>
      <c r="AF2911" s="69">
        <v>28.6</v>
      </c>
      <c r="AG2911" s="65" t="s">
        <v>73</v>
      </c>
      <c r="AH2911" s="65" t="s">
        <v>11054</v>
      </c>
      <c r="AI2911">
        <f>IF(AND(OR(Company_Explorer!$B$5="All Companies",$E2911=Company_Explorer!$B$5),OR(Company_Explorer!$B$6="All Platforms",$B2911=Company_Explorer!$B$6),OR(Company_Explorer!$B$7="All Roles",$D2911=Company_Explorer!$B$7),OR(Company_Explorer!$B$8="All Ghost Labels",$AG2911=Company_Explorer!$B$8)),1,0)</f>
        <v>0</v>
      </c>
    </row>
    <row r="2912" spans="1:35" ht="15" customHeight="1" x14ac:dyDescent="0.3">
      <c r="A2912" s="60" t="s">
        <v>11055</v>
      </c>
      <c r="B2912" s="60" t="s">
        <v>82</v>
      </c>
      <c r="C2912" s="60" t="s">
        <v>11056</v>
      </c>
      <c r="D2912" s="60" t="s">
        <v>126</v>
      </c>
      <c r="E2912" s="60" t="s">
        <v>11057</v>
      </c>
      <c r="F2912" s="60" t="b">
        <f>TRUE()</f>
        <v>1</v>
      </c>
      <c r="G2912" s="60" t="s">
        <v>165</v>
      </c>
      <c r="H2912" s="60" t="s">
        <v>165</v>
      </c>
      <c r="I2912" s="61">
        <v>46183</v>
      </c>
      <c r="J2912" s="61">
        <v>46210.286614062497</v>
      </c>
      <c r="K2912" s="60">
        <v>27</v>
      </c>
      <c r="L2912" s="60" t="s">
        <v>192</v>
      </c>
      <c r="M2912" s="60" t="s">
        <v>183</v>
      </c>
      <c r="N2912" s="60" t="b">
        <f>FALSE()</f>
        <v>0</v>
      </c>
      <c r="O2912" s="60"/>
      <c r="P2912" s="60"/>
      <c r="Q2912" s="60" t="s">
        <v>3663</v>
      </c>
      <c r="R2912" s="60" t="s">
        <v>236</v>
      </c>
      <c r="S2912" s="60"/>
      <c r="T2912" s="60" t="b">
        <f>FALSE()</f>
        <v>0</v>
      </c>
      <c r="U2912" s="60" t="b">
        <f>FALSE()</f>
        <v>0</v>
      </c>
      <c r="V2912" s="60">
        <v>526</v>
      </c>
      <c r="W2912" s="62" t="s">
        <v>11058</v>
      </c>
      <c r="X2912" s="60">
        <v>1</v>
      </c>
      <c r="Y2912" s="63">
        <v>0.24</v>
      </c>
      <c r="Z2912" s="60" t="b">
        <f>FALSE()</f>
        <v>0</v>
      </c>
      <c r="AA2912" s="60" t="b">
        <f>TRUE()</f>
        <v>1</v>
      </c>
      <c r="AB2912" s="60" t="b">
        <f>FALSE()</f>
        <v>0</v>
      </c>
      <c r="AC2912" s="60" t="b">
        <f>FALSE()</f>
        <v>0</v>
      </c>
      <c r="AD2912" s="60" t="b">
        <f>FALSE()</f>
        <v>0</v>
      </c>
      <c r="AE2912" s="60">
        <v>1</v>
      </c>
      <c r="AF2912" s="64">
        <v>14.3</v>
      </c>
      <c r="AG2912" s="60" t="s">
        <v>74</v>
      </c>
      <c r="AH2912" s="60" t="s">
        <v>11059</v>
      </c>
      <c r="AI2912">
        <f>IF(AND(OR(Company_Explorer!$B$5="All Companies",$E2912=Company_Explorer!$B$5),OR(Company_Explorer!$B$6="All Platforms",$B2912=Company_Explorer!$B$6),OR(Company_Explorer!$B$7="All Roles",$D2912=Company_Explorer!$B$7),OR(Company_Explorer!$B$8="All Ghost Labels",$AG2912=Company_Explorer!$B$8)),1,0)</f>
        <v>0</v>
      </c>
    </row>
    <row r="2913" spans="1:35" ht="15" customHeight="1" x14ac:dyDescent="0.3">
      <c r="A2913" s="65" t="s">
        <v>11060</v>
      </c>
      <c r="B2913" s="65" t="s">
        <v>82</v>
      </c>
      <c r="C2913" s="65" t="s">
        <v>11061</v>
      </c>
      <c r="D2913" s="65" t="s">
        <v>127</v>
      </c>
      <c r="E2913" s="65" t="s">
        <v>10503</v>
      </c>
      <c r="F2913" s="65" t="b">
        <f>TRUE()</f>
        <v>1</v>
      </c>
      <c r="G2913" s="65" t="s">
        <v>166</v>
      </c>
      <c r="H2913" s="65" t="s">
        <v>235</v>
      </c>
      <c r="I2913" s="66">
        <v>46197</v>
      </c>
      <c r="J2913" s="66">
        <v>46210.286617847203</v>
      </c>
      <c r="K2913" s="65">
        <v>13</v>
      </c>
      <c r="L2913" s="65" t="s">
        <v>183</v>
      </c>
      <c r="M2913" s="65" t="s">
        <v>183</v>
      </c>
      <c r="N2913" s="65" t="b">
        <f>TRUE()</f>
        <v>1</v>
      </c>
      <c r="O2913" s="71">
        <v>500000</v>
      </c>
      <c r="P2913" s="71">
        <v>900000</v>
      </c>
      <c r="Q2913" s="65" t="s">
        <v>3663</v>
      </c>
      <c r="R2913" s="65" t="s">
        <v>7351</v>
      </c>
      <c r="S2913" s="71">
        <v>700000</v>
      </c>
      <c r="T2913" s="65" t="b">
        <f>TRUE()</f>
        <v>1</v>
      </c>
      <c r="U2913" s="65" t="b">
        <f>FALSE()</f>
        <v>0</v>
      </c>
      <c r="V2913" s="65">
        <v>305</v>
      </c>
      <c r="W2913" s="67" t="s">
        <v>11062</v>
      </c>
      <c r="X2913" s="65">
        <v>3</v>
      </c>
      <c r="Y2913" s="68">
        <v>0.72</v>
      </c>
      <c r="Z2913" s="65" t="b">
        <f>FALSE()</f>
        <v>0</v>
      </c>
      <c r="AA2913" s="65" t="b">
        <f>FALSE()</f>
        <v>0</v>
      </c>
      <c r="AB2913" s="65" t="b">
        <f>FALSE()</f>
        <v>0</v>
      </c>
      <c r="AC2913" s="65" t="b">
        <f>FALSE()</f>
        <v>0</v>
      </c>
      <c r="AD2913" s="65" t="b">
        <f>FALSE()</f>
        <v>0</v>
      </c>
      <c r="AE2913" s="65">
        <v>0</v>
      </c>
      <c r="AF2913" s="69">
        <v>0</v>
      </c>
      <c r="AG2913" s="65" t="s">
        <v>74</v>
      </c>
      <c r="AH2913" s="65" t="s">
        <v>11063</v>
      </c>
      <c r="AI2913">
        <f>IF(AND(OR(Company_Explorer!$B$5="All Companies",$E2913=Company_Explorer!$B$5),OR(Company_Explorer!$B$6="All Platforms",$B2913=Company_Explorer!$B$6),OR(Company_Explorer!$B$7="All Roles",$D2913=Company_Explorer!$B$7),OR(Company_Explorer!$B$8="All Ghost Labels",$AG2913=Company_Explorer!$B$8)),1,0)</f>
        <v>0</v>
      </c>
    </row>
    <row r="2914" spans="1:35" ht="15" customHeight="1" x14ac:dyDescent="0.3">
      <c r="A2914" s="60" t="s">
        <v>11064</v>
      </c>
      <c r="B2914" s="60" t="s">
        <v>82</v>
      </c>
      <c r="C2914" s="60" t="s">
        <v>3640</v>
      </c>
      <c r="D2914" s="60" t="s">
        <v>126</v>
      </c>
      <c r="E2914" s="60" t="s">
        <v>11065</v>
      </c>
      <c r="F2914" s="60" t="b">
        <f>TRUE()</f>
        <v>1</v>
      </c>
      <c r="G2914" s="60" t="s">
        <v>165</v>
      </c>
      <c r="H2914" s="60" t="s">
        <v>165</v>
      </c>
      <c r="I2914" s="61">
        <v>46195</v>
      </c>
      <c r="J2914" s="61">
        <v>46210.286618009297</v>
      </c>
      <c r="K2914" s="60">
        <v>76</v>
      </c>
      <c r="L2914" s="60" t="s">
        <v>192</v>
      </c>
      <c r="M2914" s="60" t="s">
        <v>183</v>
      </c>
      <c r="N2914" s="60" t="b">
        <f>FALSE()</f>
        <v>0</v>
      </c>
      <c r="O2914" s="60"/>
      <c r="P2914" s="60"/>
      <c r="Q2914" s="60" t="s">
        <v>3663</v>
      </c>
      <c r="R2914" s="60" t="s">
        <v>236</v>
      </c>
      <c r="S2914" s="60"/>
      <c r="T2914" s="60" t="b">
        <f>FALSE()</f>
        <v>0</v>
      </c>
      <c r="U2914" s="60" t="b">
        <f>FALSE()</f>
        <v>0</v>
      </c>
      <c r="V2914" s="60">
        <v>928</v>
      </c>
      <c r="W2914" s="62" t="s">
        <v>11066</v>
      </c>
      <c r="X2914" s="60">
        <v>1</v>
      </c>
      <c r="Y2914" s="63">
        <v>0.24</v>
      </c>
      <c r="Z2914" s="60" t="b">
        <f>FALSE()</f>
        <v>0</v>
      </c>
      <c r="AA2914" s="60" t="b">
        <f>TRUE()</f>
        <v>1</v>
      </c>
      <c r="AB2914" s="60" t="b">
        <f>FALSE()</f>
        <v>0</v>
      </c>
      <c r="AC2914" s="60" t="b">
        <f>FALSE()</f>
        <v>0</v>
      </c>
      <c r="AD2914" s="60" t="b">
        <f>FALSE()</f>
        <v>0</v>
      </c>
      <c r="AE2914" s="60">
        <v>1</v>
      </c>
      <c r="AF2914" s="64">
        <v>14.3</v>
      </c>
      <c r="AG2914" s="60" t="s">
        <v>74</v>
      </c>
      <c r="AH2914" s="60" t="s">
        <v>11067</v>
      </c>
      <c r="AI2914">
        <f>IF(AND(OR(Company_Explorer!$B$5="All Companies",$E2914=Company_Explorer!$B$5),OR(Company_Explorer!$B$6="All Platforms",$B2914=Company_Explorer!$B$6),OR(Company_Explorer!$B$7="All Roles",$D2914=Company_Explorer!$B$7),OR(Company_Explorer!$B$8="All Ghost Labels",$AG2914=Company_Explorer!$B$8)),1,0)</f>
        <v>0</v>
      </c>
    </row>
    <row r="2915" spans="1:35" ht="15" customHeight="1" x14ac:dyDescent="0.3">
      <c r="A2915" s="65" t="s">
        <v>11068</v>
      </c>
      <c r="B2915" s="65" t="s">
        <v>82</v>
      </c>
      <c r="C2915" s="65" t="s">
        <v>11069</v>
      </c>
      <c r="D2915" s="65" t="s">
        <v>126</v>
      </c>
      <c r="E2915" s="65" t="s">
        <v>7369</v>
      </c>
      <c r="F2915" s="65" t="b">
        <f>TRUE()</f>
        <v>1</v>
      </c>
      <c r="G2915" s="65" t="s">
        <v>166</v>
      </c>
      <c r="H2915" s="65" t="s">
        <v>235</v>
      </c>
      <c r="I2915" s="66">
        <v>46185</v>
      </c>
      <c r="J2915" s="66">
        <v>46210.286618321799</v>
      </c>
      <c r="K2915" s="65">
        <v>25</v>
      </c>
      <c r="L2915" s="65" t="s">
        <v>192</v>
      </c>
      <c r="M2915" s="65" t="s">
        <v>183</v>
      </c>
      <c r="N2915" s="65" t="b">
        <f>FALSE()</f>
        <v>0</v>
      </c>
      <c r="O2915" s="65"/>
      <c r="P2915" s="65"/>
      <c r="Q2915" s="65" t="s">
        <v>3663</v>
      </c>
      <c r="R2915" s="65" t="s">
        <v>236</v>
      </c>
      <c r="S2915" s="65"/>
      <c r="T2915" s="65" t="b">
        <f>FALSE()</f>
        <v>0</v>
      </c>
      <c r="U2915" s="65" t="b">
        <f>FALSE()</f>
        <v>0</v>
      </c>
      <c r="V2915" s="65">
        <v>624</v>
      </c>
      <c r="W2915" s="67" t="s">
        <v>11070</v>
      </c>
      <c r="X2915" s="65">
        <v>6</v>
      </c>
      <c r="Y2915" s="68">
        <v>1.45</v>
      </c>
      <c r="Z2915" s="65" t="b">
        <f>FALSE()</f>
        <v>0</v>
      </c>
      <c r="AA2915" s="65" t="b">
        <f>TRUE()</f>
        <v>1</v>
      </c>
      <c r="AB2915" s="65" t="b">
        <f>FALSE()</f>
        <v>0</v>
      </c>
      <c r="AC2915" s="65" t="b">
        <f>FALSE()</f>
        <v>0</v>
      </c>
      <c r="AD2915" s="65" t="b">
        <f>FALSE()</f>
        <v>0</v>
      </c>
      <c r="AE2915" s="65">
        <v>1</v>
      </c>
      <c r="AF2915" s="69">
        <v>14.3</v>
      </c>
      <c r="AG2915" s="65" t="s">
        <v>74</v>
      </c>
      <c r="AH2915" s="65" t="s">
        <v>11071</v>
      </c>
      <c r="AI2915">
        <f>IF(AND(OR(Company_Explorer!$B$5="All Companies",$E2915=Company_Explorer!$B$5),OR(Company_Explorer!$B$6="All Platforms",$B2915=Company_Explorer!$B$6),OR(Company_Explorer!$B$7="All Roles",$D2915=Company_Explorer!$B$7),OR(Company_Explorer!$B$8="All Ghost Labels",$AG2915=Company_Explorer!$B$8)),1,0)</f>
        <v>0</v>
      </c>
    </row>
    <row r="2916" spans="1:35" ht="15" customHeight="1" x14ac:dyDescent="0.3">
      <c r="A2916" s="60" t="s">
        <v>11072</v>
      </c>
      <c r="B2916" s="60" t="s">
        <v>82</v>
      </c>
      <c r="C2916" s="60" t="s">
        <v>11073</v>
      </c>
      <c r="D2916" s="60" t="s">
        <v>133</v>
      </c>
      <c r="E2916" s="60" t="s">
        <v>11074</v>
      </c>
      <c r="F2916" s="60" t="b">
        <f>TRUE()</f>
        <v>1</v>
      </c>
      <c r="G2916" s="60" t="s">
        <v>165</v>
      </c>
      <c r="H2916" s="60" t="s">
        <v>165</v>
      </c>
      <c r="I2916" s="61">
        <v>46207</v>
      </c>
      <c r="J2916" s="61">
        <v>46210.286618981503</v>
      </c>
      <c r="K2916" s="60">
        <v>125</v>
      </c>
      <c r="L2916" s="60" t="s">
        <v>183</v>
      </c>
      <c r="M2916" s="60" t="s">
        <v>183</v>
      </c>
      <c r="N2916" s="60" t="b">
        <f>FALSE()</f>
        <v>0</v>
      </c>
      <c r="O2916" s="60"/>
      <c r="P2916" s="60"/>
      <c r="Q2916" s="60" t="s">
        <v>3663</v>
      </c>
      <c r="R2916" s="60" t="s">
        <v>236</v>
      </c>
      <c r="S2916" s="60"/>
      <c r="T2916" s="60" t="b">
        <f>FALSE()</f>
        <v>0</v>
      </c>
      <c r="U2916" s="60" t="b">
        <f>FALSE()</f>
        <v>0</v>
      </c>
      <c r="V2916" s="60">
        <v>662</v>
      </c>
      <c r="W2916" s="62" t="s">
        <v>11075</v>
      </c>
      <c r="X2916" s="60">
        <v>1</v>
      </c>
      <c r="Y2916" s="63">
        <v>0.24</v>
      </c>
      <c r="Z2916" s="60" t="b">
        <f>FALSE()</f>
        <v>0</v>
      </c>
      <c r="AA2916" s="60" t="b">
        <f>TRUE()</f>
        <v>1</v>
      </c>
      <c r="AB2916" s="60" t="b">
        <f>FALSE()</f>
        <v>0</v>
      </c>
      <c r="AC2916" s="60" t="b">
        <f>TRUE()</f>
        <v>1</v>
      </c>
      <c r="AD2916" s="60" t="b">
        <f>FALSE()</f>
        <v>0</v>
      </c>
      <c r="AE2916" s="60">
        <v>2</v>
      </c>
      <c r="AF2916" s="64">
        <v>28.6</v>
      </c>
      <c r="AG2916" s="60" t="s">
        <v>73</v>
      </c>
      <c r="AH2916" s="60" t="s">
        <v>11076</v>
      </c>
      <c r="AI2916">
        <f>IF(AND(OR(Company_Explorer!$B$5="All Companies",$E2916=Company_Explorer!$B$5),OR(Company_Explorer!$B$6="All Platforms",$B2916=Company_Explorer!$B$6),OR(Company_Explorer!$B$7="All Roles",$D2916=Company_Explorer!$B$7),OR(Company_Explorer!$B$8="All Ghost Labels",$AG2916=Company_Explorer!$B$8)),1,0)</f>
        <v>0</v>
      </c>
    </row>
    <row r="2917" spans="1:35" ht="15" customHeight="1" x14ac:dyDescent="0.3">
      <c r="A2917" s="65" t="s">
        <v>11077</v>
      </c>
      <c r="B2917" s="65" t="s">
        <v>82</v>
      </c>
      <c r="C2917" s="65" t="s">
        <v>11078</v>
      </c>
      <c r="D2917" s="65" t="s">
        <v>127</v>
      </c>
      <c r="E2917" s="65" t="s">
        <v>11079</v>
      </c>
      <c r="F2917" s="65" t="b">
        <f>TRUE()</f>
        <v>1</v>
      </c>
      <c r="G2917" s="65" t="s">
        <v>165</v>
      </c>
      <c r="H2917" s="65" t="s">
        <v>165</v>
      </c>
      <c r="I2917" s="66">
        <v>46208</v>
      </c>
      <c r="J2917" s="66">
        <v>46210.286618368104</v>
      </c>
      <c r="K2917" s="65">
        <v>32</v>
      </c>
      <c r="L2917" s="65" t="s">
        <v>192</v>
      </c>
      <c r="M2917" s="65" t="s">
        <v>183</v>
      </c>
      <c r="N2917" s="65" t="b">
        <f>FALSE()</f>
        <v>0</v>
      </c>
      <c r="O2917" s="65"/>
      <c r="P2917" s="65"/>
      <c r="Q2917" s="65" t="s">
        <v>3663</v>
      </c>
      <c r="R2917" s="65" t="s">
        <v>236</v>
      </c>
      <c r="S2917" s="65"/>
      <c r="T2917" s="65" t="b">
        <f>FALSE()</f>
        <v>0</v>
      </c>
      <c r="U2917" s="65" t="b">
        <f>FALSE()</f>
        <v>0</v>
      </c>
      <c r="V2917" s="65">
        <v>660</v>
      </c>
      <c r="W2917" s="67" t="s">
        <v>11080</v>
      </c>
      <c r="X2917" s="65">
        <v>1</v>
      </c>
      <c r="Y2917" s="68">
        <v>0.24</v>
      </c>
      <c r="Z2917" s="65" t="b">
        <f>FALSE()</f>
        <v>0</v>
      </c>
      <c r="AA2917" s="65" t="b">
        <f>TRUE()</f>
        <v>1</v>
      </c>
      <c r="AB2917" s="65" t="b">
        <f>FALSE()</f>
        <v>0</v>
      </c>
      <c r="AC2917" s="65" t="b">
        <f>FALSE()</f>
        <v>0</v>
      </c>
      <c r="AD2917" s="65" t="b">
        <f>FALSE()</f>
        <v>0</v>
      </c>
      <c r="AE2917" s="65">
        <v>1</v>
      </c>
      <c r="AF2917" s="69">
        <v>14.3</v>
      </c>
      <c r="AG2917" s="65" t="s">
        <v>74</v>
      </c>
      <c r="AH2917" s="65" t="s">
        <v>11081</v>
      </c>
      <c r="AI2917">
        <f>IF(AND(OR(Company_Explorer!$B$5="All Companies",$E2917=Company_Explorer!$B$5),OR(Company_Explorer!$B$6="All Platforms",$B2917=Company_Explorer!$B$6),OR(Company_Explorer!$B$7="All Roles",$D2917=Company_Explorer!$B$7),OR(Company_Explorer!$B$8="All Ghost Labels",$AG2917=Company_Explorer!$B$8)),1,0)</f>
        <v>0</v>
      </c>
    </row>
    <row r="2918" spans="1:35" ht="15" customHeight="1" x14ac:dyDescent="0.3">
      <c r="A2918" s="60" t="s">
        <v>11082</v>
      </c>
      <c r="B2918" s="60" t="s">
        <v>82</v>
      </c>
      <c r="C2918" s="60" t="s">
        <v>11083</v>
      </c>
      <c r="D2918" s="60" t="s">
        <v>126</v>
      </c>
      <c r="E2918" s="60" t="s">
        <v>11084</v>
      </c>
      <c r="F2918" s="60" t="b">
        <f>TRUE()</f>
        <v>1</v>
      </c>
      <c r="G2918" s="60" t="s">
        <v>175</v>
      </c>
      <c r="H2918" s="60" t="s">
        <v>254</v>
      </c>
      <c r="I2918" s="61">
        <v>46200</v>
      </c>
      <c r="J2918" s="61">
        <v>46210.286620682899</v>
      </c>
      <c r="K2918" s="60">
        <v>10</v>
      </c>
      <c r="L2918" s="60" t="s">
        <v>192</v>
      </c>
      <c r="M2918" s="60" t="s">
        <v>183</v>
      </c>
      <c r="N2918" s="60" t="b">
        <f>TRUE()</f>
        <v>1</v>
      </c>
      <c r="O2918" s="70">
        <v>470000</v>
      </c>
      <c r="P2918" s="70">
        <v>550000</v>
      </c>
      <c r="Q2918" s="60" t="s">
        <v>3663</v>
      </c>
      <c r="R2918" s="60" t="s">
        <v>7351</v>
      </c>
      <c r="S2918" s="70">
        <v>510000</v>
      </c>
      <c r="T2918" s="60" t="b">
        <f>TRUE()</f>
        <v>1</v>
      </c>
      <c r="U2918" s="60" t="b">
        <f>FALSE()</f>
        <v>0</v>
      </c>
      <c r="V2918" s="60">
        <v>938</v>
      </c>
      <c r="W2918" s="62" t="s">
        <v>11085</v>
      </c>
      <c r="X2918" s="60">
        <v>1</v>
      </c>
      <c r="Y2918" s="63">
        <v>0.24</v>
      </c>
      <c r="Z2918" s="60" t="b">
        <f>FALSE()</f>
        <v>0</v>
      </c>
      <c r="AA2918" s="60" t="b">
        <f>FALSE()</f>
        <v>0</v>
      </c>
      <c r="AB2918" s="60" t="b">
        <f>FALSE()</f>
        <v>0</v>
      </c>
      <c r="AC2918" s="60" t="b">
        <f>FALSE()</f>
        <v>0</v>
      </c>
      <c r="AD2918" s="60" t="b">
        <f>FALSE()</f>
        <v>0</v>
      </c>
      <c r="AE2918" s="60">
        <v>0</v>
      </c>
      <c r="AF2918" s="64">
        <v>0</v>
      </c>
      <c r="AG2918" s="60" t="s">
        <v>74</v>
      </c>
      <c r="AH2918" s="60" t="s">
        <v>11086</v>
      </c>
      <c r="AI2918">
        <f>IF(AND(OR(Company_Explorer!$B$5="All Companies",$E2918=Company_Explorer!$B$5),OR(Company_Explorer!$B$6="All Platforms",$B2918=Company_Explorer!$B$6),OR(Company_Explorer!$B$7="All Roles",$D2918=Company_Explorer!$B$7),OR(Company_Explorer!$B$8="All Ghost Labels",$AG2918=Company_Explorer!$B$8)),1,0)</f>
        <v>0</v>
      </c>
    </row>
    <row r="2919" spans="1:35" ht="15" customHeight="1" x14ac:dyDescent="0.3">
      <c r="A2919" s="65" t="s">
        <v>11087</v>
      </c>
      <c r="B2919" s="65" t="s">
        <v>82</v>
      </c>
      <c r="C2919" s="65" t="s">
        <v>5747</v>
      </c>
      <c r="D2919" s="65" t="s">
        <v>133</v>
      </c>
      <c r="E2919" s="65" t="s">
        <v>151</v>
      </c>
      <c r="F2919" s="65" t="b">
        <f>TRUE()</f>
        <v>1</v>
      </c>
      <c r="G2919" s="65" t="s">
        <v>165</v>
      </c>
      <c r="H2919" s="65" t="s">
        <v>165</v>
      </c>
      <c r="I2919" s="66">
        <v>46210</v>
      </c>
      <c r="J2919" s="66">
        <v>46210.2866217708</v>
      </c>
      <c r="K2919" s="65">
        <v>0</v>
      </c>
      <c r="L2919" s="65" t="s">
        <v>192</v>
      </c>
      <c r="M2919" s="65" t="s">
        <v>183</v>
      </c>
      <c r="N2919" s="65" t="b">
        <f>FALSE()</f>
        <v>0</v>
      </c>
      <c r="O2919" s="65"/>
      <c r="P2919" s="65"/>
      <c r="Q2919" s="65" t="s">
        <v>3663</v>
      </c>
      <c r="R2919" s="65" t="s">
        <v>236</v>
      </c>
      <c r="S2919" s="65"/>
      <c r="T2919" s="65" t="b">
        <f>FALSE()</f>
        <v>0</v>
      </c>
      <c r="U2919" s="65" t="b">
        <f>FALSE()</f>
        <v>0</v>
      </c>
      <c r="V2919" s="65">
        <v>411</v>
      </c>
      <c r="W2919" s="67" t="s">
        <v>5748</v>
      </c>
      <c r="X2919" s="65">
        <v>17</v>
      </c>
      <c r="Y2919" s="68">
        <v>4.0999999999999996</v>
      </c>
      <c r="Z2919" s="65" t="b">
        <f>FALSE()</f>
        <v>0</v>
      </c>
      <c r="AA2919" s="65" t="b">
        <f>TRUE()</f>
        <v>1</v>
      </c>
      <c r="AB2919" s="65" t="b">
        <f>FALSE()</f>
        <v>0</v>
      </c>
      <c r="AC2919" s="65" t="b">
        <f>FALSE()</f>
        <v>0</v>
      </c>
      <c r="AD2919" s="65" t="b">
        <f>TRUE()</f>
        <v>1</v>
      </c>
      <c r="AE2919" s="65">
        <v>3</v>
      </c>
      <c r="AF2919" s="69">
        <v>42.9</v>
      </c>
      <c r="AG2919" s="65" t="s">
        <v>73</v>
      </c>
      <c r="AH2919" s="65" t="s">
        <v>11088</v>
      </c>
      <c r="AI2919">
        <f>IF(AND(OR(Company_Explorer!$B$5="All Companies",$E2919=Company_Explorer!$B$5),OR(Company_Explorer!$B$6="All Platforms",$B2919=Company_Explorer!$B$6),OR(Company_Explorer!$B$7="All Roles",$D2919=Company_Explorer!$B$7),OR(Company_Explorer!$B$8="All Ghost Labels",$AG2919=Company_Explorer!$B$8)),1,0)</f>
        <v>0</v>
      </c>
    </row>
    <row r="2920" spans="1:35" ht="15" customHeight="1" x14ac:dyDescent="0.3">
      <c r="A2920" s="60" t="s">
        <v>11089</v>
      </c>
      <c r="B2920" s="60" t="s">
        <v>82</v>
      </c>
      <c r="C2920" s="60" t="s">
        <v>127</v>
      </c>
      <c r="D2920" s="60" t="s">
        <v>127</v>
      </c>
      <c r="E2920" s="60" t="s">
        <v>11090</v>
      </c>
      <c r="F2920" s="60" t="b">
        <f>TRUE()</f>
        <v>1</v>
      </c>
      <c r="G2920" s="60" t="s">
        <v>165</v>
      </c>
      <c r="H2920" s="60" t="s">
        <v>165</v>
      </c>
      <c r="I2920" s="61">
        <v>46208</v>
      </c>
      <c r="J2920" s="61">
        <v>46210.286623599502</v>
      </c>
      <c r="K2920" s="60">
        <v>124</v>
      </c>
      <c r="L2920" s="60" t="s">
        <v>192</v>
      </c>
      <c r="M2920" s="60" t="s">
        <v>183</v>
      </c>
      <c r="N2920" s="60" t="b">
        <f>FALSE()</f>
        <v>0</v>
      </c>
      <c r="O2920" s="60"/>
      <c r="P2920" s="60"/>
      <c r="Q2920" s="60" t="s">
        <v>3663</v>
      </c>
      <c r="R2920" s="60" t="s">
        <v>236</v>
      </c>
      <c r="S2920" s="60"/>
      <c r="T2920" s="60" t="b">
        <f>FALSE()</f>
        <v>0</v>
      </c>
      <c r="U2920" s="60" t="b">
        <f>FALSE()</f>
        <v>0</v>
      </c>
      <c r="V2920" s="60">
        <v>221</v>
      </c>
      <c r="W2920" s="62" t="s">
        <v>11091</v>
      </c>
      <c r="X2920" s="60">
        <v>1</v>
      </c>
      <c r="Y2920" s="63">
        <v>0.24</v>
      </c>
      <c r="Z2920" s="60" t="b">
        <f>FALSE()</f>
        <v>0</v>
      </c>
      <c r="AA2920" s="60" t="b">
        <f>TRUE()</f>
        <v>1</v>
      </c>
      <c r="AB2920" s="60" t="b">
        <f>FALSE()</f>
        <v>0</v>
      </c>
      <c r="AC2920" s="60" t="b">
        <f>TRUE()</f>
        <v>1</v>
      </c>
      <c r="AD2920" s="60" t="b">
        <f>FALSE()</f>
        <v>0</v>
      </c>
      <c r="AE2920" s="60">
        <v>2</v>
      </c>
      <c r="AF2920" s="64">
        <v>28.6</v>
      </c>
      <c r="AG2920" s="60" t="s">
        <v>73</v>
      </c>
      <c r="AH2920" s="60" t="s">
        <v>11092</v>
      </c>
      <c r="AI2920">
        <f>IF(AND(OR(Company_Explorer!$B$5="All Companies",$E2920=Company_Explorer!$B$5),OR(Company_Explorer!$B$6="All Platforms",$B2920=Company_Explorer!$B$6),OR(Company_Explorer!$B$7="All Roles",$D2920=Company_Explorer!$B$7),OR(Company_Explorer!$B$8="All Ghost Labels",$AG2920=Company_Explorer!$B$8)),1,0)</f>
        <v>0</v>
      </c>
    </row>
    <row r="2921" spans="1:35" ht="15" customHeight="1" x14ac:dyDescent="0.3">
      <c r="A2921" s="65" t="s">
        <v>11093</v>
      </c>
      <c r="B2921" s="65" t="s">
        <v>82</v>
      </c>
      <c r="C2921" s="65" t="s">
        <v>11094</v>
      </c>
      <c r="D2921" s="65" t="s">
        <v>127</v>
      </c>
      <c r="E2921" s="65" t="s">
        <v>11095</v>
      </c>
      <c r="F2921" s="65" t="b">
        <f>TRUE()</f>
        <v>1</v>
      </c>
      <c r="G2921" s="65" t="s">
        <v>175</v>
      </c>
      <c r="H2921" s="65" t="s">
        <v>254</v>
      </c>
      <c r="I2921" s="66">
        <v>46201</v>
      </c>
      <c r="J2921" s="66">
        <v>46210.286623946798</v>
      </c>
      <c r="K2921" s="65">
        <v>130</v>
      </c>
      <c r="L2921" s="65" t="s">
        <v>192</v>
      </c>
      <c r="M2921" s="65" t="s">
        <v>183</v>
      </c>
      <c r="N2921" s="65" t="b">
        <f>TRUE()</f>
        <v>1</v>
      </c>
      <c r="O2921" s="71">
        <v>300000</v>
      </c>
      <c r="P2921" s="71">
        <v>800000</v>
      </c>
      <c r="Q2921" s="65" t="s">
        <v>3663</v>
      </c>
      <c r="R2921" s="65" t="s">
        <v>7351</v>
      </c>
      <c r="S2921" s="71">
        <v>550000</v>
      </c>
      <c r="T2921" s="65" t="b">
        <f>TRUE()</f>
        <v>1</v>
      </c>
      <c r="U2921" s="65" t="b">
        <f>FALSE()</f>
        <v>0</v>
      </c>
      <c r="V2921" s="65">
        <v>170</v>
      </c>
      <c r="W2921" s="67" t="s">
        <v>11096</v>
      </c>
      <c r="X2921" s="65">
        <v>1</v>
      </c>
      <c r="Y2921" s="68">
        <v>0.24</v>
      </c>
      <c r="Z2921" s="65" t="b">
        <f>FALSE()</f>
        <v>0</v>
      </c>
      <c r="AA2921" s="65" t="b">
        <f>FALSE()</f>
        <v>0</v>
      </c>
      <c r="AB2921" s="65" t="b">
        <f>TRUE()</f>
        <v>1</v>
      </c>
      <c r="AC2921" s="65" t="b">
        <f>TRUE()</f>
        <v>1</v>
      </c>
      <c r="AD2921" s="65" t="b">
        <f>FALSE()</f>
        <v>0</v>
      </c>
      <c r="AE2921" s="65">
        <v>2</v>
      </c>
      <c r="AF2921" s="69">
        <v>28.6</v>
      </c>
      <c r="AG2921" s="65" t="s">
        <v>73</v>
      </c>
      <c r="AH2921" s="65" t="s">
        <v>11097</v>
      </c>
      <c r="AI2921">
        <f>IF(AND(OR(Company_Explorer!$B$5="All Companies",$E2921=Company_Explorer!$B$5),OR(Company_Explorer!$B$6="All Platforms",$B2921=Company_Explorer!$B$6),OR(Company_Explorer!$B$7="All Roles",$D2921=Company_Explorer!$B$7),OR(Company_Explorer!$B$8="All Ghost Labels",$AG2921=Company_Explorer!$B$8)),1,0)</f>
        <v>0</v>
      </c>
    </row>
    <row r="2922" spans="1:35" ht="15" customHeight="1" x14ac:dyDescent="0.3">
      <c r="A2922" s="60" t="s">
        <v>11098</v>
      </c>
      <c r="B2922" s="60" t="s">
        <v>82</v>
      </c>
      <c r="C2922" s="60" t="s">
        <v>11099</v>
      </c>
      <c r="D2922" s="60" t="s">
        <v>127</v>
      </c>
      <c r="E2922" s="60" t="s">
        <v>151</v>
      </c>
      <c r="F2922" s="60" t="b">
        <f>TRUE()</f>
        <v>1</v>
      </c>
      <c r="G2922" s="60" t="s">
        <v>165</v>
      </c>
      <c r="H2922" s="60" t="s">
        <v>165</v>
      </c>
      <c r="I2922" s="61">
        <v>46207</v>
      </c>
      <c r="J2922" s="61">
        <v>46210.286624594897</v>
      </c>
      <c r="K2922" s="60">
        <v>33</v>
      </c>
      <c r="L2922" s="60" t="s">
        <v>192</v>
      </c>
      <c r="M2922" s="60" t="s">
        <v>183</v>
      </c>
      <c r="N2922" s="60" t="b">
        <f>FALSE()</f>
        <v>0</v>
      </c>
      <c r="O2922" s="60"/>
      <c r="P2922" s="60"/>
      <c r="Q2922" s="60" t="s">
        <v>3663</v>
      </c>
      <c r="R2922" s="60" t="s">
        <v>236</v>
      </c>
      <c r="S2922" s="60"/>
      <c r="T2922" s="60" t="b">
        <f>FALSE()</f>
        <v>0</v>
      </c>
      <c r="U2922" s="60" t="b">
        <f>FALSE()</f>
        <v>0</v>
      </c>
      <c r="V2922" s="60">
        <v>404</v>
      </c>
      <c r="W2922" s="62" t="s">
        <v>11100</v>
      </c>
      <c r="X2922" s="60">
        <v>17</v>
      </c>
      <c r="Y2922" s="63">
        <v>4.0999999999999996</v>
      </c>
      <c r="Z2922" s="60" t="b">
        <f>FALSE()</f>
        <v>0</v>
      </c>
      <c r="AA2922" s="60" t="b">
        <f>TRUE()</f>
        <v>1</v>
      </c>
      <c r="AB2922" s="60" t="b">
        <f>FALSE()</f>
        <v>0</v>
      </c>
      <c r="AC2922" s="60" t="b">
        <f>FALSE()</f>
        <v>0</v>
      </c>
      <c r="AD2922" s="60" t="b">
        <f>TRUE()</f>
        <v>1</v>
      </c>
      <c r="AE2922" s="60">
        <v>3</v>
      </c>
      <c r="AF2922" s="64">
        <v>42.9</v>
      </c>
      <c r="AG2922" s="60" t="s">
        <v>73</v>
      </c>
      <c r="AH2922" s="60" t="s">
        <v>11101</v>
      </c>
      <c r="AI2922">
        <f>IF(AND(OR(Company_Explorer!$B$5="All Companies",$E2922=Company_Explorer!$B$5),OR(Company_Explorer!$B$6="All Platforms",$B2922=Company_Explorer!$B$6),OR(Company_Explorer!$B$7="All Roles",$D2922=Company_Explorer!$B$7),OR(Company_Explorer!$B$8="All Ghost Labels",$AG2922=Company_Explorer!$B$8)),1,0)</f>
        <v>0</v>
      </c>
    </row>
    <row r="2923" spans="1:35" ht="15" customHeight="1" x14ac:dyDescent="0.3">
      <c r="A2923" s="65" t="s">
        <v>11102</v>
      </c>
      <c r="B2923" s="65" t="s">
        <v>82</v>
      </c>
      <c r="C2923" s="65" t="s">
        <v>5780</v>
      </c>
      <c r="D2923" s="65" t="s">
        <v>127</v>
      </c>
      <c r="E2923" s="65" t="s">
        <v>154</v>
      </c>
      <c r="F2923" s="65" t="b">
        <f>TRUE()</f>
        <v>1</v>
      </c>
      <c r="G2923" s="65" t="s">
        <v>165</v>
      </c>
      <c r="H2923" s="65" t="s">
        <v>165</v>
      </c>
      <c r="I2923" s="66">
        <v>46200</v>
      </c>
      <c r="J2923" s="66">
        <v>46210.286625023196</v>
      </c>
      <c r="K2923" s="65">
        <v>11</v>
      </c>
      <c r="L2923" s="65" t="s">
        <v>192</v>
      </c>
      <c r="M2923" s="65" t="s">
        <v>183</v>
      </c>
      <c r="N2923" s="65" t="b">
        <f>FALSE()</f>
        <v>0</v>
      </c>
      <c r="O2923" s="65"/>
      <c r="P2923" s="65"/>
      <c r="Q2923" s="65" t="s">
        <v>3663</v>
      </c>
      <c r="R2923" s="65" t="s">
        <v>236</v>
      </c>
      <c r="S2923" s="65"/>
      <c r="T2923" s="65" t="b">
        <f>FALSE()</f>
        <v>0</v>
      </c>
      <c r="U2923" s="65" t="b">
        <f>FALSE()</f>
        <v>0</v>
      </c>
      <c r="V2923" s="65">
        <v>561</v>
      </c>
      <c r="W2923" s="65" t="s">
        <v>3893</v>
      </c>
      <c r="X2923" s="65">
        <v>16</v>
      </c>
      <c r="Y2923" s="68">
        <v>3.86</v>
      </c>
      <c r="Z2923" s="65" t="b">
        <f>FALSE()</f>
        <v>0</v>
      </c>
      <c r="AA2923" s="65" t="b">
        <f>TRUE()</f>
        <v>1</v>
      </c>
      <c r="AB2923" s="65" t="b">
        <f>FALSE()</f>
        <v>0</v>
      </c>
      <c r="AC2923" s="65" t="b">
        <f>FALSE()</f>
        <v>0</v>
      </c>
      <c r="AD2923" s="65" t="b">
        <f>TRUE()</f>
        <v>1</v>
      </c>
      <c r="AE2923" s="65">
        <v>3</v>
      </c>
      <c r="AF2923" s="69">
        <v>42.9</v>
      </c>
      <c r="AG2923" s="65" t="s">
        <v>73</v>
      </c>
      <c r="AH2923" s="65" t="s">
        <v>11103</v>
      </c>
      <c r="AI2923">
        <f>IF(AND(OR(Company_Explorer!$B$5="All Companies",$E2923=Company_Explorer!$B$5),OR(Company_Explorer!$B$6="All Platforms",$B2923=Company_Explorer!$B$6),OR(Company_Explorer!$B$7="All Roles",$D2923=Company_Explorer!$B$7),OR(Company_Explorer!$B$8="All Ghost Labels",$AG2923=Company_Explorer!$B$8)),1,0)</f>
        <v>0</v>
      </c>
    </row>
    <row r="2924" spans="1:35" ht="15" customHeight="1" x14ac:dyDescent="0.3">
      <c r="A2924" s="60" t="s">
        <v>11104</v>
      </c>
      <c r="B2924" s="60" t="s">
        <v>82</v>
      </c>
      <c r="C2924" s="60" t="s">
        <v>127</v>
      </c>
      <c r="D2924" s="60" t="s">
        <v>127</v>
      </c>
      <c r="E2924" s="60" t="s">
        <v>11105</v>
      </c>
      <c r="F2924" s="60" t="b">
        <f>TRUE()</f>
        <v>1</v>
      </c>
      <c r="G2924" s="60" t="s">
        <v>166</v>
      </c>
      <c r="H2924" s="60" t="s">
        <v>235</v>
      </c>
      <c r="I2924" s="61">
        <v>46201</v>
      </c>
      <c r="J2924" s="61">
        <v>46210.286626307898</v>
      </c>
      <c r="K2924" s="60">
        <v>130</v>
      </c>
      <c r="L2924" s="60" t="s">
        <v>183</v>
      </c>
      <c r="M2924" s="60" t="s">
        <v>183</v>
      </c>
      <c r="N2924" s="60" t="b">
        <f>TRUE()</f>
        <v>1</v>
      </c>
      <c r="O2924" s="70">
        <v>300000</v>
      </c>
      <c r="P2924" s="70">
        <v>737500</v>
      </c>
      <c r="Q2924" s="60" t="s">
        <v>3663</v>
      </c>
      <c r="R2924" s="60" t="s">
        <v>7351</v>
      </c>
      <c r="S2924" s="70">
        <v>518750</v>
      </c>
      <c r="T2924" s="60" t="b">
        <f>TRUE()</f>
        <v>1</v>
      </c>
      <c r="U2924" s="60" t="b">
        <f>FALSE()</f>
        <v>0</v>
      </c>
      <c r="V2924" s="60">
        <v>245</v>
      </c>
      <c r="W2924" s="62" t="s">
        <v>11106</v>
      </c>
      <c r="X2924" s="60">
        <v>1</v>
      </c>
      <c r="Y2924" s="63">
        <v>0.24</v>
      </c>
      <c r="Z2924" s="60" t="b">
        <f>FALSE()</f>
        <v>0</v>
      </c>
      <c r="AA2924" s="60" t="b">
        <f>FALSE()</f>
        <v>0</v>
      </c>
      <c r="AB2924" s="60" t="b">
        <f>FALSE()</f>
        <v>0</v>
      </c>
      <c r="AC2924" s="60" t="b">
        <f>TRUE()</f>
        <v>1</v>
      </c>
      <c r="AD2924" s="60" t="b">
        <f>FALSE()</f>
        <v>0</v>
      </c>
      <c r="AE2924" s="60">
        <v>1</v>
      </c>
      <c r="AF2924" s="64">
        <v>14.3</v>
      </c>
      <c r="AG2924" s="60" t="s">
        <v>74</v>
      </c>
      <c r="AH2924" s="60" t="s">
        <v>11107</v>
      </c>
      <c r="AI2924">
        <f>IF(AND(OR(Company_Explorer!$B$5="All Companies",$E2924=Company_Explorer!$B$5),OR(Company_Explorer!$B$6="All Platforms",$B2924=Company_Explorer!$B$6),OR(Company_Explorer!$B$7="All Roles",$D2924=Company_Explorer!$B$7),OR(Company_Explorer!$B$8="All Ghost Labels",$AG2924=Company_Explorer!$B$8)),1,0)</f>
        <v>0</v>
      </c>
    </row>
    <row r="2925" spans="1:35" ht="15" customHeight="1" x14ac:dyDescent="0.3">
      <c r="A2925" s="65" t="s">
        <v>11108</v>
      </c>
      <c r="B2925" s="65" t="s">
        <v>82</v>
      </c>
      <c r="C2925" s="65" t="s">
        <v>11109</v>
      </c>
      <c r="D2925" s="65" t="s">
        <v>125</v>
      </c>
      <c r="E2925" s="65" t="s">
        <v>11110</v>
      </c>
      <c r="F2925" s="65" t="b">
        <f>TRUE()</f>
        <v>1</v>
      </c>
      <c r="G2925" s="65" t="s">
        <v>165</v>
      </c>
      <c r="H2925" s="65" t="s">
        <v>165</v>
      </c>
      <c r="I2925" s="66">
        <v>46199</v>
      </c>
      <c r="J2925" s="66">
        <v>46210.2866267477</v>
      </c>
      <c r="K2925" s="65">
        <v>104</v>
      </c>
      <c r="L2925" s="65" t="s">
        <v>192</v>
      </c>
      <c r="M2925" s="65" t="s">
        <v>183</v>
      </c>
      <c r="N2925" s="65" t="b">
        <f>FALSE()</f>
        <v>0</v>
      </c>
      <c r="O2925" s="65"/>
      <c r="P2925" s="65"/>
      <c r="Q2925" s="65" t="s">
        <v>3663</v>
      </c>
      <c r="R2925" s="65" t="s">
        <v>236</v>
      </c>
      <c r="S2925" s="65"/>
      <c r="T2925" s="65" t="b">
        <f>FALSE()</f>
        <v>0</v>
      </c>
      <c r="U2925" s="65" t="b">
        <f>FALSE()</f>
        <v>0</v>
      </c>
      <c r="V2925" s="65">
        <v>651</v>
      </c>
      <c r="W2925" s="67" t="s">
        <v>11111</v>
      </c>
      <c r="X2925" s="65">
        <v>2</v>
      </c>
      <c r="Y2925" s="68">
        <v>0.48</v>
      </c>
      <c r="Z2925" s="65" t="b">
        <f>FALSE()</f>
        <v>0</v>
      </c>
      <c r="AA2925" s="65" t="b">
        <f>TRUE()</f>
        <v>1</v>
      </c>
      <c r="AB2925" s="65" t="b">
        <f>FALSE()</f>
        <v>0</v>
      </c>
      <c r="AC2925" s="65" t="b">
        <f>FALSE()</f>
        <v>0</v>
      </c>
      <c r="AD2925" s="65" t="b">
        <f>FALSE()</f>
        <v>0</v>
      </c>
      <c r="AE2925" s="65">
        <v>1</v>
      </c>
      <c r="AF2925" s="69">
        <v>14.3</v>
      </c>
      <c r="AG2925" s="65" t="s">
        <v>74</v>
      </c>
      <c r="AH2925" s="65" t="s">
        <v>11112</v>
      </c>
      <c r="AI2925">
        <f>IF(AND(OR(Company_Explorer!$B$5="All Companies",$E2925=Company_Explorer!$B$5),OR(Company_Explorer!$B$6="All Platforms",$B2925=Company_Explorer!$B$6),OR(Company_Explorer!$B$7="All Roles",$D2925=Company_Explorer!$B$7),OR(Company_Explorer!$B$8="All Ghost Labels",$AG2925=Company_Explorer!$B$8)),1,0)</f>
        <v>0</v>
      </c>
    </row>
    <row r="2926" spans="1:35" ht="15" customHeight="1" x14ac:dyDescent="0.3">
      <c r="A2926" s="60" t="s">
        <v>11113</v>
      </c>
      <c r="B2926" s="60" t="s">
        <v>82</v>
      </c>
      <c r="C2926" s="60" t="s">
        <v>11114</v>
      </c>
      <c r="D2926" s="60" t="s">
        <v>126</v>
      </c>
      <c r="E2926" s="60" t="s">
        <v>11115</v>
      </c>
      <c r="F2926" s="60" t="b">
        <f>TRUE()</f>
        <v>1</v>
      </c>
      <c r="G2926" s="60" t="s">
        <v>171</v>
      </c>
      <c r="H2926" s="60" t="s">
        <v>254</v>
      </c>
      <c r="I2926" s="61">
        <v>46208</v>
      </c>
      <c r="J2926" s="61">
        <v>46210.286626967601</v>
      </c>
      <c r="K2926" s="60">
        <v>32</v>
      </c>
      <c r="L2926" s="60" t="s">
        <v>192</v>
      </c>
      <c r="M2926" s="60" t="s">
        <v>183</v>
      </c>
      <c r="N2926" s="60" t="b">
        <f>TRUE()</f>
        <v>1</v>
      </c>
      <c r="O2926" s="70">
        <v>350000</v>
      </c>
      <c r="P2926" s="70">
        <v>597750</v>
      </c>
      <c r="Q2926" s="60" t="s">
        <v>3663</v>
      </c>
      <c r="R2926" s="60" t="s">
        <v>7351</v>
      </c>
      <c r="S2926" s="70">
        <v>473875</v>
      </c>
      <c r="T2926" s="60" t="b">
        <f>TRUE()</f>
        <v>1</v>
      </c>
      <c r="U2926" s="60" t="b">
        <f>FALSE()</f>
        <v>0</v>
      </c>
      <c r="V2926" s="60">
        <v>452</v>
      </c>
      <c r="W2926" s="60" t="s">
        <v>11116</v>
      </c>
      <c r="X2926" s="60">
        <v>1</v>
      </c>
      <c r="Y2926" s="63">
        <v>0.24</v>
      </c>
      <c r="Z2926" s="60" t="b">
        <f>FALSE()</f>
        <v>0</v>
      </c>
      <c r="AA2926" s="60" t="b">
        <f>FALSE()</f>
        <v>0</v>
      </c>
      <c r="AB2926" s="60" t="b">
        <f>FALSE()</f>
        <v>0</v>
      </c>
      <c r="AC2926" s="60" t="b">
        <f>FALSE()</f>
        <v>0</v>
      </c>
      <c r="AD2926" s="60" t="b">
        <f>FALSE()</f>
        <v>0</v>
      </c>
      <c r="AE2926" s="60">
        <v>0</v>
      </c>
      <c r="AF2926" s="64">
        <v>0</v>
      </c>
      <c r="AG2926" s="60" t="s">
        <v>74</v>
      </c>
      <c r="AH2926" s="60" t="s">
        <v>11117</v>
      </c>
      <c r="AI2926">
        <f>IF(AND(OR(Company_Explorer!$B$5="All Companies",$E2926=Company_Explorer!$B$5),OR(Company_Explorer!$B$6="All Platforms",$B2926=Company_Explorer!$B$6),OR(Company_Explorer!$B$7="All Roles",$D2926=Company_Explorer!$B$7),OR(Company_Explorer!$B$8="All Ghost Labels",$AG2926=Company_Explorer!$B$8)),1,0)</f>
        <v>0</v>
      </c>
    </row>
    <row r="2927" spans="1:35" ht="15" customHeight="1" x14ac:dyDescent="0.3">
      <c r="A2927" s="65" t="s">
        <v>11118</v>
      </c>
      <c r="B2927" s="65" t="s">
        <v>82</v>
      </c>
      <c r="C2927" s="65" t="s">
        <v>11119</v>
      </c>
      <c r="D2927" s="65" t="s">
        <v>126</v>
      </c>
      <c r="E2927" s="65" t="s">
        <v>11120</v>
      </c>
      <c r="F2927" s="65" t="b">
        <f>TRUE()</f>
        <v>1</v>
      </c>
      <c r="G2927" s="65" t="s">
        <v>165</v>
      </c>
      <c r="H2927" s="65" t="s">
        <v>165</v>
      </c>
      <c r="I2927" s="66">
        <v>46208</v>
      </c>
      <c r="J2927" s="66">
        <v>46210.2866283681</v>
      </c>
      <c r="K2927" s="65">
        <v>32</v>
      </c>
      <c r="L2927" s="65" t="s">
        <v>183</v>
      </c>
      <c r="M2927" s="65" t="s">
        <v>183</v>
      </c>
      <c r="N2927" s="65" t="b">
        <f>FALSE()</f>
        <v>0</v>
      </c>
      <c r="O2927" s="65"/>
      <c r="P2927" s="65"/>
      <c r="Q2927" s="65" t="s">
        <v>3663</v>
      </c>
      <c r="R2927" s="65" t="s">
        <v>236</v>
      </c>
      <c r="S2927" s="65"/>
      <c r="T2927" s="65" t="b">
        <f>FALSE()</f>
        <v>0</v>
      </c>
      <c r="U2927" s="65" t="b">
        <f>FALSE()</f>
        <v>0</v>
      </c>
      <c r="V2927" s="65">
        <v>392</v>
      </c>
      <c r="W2927" s="67" t="s">
        <v>11121</v>
      </c>
      <c r="X2927" s="65">
        <v>2</v>
      </c>
      <c r="Y2927" s="68">
        <v>0.48</v>
      </c>
      <c r="Z2927" s="65" t="b">
        <f>FALSE()</f>
        <v>0</v>
      </c>
      <c r="AA2927" s="65" t="b">
        <f>TRUE()</f>
        <v>1</v>
      </c>
      <c r="AB2927" s="65" t="b">
        <f>FALSE()</f>
        <v>0</v>
      </c>
      <c r="AC2927" s="65" t="b">
        <f>FALSE()</f>
        <v>0</v>
      </c>
      <c r="AD2927" s="65" t="b">
        <f>FALSE()</f>
        <v>0</v>
      </c>
      <c r="AE2927" s="65">
        <v>1</v>
      </c>
      <c r="AF2927" s="69">
        <v>14.3</v>
      </c>
      <c r="AG2927" s="65" t="s">
        <v>74</v>
      </c>
      <c r="AH2927" s="65" t="s">
        <v>11122</v>
      </c>
      <c r="AI2927">
        <f>IF(AND(OR(Company_Explorer!$B$5="All Companies",$E2927=Company_Explorer!$B$5),OR(Company_Explorer!$B$6="All Platforms",$B2927=Company_Explorer!$B$6),OR(Company_Explorer!$B$7="All Roles",$D2927=Company_Explorer!$B$7),OR(Company_Explorer!$B$8="All Ghost Labels",$AG2927=Company_Explorer!$B$8)),1,0)</f>
        <v>0</v>
      </c>
    </row>
    <row r="2928" spans="1:35" ht="15" customHeight="1" x14ac:dyDescent="0.3">
      <c r="A2928" s="60" t="s">
        <v>11123</v>
      </c>
      <c r="B2928" s="60" t="s">
        <v>82</v>
      </c>
      <c r="C2928" s="60" t="s">
        <v>11036</v>
      </c>
      <c r="D2928" s="60" t="s">
        <v>127</v>
      </c>
      <c r="E2928" s="60" t="s">
        <v>7369</v>
      </c>
      <c r="F2928" s="60" t="b">
        <f>TRUE()</f>
        <v>1</v>
      </c>
      <c r="G2928" s="60" t="s">
        <v>165</v>
      </c>
      <c r="H2928" s="60" t="s">
        <v>165</v>
      </c>
      <c r="I2928" s="61">
        <v>46185</v>
      </c>
      <c r="J2928" s="61">
        <v>46210.286629548602</v>
      </c>
      <c r="K2928" s="60">
        <v>25</v>
      </c>
      <c r="L2928" s="60" t="s">
        <v>192</v>
      </c>
      <c r="M2928" s="60" t="s">
        <v>183</v>
      </c>
      <c r="N2928" s="60" t="b">
        <f>FALSE()</f>
        <v>0</v>
      </c>
      <c r="O2928" s="60"/>
      <c r="P2928" s="60"/>
      <c r="Q2928" s="60" t="s">
        <v>3663</v>
      </c>
      <c r="R2928" s="60" t="s">
        <v>236</v>
      </c>
      <c r="S2928" s="60"/>
      <c r="T2928" s="60" t="b">
        <f>FALSE()</f>
        <v>0</v>
      </c>
      <c r="U2928" s="60" t="b">
        <f>FALSE()</f>
        <v>0</v>
      </c>
      <c r="V2928" s="60">
        <v>510</v>
      </c>
      <c r="W2928" s="62" t="s">
        <v>11124</v>
      </c>
      <c r="X2928" s="60">
        <v>6</v>
      </c>
      <c r="Y2928" s="63">
        <v>1.45</v>
      </c>
      <c r="Z2928" s="60" t="b">
        <f>FALSE()</f>
        <v>0</v>
      </c>
      <c r="AA2928" s="60" t="b">
        <f>TRUE()</f>
        <v>1</v>
      </c>
      <c r="AB2928" s="60" t="b">
        <f>FALSE()</f>
        <v>0</v>
      </c>
      <c r="AC2928" s="60" t="b">
        <f>FALSE()</f>
        <v>0</v>
      </c>
      <c r="AD2928" s="60" t="b">
        <f>FALSE()</f>
        <v>0</v>
      </c>
      <c r="AE2928" s="60">
        <v>1</v>
      </c>
      <c r="AF2928" s="64">
        <v>14.3</v>
      </c>
      <c r="AG2928" s="60" t="s">
        <v>74</v>
      </c>
      <c r="AH2928" s="60" t="s">
        <v>11125</v>
      </c>
      <c r="AI2928">
        <f>IF(AND(OR(Company_Explorer!$B$5="All Companies",$E2928=Company_Explorer!$B$5),OR(Company_Explorer!$B$6="All Platforms",$B2928=Company_Explorer!$B$6),OR(Company_Explorer!$B$7="All Roles",$D2928=Company_Explorer!$B$7),OR(Company_Explorer!$B$8="All Ghost Labels",$AG2928=Company_Explorer!$B$8)),1,0)</f>
        <v>0</v>
      </c>
    </row>
    <row r="2929" spans="1:35" ht="15" customHeight="1" x14ac:dyDescent="0.3">
      <c r="A2929" s="65" t="s">
        <v>11126</v>
      </c>
      <c r="B2929" s="65" t="s">
        <v>82</v>
      </c>
      <c r="C2929" s="65" t="s">
        <v>127</v>
      </c>
      <c r="D2929" s="65" t="s">
        <v>127</v>
      </c>
      <c r="E2929" s="65" t="s">
        <v>157</v>
      </c>
      <c r="F2929" s="65" t="b">
        <f>TRUE()</f>
        <v>1</v>
      </c>
      <c r="G2929" s="65" t="s">
        <v>176</v>
      </c>
      <c r="H2929" s="65" t="s">
        <v>302</v>
      </c>
      <c r="I2929" s="66">
        <v>46206</v>
      </c>
      <c r="J2929" s="66">
        <v>46210.286629710601</v>
      </c>
      <c r="K2929" s="65">
        <v>4</v>
      </c>
      <c r="L2929" s="65" t="s">
        <v>192</v>
      </c>
      <c r="M2929" s="65" t="s">
        <v>183</v>
      </c>
      <c r="N2929" s="65" t="b">
        <f>TRUE()</f>
        <v>1</v>
      </c>
      <c r="O2929" s="71">
        <v>600000</v>
      </c>
      <c r="P2929" s="71">
        <v>900000</v>
      </c>
      <c r="Q2929" s="65" t="s">
        <v>3663</v>
      </c>
      <c r="R2929" s="65" t="s">
        <v>7351</v>
      </c>
      <c r="S2929" s="71">
        <v>750000</v>
      </c>
      <c r="T2929" s="65" t="b">
        <f>TRUE()</f>
        <v>1</v>
      </c>
      <c r="U2929" s="65" t="b">
        <f>FALSE()</f>
        <v>0</v>
      </c>
      <c r="V2929" s="65">
        <v>352</v>
      </c>
      <c r="W2929" s="65" t="s">
        <v>11127</v>
      </c>
      <c r="X2929" s="65">
        <v>15</v>
      </c>
      <c r="Y2929" s="68">
        <v>3.62</v>
      </c>
      <c r="Z2929" s="65" t="b">
        <f>FALSE()</f>
        <v>0</v>
      </c>
      <c r="AA2929" s="65" t="b">
        <f>FALSE()</f>
        <v>0</v>
      </c>
      <c r="AB2929" s="65" t="b">
        <f>FALSE()</f>
        <v>0</v>
      </c>
      <c r="AC2929" s="65" t="b">
        <f>FALSE()</f>
        <v>0</v>
      </c>
      <c r="AD2929" s="65" t="b">
        <f>TRUE()</f>
        <v>1</v>
      </c>
      <c r="AE2929" s="65">
        <v>2</v>
      </c>
      <c r="AF2929" s="69">
        <v>28.6</v>
      </c>
      <c r="AG2929" s="65" t="s">
        <v>73</v>
      </c>
      <c r="AH2929" s="65" t="s">
        <v>11128</v>
      </c>
      <c r="AI2929">
        <f>IF(AND(OR(Company_Explorer!$B$5="All Companies",$E2929=Company_Explorer!$B$5),OR(Company_Explorer!$B$6="All Platforms",$B2929=Company_Explorer!$B$6),OR(Company_Explorer!$B$7="All Roles",$D2929=Company_Explorer!$B$7),OR(Company_Explorer!$B$8="All Ghost Labels",$AG2929=Company_Explorer!$B$8)),1,0)</f>
        <v>0</v>
      </c>
    </row>
    <row r="2930" spans="1:35" ht="15" customHeight="1" x14ac:dyDescent="0.3">
      <c r="A2930" s="60" t="s">
        <v>11129</v>
      </c>
      <c r="B2930" s="60" t="s">
        <v>82</v>
      </c>
      <c r="C2930" s="60" t="s">
        <v>127</v>
      </c>
      <c r="D2930" s="60" t="s">
        <v>127</v>
      </c>
      <c r="E2930" s="60" t="s">
        <v>11130</v>
      </c>
      <c r="F2930" s="60" t="b">
        <f>TRUE()</f>
        <v>1</v>
      </c>
      <c r="G2930" s="60" t="s">
        <v>165</v>
      </c>
      <c r="H2930" s="60" t="s">
        <v>165</v>
      </c>
      <c r="I2930" s="61">
        <v>46209</v>
      </c>
      <c r="J2930" s="61">
        <v>46210.286630289404</v>
      </c>
      <c r="K2930" s="60">
        <v>62</v>
      </c>
      <c r="L2930" s="60" t="s">
        <v>183</v>
      </c>
      <c r="M2930" s="60" t="s">
        <v>183</v>
      </c>
      <c r="N2930" s="60" t="b">
        <f>FALSE()</f>
        <v>0</v>
      </c>
      <c r="O2930" s="60"/>
      <c r="P2930" s="60"/>
      <c r="Q2930" s="60" t="s">
        <v>3663</v>
      </c>
      <c r="R2930" s="60" t="s">
        <v>236</v>
      </c>
      <c r="S2930" s="60"/>
      <c r="T2930" s="60" t="b">
        <f>FALSE()</f>
        <v>0</v>
      </c>
      <c r="U2930" s="60" t="b">
        <f>FALSE()</f>
        <v>0</v>
      </c>
      <c r="V2930" s="60">
        <v>638</v>
      </c>
      <c r="W2930" s="62" t="s">
        <v>11131</v>
      </c>
      <c r="X2930" s="60">
        <v>1</v>
      </c>
      <c r="Y2930" s="63">
        <v>0.24</v>
      </c>
      <c r="Z2930" s="60" t="b">
        <f>FALSE()</f>
        <v>0</v>
      </c>
      <c r="AA2930" s="60" t="b">
        <f>TRUE()</f>
        <v>1</v>
      </c>
      <c r="AB2930" s="60" t="b">
        <f>FALSE()</f>
        <v>0</v>
      </c>
      <c r="AC2930" s="60" t="b">
        <f>FALSE()</f>
        <v>0</v>
      </c>
      <c r="AD2930" s="60" t="b">
        <f>FALSE()</f>
        <v>0</v>
      </c>
      <c r="AE2930" s="60">
        <v>1</v>
      </c>
      <c r="AF2930" s="64">
        <v>14.3</v>
      </c>
      <c r="AG2930" s="60" t="s">
        <v>74</v>
      </c>
      <c r="AH2930" s="60" t="s">
        <v>11132</v>
      </c>
      <c r="AI2930">
        <f>IF(AND(OR(Company_Explorer!$B$5="All Companies",$E2930=Company_Explorer!$B$5),OR(Company_Explorer!$B$6="All Platforms",$B2930=Company_Explorer!$B$6),OR(Company_Explorer!$B$7="All Roles",$D2930=Company_Explorer!$B$7),OR(Company_Explorer!$B$8="All Ghost Labels",$AG2930=Company_Explorer!$B$8)),1,0)</f>
        <v>0</v>
      </c>
    </row>
    <row r="2931" spans="1:35" ht="15" customHeight="1" x14ac:dyDescent="0.3">
      <c r="A2931" s="65" t="s">
        <v>11133</v>
      </c>
      <c r="B2931" s="65" t="s">
        <v>82</v>
      </c>
      <c r="C2931" s="65" t="s">
        <v>127</v>
      </c>
      <c r="D2931" s="65" t="s">
        <v>127</v>
      </c>
      <c r="E2931" s="65" t="s">
        <v>3726</v>
      </c>
      <c r="F2931" s="65" t="b">
        <f>FALSE()</f>
        <v>0</v>
      </c>
      <c r="G2931" s="65" t="s">
        <v>269</v>
      </c>
      <c r="H2931" s="65" t="s">
        <v>270</v>
      </c>
      <c r="I2931" s="66">
        <v>46208</v>
      </c>
      <c r="J2931" s="66">
        <v>46210.286631875002</v>
      </c>
      <c r="K2931" s="65">
        <v>2</v>
      </c>
      <c r="L2931" s="65" t="s">
        <v>192</v>
      </c>
      <c r="M2931" s="65" t="s">
        <v>183</v>
      </c>
      <c r="N2931" s="65" t="b">
        <f>TRUE()</f>
        <v>1</v>
      </c>
      <c r="O2931" s="71">
        <v>15000</v>
      </c>
      <c r="P2931" s="71">
        <v>30000</v>
      </c>
      <c r="Q2931" s="65" t="s">
        <v>3663</v>
      </c>
      <c r="R2931" s="65" t="s">
        <v>7445</v>
      </c>
      <c r="S2931" s="71">
        <v>270000</v>
      </c>
      <c r="T2931" s="65" t="b">
        <f>TRUE()</f>
        <v>1</v>
      </c>
      <c r="U2931" s="65" t="b">
        <f>FALSE()</f>
        <v>0</v>
      </c>
      <c r="V2931" s="65">
        <v>208</v>
      </c>
      <c r="W2931" s="67" t="s">
        <v>6761</v>
      </c>
      <c r="X2931" s="65"/>
      <c r="Y2931" s="68"/>
      <c r="Z2931" s="65" t="b">
        <f>TRUE()</f>
        <v>1</v>
      </c>
      <c r="AA2931" s="65" t="b">
        <f>FALSE()</f>
        <v>0</v>
      </c>
      <c r="AB2931" s="65" t="b">
        <f>TRUE()</f>
        <v>1</v>
      </c>
      <c r="AC2931" s="65" t="b">
        <f>FALSE()</f>
        <v>0</v>
      </c>
      <c r="AD2931" s="65" t="b">
        <f>FALSE()</f>
        <v>0</v>
      </c>
      <c r="AE2931" s="65">
        <v>3</v>
      </c>
      <c r="AF2931" s="69">
        <v>42.9</v>
      </c>
      <c r="AG2931" s="65" t="s">
        <v>73</v>
      </c>
      <c r="AH2931" s="65" t="s">
        <v>11134</v>
      </c>
      <c r="AI2931">
        <f>IF(AND(OR(Company_Explorer!$B$5="All Companies",$E2931=Company_Explorer!$B$5),OR(Company_Explorer!$B$6="All Platforms",$B2931=Company_Explorer!$B$6),OR(Company_Explorer!$B$7="All Roles",$D2931=Company_Explorer!$B$7),OR(Company_Explorer!$B$8="All Ghost Labels",$AG2931=Company_Explorer!$B$8)),1,0)</f>
        <v>0</v>
      </c>
    </row>
    <row r="2932" spans="1:35" ht="15" customHeight="1" x14ac:dyDescent="0.3">
      <c r="A2932" s="60" t="s">
        <v>11135</v>
      </c>
      <c r="B2932" s="60" t="s">
        <v>82</v>
      </c>
      <c r="C2932" s="60" t="s">
        <v>127</v>
      </c>
      <c r="D2932" s="60" t="s">
        <v>127</v>
      </c>
      <c r="E2932" s="60" t="s">
        <v>11136</v>
      </c>
      <c r="F2932" s="60" t="b">
        <f>TRUE()</f>
        <v>1</v>
      </c>
      <c r="G2932" s="60" t="s">
        <v>165</v>
      </c>
      <c r="H2932" s="60" t="s">
        <v>165</v>
      </c>
      <c r="I2932" s="61">
        <v>46202</v>
      </c>
      <c r="J2932" s="61">
        <v>46210.286632615702</v>
      </c>
      <c r="K2932" s="60">
        <v>128</v>
      </c>
      <c r="L2932" s="60" t="s">
        <v>192</v>
      </c>
      <c r="M2932" s="60" t="s">
        <v>183</v>
      </c>
      <c r="N2932" s="60" t="b">
        <f>FALSE()</f>
        <v>0</v>
      </c>
      <c r="O2932" s="60"/>
      <c r="P2932" s="60"/>
      <c r="Q2932" s="60" t="s">
        <v>3663</v>
      </c>
      <c r="R2932" s="60" t="s">
        <v>236</v>
      </c>
      <c r="S2932" s="60"/>
      <c r="T2932" s="60" t="b">
        <f>FALSE()</f>
        <v>0</v>
      </c>
      <c r="U2932" s="60" t="b">
        <f>FALSE()</f>
        <v>0</v>
      </c>
      <c r="V2932" s="60">
        <v>52</v>
      </c>
      <c r="W2932" s="62" t="s">
        <v>11137</v>
      </c>
      <c r="X2932" s="60">
        <v>1</v>
      </c>
      <c r="Y2932" s="63">
        <v>0.24</v>
      </c>
      <c r="Z2932" s="60" t="b">
        <f>FALSE()</f>
        <v>0</v>
      </c>
      <c r="AA2932" s="60" t="b">
        <f>TRUE()</f>
        <v>1</v>
      </c>
      <c r="AB2932" s="60" t="b">
        <f>TRUE()</f>
        <v>1</v>
      </c>
      <c r="AC2932" s="60" t="b">
        <f>TRUE()</f>
        <v>1</v>
      </c>
      <c r="AD2932" s="60" t="b">
        <f>FALSE()</f>
        <v>0</v>
      </c>
      <c r="AE2932" s="60">
        <v>3</v>
      </c>
      <c r="AF2932" s="64">
        <v>42.9</v>
      </c>
      <c r="AG2932" s="60" t="s">
        <v>73</v>
      </c>
      <c r="AH2932" s="60" t="s">
        <v>11138</v>
      </c>
      <c r="AI2932">
        <f>IF(AND(OR(Company_Explorer!$B$5="All Companies",$E2932=Company_Explorer!$B$5),OR(Company_Explorer!$B$6="All Platforms",$B2932=Company_Explorer!$B$6),OR(Company_Explorer!$B$7="All Roles",$D2932=Company_Explorer!$B$7),OR(Company_Explorer!$B$8="All Ghost Labels",$AG2932=Company_Explorer!$B$8)),1,0)</f>
        <v>0</v>
      </c>
    </row>
    <row r="2933" spans="1:35" ht="15" customHeight="1" x14ac:dyDescent="0.3">
      <c r="A2933" s="65" t="s">
        <v>11139</v>
      </c>
      <c r="B2933" s="65" t="s">
        <v>82</v>
      </c>
      <c r="C2933" s="65" t="s">
        <v>11140</v>
      </c>
      <c r="D2933" s="65" t="s">
        <v>132</v>
      </c>
      <c r="E2933" s="65" t="s">
        <v>11141</v>
      </c>
      <c r="F2933" s="65" t="b">
        <f>TRUE()</f>
        <v>1</v>
      </c>
      <c r="G2933" s="65" t="s">
        <v>166</v>
      </c>
      <c r="H2933" s="65" t="s">
        <v>235</v>
      </c>
      <c r="I2933" s="66">
        <v>46182</v>
      </c>
      <c r="J2933" s="66">
        <v>46210.286633287003</v>
      </c>
      <c r="K2933" s="65">
        <v>28</v>
      </c>
      <c r="L2933" s="65" t="s">
        <v>192</v>
      </c>
      <c r="M2933" s="65" t="s">
        <v>183</v>
      </c>
      <c r="N2933" s="65" t="b">
        <f>TRUE()</f>
        <v>1</v>
      </c>
      <c r="O2933" s="71">
        <v>400000</v>
      </c>
      <c r="P2933" s="71">
        <v>800000</v>
      </c>
      <c r="Q2933" s="65" t="s">
        <v>3663</v>
      </c>
      <c r="R2933" s="65" t="s">
        <v>7351</v>
      </c>
      <c r="S2933" s="71">
        <v>600000</v>
      </c>
      <c r="T2933" s="65" t="b">
        <f>TRUE()</f>
        <v>1</v>
      </c>
      <c r="U2933" s="65" t="b">
        <f>FALSE()</f>
        <v>0</v>
      </c>
      <c r="V2933" s="65">
        <v>709</v>
      </c>
      <c r="W2933" s="67" t="s">
        <v>11142</v>
      </c>
      <c r="X2933" s="65">
        <v>1</v>
      </c>
      <c r="Y2933" s="68">
        <v>0.24</v>
      </c>
      <c r="Z2933" s="65" t="b">
        <f>FALSE()</f>
        <v>0</v>
      </c>
      <c r="AA2933" s="65" t="b">
        <f>FALSE()</f>
        <v>0</v>
      </c>
      <c r="AB2933" s="65" t="b">
        <f>FALSE()</f>
        <v>0</v>
      </c>
      <c r="AC2933" s="65" t="b">
        <f>FALSE()</f>
        <v>0</v>
      </c>
      <c r="AD2933" s="65" t="b">
        <f>FALSE()</f>
        <v>0</v>
      </c>
      <c r="AE2933" s="65">
        <v>0</v>
      </c>
      <c r="AF2933" s="69">
        <v>0</v>
      </c>
      <c r="AG2933" s="65" t="s">
        <v>74</v>
      </c>
      <c r="AH2933" s="65" t="s">
        <v>11143</v>
      </c>
      <c r="AI2933">
        <f>IF(AND(OR(Company_Explorer!$B$5="All Companies",$E2933=Company_Explorer!$B$5),OR(Company_Explorer!$B$6="All Platforms",$B2933=Company_Explorer!$B$6),OR(Company_Explorer!$B$7="All Roles",$D2933=Company_Explorer!$B$7),OR(Company_Explorer!$B$8="All Ghost Labels",$AG2933=Company_Explorer!$B$8)),1,0)</f>
        <v>0</v>
      </c>
    </row>
    <row r="2934" spans="1:35" ht="15" customHeight="1" x14ac:dyDescent="0.3">
      <c r="A2934" s="60" t="s">
        <v>11144</v>
      </c>
      <c r="B2934" s="60" t="s">
        <v>82</v>
      </c>
      <c r="C2934" s="60" t="s">
        <v>6958</v>
      </c>
      <c r="D2934" s="60" t="s">
        <v>127</v>
      </c>
      <c r="E2934" s="60" t="s">
        <v>8682</v>
      </c>
      <c r="F2934" s="60" t="b">
        <f>TRUE()</f>
        <v>1</v>
      </c>
      <c r="G2934" s="60" t="s">
        <v>166</v>
      </c>
      <c r="H2934" s="60" t="s">
        <v>235</v>
      </c>
      <c r="I2934" s="61">
        <v>46209</v>
      </c>
      <c r="J2934" s="61">
        <v>46210.286633449097</v>
      </c>
      <c r="K2934" s="60">
        <v>2</v>
      </c>
      <c r="L2934" s="60" t="s">
        <v>183</v>
      </c>
      <c r="M2934" s="60" t="s">
        <v>183</v>
      </c>
      <c r="N2934" s="60" t="b">
        <f>TRUE()</f>
        <v>1</v>
      </c>
      <c r="O2934" s="70">
        <v>550749</v>
      </c>
      <c r="P2934" s="70">
        <v>787500</v>
      </c>
      <c r="Q2934" s="60" t="s">
        <v>3663</v>
      </c>
      <c r="R2934" s="60" t="s">
        <v>7351</v>
      </c>
      <c r="S2934" s="70">
        <v>669124</v>
      </c>
      <c r="T2934" s="60" t="b">
        <f>TRUE()</f>
        <v>1</v>
      </c>
      <c r="U2934" s="60" t="b">
        <f>FALSE()</f>
        <v>0</v>
      </c>
      <c r="V2934" s="60">
        <v>260</v>
      </c>
      <c r="W2934" s="62" t="s">
        <v>6959</v>
      </c>
      <c r="X2934" s="60">
        <v>7</v>
      </c>
      <c r="Y2934" s="63">
        <v>1.69</v>
      </c>
      <c r="Z2934" s="60" t="b">
        <f>FALSE()</f>
        <v>0</v>
      </c>
      <c r="AA2934" s="60" t="b">
        <f>FALSE()</f>
        <v>0</v>
      </c>
      <c r="AB2934" s="60" t="b">
        <f>FALSE()</f>
        <v>0</v>
      </c>
      <c r="AC2934" s="60" t="b">
        <f>FALSE()</f>
        <v>0</v>
      </c>
      <c r="AD2934" s="60" t="b">
        <f>FALSE()</f>
        <v>0</v>
      </c>
      <c r="AE2934" s="60">
        <v>0</v>
      </c>
      <c r="AF2934" s="64">
        <v>0</v>
      </c>
      <c r="AG2934" s="60" t="s">
        <v>74</v>
      </c>
      <c r="AH2934" s="60" t="s">
        <v>11145</v>
      </c>
      <c r="AI2934">
        <f>IF(AND(OR(Company_Explorer!$B$5="All Companies",$E2934=Company_Explorer!$B$5),OR(Company_Explorer!$B$6="All Platforms",$B2934=Company_Explorer!$B$6),OR(Company_Explorer!$B$7="All Roles",$D2934=Company_Explorer!$B$7),OR(Company_Explorer!$B$8="All Ghost Labels",$AG2934=Company_Explorer!$B$8)),1,0)</f>
        <v>0</v>
      </c>
    </row>
    <row r="2935" spans="1:35" ht="15" customHeight="1" x14ac:dyDescent="0.3">
      <c r="A2935" s="65" t="s">
        <v>11146</v>
      </c>
      <c r="B2935" s="65" t="s">
        <v>82</v>
      </c>
      <c r="C2935" s="65" t="s">
        <v>11147</v>
      </c>
      <c r="D2935" s="65" t="s">
        <v>126</v>
      </c>
      <c r="E2935" s="65" t="s">
        <v>11110</v>
      </c>
      <c r="F2935" s="65" t="b">
        <f>TRUE()</f>
        <v>1</v>
      </c>
      <c r="G2935" s="65" t="s">
        <v>165</v>
      </c>
      <c r="H2935" s="65" t="s">
        <v>165</v>
      </c>
      <c r="I2935" s="66">
        <v>46208</v>
      </c>
      <c r="J2935" s="66">
        <v>46210.286634432901</v>
      </c>
      <c r="K2935" s="65">
        <v>33</v>
      </c>
      <c r="L2935" s="65" t="s">
        <v>192</v>
      </c>
      <c r="M2935" s="65" t="s">
        <v>183</v>
      </c>
      <c r="N2935" s="65" t="b">
        <f>FALSE()</f>
        <v>0</v>
      </c>
      <c r="O2935" s="65"/>
      <c r="P2935" s="65"/>
      <c r="Q2935" s="65" t="s">
        <v>3663</v>
      </c>
      <c r="R2935" s="65" t="s">
        <v>236</v>
      </c>
      <c r="S2935" s="65"/>
      <c r="T2935" s="65" t="b">
        <f>FALSE()</f>
        <v>0</v>
      </c>
      <c r="U2935" s="65" t="b">
        <f>FALSE()</f>
        <v>0</v>
      </c>
      <c r="V2935" s="65">
        <v>263</v>
      </c>
      <c r="W2935" s="67" t="s">
        <v>11148</v>
      </c>
      <c r="X2935" s="65">
        <v>2</v>
      </c>
      <c r="Y2935" s="68">
        <v>0.48</v>
      </c>
      <c r="Z2935" s="65" t="b">
        <f>FALSE()</f>
        <v>0</v>
      </c>
      <c r="AA2935" s="65" t="b">
        <f>TRUE()</f>
        <v>1</v>
      </c>
      <c r="AB2935" s="65" t="b">
        <f>FALSE()</f>
        <v>0</v>
      </c>
      <c r="AC2935" s="65" t="b">
        <f>FALSE()</f>
        <v>0</v>
      </c>
      <c r="AD2935" s="65" t="b">
        <f>FALSE()</f>
        <v>0</v>
      </c>
      <c r="AE2935" s="65">
        <v>1</v>
      </c>
      <c r="AF2935" s="69">
        <v>14.3</v>
      </c>
      <c r="AG2935" s="65" t="s">
        <v>74</v>
      </c>
      <c r="AH2935" s="65" t="s">
        <v>11149</v>
      </c>
      <c r="AI2935">
        <f>IF(AND(OR(Company_Explorer!$B$5="All Companies",$E2935=Company_Explorer!$B$5),OR(Company_Explorer!$B$6="All Platforms",$B2935=Company_Explorer!$B$6),OR(Company_Explorer!$B$7="All Roles",$D2935=Company_Explorer!$B$7),OR(Company_Explorer!$B$8="All Ghost Labels",$AG2935=Company_Explorer!$B$8)),1,0)</f>
        <v>0</v>
      </c>
    </row>
    <row r="2936" spans="1:35" ht="15" customHeight="1" x14ac:dyDescent="0.3">
      <c r="A2936" s="60" t="s">
        <v>11150</v>
      </c>
      <c r="B2936" s="60" t="s">
        <v>82</v>
      </c>
      <c r="C2936" s="60" t="s">
        <v>6885</v>
      </c>
      <c r="D2936" s="60" t="s">
        <v>127</v>
      </c>
      <c r="E2936" s="60" t="s">
        <v>3726</v>
      </c>
      <c r="F2936" s="60" t="b">
        <f>FALSE()</f>
        <v>0</v>
      </c>
      <c r="G2936" s="60" t="s">
        <v>167</v>
      </c>
      <c r="H2936" s="60" t="s">
        <v>276</v>
      </c>
      <c r="I2936" s="61">
        <v>46191</v>
      </c>
      <c r="J2936" s="61">
        <v>46210.286637037003</v>
      </c>
      <c r="K2936" s="60">
        <v>20</v>
      </c>
      <c r="L2936" s="60" t="s">
        <v>192</v>
      </c>
      <c r="M2936" s="60" t="s">
        <v>183</v>
      </c>
      <c r="N2936" s="60" t="b">
        <f>TRUE()</f>
        <v>1</v>
      </c>
      <c r="O2936" s="70">
        <v>20000</v>
      </c>
      <c r="P2936" s="70">
        <v>30013.083999999999</v>
      </c>
      <c r="Q2936" s="60" t="s">
        <v>3663</v>
      </c>
      <c r="R2936" s="60" t="s">
        <v>7445</v>
      </c>
      <c r="S2936" s="70">
        <v>300079</v>
      </c>
      <c r="T2936" s="60" t="b">
        <f>TRUE()</f>
        <v>1</v>
      </c>
      <c r="U2936" s="60" t="b">
        <f>FALSE()</f>
        <v>0</v>
      </c>
      <c r="V2936" s="60">
        <v>158</v>
      </c>
      <c r="W2936" s="60" t="s">
        <v>11151</v>
      </c>
      <c r="X2936" s="60"/>
      <c r="Y2936" s="63"/>
      <c r="Z2936" s="60" t="b">
        <f>TRUE()</f>
        <v>1</v>
      </c>
      <c r="AA2936" s="60" t="b">
        <f>FALSE()</f>
        <v>0</v>
      </c>
      <c r="AB2936" s="60" t="b">
        <f>TRUE()</f>
        <v>1</v>
      </c>
      <c r="AC2936" s="60" t="b">
        <f>FALSE()</f>
        <v>0</v>
      </c>
      <c r="AD2936" s="60" t="b">
        <f>FALSE()</f>
        <v>0</v>
      </c>
      <c r="AE2936" s="60">
        <v>3</v>
      </c>
      <c r="AF2936" s="64">
        <v>42.9</v>
      </c>
      <c r="AG2936" s="60" t="s">
        <v>73</v>
      </c>
      <c r="AH2936" s="60" t="s">
        <v>11152</v>
      </c>
      <c r="AI2936">
        <f>IF(AND(OR(Company_Explorer!$B$5="All Companies",$E2936=Company_Explorer!$B$5),OR(Company_Explorer!$B$6="All Platforms",$B2936=Company_Explorer!$B$6),OR(Company_Explorer!$B$7="All Roles",$D2936=Company_Explorer!$B$7),OR(Company_Explorer!$B$8="All Ghost Labels",$AG2936=Company_Explorer!$B$8)),1,0)</f>
        <v>0</v>
      </c>
    </row>
    <row r="2937" spans="1:35" ht="15" customHeight="1" x14ac:dyDescent="0.3">
      <c r="A2937" s="65" t="s">
        <v>11153</v>
      </c>
      <c r="B2937" s="65" t="s">
        <v>82</v>
      </c>
      <c r="C2937" s="65" t="s">
        <v>127</v>
      </c>
      <c r="D2937" s="65" t="s">
        <v>127</v>
      </c>
      <c r="E2937" s="65" t="s">
        <v>3726</v>
      </c>
      <c r="F2937" s="65" t="b">
        <f>FALSE()</f>
        <v>0</v>
      </c>
      <c r="G2937" s="65" t="s">
        <v>9663</v>
      </c>
      <c r="H2937" s="65" t="s">
        <v>263</v>
      </c>
      <c r="I2937" s="66">
        <v>46210</v>
      </c>
      <c r="J2937" s="66">
        <v>46210.286637094898</v>
      </c>
      <c r="K2937" s="65">
        <v>1</v>
      </c>
      <c r="L2937" s="65" t="s">
        <v>192</v>
      </c>
      <c r="M2937" s="65" t="s">
        <v>183</v>
      </c>
      <c r="N2937" s="65" t="b">
        <f>TRUE()</f>
        <v>1</v>
      </c>
      <c r="O2937" s="71">
        <v>15000</v>
      </c>
      <c r="P2937" s="71">
        <v>30000</v>
      </c>
      <c r="Q2937" s="65" t="s">
        <v>3663</v>
      </c>
      <c r="R2937" s="65" t="s">
        <v>7445</v>
      </c>
      <c r="S2937" s="71">
        <v>270000</v>
      </c>
      <c r="T2937" s="65" t="b">
        <f>TRUE()</f>
        <v>1</v>
      </c>
      <c r="U2937" s="65" t="b">
        <f>FALSE()</f>
        <v>0</v>
      </c>
      <c r="V2937" s="65">
        <v>404</v>
      </c>
      <c r="W2937" s="67" t="s">
        <v>5710</v>
      </c>
      <c r="X2937" s="65"/>
      <c r="Y2937" s="68"/>
      <c r="Z2937" s="65" t="b">
        <f>TRUE()</f>
        <v>1</v>
      </c>
      <c r="AA2937" s="65" t="b">
        <f>FALSE()</f>
        <v>0</v>
      </c>
      <c r="AB2937" s="65" t="b">
        <f>FALSE()</f>
        <v>0</v>
      </c>
      <c r="AC2937" s="65" t="b">
        <f>FALSE()</f>
        <v>0</v>
      </c>
      <c r="AD2937" s="65" t="b">
        <f>FALSE()</f>
        <v>0</v>
      </c>
      <c r="AE2937" s="65">
        <v>2</v>
      </c>
      <c r="AF2937" s="69">
        <v>28.6</v>
      </c>
      <c r="AG2937" s="65" t="s">
        <v>73</v>
      </c>
      <c r="AH2937" s="65" t="s">
        <v>11154</v>
      </c>
      <c r="AI2937">
        <f>IF(AND(OR(Company_Explorer!$B$5="All Companies",$E2937=Company_Explorer!$B$5),OR(Company_Explorer!$B$6="All Platforms",$B2937=Company_Explorer!$B$6),OR(Company_Explorer!$B$7="All Roles",$D2937=Company_Explorer!$B$7),OR(Company_Explorer!$B$8="All Ghost Labels",$AG2937=Company_Explorer!$B$8)),1,0)</f>
        <v>0</v>
      </c>
    </row>
    <row r="2938" spans="1:35" ht="15" customHeight="1" x14ac:dyDescent="0.3">
      <c r="A2938" s="60" t="s">
        <v>11155</v>
      </c>
      <c r="B2938" s="60" t="s">
        <v>82</v>
      </c>
      <c r="C2938" s="60" t="s">
        <v>127</v>
      </c>
      <c r="D2938" s="60" t="s">
        <v>127</v>
      </c>
      <c r="E2938" s="60" t="s">
        <v>11156</v>
      </c>
      <c r="F2938" s="60" t="b">
        <f>TRUE()</f>
        <v>1</v>
      </c>
      <c r="G2938" s="60" t="s">
        <v>171</v>
      </c>
      <c r="H2938" s="60" t="s">
        <v>254</v>
      </c>
      <c r="I2938" s="61">
        <v>46193</v>
      </c>
      <c r="J2938" s="61">
        <v>46210.286639502301</v>
      </c>
      <c r="K2938" s="60">
        <v>137</v>
      </c>
      <c r="L2938" s="60" t="s">
        <v>192</v>
      </c>
      <c r="M2938" s="60" t="s">
        <v>183</v>
      </c>
      <c r="N2938" s="60" t="b">
        <f>TRUE()</f>
        <v>1</v>
      </c>
      <c r="O2938" s="70">
        <v>200000</v>
      </c>
      <c r="P2938" s="70">
        <v>717000</v>
      </c>
      <c r="Q2938" s="60" t="s">
        <v>3663</v>
      </c>
      <c r="R2938" s="60" t="s">
        <v>7351</v>
      </c>
      <c r="S2938" s="70">
        <v>458500</v>
      </c>
      <c r="T2938" s="60" t="b">
        <f>TRUE()</f>
        <v>1</v>
      </c>
      <c r="U2938" s="60" t="b">
        <f>FALSE()</f>
        <v>0</v>
      </c>
      <c r="V2938" s="60">
        <v>351</v>
      </c>
      <c r="W2938" s="62" t="s">
        <v>11157</v>
      </c>
      <c r="X2938" s="60">
        <v>1</v>
      </c>
      <c r="Y2938" s="63">
        <v>0.24</v>
      </c>
      <c r="Z2938" s="60" t="b">
        <f>FALSE()</f>
        <v>0</v>
      </c>
      <c r="AA2938" s="60" t="b">
        <f>FALSE()</f>
        <v>0</v>
      </c>
      <c r="AB2938" s="60" t="b">
        <f>FALSE()</f>
        <v>0</v>
      </c>
      <c r="AC2938" s="60" t="b">
        <f>TRUE()</f>
        <v>1</v>
      </c>
      <c r="AD2938" s="60" t="b">
        <f>FALSE()</f>
        <v>0</v>
      </c>
      <c r="AE2938" s="60">
        <v>1</v>
      </c>
      <c r="AF2938" s="64">
        <v>14.3</v>
      </c>
      <c r="AG2938" s="60" t="s">
        <v>74</v>
      </c>
      <c r="AH2938" s="60" t="s">
        <v>11158</v>
      </c>
      <c r="AI2938">
        <f>IF(AND(OR(Company_Explorer!$B$5="All Companies",$E2938=Company_Explorer!$B$5),OR(Company_Explorer!$B$6="All Platforms",$B2938=Company_Explorer!$B$6),OR(Company_Explorer!$B$7="All Roles",$D2938=Company_Explorer!$B$7),OR(Company_Explorer!$B$8="All Ghost Labels",$AG2938=Company_Explorer!$B$8)),1,0)</f>
        <v>0</v>
      </c>
    </row>
    <row r="2939" spans="1:35" ht="15" customHeight="1" x14ac:dyDescent="0.3">
      <c r="A2939" s="65" t="s">
        <v>11159</v>
      </c>
      <c r="B2939" s="65" t="s">
        <v>82</v>
      </c>
      <c r="C2939" s="65" t="s">
        <v>11160</v>
      </c>
      <c r="D2939" s="65" t="s">
        <v>126</v>
      </c>
      <c r="E2939" s="65" t="s">
        <v>152</v>
      </c>
      <c r="F2939" s="65" t="b">
        <f>TRUE()</f>
        <v>1</v>
      </c>
      <c r="G2939" s="65" t="s">
        <v>8648</v>
      </c>
      <c r="H2939" s="65" t="s">
        <v>2066</v>
      </c>
      <c r="I2939" s="66">
        <v>46197</v>
      </c>
      <c r="J2939" s="66">
        <v>46210.286640370403</v>
      </c>
      <c r="K2939" s="65">
        <v>13</v>
      </c>
      <c r="L2939" s="65" t="s">
        <v>192</v>
      </c>
      <c r="M2939" s="65" t="s">
        <v>183</v>
      </c>
      <c r="N2939" s="65" t="b">
        <f>TRUE()</f>
        <v>1</v>
      </c>
      <c r="O2939" s="71">
        <v>325000</v>
      </c>
      <c r="P2939" s="71">
        <v>355000</v>
      </c>
      <c r="Q2939" s="65" t="s">
        <v>3663</v>
      </c>
      <c r="R2939" s="65" t="s">
        <v>7351</v>
      </c>
      <c r="S2939" s="71">
        <v>340000</v>
      </c>
      <c r="T2939" s="65" t="b">
        <f>TRUE()</f>
        <v>1</v>
      </c>
      <c r="U2939" s="65" t="b">
        <f>FALSE()</f>
        <v>0</v>
      </c>
      <c r="V2939" s="65">
        <v>428</v>
      </c>
      <c r="W2939" s="67" t="s">
        <v>11161</v>
      </c>
      <c r="X2939" s="65">
        <v>17</v>
      </c>
      <c r="Y2939" s="68">
        <v>4.0999999999999996</v>
      </c>
      <c r="Z2939" s="65" t="b">
        <f>FALSE()</f>
        <v>0</v>
      </c>
      <c r="AA2939" s="65" t="b">
        <f>FALSE()</f>
        <v>0</v>
      </c>
      <c r="AB2939" s="65" t="b">
        <f>FALSE()</f>
        <v>0</v>
      </c>
      <c r="AC2939" s="65" t="b">
        <f>FALSE()</f>
        <v>0</v>
      </c>
      <c r="AD2939" s="65" t="b">
        <f>TRUE()</f>
        <v>1</v>
      </c>
      <c r="AE2939" s="65">
        <v>2</v>
      </c>
      <c r="AF2939" s="69">
        <v>28.6</v>
      </c>
      <c r="AG2939" s="65" t="s">
        <v>73</v>
      </c>
      <c r="AH2939" s="65" t="s">
        <v>11162</v>
      </c>
      <c r="AI2939">
        <f>IF(AND(OR(Company_Explorer!$B$5="All Companies",$E2939=Company_Explorer!$B$5),OR(Company_Explorer!$B$6="All Platforms",$B2939=Company_Explorer!$B$6),OR(Company_Explorer!$B$7="All Roles",$D2939=Company_Explorer!$B$7),OR(Company_Explorer!$B$8="All Ghost Labels",$AG2939=Company_Explorer!$B$8)),1,0)</f>
        <v>0</v>
      </c>
    </row>
    <row r="2940" spans="1:35" ht="15" customHeight="1" x14ac:dyDescent="0.3">
      <c r="A2940" s="60" t="s">
        <v>11163</v>
      </c>
      <c r="B2940" s="60" t="s">
        <v>82</v>
      </c>
      <c r="C2940" s="60" t="s">
        <v>11164</v>
      </c>
      <c r="D2940" s="60" t="s">
        <v>125</v>
      </c>
      <c r="E2940" s="60" t="s">
        <v>11165</v>
      </c>
      <c r="F2940" s="60" t="b">
        <f>TRUE()</f>
        <v>1</v>
      </c>
      <c r="G2940" s="60" t="s">
        <v>11166</v>
      </c>
      <c r="H2940" s="60" t="s">
        <v>235</v>
      </c>
      <c r="I2940" s="61">
        <v>46197</v>
      </c>
      <c r="J2940" s="61">
        <v>46210.2866414815</v>
      </c>
      <c r="K2940" s="60">
        <v>133</v>
      </c>
      <c r="L2940" s="60" t="s">
        <v>192</v>
      </c>
      <c r="M2940" s="60" t="s">
        <v>183</v>
      </c>
      <c r="N2940" s="60" t="b">
        <f>TRUE()</f>
        <v>1</v>
      </c>
      <c r="O2940" s="70">
        <v>600000</v>
      </c>
      <c r="P2940" s="70">
        <v>600000</v>
      </c>
      <c r="Q2940" s="60" t="s">
        <v>3663</v>
      </c>
      <c r="R2940" s="60" t="s">
        <v>7351</v>
      </c>
      <c r="S2940" s="70">
        <v>600000</v>
      </c>
      <c r="T2940" s="60" t="b">
        <f>TRUE()</f>
        <v>1</v>
      </c>
      <c r="U2940" s="60" t="b">
        <f>FALSE()</f>
        <v>0</v>
      </c>
      <c r="V2940" s="60">
        <v>236</v>
      </c>
      <c r="W2940" s="62" t="s">
        <v>11167</v>
      </c>
      <c r="X2940" s="60">
        <v>1</v>
      </c>
      <c r="Y2940" s="63">
        <v>0.24</v>
      </c>
      <c r="Z2940" s="60" t="b">
        <f>FALSE()</f>
        <v>0</v>
      </c>
      <c r="AA2940" s="60" t="b">
        <f>FALSE()</f>
        <v>0</v>
      </c>
      <c r="AB2940" s="60" t="b">
        <f>FALSE()</f>
        <v>0</v>
      </c>
      <c r="AC2940" s="60" t="b">
        <f>TRUE()</f>
        <v>1</v>
      </c>
      <c r="AD2940" s="60" t="b">
        <f>FALSE()</f>
        <v>0</v>
      </c>
      <c r="AE2940" s="60">
        <v>1</v>
      </c>
      <c r="AF2940" s="64">
        <v>14.3</v>
      </c>
      <c r="AG2940" s="60" t="s">
        <v>74</v>
      </c>
      <c r="AH2940" s="60" t="s">
        <v>11168</v>
      </c>
      <c r="AI2940">
        <f>IF(AND(OR(Company_Explorer!$B$5="All Companies",$E2940=Company_Explorer!$B$5),OR(Company_Explorer!$B$6="All Platforms",$B2940=Company_Explorer!$B$6),OR(Company_Explorer!$B$7="All Roles",$D2940=Company_Explorer!$B$7),OR(Company_Explorer!$B$8="All Ghost Labels",$AG2940=Company_Explorer!$B$8)),1,0)</f>
        <v>0</v>
      </c>
    </row>
    <row r="2941" spans="1:35" ht="15" customHeight="1" x14ac:dyDescent="0.3">
      <c r="A2941" s="65" t="s">
        <v>11169</v>
      </c>
      <c r="B2941" s="65" t="s">
        <v>82</v>
      </c>
      <c r="C2941" s="65" t="s">
        <v>11170</v>
      </c>
      <c r="D2941" s="65" t="s">
        <v>126</v>
      </c>
      <c r="E2941" s="65" t="s">
        <v>11171</v>
      </c>
      <c r="F2941" s="65" t="b">
        <f>TRUE()</f>
        <v>1</v>
      </c>
      <c r="G2941" s="65" t="s">
        <v>171</v>
      </c>
      <c r="H2941" s="65" t="s">
        <v>254</v>
      </c>
      <c r="I2941" s="66">
        <v>46197</v>
      </c>
      <c r="J2941" s="66">
        <v>46210.286643321801</v>
      </c>
      <c r="K2941" s="65">
        <v>13</v>
      </c>
      <c r="L2941" s="65" t="s">
        <v>192</v>
      </c>
      <c r="M2941" s="65" t="s">
        <v>183</v>
      </c>
      <c r="N2941" s="65" t="b">
        <f>TRUE()</f>
        <v>1</v>
      </c>
      <c r="O2941" s="71">
        <v>555000</v>
      </c>
      <c r="P2941" s="71">
        <v>880000</v>
      </c>
      <c r="Q2941" s="65" t="s">
        <v>3663</v>
      </c>
      <c r="R2941" s="65" t="s">
        <v>7351</v>
      </c>
      <c r="S2941" s="71">
        <v>717500</v>
      </c>
      <c r="T2941" s="65" t="b">
        <f>TRUE()</f>
        <v>1</v>
      </c>
      <c r="U2941" s="65" t="b">
        <f>FALSE()</f>
        <v>0</v>
      </c>
      <c r="V2941" s="65">
        <v>671</v>
      </c>
      <c r="W2941" s="67" t="s">
        <v>11172</v>
      </c>
      <c r="X2941" s="65">
        <v>1</v>
      </c>
      <c r="Y2941" s="68">
        <v>0.24</v>
      </c>
      <c r="Z2941" s="65" t="b">
        <f>FALSE()</f>
        <v>0</v>
      </c>
      <c r="AA2941" s="65" t="b">
        <f>FALSE()</f>
        <v>0</v>
      </c>
      <c r="AB2941" s="65" t="b">
        <f>FALSE()</f>
        <v>0</v>
      </c>
      <c r="AC2941" s="65" t="b">
        <f>FALSE()</f>
        <v>0</v>
      </c>
      <c r="AD2941" s="65" t="b">
        <f>FALSE()</f>
        <v>0</v>
      </c>
      <c r="AE2941" s="65">
        <v>0</v>
      </c>
      <c r="AF2941" s="69">
        <v>0</v>
      </c>
      <c r="AG2941" s="65" t="s">
        <v>74</v>
      </c>
      <c r="AH2941" s="65" t="s">
        <v>11173</v>
      </c>
      <c r="AI2941">
        <f>IF(AND(OR(Company_Explorer!$B$5="All Companies",$E2941=Company_Explorer!$B$5),OR(Company_Explorer!$B$6="All Platforms",$B2941=Company_Explorer!$B$6),OR(Company_Explorer!$B$7="All Roles",$D2941=Company_Explorer!$B$7),OR(Company_Explorer!$B$8="All Ghost Labels",$AG2941=Company_Explorer!$B$8)),1,0)</f>
        <v>0</v>
      </c>
    </row>
    <row r="2942" spans="1:35" ht="15" customHeight="1" x14ac:dyDescent="0.3">
      <c r="A2942" s="60" t="s">
        <v>11174</v>
      </c>
      <c r="B2942" s="60" t="s">
        <v>82</v>
      </c>
      <c r="C2942" s="60" t="s">
        <v>3706</v>
      </c>
      <c r="D2942" s="60" t="s">
        <v>127</v>
      </c>
      <c r="E2942" s="60" t="s">
        <v>151</v>
      </c>
      <c r="F2942" s="60" t="b">
        <f>TRUE()</f>
        <v>1</v>
      </c>
      <c r="G2942" s="60" t="s">
        <v>165</v>
      </c>
      <c r="H2942" s="60" t="s">
        <v>165</v>
      </c>
      <c r="I2942" s="61">
        <v>46210</v>
      </c>
      <c r="J2942" s="61">
        <v>46210.286643599502</v>
      </c>
      <c r="K2942" s="60">
        <v>0</v>
      </c>
      <c r="L2942" s="60" t="s">
        <v>192</v>
      </c>
      <c r="M2942" s="60" t="s">
        <v>183</v>
      </c>
      <c r="N2942" s="60" t="b">
        <f>FALSE()</f>
        <v>0</v>
      </c>
      <c r="O2942" s="60"/>
      <c r="P2942" s="60"/>
      <c r="Q2942" s="60" t="s">
        <v>3663</v>
      </c>
      <c r="R2942" s="60" t="s">
        <v>236</v>
      </c>
      <c r="S2942" s="60"/>
      <c r="T2942" s="60" t="b">
        <f>FALSE()</f>
        <v>0</v>
      </c>
      <c r="U2942" s="60" t="b">
        <f>FALSE()</f>
        <v>0</v>
      </c>
      <c r="V2942" s="60">
        <v>607</v>
      </c>
      <c r="W2942" s="62" t="s">
        <v>3707</v>
      </c>
      <c r="X2942" s="60">
        <v>17</v>
      </c>
      <c r="Y2942" s="63">
        <v>4.0999999999999996</v>
      </c>
      <c r="Z2942" s="60" t="b">
        <f>FALSE()</f>
        <v>0</v>
      </c>
      <c r="AA2942" s="60" t="b">
        <f>TRUE()</f>
        <v>1</v>
      </c>
      <c r="AB2942" s="60" t="b">
        <f>FALSE()</f>
        <v>0</v>
      </c>
      <c r="AC2942" s="60" t="b">
        <f>FALSE()</f>
        <v>0</v>
      </c>
      <c r="AD2942" s="60" t="b">
        <f>TRUE()</f>
        <v>1</v>
      </c>
      <c r="AE2942" s="60">
        <v>3</v>
      </c>
      <c r="AF2942" s="64">
        <v>42.9</v>
      </c>
      <c r="AG2942" s="60" t="s">
        <v>73</v>
      </c>
      <c r="AH2942" s="60" t="s">
        <v>11175</v>
      </c>
      <c r="AI2942">
        <f>IF(AND(OR(Company_Explorer!$B$5="All Companies",$E2942=Company_Explorer!$B$5),OR(Company_Explorer!$B$6="All Platforms",$B2942=Company_Explorer!$B$6),OR(Company_Explorer!$B$7="All Roles",$D2942=Company_Explorer!$B$7),OR(Company_Explorer!$B$8="All Ghost Labels",$AG2942=Company_Explorer!$B$8)),1,0)</f>
        <v>0</v>
      </c>
    </row>
    <row r="2943" spans="1:35" ht="15" customHeight="1" x14ac:dyDescent="0.3">
      <c r="A2943" s="65" t="s">
        <v>11176</v>
      </c>
      <c r="B2943" s="65" t="s">
        <v>82</v>
      </c>
      <c r="C2943" s="65" t="s">
        <v>11177</v>
      </c>
      <c r="D2943" s="65" t="s">
        <v>132</v>
      </c>
      <c r="E2943" s="65" t="s">
        <v>11178</v>
      </c>
      <c r="F2943" s="65" t="b">
        <f>TRUE()</f>
        <v>1</v>
      </c>
      <c r="G2943" s="65" t="s">
        <v>165</v>
      </c>
      <c r="H2943" s="65" t="s">
        <v>165</v>
      </c>
      <c r="I2943" s="66">
        <v>46196</v>
      </c>
      <c r="J2943" s="66">
        <v>46210.286643541702</v>
      </c>
      <c r="K2943" s="65">
        <v>530</v>
      </c>
      <c r="L2943" s="65" t="s">
        <v>192</v>
      </c>
      <c r="M2943" s="65" t="s">
        <v>183</v>
      </c>
      <c r="N2943" s="65" t="b">
        <f>FALSE()</f>
        <v>0</v>
      </c>
      <c r="O2943" s="65"/>
      <c r="P2943" s="65"/>
      <c r="Q2943" s="65" t="s">
        <v>3663</v>
      </c>
      <c r="R2943" s="65" t="s">
        <v>7351</v>
      </c>
      <c r="S2943" s="65"/>
      <c r="T2943" s="65" t="b">
        <f>FALSE()</f>
        <v>0</v>
      </c>
      <c r="U2943" s="65" t="b">
        <f>FALSE()</f>
        <v>0</v>
      </c>
      <c r="V2943" s="65">
        <v>276</v>
      </c>
      <c r="W2943" s="67" t="s">
        <v>11179</v>
      </c>
      <c r="X2943" s="65">
        <v>1</v>
      </c>
      <c r="Y2943" s="68">
        <v>0.24</v>
      </c>
      <c r="Z2943" s="65" t="b">
        <f>FALSE()</f>
        <v>0</v>
      </c>
      <c r="AA2943" s="65" t="b">
        <f>TRUE()</f>
        <v>1</v>
      </c>
      <c r="AB2943" s="65" t="b">
        <f>FALSE()</f>
        <v>0</v>
      </c>
      <c r="AC2943" s="65" t="b">
        <f>TRUE()</f>
        <v>1</v>
      </c>
      <c r="AD2943" s="65" t="b">
        <f>FALSE()</f>
        <v>0</v>
      </c>
      <c r="AE2943" s="65">
        <v>2</v>
      </c>
      <c r="AF2943" s="69">
        <v>28.6</v>
      </c>
      <c r="AG2943" s="65" t="s">
        <v>73</v>
      </c>
      <c r="AH2943" s="65" t="s">
        <v>11180</v>
      </c>
      <c r="AI2943">
        <f>IF(AND(OR(Company_Explorer!$B$5="All Companies",$E2943=Company_Explorer!$B$5),OR(Company_Explorer!$B$6="All Platforms",$B2943=Company_Explorer!$B$6),OR(Company_Explorer!$B$7="All Roles",$D2943=Company_Explorer!$B$7),OR(Company_Explorer!$B$8="All Ghost Labels",$AG2943=Company_Explorer!$B$8)),1,0)</f>
        <v>0</v>
      </c>
    </row>
    <row r="2944" spans="1:35" ht="15" customHeight="1" x14ac:dyDescent="0.3">
      <c r="A2944" s="60" t="s">
        <v>11181</v>
      </c>
      <c r="B2944" s="60" t="s">
        <v>82</v>
      </c>
      <c r="C2944" s="60" t="s">
        <v>11182</v>
      </c>
      <c r="D2944" s="60" t="s">
        <v>127</v>
      </c>
      <c r="E2944" s="60" t="s">
        <v>9304</v>
      </c>
      <c r="F2944" s="60" t="b">
        <f>TRUE()</f>
        <v>1</v>
      </c>
      <c r="G2944" s="60" t="s">
        <v>166</v>
      </c>
      <c r="H2944" s="60" t="s">
        <v>235</v>
      </c>
      <c r="I2944" s="61">
        <v>46196</v>
      </c>
      <c r="J2944" s="61">
        <v>46210.286643796302</v>
      </c>
      <c r="K2944" s="60">
        <v>14</v>
      </c>
      <c r="L2944" s="60" t="s">
        <v>192</v>
      </c>
      <c r="M2944" s="60" t="s">
        <v>183</v>
      </c>
      <c r="N2944" s="60" t="b">
        <f>TRUE()</f>
        <v>1</v>
      </c>
      <c r="O2944" s="70">
        <v>500000</v>
      </c>
      <c r="P2944" s="70">
        <v>800000</v>
      </c>
      <c r="Q2944" s="60" t="s">
        <v>3663</v>
      </c>
      <c r="R2944" s="60" t="s">
        <v>7351</v>
      </c>
      <c r="S2944" s="70">
        <v>650000</v>
      </c>
      <c r="T2944" s="60" t="b">
        <f>TRUE()</f>
        <v>1</v>
      </c>
      <c r="U2944" s="60" t="b">
        <f>FALSE()</f>
        <v>0</v>
      </c>
      <c r="V2944" s="60">
        <v>491</v>
      </c>
      <c r="W2944" s="60" t="s">
        <v>11183</v>
      </c>
      <c r="X2944" s="60">
        <v>3</v>
      </c>
      <c r="Y2944" s="63">
        <v>0.72</v>
      </c>
      <c r="Z2944" s="60" t="b">
        <f>FALSE()</f>
        <v>0</v>
      </c>
      <c r="AA2944" s="60" t="b">
        <f>FALSE()</f>
        <v>0</v>
      </c>
      <c r="AB2944" s="60" t="b">
        <f>FALSE()</f>
        <v>0</v>
      </c>
      <c r="AC2944" s="60" t="b">
        <f>FALSE()</f>
        <v>0</v>
      </c>
      <c r="AD2944" s="60" t="b">
        <f>FALSE()</f>
        <v>0</v>
      </c>
      <c r="AE2944" s="60">
        <v>0</v>
      </c>
      <c r="AF2944" s="64">
        <v>0</v>
      </c>
      <c r="AG2944" s="60" t="s">
        <v>74</v>
      </c>
      <c r="AH2944" s="60" t="s">
        <v>11184</v>
      </c>
      <c r="AI2944">
        <f>IF(AND(OR(Company_Explorer!$B$5="All Companies",$E2944=Company_Explorer!$B$5),OR(Company_Explorer!$B$6="All Platforms",$B2944=Company_Explorer!$B$6),OR(Company_Explorer!$B$7="All Roles",$D2944=Company_Explorer!$B$7),OR(Company_Explorer!$B$8="All Ghost Labels",$AG2944=Company_Explorer!$B$8)),1,0)</f>
        <v>0</v>
      </c>
    </row>
    <row r="2945" spans="1:35" ht="15" customHeight="1" x14ac:dyDescent="0.3">
      <c r="A2945" s="65" t="s">
        <v>11185</v>
      </c>
      <c r="B2945" s="65" t="s">
        <v>82</v>
      </c>
      <c r="C2945" s="65" t="s">
        <v>11186</v>
      </c>
      <c r="D2945" s="65" t="s">
        <v>127</v>
      </c>
      <c r="E2945" s="65" t="s">
        <v>3726</v>
      </c>
      <c r="F2945" s="65" t="b">
        <f>FALSE()</f>
        <v>0</v>
      </c>
      <c r="G2945" s="65" t="s">
        <v>173</v>
      </c>
      <c r="H2945" s="65" t="s">
        <v>827</v>
      </c>
      <c r="I2945" s="66">
        <v>46206</v>
      </c>
      <c r="J2945" s="66">
        <v>46210.2866438657</v>
      </c>
      <c r="K2945" s="65">
        <v>5</v>
      </c>
      <c r="L2945" s="65" t="s">
        <v>192</v>
      </c>
      <c r="M2945" s="65" t="s">
        <v>183</v>
      </c>
      <c r="N2945" s="65" t="b">
        <f>TRUE()</f>
        <v>1</v>
      </c>
      <c r="O2945" s="71">
        <v>41666.667999999998</v>
      </c>
      <c r="P2945" s="71">
        <v>66666.664000000004</v>
      </c>
      <c r="Q2945" s="65" t="s">
        <v>3663</v>
      </c>
      <c r="R2945" s="65" t="s">
        <v>7445</v>
      </c>
      <c r="S2945" s="71">
        <v>650000</v>
      </c>
      <c r="T2945" s="65" t="b">
        <f>TRUE()</f>
        <v>1</v>
      </c>
      <c r="U2945" s="65" t="b">
        <f>FALSE()</f>
        <v>0</v>
      </c>
      <c r="V2945" s="65">
        <v>191</v>
      </c>
      <c r="W2945" s="67" t="s">
        <v>11187</v>
      </c>
      <c r="X2945" s="65"/>
      <c r="Y2945" s="68"/>
      <c r="Z2945" s="65" t="b">
        <f>TRUE()</f>
        <v>1</v>
      </c>
      <c r="AA2945" s="65" t="b">
        <f>FALSE()</f>
        <v>0</v>
      </c>
      <c r="AB2945" s="65" t="b">
        <f>TRUE()</f>
        <v>1</v>
      </c>
      <c r="AC2945" s="65" t="b">
        <f>FALSE()</f>
        <v>0</v>
      </c>
      <c r="AD2945" s="65" t="b">
        <f>FALSE()</f>
        <v>0</v>
      </c>
      <c r="AE2945" s="65">
        <v>3</v>
      </c>
      <c r="AF2945" s="69">
        <v>42.9</v>
      </c>
      <c r="AG2945" s="65" t="s">
        <v>73</v>
      </c>
      <c r="AH2945" s="65" t="s">
        <v>11188</v>
      </c>
      <c r="AI2945">
        <f>IF(AND(OR(Company_Explorer!$B$5="All Companies",$E2945=Company_Explorer!$B$5),OR(Company_Explorer!$B$6="All Platforms",$B2945=Company_Explorer!$B$6),OR(Company_Explorer!$B$7="All Roles",$D2945=Company_Explorer!$B$7),OR(Company_Explorer!$B$8="All Ghost Labels",$AG2945=Company_Explorer!$B$8)),1,0)</f>
        <v>0</v>
      </c>
    </row>
    <row r="2946" spans="1:35" ht="15" customHeight="1" x14ac:dyDescent="0.3">
      <c r="A2946" s="60" t="s">
        <v>11189</v>
      </c>
      <c r="B2946" s="60" t="s">
        <v>82</v>
      </c>
      <c r="C2946" s="60" t="s">
        <v>127</v>
      </c>
      <c r="D2946" s="60" t="s">
        <v>127</v>
      </c>
      <c r="E2946" s="60" t="s">
        <v>11190</v>
      </c>
      <c r="F2946" s="60" t="b">
        <f>TRUE()</f>
        <v>1</v>
      </c>
      <c r="G2946" s="60" t="s">
        <v>269</v>
      </c>
      <c r="H2946" s="60" t="s">
        <v>270</v>
      </c>
      <c r="I2946" s="61">
        <v>46193</v>
      </c>
      <c r="J2946" s="61">
        <v>46210.286643773201</v>
      </c>
      <c r="K2946" s="60">
        <v>137</v>
      </c>
      <c r="L2946" s="60" t="s">
        <v>192</v>
      </c>
      <c r="M2946" s="60" t="s">
        <v>183</v>
      </c>
      <c r="N2946" s="60" t="b">
        <f>TRUE()</f>
        <v>1</v>
      </c>
      <c r="O2946" s="70">
        <v>20000</v>
      </c>
      <c r="P2946" s="70">
        <v>30000</v>
      </c>
      <c r="Q2946" s="60" t="s">
        <v>3663</v>
      </c>
      <c r="R2946" s="60" t="s">
        <v>7445</v>
      </c>
      <c r="S2946" s="70">
        <v>300000</v>
      </c>
      <c r="T2946" s="60" t="b">
        <f>TRUE()</f>
        <v>1</v>
      </c>
      <c r="U2946" s="60" t="b">
        <f>FALSE()</f>
        <v>0</v>
      </c>
      <c r="V2946" s="60">
        <v>311</v>
      </c>
      <c r="W2946" s="62" t="s">
        <v>11191</v>
      </c>
      <c r="X2946" s="60">
        <v>1</v>
      </c>
      <c r="Y2946" s="63">
        <v>0.24</v>
      </c>
      <c r="Z2946" s="60" t="b">
        <f>FALSE()</f>
        <v>0</v>
      </c>
      <c r="AA2946" s="60" t="b">
        <f>FALSE()</f>
        <v>0</v>
      </c>
      <c r="AB2946" s="60" t="b">
        <f>FALSE()</f>
        <v>0</v>
      </c>
      <c r="AC2946" s="60" t="b">
        <f>TRUE()</f>
        <v>1</v>
      </c>
      <c r="AD2946" s="60" t="b">
        <f>FALSE()</f>
        <v>0</v>
      </c>
      <c r="AE2946" s="60">
        <v>1</v>
      </c>
      <c r="AF2946" s="64">
        <v>14.3</v>
      </c>
      <c r="AG2946" s="60" t="s">
        <v>74</v>
      </c>
      <c r="AH2946" s="60" t="s">
        <v>11192</v>
      </c>
      <c r="AI2946">
        <f>IF(AND(OR(Company_Explorer!$B$5="All Companies",$E2946=Company_Explorer!$B$5),OR(Company_Explorer!$B$6="All Platforms",$B2946=Company_Explorer!$B$6),OR(Company_Explorer!$B$7="All Roles",$D2946=Company_Explorer!$B$7),OR(Company_Explorer!$B$8="All Ghost Labels",$AG2946=Company_Explorer!$B$8)),1,0)</f>
        <v>0</v>
      </c>
    </row>
    <row r="2947" spans="1:35" ht="15" customHeight="1" x14ac:dyDescent="0.3">
      <c r="A2947" s="65" t="s">
        <v>11193</v>
      </c>
      <c r="B2947" s="65" t="s">
        <v>82</v>
      </c>
      <c r="C2947" s="65" t="s">
        <v>11194</v>
      </c>
      <c r="D2947" s="65" t="s">
        <v>126</v>
      </c>
      <c r="E2947" s="65" t="s">
        <v>11195</v>
      </c>
      <c r="F2947" s="65" t="b">
        <f>TRUE()</f>
        <v>1</v>
      </c>
      <c r="G2947" s="65" t="s">
        <v>165</v>
      </c>
      <c r="H2947" s="65" t="s">
        <v>165</v>
      </c>
      <c r="I2947" s="66">
        <v>46207</v>
      </c>
      <c r="J2947" s="66">
        <v>46210.286644027801</v>
      </c>
      <c r="K2947" s="65">
        <v>94</v>
      </c>
      <c r="L2947" s="65" t="s">
        <v>183</v>
      </c>
      <c r="M2947" s="65" t="s">
        <v>183</v>
      </c>
      <c r="N2947" s="65" t="b">
        <f>FALSE()</f>
        <v>0</v>
      </c>
      <c r="O2947" s="65"/>
      <c r="P2947" s="65"/>
      <c r="Q2947" s="65" t="s">
        <v>3663</v>
      </c>
      <c r="R2947" s="65" t="s">
        <v>236</v>
      </c>
      <c r="S2947" s="65"/>
      <c r="T2947" s="65" t="b">
        <f>FALSE()</f>
        <v>0</v>
      </c>
      <c r="U2947" s="65" t="b">
        <f>FALSE()</f>
        <v>0</v>
      </c>
      <c r="V2947" s="65">
        <v>536</v>
      </c>
      <c r="W2947" s="67" t="s">
        <v>11196</v>
      </c>
      <c r="X2947" s="65">
        <v>1</v>
      </c>
      <c r="Y2947" s="68">
        <v>0.24</v>
      </c>
      <c r="Z2947" s="65" t="b">
        <f>FALSE()</f>
        <v>0</v>
      </c>
      <c r="AA2947" s="65" t="b">
        <f>TRUE()</f>
        <v>1</v>
      </c>
      <c r="AB2947" s="65" t="b">
        <f>FALSE()</f>
        <v>0</v>
      </c>
      <c r="AC2947" s="65" t="b">
        <f>FALSE()</f>
        <v>0</v>
      </c>
      <c r="AD2947" s="65" t="b">
        <f>FALSE()</f>
        <v>0</v>
      </c>
      <c r="AE2947" s="65">
        <v>1</v>
      </c>
      <c r="AF2947" s="69">
        <v>14.3</v>
      </c>
      <c r="AG2947" s="65" t="s">
        <v>74</v>
      </c>
      <c r="AH2947" s="65" t="s">
        <v>11197</v>
      </c>
      <c r="AI2947">
        <f>IF(AND(OR(Company_Explorer!$B$5="All Companies",$E2947=Company_Explorer!$B$5),OR(Company_Explorer!$B$6="All Platforms",$B2947=Company_Explorer!$B$6),OR(Company_Explorer!$B$7="All Roles",$D2947=Company_Explorer!$B$7),OR(Company_Explorer!$B$8="All Ghost Labels",$AG2947=Company_Explorer!$B$8)),1,0)</f>
        <v>0</v>
      </c>
    </row>
    <row r="2948" spans="1:35" ht="15" customHeight="1" x14ac:dyDescent="0.3">
      <c r="A2948" s="60" t="s">
        <v>11198</v>
      </c>
      <c r="B2948" s="60" t="s">
        <v>82</v>
      </c>
      <c r="C2948" s="60" t="s">
        <v>127</v>
      </c>
      <c r="D2948" s="60" t="s">
        <v>127</v>
      </c>
      <c r="E2948" s="60" t="s">
        <v>11199</v>
      </c>
      <c r="F2948" s="60" t="b">
        <f>TRUE()</f>
        <v>1</v>
      </c>
      <c r="G2948" s="60" t="s">
        <v>165</v>
      </c>
      <c r="H2948" s="60" t="s">
        <v>165</v>
      </c>
      <c r="I2948" s="61">
        <v>46200</v>
      </c>
      <c r="J2948" s="61">
        <v>46210.286648819398</v>
      </c>
      <c r="K2948" s="60">
        <v>587</v>
      </c>
      <c r="L2948" s="60" t="s">
        <v>183</v>
      </c>
      <c r="M2948" s="60" t="s">
        <v>183</v>
      </c>
      <c r="N2948" s="60" t="b">
        <f>FALSE()</f>
        <v>0</v>
      </c>
      <c r="O2948" s="60"/>
      <c r="P2948" s="60"/>
      <c r="Q2948" s="60" t="s">
        <v>3663</v>
      </c>
      <c r="R2948" s="60" t="s">
        <v>236</v>
      </c>
      <c r="S2948" s="60"/>
      <c r="T2948" s="60" t="b">
        <f>FALSE()</f>
        <v>0</v>
      </c>
      <c r="U2948" s="60" t="b">
        <f>FALSE()</f>
        <v>0</v>
      </c>
      <c r="V2948" s="60">
        <v>278</v>
      </c>
      <c r="W2948" s="60" t="s">
        <v>11200</v>
      </c>
      <c r="X2948" s="60">
        <v>1</v>
      </c>
      <c r="Y2948" s="63">
        <v>0.24</v>
      </c>
      <c r="Z2948" s="60" t="b">
        <f>FALSE()</f>
        <v>0</v>
      </c>
      <c r="AA2948" s="60" t="b">
        <f>TRUE()</f>
        <v>1</v>
      </c>
      <c r="AB2948" s="60" t="b">
        <f>FALSE()</f>
        <v>0</v>
      </c>
      <c r="AC2948" s="60" t="b">
        <f>TRUE()</f>
        <v>1</v>
      </c>
      <c r="AD2948" s="60" t="b">
        <f>FALSE()</f>
        <v>0</v>
      </c>
      <c r="AE2948" s="60">
        <v>2</v>
      </c>
      <c r="AF2948" s="64">
        <v>28.6</v>
      </c>
      <c r="AG2948" s="60" t="s">
        <v>73</v>
      </c>
      <c r="AH2948" s="60" t="s">
        <v>11201</v>
      </c>
      <c r="AI2948">
        <f>IF(AND(OR(Company_Explorer!$B$5="All Companies",$E2948=Company_Explorer!$B$5),OR(Company_Explorer!$B$6="All Platforms",$B2948=Company_Explorer!$B$6),OR(Company_Explorer!$B$7="All Roles",$D2948=Company_Explorer!$B$7),OR(Company_Explorer!$B$8="All Ghost Labels",$AG2948=Company_Explorer!$B$8)),1,0)</f>
        <v>0</v>
      </c>
    </row>
    <row r="2949" spans="1:35" ht="15" customHeight="1" x14ac:dyDescent="0.3">
      <c r="A2949" s="65" t="s">
        <v>11202</v>
      </c>
      <c r="B2949" s="65" t="s">
        <v>82</v>
      </c>
      <c r="C2949" s="65" t="s">
        <v>11203</v>
      </c>
      <c r="D2949" s="65" t="s">
        <v>127</v>
      </c>
      <c r="E2949" s="65" t="s">
        <v>7730</v>
      </c>
      <c r="F2949" s="65" t="b">
        <f>TRUE()</f>
        <v>1</v>
      </c>
      <c r="G2949" s="65" t="s">
        <v>165</v>
      </c>
      <c r="H2949" s="65" t="s">
        <v>165</v>
      </c>
      <c r="I2949" s="66">
        <v>46197</v>
      </c>
      <c r="J2949" s="66">
        <v>46210.286648657398</v>
      </c>
      <c r="K2949" s="65">
        <v>133</v>
      </c>
      <c r="L2949" s="65" t="s">
        <v>183</v>
      </c>
      <c r="M2949" s="65" t="s">
        <v>183</v>
      </c>
      <c r="N2949" s="65" t="b">
        <f>FALSE()</f>
        <v>0</v>
      </c>
      <c r="O2949" s="65"/>
      <c r="P2949" s="65"/>
      <c r="Q2949" s="65" t="s">
        <v>3663</v>
      </c>
      <c r="R2949" s="65" t="s">
        <v>236</v>
      </c>
      <c r="S2949" s="65"/>
      <c r="T2949" s="65" t="b">
        <f>FALSE()</f>
        <v>0</v>
      </c>
      <c r="U2949" s="65" t="b">
        <f>FALSE()</f>
        <v>0</v>
      </c>
      <c r="V2949" s="65">
        <v>338</v>
      </c>
      <c r="W2949" s="67" t="s">
        <v>10915</v>
      </c>
      <c r="X2949" s="65">
        <v>7</v>
      </c>
      <c r="Y2949" s="68">
        <v>1.69</v>
      </c>
      <c r="Z2949" s="65" t="b">
        <f>FALSE()</f>
        <v>0</v>
      </c>
      <c r="AA2949" s="65" t="b">
        <f>TRUE()</f>
        <v>1</v>
      </c>
      <c r="AB2949" s="65" t="b">
        <f>FALSE()</f>
        <v>0</v>
      </c>
      <c r="AC2949" s="65" t="b">
        <f>TRUE()</f>
        <v>1</v>
      </c>
      <c r="AD2949" s="65" t="b">
        <f>FALSE()</f>
        <v>0</v>
      </c>
      <c r="AE2949" s="65">
        <v>2</v>
      </c>
      <c r="AF2949" s="69">
        <v>28.6</v>
      </c>
      <c r="AG2949" s="65" t="s">
        <v>73</v>
      </c>
      <c r="AH2949" s="65" t="s">
        <v>11204</v>
      </c>
      <c r="AI2949">
        <f>IF(AND(OR(Company_Explorer!$B$5="All Companies",$E2949=Company_Explorer!$B$5),OR(Company_Explorer!$B$6="All Platforms",$B2949=Company_Explorer!$B$6),OR(Company_Explorer!$B$7="All Roles",$D2949=Company_Explorer!$B$7),OR(Company_Explorer!$B$8="All Ghost Labels",$AG2949=Company_Explorer!$B$8)),1,0)</f>
        <v>0</v>
      </c>
    </row>
    <row r="2950" spans="1:35" ht="15" customHeight="1" x14ac:dyDescent="0.3">
      <c r="A2950" s="60" t="s">
        <v>11205</v>
      </c>
      <c r="B2950" s="60" t="s">
        <v>82</v>
      </c>
      <c r="C2950" s="60" t="s">
        <v>11206</v>
      </c>
      <c r="D2950" s="60" t="s">
        <v>127</v>
      </c>
      <c r="E2950" s="60" t="s">
        <v>8303</v>
      </c>
      <c r="F2950" s="60" t="b">
        <f>TRUE()</f>
        <v>1</v>
      </c>
      <c r="G2950" s="60" t="s">
        <v>165</v>
      </c>
      <c r="H2950" s="60" t="s">
        <v>165</v>
      </c>
      <c r="I2950" s="61">
        <v>46203</v>
      </c>
      <c r="J2950" s="61">
        <v>46210.286649664398</v>
      </c>
      <c r="K2950" s="60">
        <v>7</v>
      </c>
      <c r="L2950" s="60" t="s">
        <v>192</v>
      </c>
      <c r="M2950" s="60" t="s">
        <v>183</v>
      </c>
      <c r="N2950" s="60" t="b">
        <f>FALSE()</f>
        <v>0</v>
      </c>
      <c r="O2950" s="60"/>
      <c r="P2950" s="60"/>
      <c r="Q2950" s="60" t="s">
        <v>3663</v>
      </c>
      <c r="R2950" s="60" t="s">
        <v>236</v>
      </c>
      <c r="S2950" s="60"/>
      <c r="T2950" s="60" t="b">
        <f>FALSE()</f>
        <v>0</v>
      </c>
      <c r="U2950" s="60" t="b">
        <f>FALSE()</f>
        <v>0</v>
      </c>
      <c r="V2950" s="60">
        <v>995</v>
      </c>
      <c r="W2950" s="62" t="s">
        <v>11207</v>
      </c>
      <c r="X2950" s="60">
        <v>2</v>
      </c>
      <c r="Y2950" s="63">
        <v>0.48</v>
      </c>
      <c r="Z2950" s="60" t="b">
        <f>FALSE()</f>
        <v>0</v>
      </c>
      <c r="AA2950" s="60" t="b">
        <f>TRUE()</f>
        <v>1</v>
      </c>
      <c r="AB2950" s="60" t="b">
        <f>FALSE()</f>
        <v>0</v>
      </c>
      <c r="AC2950" s="60" t="b">
        <f>FALSE()</f>
        <v>0</v>
      </c>
      <c r="AD2950" s="60" t="b">
        <f>FALSE()</f>
        <v>0</v>
      </c>
      <c r="AE2950" s="60">
        <v>1</v>
      </c>
      <c r="AF2950" s="64">
        <v>14.3</v>
      </c>
      <c r="AG2950" s="60" t="s">
        <v>74</v>
      </c>
      <c r="AH2950" s="60" t="s">
        <v>11208</v>
      </c>
      <c r="AI2950">
        <f>IF(AND(OR(Company_Explorer!$B$5="All Companies",$E2950=Company_Explorer!$B$5),OR(Company_Explorer!$B$6="All Platforms",$B2950=Company_Explorer!$B$6),OR(Company_Explorer!$B$7="All Roles",$D2950=Company_Explorer!$B$7),OR(Company_Explorer!$B$8="All Ghost Labels",$AG2950=Company_Explorer!$B$8)),1,0)</f>
        <v>0</v>
      </c>
    </row>
    <row r="2951" spans="1:35" ht="15" customHeight="1" x14ac:dyDescent="0.3">
      <c r="A2951" s="65" t="s">
        <v>11209</v>
      </c>
      <c r="B2951" s="65" t="s">
        <v>82</v>
      </c>
      <c r="C2951" s="65" t="s">
        <v>127</v>
      </c>
      <c r="D2951" s="65" t="s">
        <v>127</v>
      </c>
      <c r="E2951" s="65" t="s">
        <v>3726</v>
      </c>
      <c r="F2951" s="65" t="b">
        <f>FALSE()</f>
        <v>0</v>
      </c>
      <c r="G2951" s="65" t="s">
        <v>166</v>
      </c>
      <c r="H2951" s="65" t="s">
        <v>235</v>
      </c>
      <c r="I2951" s="66">
        <v>46199</v>
      </c>
      <c r="J2951" s="66">
        <v>46210.286650277798</v>
      </c>
      <c r="K2951" s="65">
        <v>12</v>
      </c>
      <c r="L2951" s="65" t="s">
        <v>192</v>
      </c>
      <c r="M2951" s="65" t="s">
        <v>183</v>
      </c>
      <c r="N2951" s="65" t="b">
        <f>TRUE()</f>
        <v>1</v>
      </c>
      <c r="O2951" s="71">
        <v>500000</v>
      </c>
      <c r="P2951" s="71">
        <v>500000</v>
      </c>
      <c r="Q2951" s="65" t="s">
        <v>3663</v>
      </c>
      <c r="R2951" s="65" t="s">
        <v>7351</v>
      </c>
      <c r="S2951" s="71">
        <v>500000</v>
      </c>
      <c r="T2951" s="65" t="b">
        <f>TRUE()</f>
        <v>1</v>
      </c>
      <c r="U2951" s="65" t="b">
        <f>FALSE()</f>
        <v>0</v>
      </c>
      <c r="V2951" s="65">
        <v>56</v>
      </c>
      <c r="W2951" s="65" t="s">
        <v>11210</v>
      </c>
      <c r="X2951" s="65"/>
      <c r="Y2951" s="68"/>
      <c r="Z2951" s="65" t="b">
        <f>TRUE()</f>
        <v>1</v>
      </c>
      <c r="AA2951" s="65" t="b">
        <f>FALSE()</f>
        <v>0</v>
      </c>
      <c r="AB2951" s="65" t="b">
        <f>TRUE()</f>
        <v>1</v>
      </c>
      <c r="AC2951" s="65" t="b">
        <f>FALSE()</f>
        <v>0</v>
      </c>
      <c r="AD2951" s="65" t="b">
        <f>FALSE()</f>
        <v>0</v>
      </c>
      <c r="AE2951" s="65">
        <v>3</v>
      </c>
      <c r="AF2951" s="69">
        <v>42.9</v>
      </c>
      <c r="AG2951" s="65" t="s">
        <v>73</v>
      </c>
      <c r="AH2951" s="65" t="s">
        <v>11211</v>
      </c>
      <c r="AI2951">
        <f>IF(AND(OR(Company_Explorer!$B$5="All Companies",$E2951=Company_Explorer!$B$5),OR(Company_Explorer!$B$6="All Platforms",$B2951=Company_Explorer!$B$6),OR(Company_Explorer!$B$7="All Roles",$D2951=Company_Explorer!$B$7),OR(Company_Explorer!$B$8="All Ghost Labels",$AG2951=Company_Explorer!$B$8)),1,0)</f>
        <v>0</v>
      </c>
    </row>
    <row r="2952" spans="1:35" ht="15" customHeight="1" x14ac:dyDescent="0.3">
      <c r="A2952" s="60" t="s">
        <v>11212</v>
      </c>
      <c r="B2952" s="60" t="s">
        <v>82</v>
      </c>
      <c r="C2952" s="60" t="s">
        <v>11213</v>
      </c>
      <c r="D2952" s="60" t="s">
        <v>126</v>
      </c>
      <c r="E2952" s="60" t="s">
        <v>4375</v>
      </c>
      <c r="F2952" s="60" t="b">
        <f>TRUE()</f>
        <v>1</v>
      </c>
      <c r="G2952" s="60" t="s">
        <v>165</v>
      </c>
      <c r="H2952" s="60" t="s">
        <v>165</v>
      </c>
      <c r="I2952" s="61">
        <v>46193</v>
      </c>
      <c r="J2952" s="61">
        <v>46210.286652824099</v>
      </c>
      <c r="K2952" s="60">
        <v>18</v>
      </c>
      <c r="L2952" s="60" t="s">
        <v>192</v>
      </c>
      <c r="M2952" s="60" t="s">
        <v>183</v>
      </c>
      <c r="N2952" s="60" t="b">
        <f>TRUE()</f>
        <v>1</v>
      </c>
      <c r="O2952" s="70">
        <v>70000</v>
      </c>
      <c r="P2952" s="70">
        <v>90000</v>
      </c>
      <c r="Q2952" s="60" t="s">
        <v>3663</v>
      </c>
      <c r="R2952" s="60" t="s">
        <v>7445</v>
      </c>
      <c r="S2952" s="70">
        <v>960000</v>
      </c>
      <c r="T2952" s="60" t="b">
        <f>TRUE()</f>
        <v>1</v>
      </c>
      <c r="U2952" s="60" t="b">
        <f>FALSE()</f>
        <v>0</v>
      </c>
      <c r="V2952" s="60">
        <v>506</v>
      </c>
      <c r="W2952" s="62" t="s">
        <v>11214</v>
      </c>
      <c r="X2952" s="60">
        <v>1</v>
      </c>
      <c r="Y2952" s="63">
        <v>0.24</v>
      </c>
      <c r="Z2952" s="60" t="b">
        <f>FALSE()</f>
        <v>0</v>
      </c>
      <c r="AA2952" s="60" t="b">
        <f>FALSE()</f>
        <v>0</v>
      </c>
      <c r="AB2952" s="60" t="b">
        <f>FALSE()</f>
        <v>0</v>
      </c>
      <c r="AC2952" s="60" t="b">
        <f>FALSE()</f>
        <v>0</v>
      </c>
      <c r="AD2952" s="60" t="b">
        <f>FALSE()</f>
        <v>0</v>
      </c>
      <c r="AE2952" s="60">
        <v>0</v>
      </c>
      <c r="AF2952" s="64">
        <v>0</v>
      </c>
      <c r="AG2952" s="60" t="s">
        <v>74</v>
      </c>
      <c r="AH2952" s="60" t="s">
        <v>11215</v>
      </c>
      <c r="AI2952">
        <f>IF(AND(OR(Company_Explorer!$B$5="All Companies",$E2952=Company_Explorer!$B$5),OR(Company_Explorer!$B$6="All Platforms",$B2952=Company_Explorer!$B$6),OR(Company_Explorer!$B$7="All Roles",$D2952=Company_Explorer!$B$7),OR(Company_Explorer!$B$8="All Ghost Labels",$AG2952=Company_Explorer!$B$8)),1,0)</f>
        <v>0</v>
      </c>
    </row>
    <row r="2953" spans="1:35" ht="15" customHeight="1" x14ac:dyDescent="0.3">
      <c r="A2953" s="65" t="s">
        <v>11216</v>
      </c>
      <c r="B2953" s="65" t="s">
        <v>82</v>
      </c>
      <c r="C2953" s="65" t="s">
        <v>11217</v>
      </c>
      <c r="D2953" s="65" t="s">
        <v>126</v>
      </c>
      <c r="E2953" s="65" t="s">
        <v>10128</v>
      </c>
      <c r="F2953" s="65" t="b">
        <f>TRUE()</f>
        <v>1</v>
      </c>
      <c r="G2953" s="65" t="s">
        <v>165</v>
      </c>
      <c r="H2953" s="65" t="s">
        <v>165</v>
      </c>
      <c r="I2953" s="66">
        <v>46189</v>
      </c>
      <c r="J2953" s="66">
        <v>46210.286653136602</v>
      </c>
      <c r="K2953" s="65">
        <v>21</v>
      </c>
      <c r="L2953" s="65" t="s">
        <v>192</v>
      </c>
      <c r="M2953" s="65" t="s">
        <v>183</v>
      </c>
      <c r="N2953" s="65" t="b">
        <f>FALSE()</f>
        <v>0</v>
      </c>
      <c r="O2953" s="65"/>
      <c r="P2953" s="65"/>
      <c r="Q2953" s="65" t="s">
        <v>3663</v>
      </c>
      <c r="R2953" s="65" t="s">
        <v>236</v>
      </c>
      <c r="S2953" s="65"/>
      <c r="T2953" s="65" t="b">
        <f>FALSE()</f>
        <v>0</v>
      </c>
      <c r="U2953" s="65" t="b">
        <f>FALSE()</f>
        <v>0</v>
      </c>
      <c r="V2953" s="65">
        <v>351</v>
      </c>
      <c r="W2953" s="67" t="s">
        <v>11218</v>
      </c>
      <c r="X2953" s="65">
        <v>2</v>
      </c>
      <c r="Y2953" s="68">
        <v>0.48</v>
      </c>
      <c r="Z2953" s="65" t="b">
        <f>FALSE()</f>
        <v>0</v>
      </c>
      <c r="AA2953" s="65" t="b">
        <f>TRUE()</f>
        <v>1</v>
      </c>
      <c r="AB2953" s="65" t="b">
        <f>FALSE()</f>
        <v>0</v>
      </c>
      <c r="AC2953" s="65" t="b">
        <f>FALSE()</f>
        <v>0</v>
      </c>
      <c r="AD2953" s="65" t="b">
        <f>FALSE()</f>
        <v>0</v>
      </c>
      <c r="AE2953" s="65">
        <v>1</v>
      </c>
      <c r="AF2953" s="69">
        <v>14.3</v>
      </c>
      <c r="AG2953" s="65" t="s">
        <v>74</v>
      </c>
      <c r="AH2953" s="65" t="s">
        <v>11219</v>
      </c>
      <c r="AI2953">
        <f>IF(AND(OR(Company_Explorer!$B$5="All Companies",$E2953=Company_Explorer!$B$5),OR(Company_Explorer!$B$6="All Platforms",$B2953=Company_Explorer!$B$6),OR(Company_Explorer!$B$7="All Roles",$D2953=Company_Explorer!$B$7),OR(Company_Explorer!$B$8="All Ghost Labels",$AG2953=Company_Explorer!$B$8)),1,0)</f>
        <v>0</v>
      </c>
    </row>
    <row r="2954" spans="1:35" ht="15" customHeight="1" x14ac:dyDescent="0.3">
      <c r="A2954" s="60" t="s">
        <v>11220</v>
      </c>
      <c r="B2954" s="60" t="s">
        <v>82</v>
      </c>
      <c r="C2954" s="60" t="s">
        <v>11221</v>
      </c>
      <c r="D2954" s="60" t="s">
        <v>127</v>
      </c>
      <c r="E2954" s="60" t="s">
        <v>9172</v>
      </c>
      <c r="F2954" s="60" t="b">
        <f>TRUE()</f>
        <v>1</v>
      </c>
      <c r="G2954" s="60" t="s">
        <v>165</v>
      </c>
      <c r="H2954" s="60" t="s">
        <v>165</v>
      </c>
      <c r="I2954" s="61">
        <v>46200</v>
      </c>
      <c r="J2954" s="61">
        <v>46210.286654004602</v>
      </c>
      <c r="K2954" s="60">
        <v>10</v>
      </c>
      <c r="L2954" s="60" t="s">
        <v>183</v>
      </c>
      <c r="M2954" s="60" t="s">
        <v>183</v>
      </c>
      <c r="N2954" s="60" t="b">
        <f>FALSE()</f>
        <v>0</v>
      </c>
      <c r="O2954" s="60"/>
      <c r="P2954" s="60"/>
      <c r="Q2954" s="60" t="s">
        <v>3663</v>
      </c>
      <c r="R2954" s="60" t="s">
        <v>236</v>
      </c>
      <c r="S2954" s="60"/>
      <c r="T2954" s="60" t="b">
        <f>FALSE()</f>
        <v>0</v>
      </c>
      <c r="U2954" s="60" t="b">
        <f>FALSE()</f>
        <v>0</v>
      </c>
      <c r="V2954" s="60">
        <v>126</v>
      </c>
      <c r="W2954" s="62" t="s">
        <v>11222</v>
      </c>
      <c r="X2954" s="60">
        <v>2</v>
      </c>
      <c r="Y2954" s="63">
        <v>0.48</v>
      </c>
      <c r="Z2954" s="60" t="b">
        <f>FALSE()</f>
        <v>0</v>
      </c>
      <c r="AA2954" s="60" t="b">
        <f>TRUE()</f>
        <v>1</v>
      </c>
      <c r="AB2954" s="60" t="b">
        <f>TRUE()</f>
        <v>1</v>
      </c>
      <c r="AC2954" s="60" t="b">
        <f>FALSE()</f>
        <v>0</v>
      </c>
      <c r="AD2954" s="60" t="b">
        <f>FALSE()</f>
        <v>0</v>
      </c>
      <c r="AE2954" s="60">
        <v>2</v>
      </c>
      <c r="AF2954" s="64">
        <v>28.6</v>
      </c>
      <c r="AG2954" s="60" t="s">
        <v>73</v>
      </c>
      <c r="AH2954" s="60" t="s">
        <v>11223</v>
      </c>
      <c r="AI2954">
        <f>IF(AND(OR(Company_Explorer!$B$5="All Companies",$E2954=Company_Explorer!$B$5),OR(Company_Explorer!$B$6="All Platforms",$B2954=Company_Explorer!$B$6),OR(Company_Explorer!$B$7="All Roles",$D2954=Company_Explorer!$B$7),OR(Company_Explorer!$B$8="All Ghost Labels",$AG2954=Company_Explorer!$B$8)),1,0)</f>
        <v>0</v>
      </c>
    </row>
    <row r="2955" spans="1:35" ht="15" customHeight="1" x14ac:dyDescent="0.3">
      <c r="A2955" s="65" t="s">
        <v>11224</v>
      </c>
      <c r="B2955" s="65" t="s">
        <v>82</v>
      </c>
      <c r="C2955" s="65" t="s">
        <v>11225</v>
      </c>
      <c r="D2955" s="65" t="s">
        <v>126</v>
      </c>
      <c r="E2955" s="65" t="s">
        <v>150</v>
      </c>
      <c r="F2955" s="65" t="b">
        <f>TRUE()</f>
        <v>1</v>
      </c>
      <c r="G2955" s="65" t="s">
        <v>165</v>
      </c>
      <c r="H2955" s="65" t="s">
        <v>165</v>
      </c>
      <c r="I2955" s="66">
        <v>46192</v>
      </c>
      <c r="J2955" s="66">
        <v>46210.286654224503</v>
      </c>
      <c r="K2955" s="65">
        <v>138</v>
      </c>
      <c r="L2955" s="65" t="s">
        <v>192</v>
      </c>
      <c r="M2955" s="65" t="s">
        <v>183</v>
      </c>
      <c r="N2955" s="65" t="b">
        <f>FALSE()</f>
        <v>0</v>
      </c>
      <c r="O2955" s="65"/>
      <c r="P2955" s="65"/>
      <c r="Q2955" s="65" t="s">
        <v>3663</v>
      </c>
      <c r="R2955" s="65" t="s">
        <v>236</v>
      </c>
      <c r="S2955" s="65"/>
      <c r="T2955" s="65" t="b">
        <f>FALSE()</f>
        <v>0</v>
      </c>
      <c r="U2955" s="65" t="b">
        <f>FALSE()</f>
        <v>0</v>
      </c>
      <c r="V2955" s="65">
        <v>690</v>
      </c>
      <c r="W2955" s="67" t="s">
        <v>3698</v>
      </c>
      <c r="X2955" s="65">
        <v>18</v>
      </c>
      <c r="Y2955" s="68">
        <v>4.34</v>
      </c>
      <c r="Z2955" s="65" t="b">
        <f>FALSE()</f>
        <v>0</v>
      </c>
      <c r="AA2955" s="65" t="b">
        <f>TRUE()</f>
        <v>1</v>
      </c>
      <c r="AB2955" s="65" t="b">
        <f>FALSE()</f>
        <v>0</v>
      </c>
      <c r="AC2955" s="65" t="b">
        <f>TRUE()</f>
        <v>1</v>
      </c>
      <c r="AD2955" s="65" t="b">
        <f>TRUE()</f>
        <v>1</v>
      </c>
      <c r="AE2955" s="65">
        <v>4</v>
      </c>
      <c r="AF2955" s="69">
        <v>57.1</v>
      </c>
      <c r="AG2955" s="65" t="s">
        <v>72</v>
      </c>
      <c r="AH2955" s="65" t="s">
        <v>11226</v>
      </c>
      <c r="AI2955">
        <f>IF(AND(OR(Company_Explorer!$B$5="All Companies",$E2955=Company_Explorer!$B$5),OR(Company_Explorer!$B$6="All Platforms",$B2955=Company_Explorer!$B$6),OR(Company_Explorer!$B$7="All Roles",$D2955=Company_Explorer!$B$7),OR(Company_Explorer!$B$8="All Ghost Labels",$AG2955=Company_Explorer!$B$8)),1,0)</f>
        <v>0</v>
      </c>
    </row>
    <row r="2956" spans="1:35" ht="15" customHeight="1" x14ac:dyDescent="0.3">
      <c r="A2956" s="60" t="s">
        <v>11227</v>
      </c>
      <c r="B2956" s="60" t="s">
        <v>82</v>
      </c>
      <c r="C2956" s="60" t="s">
        <v>11228</v>
      </c>
      <c r="D2956" s="60" t="s">
        <v>126</v>
      </c>
      <c r="E2956" s="60" t="s">
        <v>11229</v>
      </c>
      <c r="F2956" s="60" t="b">
        <f>TRUE()</f>
        <v>1</v>
      </c>
      <c r="G2956" s="60" t="s">
        <v>165</v>
      </c>
      <c r="H2956" s="60" t="s">
        <v>165</v>
      </c>
      <c r="I2956" s="61">
        <v>46200</v>
      </c>
      <c r="J2956" s="61">
        <v>46210.286654907402</v>
      </c>
      <c r="K2956" s="60">
        <v>41</v>
      </c>
      <c r="L2956" s="60" t="s">
        <v>192</v>
      </c>
      <c r="M2956" s="60" t="s">
        <v>183</v>
      </c>
      <c r="N2956" s="60" t="b">
        <f>FALSE()</f>
        <v>0</v>
      </c>
      <c r="O2956" s="60"/>
      <c r="P2956" s="60"/>
      <c r="Q2956" s="60" t="s">
        <v>3663</v>
      </c>
      <c r="R2956" s="60" t="s">
        <v>236</v>
      </c>
      <c r="S2956" s="60"/>
      <c r="T2956" s="60" t="b">
        <f>FALSE()</f>
        <v>0</v>
      </c>
      <c r="U2956" s="60" t="b">
        <f>FALSE()</f>
        <v>0</v>
      </c>
      <c r="V2956" s="60">
        <v>1135</v>
      </c>
      <c r="W2956" s="60" t="s">
        <v>11230</v>
      </c>
      <c r="X2956" s="60">
        <v>1</v>
      </c>
      <c r="Y2956" s="63">
        <v>0.24</v>
      </c>
      <c r="Z2956" s="60" t="b">
        <f>FALSE()</f>
        <v>0</v>
      </c>
      <c r="AA2956" s="60" t="b">
        <f>TRUE()</f>
        <v>1</v>
      </c>
      <c r="AB2956" s="60" t="b">
        <f>FALSE()</f>
        <v>0</v>
      </c>
      <c r="AC2956" s="60" t="b">
        <f>FALSE()</f>
        <v>0</v>
      </c>
      <c r="AD2956" s="60" t="b">
        <f>FALSE()</f>
        <v>0</v>
      </c>
      <c r="AE2956" s="60">
        <v>1</v>
      </c>
      <c r="AF2956" s="64">
        <v>14.3</v>
      </c>
      <c r="AG2956" s="60" t="s">
        <v>74</v>
      </c>
      <c r="AH2956" s="60" t="s">
        <v>11231</v>
      </c>
      <c r="AI2956">
        <f>IF(AND(OR(Company_Explorer!$B$5="All Companies",$E2956=Company_Explorer!$B$5),OR(Company_Explorer!$B$6="All Platforms",$B2956=Company_Explorer!$B$6),OR(Company_Explorer!$B$7="All Roles",$D2956=Company_Explorer!$B$7),OR(Company_Explorer!$B$8="All Ghost Labels",$AG2956=Company_Explorer!$B$8)),1,0)</f>
        <v>0</v>
      </c>
    </row>
    <row r="2957" spans="1:35" ht="15" customHeight="1" x14ac:dyDescent="0.3">
      <c r="A2957" s="65" t="s">
        <v>11232</v>
      </c>
      <c r="B2957" s="65" t="s">
        <v>82</v>
      </c>
      <c r="C2957" s="65" t="s">
        <v>10748</v>
      </c>
      <c r="D2957" s="65" t="s">
        <v>126</v>
      </c>
      <c r="E2957" s="65" t="s">
        <v>10196</v>
      </c>
      <c r="F2957" s="65" t="b">
        <f>TRUE()</f>
        <v>1</v>
      </c>
      <c r="G2957" s="65" t="s">
        <v>165</v>
      </c>
      <c r="H2957" s="65" t="s">
        <v>165</v>
      </c>
      <c r="I2957" s="66">
        <v>46207</v>
      </c>
      <c r="J2957" s="66">
        <v>46210.286656273202</v>
      </c>
      <c r="K2957" s="65">
        <v>3</v>
      </c>
      <c r="L2957" s="65" t="s">
        <v>183</v>
      </c>
      <c r="M2957" s="65" t="s">
        <v>183</v>
      </c>
      <c r="N2957" s="65" t="b">
        <f>FALSE()</f>
        <v>0</v>
      </c>
      <c r="O2957" s="65"/>
      <c r="P2957" s="65"/>
      <c r="Q2957" s="65" t="s">
        <v>3663</v>
      </c>
      <c r="R2957" s="65" t="s">
        <v>236</v>
      </c>
      <c r="S2957" s="65"/>
      <c r="T2957" s="65" t="b">
        <f>FALSE()</f>
        <v>0</v>
      </c>
      <c r="U2957" s="65" t="b">
        <f>FALSE()</f>
        <v>0</v>
      </c>
      <c r="V2957" s="65">
        <v>807</v>
      </c>
      <c r="W2957" s="67" t="s">
        <v>11233</v>
      </c>
      <c r="X2957" s="65">
        <v>3</v>
      </c>
      <c r="Y2957" s="68">
        <v>0.72</v>
      </c>
      <c r="Z2957" s="65" t="b">
        <f>FALSE()</f>
        <v>0</v>
      </c>
      <c r="AA2957" s="65" t="b">
        <f>TRUE()</f>
        <v>1</v>
      </c>
      <c r="AB2957" s="65" t="b">
        <f>FALSE()</f>
        <v>0</v>
      </c>
      <c r="AC2957" s="65" t="b">
        <f>FALSE()</f>
        <v>0</v>
      </c>
      <c r="AD2957" s="65" t="b">
        <f>FALSE()</f>
        <v>0</v>
      </c>
      <c r="AE2957" s="65">
        <v>1</v>
      </c>
      <c r="AF2957" s="69">
        <v>14.3</v>
      </c>
      <c r="AG2957" s="65" t="s">
        <v>74</v>
      </c>
      <c r="AH2957" s="65" t="s">
        <v>11234</v>
      </c>
      <c r="AI2957">
        <f>IF(AND(OR(Company_Explorer!$B$5="All Companies",$E2957=Company_Explorer!$B$5),OR(Company_Explorer!$B$6="All Platforms",$B2957=Company_Explorer!$B$6),OR(Company_Explorer!$B$7="All Roles",$D2957=Company_Explorer!$B$7),OR(Company_Explorer!$B$8="All Ghost Labels",$AG2957=Company_Explorer!$B$8)),1,0)</f>
        <v>0</v>
      </c>
    </row>
    <row r="2958" spans="1:35" ht="15" customHeight="1" x14ac:dyDescent="0.3">
      <c r="A2958" s="60" t="s">
        <v>11235</v>
      </c>
      <c r="B2958" s="60" t="s">
        <v>82</v>
      </c>
      <c r="C2958" s="60" t="s">
        <v>7041</v>
      </c>
      <c r="D2958" s="60" t="s">
        <v>126</v>
      </c>
      <c r="E2958" s="60" t="s">
        <v>11236</v>
      </c>
      <c r="F2958" s="60" t="b">
        <f>TRUE()</f>
        <v>1</v>
      </c>
      <c r="G2958" s="60" t="s">
        <v>167</v>
      </c>
      <c r="H2958" s="60" t="s">
        <v>276</v>
      </c>
      <c r="I2958" s="61">
        <v>46199</v>
      </c>
      <c r="J2958" s="61">
        <v>46210.286657766199</v>
      </c>
      <c r="K2958" s="60">
        <v>496</v>
      </c>
      <c r="L2958" s="60" t="s">
        <v>183</v>
      </c>
      <c r="M2958" s="60" t="s">
        <v>183</v>
      </c>
      <c r="N2958" s="60" t="b">
        <f>TRUE()</f>
        <v>1</v>
      </c>
      <c r="O2958" s="70">
        <v>400000</v>
      </c>
      <c r="P2958" s="70">
        <v>600000</v>
      </c>
      <c r="Q2958" s="60" t="s">
        <v>3663</v>
      </c>
      <c r="R2958" s="60" t="s">
        <v>7351</v>
      </c>
      <c r="S2958" s="70">
        <v>500000</v>
      </c>
      <c r="T2958" s="60" t="b">
        <f>TRUE()</f>
        <v>1</v>
      </c>
      <c r="U2958" s="60" t="b">
        <f>FALSE()</f>
        <v>0</v>
      </c>
      <c r="V2958" s="60">
        <v>301</v>
      </c>
      <c r="W2958" s="62" t="s">
        <v>11237</v>
      </c>
      <c r="X2958" s="60">
        <v>1</v>
      </c>
      <c r="Y2958" s="63">
        <v>0.24</v>
      </c>
      <c r="Z2958" s="60" t="b">
        <f>FALSE()</f>
        <v>0</v>
      </c>
      <c r="AA2958" s="60" t="b">
        <f>FALSE()</f>
        <v>0</v>
      </c>
      <c r="AB2958" s="60" t="b">
        <f>FALSE()</f>
        <v>0</v>
      </c>
      <c r="AC2958" s="60" t="b">
        <f>TRUE()</f>
        <v>1</v>
      </c>
      <c r="AD2958" s="60" t="b">
        <f>FALSE()</f>
        <v>0</v>
      </c>
      <c r="AE2958" s="60">
        <v>1</v>
      </c>
      <c r="AF2958" s="64">
        <v>14.3</v>
      </c>
      <c r="AG2958" s="60" t="s">
        <v>74</v>
      </c>
      <c r="AH2958" s="60" t="s">
        <v>11238</v>
      </c>
      <c r="AI2958">
        <f>IF(AND(OR(Company_Explorer!$B$5="All Companies",$E2958=Company_Explorer!$B$5),OR(Company_Explorer!$B$6="All Platforms",$B2958=Company_Explorer!$B$6),OR(Company_Explorer!$B$7="All Roles",$D2958=Company_Explorer!$B$7),OR(Company_Explorer!$B$8="All Ghost Labels",$AG2958=Company_Explorer!$B$8)),1,0)</f>
        <v>0</v>
      </c>
    </row>
    <row r="2959" spans="1:35" ht="15" customHeight="1" x14ac:dyDescent="0.3">
      <c r="A2959" s="65" t="s">
        <v>11239</v>
      </c>
      <c r="B2959" s="65" t="s">
        <v>82</v>
      </c>
      <c r="C2959" s="65" t="s">
        <v>10639</v>
      </c>
      <c r="D2959" s="65" t="s">
        <v>126</v>
      </c>
      <c r="E2959" s="65" t="s">
        <v>10640</v>
      </c>
      <c r="F2959" s="65" t="b">
        <f>TRUE()</f>
        <v>1</v>
      </c>
      <c r="G2959" s="65" t="s">
        <v>165</v>
      </c>
      <c r="H2959" s="65" t="s">
        <v>165</v>
      </c>
      <c r="I2959" s="66">
        <v>46185</v>
      </c>
      <c r="J2959" s="66">
        <v>46210.286657951401</v>
      </c>
      <c r="K2959" s="65">
        <v>25</v>
      </c>
      <c r="L2959" s="65" t="s">
        <v>192</v>
      </c>
      <c r="M2959" s="65" t="s">
        <v>183</v>
      </c>
      <c r="N2959" s="65" t="b">
        <f>FALSE()</f>
        <v>0</v>
      </c>
      <c r="O2959" s="65"/>
      <c r="P2959" s="65"/>
      <c r="Q2959" s="65" t="s">
        <v>3663</v>
      </c>
      <c r="R2959" s="65" t="s">
        <v>236</v>
      </c>
      <c r="S2959" s="65"/>
      <c r="T2959" s="65" t="b">
        <f>FALSE()</f>
        <v>0</v>
      </c>
      <c r="U2959" s="65" t="b">
        <f>FALSE()</f>
        <v>0</v>
      </c>
      <c r="V2959" s="65">
        <v>586</v>
      </c>
      <c r="W2959" s="67" t="s">
        <v>5885</v>
      </c>
      <c r="X2959" s="65">
        <v>2</v>
      </c>
      <c r="Y2959" s="68">
        <v>0.48</v>
      </c>
      <c r="Z2959" s="65" t="b">
        <f>FALSE()</f>
        <v>0</v>
      </c>
      <c r="AA2959" s="65" t="b">
        <f>TRUE()</f>
        <v>1</v>
      </c>
      <c r="AB2959" s="65" t="b">
        <f>FALSE()</f>
        <v>0</v>
      </c>
      <c r="AC2959" s="65" t="b">
        <f>FALSE()</f>
        <v>0</v>
      </c>
      <c r="AD2959" s="65" t="b">
        <f>FALSE()</f>
        <v>0</v>
      </c>
      <c r="AE2959" s="65">
        <v>1</v>
      </c>
      <c r="AF2959" s="69">
        <v>14.3</v>
      </c>
      <c r="AG2959" s="65" t="s">
        <v>74</v>
      </c>
      <c r="AH2959" s="65" t="s">
        <v>11240</v>
      </c>
      <c r="AI2959">
        <f>IF(AND(OR(Company_Explorer!$B$5="All Companies",$E2959=Company_Explorer!$B$5),OR(Company_Explorer!$B$6="All Platforms",$B2959=Company_Explorer!$B$6),OR(Company_Explorer!$B$7="All Roles",$D2959=Company_Explorer!$B$7),OR(Company_Explorer!$B$8="All Ghost Labels",$AG2959=Company_Explorer!$B$8)),1,0)</f>
        <v>0</v>
      </c>
    </row>
    <row r="2960" spans="1:35" ht="15" customHeight="1" x14ac:dyDescent="0.3">
      <c r="A2960" s="60" t="s">
        <v>11241</v>
      </c>
      <c r="B2960" s="60" t="s">
        <v>82</v>
      </c>
      <c r="C2960" s="60" t="s">
        <v>5780</v>
      </c>
      <c r="D2960" s="60" t="s">
        <v>127</v>
      </c>
      <c r="E2960" s="60" t="s">
        <v>7899</v>
      </c>
      <c r="F2960" s="60" t="b">
        <f>TRUE()</f>
        <v>1</v>
      </c>
      <c r="G2960" s="60" t="s">
        <v>175</v>
      </c>
      <c r="H2960" s="60" t="s">
        <v>254</v>
      </c>
      <c r="I2960" s="61">
        <v>46203</v>
      </c>
      <c r="J2960" s="61">
        <v>46210.286658344899</v>
      </c>
      <c r="K2960" s="60">
        <v>7</v>
      </c>
      <c r="L2960" s="60" t="s">
        <v>192</v>
      </c>
      <c r="M2960" s="60" t="s">
        <v>183</v>
      </c>
      <c r="N2960" s="60" t="b">
        <f>TRUE()</f>
        <v>1</v>
      </c>
      <c r="O2960" s="70">
        <v>600000</v>
      </c>
      <c r="P2960" s="70">
        <v>800000</v>
      </c>
      <c r="Q2960" s="60" t="s">
        <v>3663</v>
      </c>
      <c r="R2960" s="60" t="s">
        <v>7351</v>
      </c>
      <c r="S2960" s="70">
        <v>700000</v>
      </c>
      <c r="T2960" s="60" t="b">
        <f>TRUE()</f>
        <v>1</v>
      </c>
      <c r="U2960" s="60" t="b">
        <f>FALSE()</f>
        <v>0</v>
      </c>
      <c r="V2960" s="60">
        <v>422</v>
      </c>
      <c r="W2960" s="62" t="s">
        <v>11242</v>
      </c>
      <c r="X2960" s="60">
        <v>4</v>
      </c>
      <c r="Y2960" s="63">
        <v>0.97</v>
      </c>
      <c r="Z2960" s="60" t="b">
        <f>FALSE()</f>
        <v>0</v>
      </c>
      <c r="AA2960" s="60" t="b">
        <f>FALSE()</f>
        <v>0</v>
      </c>
      <c r="AB2960" s="60" t="b">
        <f>FALSE()</f>
        <v>0</v>
      </c>
      <c r="AC2960" s="60" t="b">
        <f>FALSE()</f>
        <v>0</v>
      </c>
      <c r="AD2960" s="60" t="b">
        <f>FALSE()</f>
        <v>0</v>
      </c>
      <c r="AE2960" s="60">
        <v>0</v>
      </c>
      <c r="AF2960" s="64">
        <v>0</v>
      </c>
      <c r="AG2960" s="60" t="s">
        <v>74</v>
      </c>
      <c r="AH2960" s="60" t="s">
        <v>11243</v>
      </c>
      <c r="AI2960">
        <f>IF(AND(OR(Company_Explorer!$B$5="All Companies",$E2960=Company_Explorer!$B$5),OR(Company_Explorer!$B$6="All Platforms",$B2960=Company_Explorer!$B$6),OR(Company_Explorer!$B$7="All Roles",$D2960=Company_Explorer!$B$7),OR(Company_Explorer!$B$8="All Ghost Labels",$AG2960=Company_Explorer!$B$8)),1,0)</f>
        <v>0</v>
      </c>
    </row>
    <row r="2961" spans="1:35" ht="15" customHeight="1" x14ac:dyDescent="0.3">
      <c r="A2961" s="65" t="s">
        <v>11244</v>
      </c>
      <c r="B2961" s="65" t="s">
        <v>82</v>
      </c>
      <c r="C2961" s="65" t="s">
        <v>127</v>
      </c>
      <c r="D2961" s="65" t="s">
        <v>127</v>
      </c>
      <c r="E2961" s="65" t="s">
        <v>11245</v>
      </c>
      <c r="F2961" s="65" t="b">
        <f>TRUE()</f>
        <v>1</v>
      </c>
      <c r="G2961" s="65" t="s">
        <v>171</v>
      </c>
      <c r="H2961" s="65" t="s">
        <v>254</v>
      </c>
      <c r="I2961" s="66">
        <v>46193</v>
      </c>
      <c r="J2961" s="66">
        <v>46210.286658587996</v>
      </c>
      <c r="K2961" s="65">
        <v>137</v>
      </c>
      <c r="L2961" s="65" t="s">
        <v>183</v>
      </c>
      <c r="M2961" s="65" t="s">
        <v>183</v>
      </c>
      <c r="N2961" s="65" t="b">
        <f>TRUE()</f>
        <v>1</v>
      </c>
      <c r="O2961" s="71">
        <v>480000</v>
      </c>
      <c r="P2961" s="71">
        <v>650000</v>
      </c>
      <c r="Q2961" s="65" t="s">
        <v>3663</v>
      </c>
      <c r="R2961" s="65" t="s">
        <v>7351</v>
      </c>
      <c r="S2961" s="71">
        <v>565000</v>
      </c>
      <c r="T2961" s="65" t="b">
        <f>TRUE()</f>
        <v>1</v>
      </c>
      <c r="U2961" s="65" t="b">
        <f>FALSE()</f>
        <v>0</v>
      </c>
      <c r="V2961" s="65">
        <v>251</v>
      </c>
      <c r="W2961" s="67" t="s">
        <v>11246</v>
      </c>
      <c r="X2961" s="65">
        <v>1</v>
      </c>
      <c r="Y2961" s="68">
        <v>0.24</v>
      </c>
      <c r="Z2961" s="65" t="b">
        <f>FALSE()</f>
        <v>0</v>
      </c>
      <c r="AA2961" s="65" t="b">
        <f>FALSE()</f>
        <v>0</v>
      </c>
      <c r="AB2961" s="65" t="b">
        <f>FALSE()</f>
        <v>0</v>
      </c>
      <c r="AC2961" s="65" t="b">
        <f>TRUE()</f>
        <v>1</v>
      </c>
      <c r="AD2961" s="65" t="b">
        <f>FALSE()</f>
        <v>0</v>
      </c>
      <c r="AE2961" s="65">
        <v>1</v>
      </c>
      <c r="AF2961" s="69">
        <v>14.3</v>
      </c>
      <c r="AG2961" s="65" t="s">
        <v>74</v>
      </c>
      <c r="AH2961" s="65" t="s">
        <v>11247</v>
      </c>
      <c r="AI2961">
        <f>IF(AND(OR(Company_Explorer!$B$5="All Companies",$E2961=Company_Explorer!$B$5),OR(Company_Explorer!$B$6="All Platforms",$B2961=Company_Explorer!$B$6),OR(Company_Explorer!$B$7="All Roles",$D2961=Company_Explorer!$B$7),OR(Company_Explorer!$B$8="All Ghost Labels",$AG2961=Company_Explorer!$B$8)),1,0)</f>
        <v>0</v>
      </c>
    </row>
    <row r="2962" spans="1:35" ht="15" customHeight="1" x14ac:dyDescent="0.3">
      <c r="A2962" s="60" t="s">
        <v>11248</v>
      </c>
      <c r="B2962" s="60" t="s">
        <v>82</v>
      </c>
      <c r="C2962" s="60" t="s">
        <v>11249</v>
      </c>
      <c r="D2962" s="60" t="s">
        <v>127</v>
      </c>
      <c r="E2962" s="60" t="s">
        <v>11250</v>
      </c>
      <c r="F2962" s="60" t="b">
        <f>TRUE()</f>
        <v>1</v>
      </c>
      <c r="G2962" s="60" t="s">
        <v>165</v>
      </c>
      <c r="H2962" s="60" t="s">
        <v>165</v>
      </c>
      <c r="I2962" s="61">
        <v>46191</v>
      </c>
      <c r="J2962" s="61">
        <v>46210.286658807898</v>
      </c>
      <c r="K2962" s="60">
        <v>20</v>
      </c>
      <c r="L2962" s="60" t="s">
        <v>183</v>
      </c>
      <c r="M2962" s="60" t="s">
        <v>183</v>
      </c>
      <c r="N2962" s="60" t="b">
        <f>FALSE()</f>
        <v>0</v>
      </c>
      <c r="O2962" s="60"/>
      <c r="P2962" s="60"/>
      <c r="Q2962" s="60" t="s">
        <v>3663</v>
      </c>
      <c r="R2962" s="60" t="s">
        <v>236</v>
      </c>
      <c r="S2962" s="60"/>
      <c r="T2962" s="60" t="b">
        <f>FALSE()</f>
        <v>0</v>
      </c>
      <c r="U2962" s="60" t="b">
        <f>FALSE()</f>
        <v>0</v>
      </c>
      <c r="V2962" s="60">
        <v>350</v>
      </c>
      <c r="W2962" s="62" t="s">
        <v>11251</v>
      </c>
      <c r="X2962" s="60">
        <v>1</v>
      </c>
      <c r="Y2962" s="63">
        <v>0.24</v>
      </c>
      <c r="Z2962" s="60" t="b">
        <f>FALSE()</f>
        <v>0</v>
      </c>
      <c r="AA2962" s="60" t="b">
        <f>TRUE()</f>
        <v>1</v>
      </c>
      <c r="AB2962" s="60" t="b">
        <f>FALSE()</f>
        <v>0</v>
      </c>
      <c r="AC2962" s="60" t="b">
        <f>FALSE()</f>
        <v>0</v>
      </c>
      <c r="AD2962" s="60" t="b">
        <f>FALSE()</f>
        <v>0</v>
      </c>
      <c r="AE2962" s="60">
        <v>1</v>
      </c>
      <c r="AF2962" s="64">
        <v>14.3</v>
      </c>
      <c r="AG2962" s="60" t="s">
        <v>74</v>
      </c>
      <c r="AH2962" s="60" t="s">
        <v>11252</v>
      </c>
      <c r="AI2962">
        <f>IF(AND(OR(Company_Explorer!$B$5="All Companies",$E2962=Company_Explorer!$B$5),OR(Company_Explorer!$B$6="All Platforms",$B2962=Company_Explorer!$B$6),OR(Company_Explorer!$B$7="All Roles",$D2962=Company_Explorer!$B$7),OR(Company_Explorer!$B$8="All Ghost Labels",$AG2962=Company_Explorer!$B$8)),1,0)</f>
        <v>0</v>
      </c>
    </row>
    <row r="2963" spans="1:35" ht="15" customHeight="1" x14ac:dyDescent="0.3">
      <c r="A2963" s="65" t="s">
        <v>11253</v>
      </c>
      <c r="B2963" s="65" t="s">
        <v>82</v>
      </c>
      <c r="C2963" s="65" t="s">
        <v>4021</v>
      </c>
      <c r="D2963" s="65" t="s">
        <v>126</v>
      </c>
      <c r="E2963" s="65" t="s">
        <v>157</v>
      </c>
      <c r="F2963" s="65" t="b">
        <f>TRUE()</f>
        <v>1</v>
      </c>
      <c r="G2963" s="65" t="s">
        <v>165</v>
      </c>
      <c r="H2963" s="65" t="s">
        <v>165</v>
      </c>
      <c r="I2963" s="66">
        <v>46188</v>
      </c>
      <c r="J2963" s="66">
        <v>46210.286658830999</v>
      </c>
      <c r="K2963" s="65">
        <v>53</v>
      </c>
      <c r="L2963" s="65" t="s">
        <v>192</v>
      </c>
      <c r="M2963" s="65" t="s">
        <v>183</v>
      </c>
      <c r="N2963" s="65" t="b">
        <f>FALSE()</f>
        <v>0</v>
      </c>
      <c r="O2963" s="65"/>
      <c r="P2963" s="65"/>
      <c r="Q2963" s="65" t="s">
        <v>3663</v>
      </c>
      <c r="R2963" s="65" t="s">
        <v>236</v>
      </c>
      <c r="S2963" s="65"/>
      <c r="T2963" s="65" t="b">
        <f>FALSE()</f>
        <v>0</v>
      </c>
      <c r="U2963" s="65" t="b">
        <f>FALSE()</f>
        <v>0</v>
      </c>
      <c r="V2963" s="65">
        <v>67</v>
      </c>
      <c r="W2963" s="67" t="s">
        <v>11254</v>
      </c>
      <c r="X2963" s="65">
        <v>15</v>
      </c>
      <c r="Y2963" s="68">
        <v>3.62</v>
      </c>
      <c r="Z2963" s="65" t="b">
        <f>FALSE()</f>
        <v>0</v>
      </c>
      <c r="AA2963" s="65" t="b">
        <f>TRUE()</f>
        <v>1</v>
      </c>
      <c r="AB2963" s="65" t="b">
        <f>TRUE()</f>
        <v>1</v>
      </c>
      <c r="AC2963" s="65" t="b">
        <f>FALSE()</f>
        <v>0</v>
      </c>
      <c r="AD2963" s="65" t="b">
        <f>TRUE()</f>
        <v>1</v>
      </c>
      <c r="AE2963" s="65">
        <v>4</v>
      </c>
      <c r="AF2963" s="69">
        <v>57.1</v>
      </c>
      <c r="AG2963" s="65" t="s">
        <v>72</v>
      </c>
      <c r="AH2963" s="65" t="s">
        <v>11255</v>
      </c>
      <c r="AI2963">
        <f>IF(AND(OR(Company_Explorer!$B$5="All Companies",$E2963=Company_Explorer!$B$5),OR(Company_Explorer!$B$6="All Platforms",$B2963=Company_Explorer!$B$6),OR(Company_Explorer!$B$7="All Roles",$D2963=Company_Explorer!$B$7),OR(Company_Explorer!$B$8="All Ghost Labels",$AG2963=Company_Explorer!$B$8)),1,0)</f>
        <v>0</v>
      </c>
    </row>
    <row r="2964" spans="1:35" ht="15" customHeight="1" x14ac:dyDescent="0.3">
      <c r="A2964" s="60" t="s">
        <v>11256</v>
      </c>
      <c r="B2964" s="60" t="s">
        <v>82</v>
      </c>
      <c r="C2964" s="60" t="s">
        <v>11257</v>
      </c>
      <c r="D2964" s="60" t="s">
        <v>126</v>
      </c>
      <c r="E2964" s="60" t="s">
        <v>11258</v>
      </c>
      <c r="F2964" s="60" t="b">
        <f>TRUE()</f>
        <v>1</v>
      </c>
      <c r="G2964" s="60" t="s">
        <v>166</v>
      </c>
      <c r="H2964" s="60" t="s">
        <v>235</v>
      </c>
      <c r="I2964" s="61">
        <v>46200</v>
      </c>
      <c r="J2964" s="61">
        <v>46210.286658969897</v>
      </c>
      <c r="K2964" s="60">
        <v>41</v>
      </c>
      <c r="L2964" s="60" t="s">
        <v>192</v>
      </c>
      <c r="M2964" s="60" t="s">
        <v>183</v>
      </c>
      <c r="N2964" s="60" t="b">
        <f>TRUE()</f>
        <v>1</v>
      </c>
      <c r="O2964" s="70">
        <v>375000</v>
      </c>
      <c r="P2964" s="70">
        <v>875000</v>
      </c>
      <c r="Q2964" s="60" t="s">
        <v>3663</v>
      </c>
      <c r="R2964" s="60" t="s">
        <v>7351</v>
      </c>
      <c r="S2964" s="70">
        <v>625000</v>
      </c>
      <c r="T2964" s="60" t="b">
        <f>TRUE()</f>
        <v>1</v>
      </c>
      <c r="U2964" s="60" t="b">
        <f>FALSE()</f>
        <v>0</v>
      </c>
      <c r="V2964" s="60">
        <v>994</v>
      </c>
      <c r="W2964" s="62" t="s">
        <v>3927</v>
      </c>
      <c r="X2964" s="60">
        <v>1</v>
      </c>
      <c r="Y2964" s="63">
        <v>0.24</v>
      </c>
      <c r="Z2964" s="60" t="b">
        <f>FALSE()</f>
        <v>0</v>
      </c>
      <c r="AA2964" s="60" t="b">
        <f>FALSE()</f>
        <v>0</v>
      </c>
      <c r="AB2964" s="60" t="b">
        <f>FALSE()</f>
        <v>0</v>
      </c>
      <c r="AC2964" s="60" t="b">
        <f>FALSE()</f>
        <v>0</v>
      </c>
      <c r="AD2964" s="60" t="b">
        <f>FALSE()</f>
        <v>0</v>
      </c>
      <c r="AE2964" s="60">
        <v>0</v>
      </c>
      <c r="AF2964" s="64">
        <v>0</v>
      </c>
      <c r="AG2964" s="60" t="s">
        <v>74</v>
      </c>
      <c r="AH2964" s="60" t="s">
        <v>11259</v>
      </c>
      <c r="AI2964">
        <f>IF(AND(OR(Company_Explorer!$B$5="All Companies",$E2964=Company_Explorer!$B$5),OR(Company_Explorer!$B$6="All Platforms",$B2964=Company_Explorer!$B$6),OR(Company_Explorer!$B$7="All Roles",$D2964=Company_Explorer!$B$7),OR(Company_Explorer!$B$8="All Ghost Labels",$AG2964=Company_Explorer!$B$8)),1,0)</f>
        <v>0</v>
      </c>
    </row>
    <row r="2965" spans="1:35" ht="15" customHeight="1" x14ac:dyDescent="0.3">
      <c r="A2965" s="65" t="s">
        <v>11260</v>
      </c>
      <c r="B2965" s="65" t="s">
        <v>82</v>
      </c>
      <c r="C2965" s="65" t="s">
        <v>11261</v>
      </c>
      <c r="D2965" s="65" t="s">
        <v>126</v>
      </c>
      <c r="E2965" s="65" t="s">
        <v>3726</v>
      </c>
      <c r="F2965" s="65" t="b">
        <f>FALSE()</f>
        <v>0</v>
      </c>
      <c r="G2965" s="65" t="s">
        <v>165</v>
      </c>
      <c r="H2965" s="65" t="s">
        <v>165</v>
      </c>
      <c r="I2965" s="66">
        <v>46206</v>
      </c>
      <c r="J2965" s="66">
        <v>46210.2866600579</v>
      </c>
      <c r="K2965" s="65">
        <v>4</v>
      </c>
      <c r="L2965" s="65" t="s">
        <v>192</v>
      </c>
      <c r="M2965" s="65" t="s">
        <v>183</v>
      </c>
      <c r="N2965" s="65" t="b">
        <f>TRUE()</f>
        <v>1</v>
      </c>
      <c r="O2965" s="71">
        <v>399606</v>
      </c>
      <c r="P2965" s="71">
        <v>428194</v>
      </c>
      <c r="Q2965" s="65" t="s">
        <v>3663</v>
      </c>
      <c r="R2965" s="65" t="s">
        <v>7351</v>
      </c>
      <c r="S2965" s="71">
        <v>413900</v>
      </c>
      <c r="T2965" s="65" t="b">
        <f>TRUE()</f>
        <v>1</v>
      </c>
      <c r="U2965" s="65" t="b">
        <f>FALSE()</f>
        <v>0</v>
      </c>
      <c r="V2965" s="65">
        <v>318</v>
      </c>
      <c r="W2965" s="67" t="s">
        <v>11262</v>
      </c>
      <c r="X2965" s="65"/>
      <c r="Y2965" s="68"/>
      <c r="Z2965" s="65" t="b">
        <f>TRUE()</f>
        <v>1</v>
      </c>
      <c r="AA2965" s="65" t="b">
        <f>FALSE()</f>
        <v>0</v>
      </c>
      <c r="AB2965" s="65" t="b">
        <f>FALSE()</f>
        <v>0</v>
      </c>
      <c r="AC2965" s="65" t="b">
        <f>FALSE()</f>
        <v>0</v>
      </c>
      <c r="AD2965" s="65" t="b">
        <f>FALSE()</f>
        <v>0</v>
      </c>
      <c r="AE2965" s="65">
        <v>2</v>
      </c>
      <c r="AF2965" s="69">
        <v>28.6</v>
      </c>
      <c r="AG2965" s="65" t="s">
        <v>73</v>
      </c>
      <c r="AH2965" s="65" t="s">
        <v>11263</v>
      </c>
      <c r="AI2965">
        <f>IF(AND(OR(Company_Explorer!$B$5="All Companies",$E2965=Company_Explorer!$B$5),OR(Company_Explorer!$B$6="All Platforms",$B2965=Company_Explorer!$B$6),OR(Company_Explorer!$B$7="All Roles",$D2965=Company_Explorer!$B$7),OR(Company_Explorer!$B$8="All Ghost Labels",$AG2965=Company_Explorer!$B$8)),1,0)</f>
        <v>0</v>
      </c>
    </row>
    <row r="2966" spans="1:35" ht="15" customHeight="1" x14ac:dyDescent="0.3">
      <c r="A2966" s="60" t="s">
        <v>11264</v>
      </c>
      <c r="B2966" s="60" t="s">
        <v>82</v>
      </c>
      <c r="C2966" s="60" t="s">
        <v>11265</v>
      </c>
      <c r="D2966" s="60" t="s">
        <v>127</v>
      </c>
      <c r="E2966" s="60" t="s">
        <v>8682</v>
      </c>
      <c r="F2966" s="60" t="b">
        <f>TRUE()</f>
        <v>1</v>
      </c>
      <c r="G2966" s="60" t="s">
        <v>165</v>
      </c>
      <c r="H2966" s="60" t="s">
        <v>165</v>
      </c>
      <c r="I2966" s="61">
        <v>46189</v>
      </c>
      <c r="J2966" s="61">
        <v>46210.286660161997</v>
      </c>
      <c r="K2966" s="60">
        <v>21</v>
      </c>
      <c r="L2966" s="60" t="s">
        <v>183</v>
      </c>
      <c r="M2966" s="60" t="s">
        <v>183</v>
      </c>
      <c r="N2966" s="60" t="b">
        <f>FALSE()</f>
        <v>0</v>
      </c>
      <c r="O2966" s="60"/>
      <c r="P2966" s="60"/>
      <c r="Q2966" s="60" t="s">
        <v>3663</v>
      </c>
      <c r="R2966" s="60" t="s">
        <v>236</v>
      </c>
      <c r="S2966" s="60"/>
      <c r="T2966" s="60" t="b">
        <f>FALSE()</f>
        <v>0</v>
      </c>
      <c r="U2966" s="60" t="b">
        <f>FALSE()</f>
        <v>0</v>
      </c>
      <c r="V2966" s="60">
        <v>213</v>
      </c>
      <c r="W2966" s="62" t="s">
        <v>11266</v>
      </c>
      <c r="X2966" s="60">
        <v>7</v>
      </c>
      <c r="Y2966" s="63">
        <v>1.69</v>
      </c>
      <c r="Z2966" s="60" t="b">
        <f>FALSE()</f>
        <v>0</v>
      </c>
      <c r="AA2966" s="60" t="b">
        <f>TRUE()</f>
        <v>1</v>
      </c>
      <c r="AB2966" s="60" t="b">
        <f>TRUE()</f>
        <v>1</v>
      </c>
      <c r="AC2966" s="60" t="b">
        <f>FALSE()</f>
        <v>0</v>
      </c>
      <c r="AD2966" s="60" t="b">
        <f>FALSE()</f>
        <v>0</v>
      </c>
      <c r="AE2966" s="60">
        <v>2</v>
      </c>
      <c r="AF2966" s="64">
        <v>28.6</v>
      </c>
      <c r="AG2966" s="60" t="s">
        <v>73</v>
      </c>
      <c r="AH2966" s="60" t="s">
        <v>11267</v>
      </c>
      <c r="AI2966">
        <f>IF(AND(OR(Company_Explorer!$B$5="All Companies",$E2966=Company_Explorer!$B$5),OR(Company_Explorer!$B$6="All Platforms",$B2966=Company_Explorer!$B$6),OR(Company_Explorer!$B$7="All Roles",$D2966=Company_Explorer!$B$7),OR(Company_Explorer!$B$8="All Ghost Labels",$AG2966=Company_Explorer!$B$8)),1,0)</f>
        <v>0</v>
      </c>
    </row>
    <row r="2967" spans="1:35" ht="15" customHeight="1" x14ac:dyDescent="0.3">
      <c r="A2967" s="65" t="s">
        <v>11268</v>
      </c>
      <c r="B2967" s="65" t="s">
        <v>82</v>
      </c>
      <c r="C2967" s="65" t="s">
        <v>11269</v>
      </c>
      <c r="D2967" s="65" t="s">
        <v>125</v>
      </c>
      <c r="E2967" s="65" t="s">
        <v>157</v>
      </c>
      <c r="F2967" s="65" t="b">
        <f>TRUE()</f>
        <v>1</v>
      </c>
      <c r="G2967" s="65" t="s">
        <v>165</v>
      </c>
      <c r="H2967" s="65" t="s">
        <v>165</v>
      </c>
      <c r="I2967" s="66">
        <v>46184</v>
      </c>
      <c r="J2967" s="66">
        <v>46210.286660717597</v>
      </c>
      <c r="K2967" s="65">
        <v>118</v>
      </c>
      <c r="L2967" s="65" t="s">
        <v>192</v>
      </c>
      <c r="M2967" s="65" t="s">
        <v>183</v>
      </c>
      <c r="N2967" s="65" t="b">
        <f>FALSE()</f>
        <v>0</v>
      </c>
      <c r="O2967" s="65"/>
      <c r="P2967" s="65"/>
      <c r="Q2967" s="65" t="s">
        <v>3663</v>
      </c>
      <c r="R2967" s="65" t="s">
        <v>236</v>
      </c>
      <c r="S2967" s="65"/>
      <c r="T2967" s="65" t="b">
        <f>FALSE()</f>
        <v>0</v>
      </c>
      <c r="U2967" s="65" t="b">
        <f>FALSE()</f>
        <v>0</v>
      </c>
      <c r="V2967" s="65">
        <v>477</v>
      </c>
      <c r="W2967" s="67" t="s">
        <v>11270</v>
      </c>
      <c r="X2967" s="65">
        <v>15</v>
      </c>
      <c r="Y2967" s="68">
        <v>3.62</v>
      </c>
      <c r="Z2967" s="65" t="b">
        <f>FALSE()</f>
        <v>0</v>
      </c>
      <c r="AA2967" s="65" t="b">
        <f>TRUE()</f>
        <v>1</v>
      </c>
      <c r="AB2967" s="65" t="b">
        <f>FALSE()</f>
        <v>0</v>
      </c>
      <c r="AC2967" s="65" t="b">
        <f>FALSE()</f>
        <v>0</v>
      </c>
      <c r="AD2967" s="65" t="b">
        <f>TRUE()</f>
        <v>1</v>
      </c>
      <c r="AE2967" s="65">
        <v>3</v>
      </c>
      <c r="AF2967" s="69">
        <v>42.9</v>
      </c>
      <c r="AG2967" s="65" t="s">
        <v>73</v>
      </c>
      <c r="AH2967" s="65" t="s">
        <v>11271</v>
      </c>
      <c r="AI2967">
        <f>IF(AND(OR(Company_Explorer!$B$5="All Companies",$E2967=Company_Explorer!$B$5),OR(Company_Explorer!$B$6="All Platforms",$B2967=Company_Explorer!$B$6),OR(Company_Explorer!$B$7="All Roles",$D2967=Company_Explorer!$B$7),OR(Company_Explorer!$B$8="All Ghost Labels",$AG2967=Company_Explorer!$B$8)),1,0)</f>
        <v>0</v>
      </c>
    </row>
    <row r="2968" spans="1:35" ht="15" customHeight="1" x14ac:dyDescent="0.3">
      <c r="A2968" s="60" t="s">
        <v>11272</v>
      </c>
      <c r="B2968" s="60" t="s">
        <v>82</v>
      </c>
      <c r="C2968" s="60" t="s">
        <v>11273</v>
      </c>
      <c r="D2968" s="60" t="s">
        <v>126</v>
      </c>
      <c r="E2968" s="60" t="s">
        <v>11274</v>
      </c>
      <c r="F2968" s="60" t="b">
        <f>TRUE()</f>
        <v>1</v>
      </c>
      <c r="G2968" s="60" t="s">
        <v>165</v>
      </c>
      <c r="H2968" s="60" t="s">
        <v>165</v>
      </c>
      <c r="I2968" s="61">
        <v>46203</v>
      </c>
      <c r="J2968" s="61">
        <v>46210.286661840299</v>
      </c>
      <c r="K2968" s="60">
        <v>68</v>
      </c>
      <c r="L2968" s="60" t="s">
        <v>183</v>
      </c>
      <c r="M2968" s="60" t="s">
        <v>183</v>
      </c>
      <c r="N2968" s="60" t="b">
        <f>FALSE()</f>
        <v>0</v>
      </c>
      <c r="O2968" s="60"/>
      <c r="P2968" s="60"/>
      <c r="Q2968" s="60" t="s">
        <v>3663</v>
      </c>
      <c r="R2968" s="60" t="s">
        <v>236</v>
      </c>
      <c r="S2968" s="60"/>
      <c r="T2968" s="60" t="b">
        <f>FALSE()</f>
        <v>0</v>
      </c>
      <c r="U2968" s="60" t="b">
        <f>FALSE()</f>
        <v>0</v>
      </c>
      <c r="V2968" s="60">
        <v>551</v>
      </c>
      <c r="W2968" s="62" t="s">
        <v>11275</v>
      </c>
      <c r="X2968" s="60">
        <v>1</v>
      </c>
      <c r="Y2968" s="63">
        <v>0.24</v>
      </c>
      <c r="Z2968" s="60" t="b">
        <f>FALSE()</f>
        <v>0</v>
      </c>
      <c r="AA2968" s="60" t="b">
        <f>TRUE()</f>
        <v>1</v>
      </c>
      <c r="AB2968" s="60" t="b">
        <f>FALSE()</f>
        <v>0</v>
      </c>
      <c r="AC2968" s="60" t="b">
        <f>FALSE()</f>
        <v>0</v>
      </c>
      <c r="AD2968" s="60" t="b">
        <f>FALSE()</f>
        <v>0</v>
      </c>
      <c r="AE2968" s="60">
        <v>1</v>
      </c>
      <c r="AF2968" s="64">
        <v>14.3</v>
      </c>
      <c r="AG2968" s="60" t="s">
        <v>74</v>
      </c>
      <c r="AH2968" s="60" t="s">
        <v>11276</v>
      </c>
      <c r="AI2968">
        <f>IF(AND(OR(Company_Explorer!$B$5="All Companies",$E2968=Company_Explorer!$B$5),OR(Company_Explorer!$B$6="All Platforms",$B2968=Company_Explorer!$B$6),OR(Company_Explorer!$B$7="All Roles",$D2968=Company_Explorer!$B$7),OR(Company_Explorer!$B$8="All Ghost Labels",$AG2968=Company_Explorer!$B$8)),1,0)</f>
        <v>0</v>
      </c>
    </row>
    <row r="2969" spans="1:35" ht="15" customHeight="1" x14ac:dyDescent="0.3">
      <c r="A2969" s="65" t="s">
        <v>11277</v>
      </c>
      <c r="B2969" s="65" t="s">
        <v>82</v>
      </c>
      <c r="C2969" s="65" t="s">
        <v>11278</v>
      </c>
      <c r="D2969" s="65" t="s">
        <v>126</v>
      </c>
      <c r="E2969" s="65" t="s">
        <v>3726</v>
      </c>
      <c r="F2969" s="65" t="b">
        <f>FALSE()</f>
        <v>0</v>
      </c>
      <c r="G2969" s="65" t="s">
        <v>2302</v>
      </c>
      <c r="H2969" s="65" t="s">
        <v>270</v>
      </c>
      <c r="I2969" s="66">
        <v>46193</v>
      </c>
      <c r="J2969" s="66">
        <v>46210.286662048602</v>
      </c>
      <c r="K2969" s="65">
        <v>17</v>
      </c>
      <c r="L2969" s="65" t="s">
        <v>192</v>
      </c>
      <c r="M2969" s="65" t="s">
        <v>183</v>
      </c>
      <c r="N2969" s="65" t="b">
        <f>TRUE()</f>
        <v>1</v>
      </c>
      <c r="O2969" s="71">
        <v>10000</v>
      </c>
      <c r="P2969" s="71">
        <v>47776.75</v>
      </c>
      <c r="Q2969" s="65" t="s">
        <v>3663</v>
      </c>
      <c r="R2969" s="65" t="s">
        <v>7445</v>
      </c>
      <c r="S2969" s="71">
        <v>346660</v>
      </c>
      <c r="T2969" s="65" t="b">
        <f>TRUE()</f>
        <v>1</v>
      </c>
      <c r="U2969" s="65" t="b">
        <f>FALSE()</f>
        <v>0</v>
      </c>
      <c r="V2969" s="65">
        <v>32</v>
      </c>
      <c r="W2969" s="67" t="s">
        <v>11279</v>
      </c>
      <c r="X2969" s="65"/>
      <c r="Y2969" s="68"/>
      <c r="Z2969" s="65" t="b">
        <f>TRUE()</f>
        <v>1</v>
      </c>
      <c r="AA2969" s="65" t="b">
        <f>FALSE()</f>
        <v>0</v>
      </c>
      <c r="AB2969" s="65" t="b">
        <f>TRUE()</f>
        <v>1</v>
      </c>
      <c r="AC2969" s="65" t="b">
        <f>FALSE()</f>
        <v>0</v>
      </c>
      <c r="AD2969" s="65" t="b">
        <f>FALSE()</f>
        <v>0</v>
      </c>
      <c r="AE2969" s="65">
        <v>3</v>
      </c>
      <c r="AF2969" s="69">
        <v>42.9</v>
      </c>
      <c r="AG2969" s="65" t="s">
        <v>73</v>
      </c>
      <c r="AH2969" s="65" t="s">
        <v>11280</v>
      </c>
      <c r="AI2969">
        <f>IF(AND(OR(Company_Explorer!$B$5="All Companies",$E2969=Company_Explorer!$B$5),OR(Company_Explorer!$B$6="All Platforms",$B2969=Company_Explorer!$B$6),OR(Company_Explorer!$B$7="All Roles",$D2969=Company_Explorer!$B$7),OR(Company_Explorer!$B$8="All Ghost Labels",$AG2969=Company_Explorer!$B$8)),1,0)</f>
        <v>0</v>
      </c>
    </row>
    <row r="2970" spans="1:35" ht="15" customHeight="1" x14ac:dyDescent="0.3">
      <c r="A2970" s="60" t="s">
        <v>11281</v>
      </c>
      <c r="B2970" s="60" t="s">
        <v>82</v>
      </c>
      <c r="C2970" s="60" t="s">
        <v>7486</v>
      </c>
      <c r="D2970" s="60" t="s">
        <v>126</v>
      </c>
      <c r="E2970" s="60" t="s">
        <v>3726</v>
      </c>
      <c r="F2970" s="60" t="b">
        <f>FALSE()</f>
        <v>0</v>
      </c>
      <c r="G2970" s="60" t="s">
        <v>165</v>
      </c>
      <c r="H2970" s="60" t="s">
        <v>165</v>
      </c>
      <c r="I2970" s="61">
        <v>46192</v>
      </c>
      <c r="J2970" s="61">
        <v>46210.286663761603</v>
      </c>
      <c r="K2970" s="60">
        <v>19</v>
      </c>
      <c r="L2970" s="60" t="s">
        <v>192</v>
      </c>
      <c r="M2970" s="60" t="s">
        <v>183</v>
      </c>
      <c r="N2970" s="60" t="b">
        <f>TRUE()</f>
        <v>1</v>
      </c>
      <c r="O2970" s="70">
        <v>20000</v>
      </c>
      <c r="P2970" s="70">
        <v>40000</v>
      </c>
      <c r="Q2970" s="60" t="s">
        <v>3663</v>
      </c>
      <c r="R2970" s="60" t="s">
        <v>7445</v>
      </c>
      <c r="S2970" s="70">
        <v>360000</v>
      </c>
      <c r="T2970" s="60" t="b">
        <f>TRUE()</f>
        <v>1</v>
      </c>
      <c r="U2970" s="60" t="b">
        <f>FALSE()</f>
        <v>0</v>
      </c>
      <c r="V2970" s="60">
        <v>627</v>
      </c>
      <c r="W2970" s="62" t="s">
        <v>11282</v>
      </c>
      <c r="X2970" s="60"/>
      <c r="Y2970" s="63"/>
      <c r="Z2970" s="60" t="b">
        <f>TRUE()</f>
        <v>1</v>
      </c>
      <c r="AA2970" s="60" t="b">
        <f>FALSE()</f>
        <v>0</v>
      </c>
      <c r="AB2970" s="60" t="b">
        <f>FALSE()</f>
        <v>0</v>
      </c>
      <c r="AC2970" s="60" t="b">
        <f>FALSE()</f>
        <v>0</v>
      </c>
      <c r="AD2970" s="60" t="b">
        <f>FALSE()</f>
        <v>0</v>
      </c>
      <c r="AE2970" s="60">
        <v>2</v>
      </c>
      <c r="AF2970" s="64">
        <v>28.6</v>
      </c>
      <c r="AG2970" s="60" t="s">
        <v>73</v>
      </c>
      <c r="AH2970" s="60" t="s">
        <v>11283</v>
      </c>
      <c r="AI2970">
        <f>IF(AND(OR(Company_Explorer!$B$5="All Companies",$E2970=Company_Explorer!$B$5),OR(Company_Explorer!$B$6="All Platforms",$B2970=Company_Explorer!$B$6),OR(Company_Explorer!$B$7="All Roles",$D2970=Company_Explorer!$B$7),OR(Company_Explorer!$B$8="All Ghost Labels",$AG2970=Company_Explorer!$B$8)),1,0)</f>
        <v>0</v>
      </c>
    </row>
    <row r="2971" spans="1:35" ht="15" customHeight="1" x14ac:dyDescent="0.3">
      <c r="A2971" s="65" t="s">
        <v>11284</v>
      </c>
      <c r="B2971" s="65" t="s">
        <v>82</v>
      </c>
      <c r="C2971" s="65" t="s">
        <v>11285</v>
      </c>
      <c r="D2971" s="65" t="s">
        <v>127</v>
      </c>
      <c r="E2971" s="65" t="s">
        <v>11286</v>
      </c>
      <c r="F2971" s="65" t="b">
        <f>TRUE()</f>
        <v>1</v>
      </c>
      <c r="G2971" s="65" t="s">
        <v>165</v>
      </c>
      <c r="H2971" s="65" t="s">
        <v>165</v>
      </c>
      <c r="I2971" s="66">
        <v>46194</v>
      </c>
      <c r="J2971" s="66">
        <v>46210.286665706</v>
      </c>
      <c r="K2971" s="65">
        <v>77</v>
      </c>
      <c r="L2971" s="65" t="s">
        <v>192</v>
      </c>
      <c r="M2971" s="65" t="s">
        <v>183</v>
      </c>
      <c r="N2971" s="65" t="b">
        <f>FALSE()</f>
        <v>0</v>
      </c>
      <c r="O2971" s="65"/>
      <c r="P2971" s="65"/>
      <c r="Q2971" s="65" t="s">
        <v>3663</v>
      </c>
      <c r="R2971" s="65" t="s">
        <v>236</v>
      </c>
      <c r="S2971" s="65"/>
      <c r="T2971" s="65" t="b">
        <f>FALSE()</f>
        <v>0</v>
      </c>
      <c r="U2971" s="65" t="b">
        <f>FALSE()</f>
        <v>0</v>
      </c>
      <c r="V2971" s="65">
        <v>1103</v>
      </c>
      <c r="W2971" s="67" t="s">
        <v>11287</v>
      </c>
      <c r="X2971" s="65">
        <v>1</v>
      </c>
      <c r="Y2971" s="68">
        <v>0.24</v>
      </c>
      <c r="Z2971" s="65" t="b">
        <f>FALSE()</f>
        <v>0</v>
      </c>
      <c r="AA2971" s="65" t="b">
        <f>TRUE()</f>
        <v>1</v>
      </c>
      <c r="AB2971" s="65" t="b">
        <f>FALSE()</f>
        <v>0</v>
      </c>
      <c r="AC2971" s="65" t="b">
        <f>FALSE()</f>
        <v>0</v>
      </c>
      <c r="AD2971" s="65" t="b">
        <f>FALSE()</f>
        <v>0</v>
      </c>
      <c r="AE2971" s="65">
        <v>1</v>
      </c>
      <c r="AF2971" s="69">
        <v>14.3</v>
      </c>
      <c r="AG2971" s="65" t="s">
        <v>74</v>
      </c>
      <c r="AH2971" s="65" t="s">
        <v>11288</v>
      </c>
      <c r="AI2971">
        <f>IF(AND(OR(Company_Explorer!$B$5="All Companies",$E2971=Company_Explorer!$B$5),OR(Company_Explorer!$B$6="All Platforms",$B2971=Company_Explorer!$B$6),OR(Company_Explorer!$B$7="All Roles",$D2971=Company_Explorer!$B$7),OR(Company_Explorer!$B$8="All Ghost Labels",$AG2971=Company_Explorer!$B$8)),1,0)</f>
        <v>0</v>
      </c>
    </row>
    <row r="2972" spans="1:35" ht="15" customHeight="1" x14ac:dyDescent="0.3">
      <c r="A2972" s="60" t="s">
        <v>11289</v>
      </c>
      <c r="B2972" s="60" t="s">
        <v>82</v>
      </c>
      <c r="C2972" s="60" t="s">
        <v>5839</v>
      </c>
      <c r="D2972" s="60" t="s">
        <v>126</v>
      </c>
      <c r="E2972" s="60" t="s">
        <v>7459</v>
      </c>
      <c r="F2972" s="60" t="b">
        <f>TRUE()</f>
        <v>1</v>
      </c>
      <c r="G2972" s="60" t="s">
        <v>167</v>
      </c>
      <c r="H2972" s="60" t="s">
        <v>276</v>
      </c>
      <c r="I2972" s="61">
        <v>46187</v>
      </c>
      <c r="J2972" s="61">
        <v>46210.286666342603</v>
      </c>
      <c r="K2972" s="60">
        <v>84</v>
      </c>
      <c r="L2972" s="60" t="s">
        <v>192</v>
      </c>
      <c r="M2972" s="60" t="s">
        <v>183</v>
      </c>
      <c r="N2972" s="60" t="b">
        <f>TRUE()</f>
        <v>1</v>
      </c>
      <c r="O2972" s="70">
        <v>294000</v>
      </c>
      <c r="P2972" s="70">
        <v>300000</v>
      </c>
      <c r="Q2972" s="60" t="s">
        <v>3663</v>
      </c>
      <c r="R2972" s="60" t="s">
        <v>7351</v>
      </c>
      <c r="S2972" s="70">
        <v>297000</v>
      </c>
      <c r="T2972" s="60" t="b">
        <f>TRUE()</f>
        <v>1</v>
      </c>
      <c r="U2972" s="60" t="b">
        <f>FALSE()</f>
        <v>0</v>
      </c>
      <c r="V2972" s="60">
        <v>274</v>
      </c>
      <c r="W2972" s="62" t="s">
        <v>11290</v>
      </c>
      <c r="X2972" s="60">
        <v>3</v>
      </c>
      <c r="Y2972" s="63">
        <v>0.72</v>
      </c>
      <c r="Z2972" s="60" t="b">
        <f>FALSE()</f>
        <v>0</v>
      </c>
      <c r="AA2972" s="60" t="b">
        <f>FALSE()</f>
        <v>0</v>
      </c>
      <c r="AB2972" s="60" t="b">
        <f>FALSE()</f>
        <v>0</v>
      </c>
      <c r="AC2972" s="60" t="b">
        <f>FALSE()</f>
        <v>0</v>
      </c>
      <c r="AD2972" s="60" t="b">
        <f>FALSE()</f>
        <v>0</v>
      </c>
      <c r="AE2972" s="60">
        <v>0</v>
      </c>
      <c r="AF2972" s="64">
        <v>0</v>
      </c>
      <c r="AG2972" s="60" t="s">
        <v>74</v>
      </c>
      <c r="AH2972" s="60" t="s">
        <v>11291</v>
      </c>
      <c r="AI2972">
        <f>IF(AND(OR(Company_Explorer!$B$5="All Companies",$E2972=Company_Explorer!$B$5),OR(Company_Explorer!$B$6="All Platforms",$B2972=Company_Explorer!$B$6),OR(Company_Explorer!$B$7="All Roles",$D2972=Company_Explorer!$B$7),OR(Company_Explorer!$B$8="All Ghost Labels",$AG2972=Company_Explorer!$B$8)),1,0)</f>
        <v>0</v>
      </c>
    </row>
    <row r="2973" spans="1:35" ht="15" customHeight="1" x14ac:dyDescent="0.3">
      <c r="A2973" s="65" t="s">
        <v>11292</v>
      </c>
      <c r="B2973" s="65" t="s">
        <v>82</v>
      </c>
      <c r="C2973" s="65" t="s">
        <v>11293</v>
      </c>
      <c r="D2973" s="65" t="s">
        <v>126</v>
      </c>
      <c r="E2973" s="65" t="s">
        <v>11294</v>
      </c>
      <c r="F2973" s="65" t="b">
        <f>TRUE()</f>
        <v>1</v>
      </c>
      <c r="G2973" s="65" t="s">
        <v>166</v>
      </c>
      <c r="H2973" s="65" t="s">
        <v>235</v>
      </c>
      <c r="I2973" s="66">
        <v>46185</v>
      </c>
      <c r="J2973" s="66">
        <v>46210.286666759297</v>
      </c>
      <c r="K2973" s="65">
        <v>25</v>
      </c>
      <c r="L2973" s="65" t="s">
        <v>192</v>
      </c>
      <c r="M2973" s="65" t="s">
        <v>183</v>
      </c>
      <c r="N2973" s="65" t="b">
        <f>TRUE()</f>
        <v>1</v>
      </c>
      <c r="O2973" s="71">
        <v>550000</v>
      </c>
      <c r="P2973" s="71">
        <v>750000</v>
      </c>
      <c r="Q2973" s="65" t="s">
        <v>3663</v>
      </c>
      <c r="R2973" s="65" t="s">
        <v>7351</v>
      </c>
      <c r="S2973" s="71">
        <v>650000</v>
      </c>
      <c r="T2973" s="65" t="b">
        <f>TRUE()</f>
        <v>1</v>
      </c>
      <c r="U2973" s="65" t="b">
        <f>FALSE()</f>
        <v>0</v>
      </c>
      <c r="V2973" s="65">
        <v>1050</v>
      </c>
      <c r="W2973" s="67" t="s">
        <v>11295</v>
      </c>
      <c r="X2973" s="65">
        <v>1</v>
      </c>
      <c r="Y2973" s="68">
        <v>0.24</v>
      </c>
      <c r="Z2973" s="65" t="b">
        <f>FALSE()</f>
        <v>0</v>
      </c>
      <c r="AA2973" s="65" t="b">
        <f>FALSE()</f>
        <v>0</v>
      </c>
      <c r="AB2973" s="65" t="b">
        <f>FALSE()</f>
        <v>0</v>
      </c>
      <c r="AC2973" s="65" t="b">
        <f>FALSE()</f>
        <v>0</v>
      </c>
      <c r="AD2973" s="65" t="b">
        <f>FALSE()</f>
        <v>0</v>
      </c>
      <c r="AE2973" s="65">
        <v>0</v>
      </c>
      <c r="AF2973" s="69">
        <v>0</v>
      </c>
      <c r="AG2973" s="65" t="s">
        <v>74</v>
      </c>
      <c r="AH2973" s="65" t="s">
        <v>11296</v>
      </c>
      <c r="AI2973">
        <f>IF(AND(OR(Company_Explorer!$B$5="All Companies",$E2973=Company_Explorer!$B$5),OR(Company_Explorer!$B$6="All Platforms",$B2973=Company_Explorer!$B$6),OR(Company_Explorer!$B$7="All Roles",$D2973=Company_Explorer!$B$7),OR(Company_Explorer!$B$8="All Ghost Labels",$AG2973=Company_Explorer!$B$8)),1,0)</f>
        <v>0</v>
      </c>
    </row>
    <row r="2974" spans="1:35" ht="15" customHeight="1" x14ac:dyDescent="0.3">
      <c r="A2974" s="60" t="s">
        <v>11297</v>
      </c>
      <c r="B2974" s="60" t="s">
        <v>82</v>
      </c>
      <c r="C2974" s="60" t="s">
        <v>11298</v>
      </c>
      <c r="D2974" s="60" t="s">
        <v>126</v>
      </c>
      <c r="E2974" s="60" t="s">
        <v>11299</v>
      </c>
      <c r="F2974" s="60" t="b">
        <f>TRUE()</f>
        <v>1</v>
      </c>
      <c r="G2974" s="60" t="s">
        <v>165</v>
      </c>
      <c r="H2974" s="60" t="s">
        <v>165</v>
      </c>
      <c r="I2974" s="61">
        <v>46203</v>
      </c>
      <c r="J2974" s="61">
        <v>46210.286667569497</v>
      </c>
      <c r="K2974" s="60">
        <v>38</v>
      </c>
      <c r="L2974" s="60" t="s">
        <v>192</v>
      </c>
      <c r="M2974" s="60" t="s">
        <v>183</v>
      </c>
      <c r="N2974" s="60" t="b">
        <f>FALSE()</f>
        <v>0</v>
      </c>
      <c r="O2974" s="60"/>
      <c r="P2974" s="60"/>
      <c r="Q2974" s="60" t="s">
        <v>3663</v>
      </c>
      <c r="R2974" s="60" t="s">
        <v>236</v>
      </c>
      <c r="S2974" s="60"/>
      <c r="T2974" s="60" t="b">
        <f>FALSE()</f>
        <v>0</v>
      </c>
      <c r="U2974" s="60" t="b">
        <f>FALSE()</f>
        <v>0</v>
      </c>
      <c r="V2974" s="60">
        <v>494</v>
      </c>
      <c r="W2974" s="62" t="s">
        <v>11300</v>
      </c>
      <c r="X2974" s="60">
        <v>1</v>
      </c>
      <c r="Y2974" s="63">
        <v>0.24</v>
      </c>
      <c r="Z2974" s="60" t="b">
        <f>FALSE()</f>
        <v>0</v>
      </c>
      <c r="AA2974" s="60" t="b">
        <f>TRUE()</f>
        <v>1</v>
      </c>
      <c r="AB2974" s="60" t="b">
        <f>FALSE()</f>
        <v>0</v>
      </c>
      <c r="AC2974" s="60" t="b">
        <f>FALSE()</f>
        <v>0</v>
      </c>
      <c r="AD2974" s="60" t="b">
        <f>FALSE()</f>
        <v>0</v>
      </c>
      <c r="AE2974" s="60">
        <v>1</v>
      </c>
      <c r="AF2974" s="64">
        <v>14.3</v>
      </c>
      <c r="AG2974" s="60" t="s">
        <v>74</v>
      </c>
      <c r="AH2974" s="60" t="s">
        <v>11301</v>
      </c>
      <c r="AI2974">
        <f>IF(AND(OR(Company_Explorer!$B$5="All Companies",$E2974=Company_Explorer!$B$5),OR(Company_Explorer!$B$6="All Platforms",$B2974=Company_Explorer!$B$6),OR(Company_Explorer!$B$7="All Roles",$D2974=Company_Explorer!$B$7),OR(Company_Explorer!$B$8="All Ghost Labels",$AG2974=Company_Explorer!$B$8)),1,0)</f>
        <v>0</v>
      </c>
    </row>
    <row r="2975" spans="1:35" ht="15" customHeight="1" x14ac:dyDescent="0.3">
      <c r="A2975" s="65" t="s">
        <v>11302</v>
      </c>
      <c r="B2975" s="65" t="s">
        <v>82</v>
      </c>
      <c r="C2975" s="65" t="s">
        <v>127</v>
      </c>
      <c r="D2975" s="65" t="s">
        <v>127</v>
      </c>
      <c r="E2975" s="65" t="s">
        <v>11303</v>
      </c>
      <c r="F2975" s="65" t="b">
        <f>TRUE()</f>
        <v>1</v>
      </c>
      <c r="G2975" s="65" t="s">
        <v>269</v>
      </c>
      <c r="H2975" s="65" t="s">
        <v>270</v>
      </c>
      <c r="I2975" s="66">
        <v>46198</v>
      </c>
      <c r="J2975" s="66">
        <v>46210.286667824097</v>
      </c>
      <c r="K2975" s="65">
        <v>12</v>
      </c>
      <c r="L2975" s="65" t="s">
        <v>192</v>
      </c>
      <c r="M2975" s="65" t="s">
        <v>183</v>
      </c>
      <c r="N2975" s="65" t="b">
        <f>TRUE()</f>
        <v>1</v>
      </c>
      <c r="O2975" s="71">
        <v>30000</v>
      </c>
      <c r="P2975" s="71">
        <v>40000</v>
      </c>
      <c r="Q2975" s="65" t="s">
        <v>3663</v>
      </c>
      <c r="R2975" s="65" t="s">
        <v>7445</v>
      </c>
      <c r="S2975" s="71">
        <v>420000</v>
      </c>
      <c r="T2975" s="65" t="b">
        <f>TRUE()</f>
        <v>1</v>
      </c>
      <c r="U2975" s="65" t="b">
        <f>FALSE()</f>
        <v>0</v>
      </c>
      <c r="V2975" s="65">
        <v>134</v>
      </c>
      <c r="W2975" s="67" t="s">
        <v>11304</v>
      </c>
      <c r="X2975" s="65">
        <v>1</v>
      </c>
      <c r="Y2975" s="68">
        <v>0.24</v>
      </c>
      <c r="Z2975" s="65" t="b">
        <f>FALSE()</f>
        <v>0</v>
      </c>
      <c r="AA2975" s="65" t="b">
        <f>FALSE()</f>
        <v>0</v>
      </c>
      <c r="AB2975" s="65" t="b">
        <f>TRUE()</f>
        <v>1</v>
      </c>
      <c r="AC2975" s="65" t="b">
        <f>FALSE()</f>
        <v>0</v>
      </c>
      <c r="AD2975" s="65" t="b">
        <f>FALSE()</f>
        <v>0</v>
      </c>
      <c r="AE2975" s="65">
        <v>1</v>
      </c>
      <c r="AF2975" s="69">
        <v>14.3</v>
      </c>
      <c r="AG2975" s="65" t="s">
        <v>74</v>
      </c>
      <c r="AH2975" s="65" t="s">
        <v>11305</v>
      </c>
      <c r="AI2975">
        <f>IF(AND(OR(Company_Explorer!$B$5="All Companies",$E2975=Company_Explorer!$B$5),OR(Company_Explorer!$B$6="All Platforms",$B2975=Company_Explorer!$B$6),OR(Company_Explorer!$B$7="All Roles",$D2975=Company_Explorer!$B$7),OR(Company_Explorer!$B$8="All Ghost Labels",$AG2975=Company_Explorer!$B$8)),1,0)</f>
        <v>0</v>
      </c>
    </row>
    <row r="2976" spans="1:35" ht="15" customHeight="1" x14ac:dyDescent="0.3">
      <c r="A2976" s="60" t="s">
        <v>11306</v>
      </c>
      <c r="B2976" s="60" t="s">
        <v>82</v>
      </c>
      <c r="C2976" s="60" t="s">
        <v>11307</v>
      </c>
      <c r="D2976" s="60" t="s">
        <v>126</v>
      </c>
      <c r="E2976" s="60" t="s">
        <v>11308</v>
      </c>
      <c r="F2976" s="60" t="b">
        <f>TRUE()</f>
        <v>1</v>
      </c>
      <c r="G2976" s="60" t="s">
        <v>165</v>
      </c>
      <c r="H2976" s="60" t="s">
        <v>165</v>
      </c>
      <c r="I2976" s="61">
        <v>46198</v>
      </c>
      <c r="J2976" s="61">
        <v>46210.286668055604</v>
      </c>
      <c r="K2976" s="60">
        <v>13</v>
      </c>
      <c r="L2976" s="60" t="s">
        <v>192</v>
      </c>
      <c r="M2976" s="60" t="s">
        <v>183</v>
      </c>
      <c r="N2976" s="60" t="b">
        <f>FALSE()</f>
        <v>0</v>
      </c>
      <c r="O2976" s="60"/>
      <c r="P2976" s="60"/>
      <c r="Q2976" s="60" t="s">
        <v>3663</v>
      </c>
      <c r="R2976" s="60" t="s">
        <v>236</v>
      </c>
      <c r="S2976" s="60"/>
      <c r="T2976" s="60" t="b">
        <f>FALSE()</f>
        <v>0</v>
      </c>
      <c r="U2976" s="60" t="b">
        <f>FALSE()</f>
        <v>0</v>
      </c>
      <c r="V2976" s="60">
        <v>703</v>
      </c>
      <c r="W2976" s="62" t="s">
        <v>11309</v>
      </c>
      <c r="X2976" s="60">
        <v>1</v>
      </c>
      <c r="Y2976" s="63">
        <v>0.24</v>
      </c>
      <c r="Z2976" s="60" t="b">
        <f>FALSE()</f>
        <v>0</v>
      </c>
      <c r="AA2976" s="60" t="b">
        <f>TRUE()</f>
        <v>1</v>
      </c>
      <c r="AB2976" s="60" t="b">
        <f>FALSE()</f>
        <v>0</v>
      </c>
      <c r="AC2976" s="60" t="b">
        <f>FALSE()</f>
        <v>0</v>
      </c>
      <c r="AD2976" s="60" t="b">
        <f>FALSE()</f>
        <v>0</v>
      </c>
      <c r="AE2976" s="60">
        <v>1</v>
      </c>
      <c r="AF2976" s="64">
        <v>14.3</v>
      </c>
      <c r="AG2976" s="60" t="s">
        <v>74</v>
      </c>
      <c r="AH2976" s="60" t="s">
        <v>11310</v>
      </c>
      <c r="AI2976">
        <f>IF(AND(OR(Company_Explorer!$B$5="All Companies",$E2976=Company_Explorer!$B$5),OR(Company_Explorer!$B$6="All Platforms",$B2976=Company_Explorer!$B$6),OR(Company_Explorer!$B$7="All Roles",$D2976=Company_Explorer!$B$7),OR(Company_Explorer!$B$8="All Ghost Labels",$AG2976=Company_Explorer!$B$8)),1,0)</f>
        <v>0</v>
      </c>
    </row>
    <row r="2977" spans="1:35" ht="15" customHeight="1" x14ac:dyDescent="0.3">
      <c r="A2977" s="65" t="s">
        <v>11311</v>
      </c>
      <c r="B2977" s="65" t="s">
        <v>82</v>
      </c>
      <c r="C2977" s="65" t="s">
        <v>11312</v>
      </c>
      <c r="D2977" s="65" t="s">
        <v>127</v>
      </c>
      <c r="E2977" s="65" t="s">
        <v>11313</v>
      </c>
      <c r="F2977" s="65" t="b">
        <f>TRUE()</f>
        <v>1</v>
      </c>
      <c r="G2977" s="65" t="s">
        <v>171</v>
      </c>
      <c r="H2977" s="65" t="s">
        <v>254</v>
      </c>
      <c r="I2977" s="66">
        <v>46193</v>
      </c>
      <c r="J2977" s="66">
        <v>46210.286669421301</v>
      </c>
      <c r="K2977" s="65">
        <v>137</v>
      </c>
      <c r="L2977" s="65" t="s">
        <v>183</v>
      </c>
      <c r="M2977" s="65" t="s">
        <v>183</v>
      </c>
      <c r="N2977" s="65" t="b">
        <f>TRUE()</f>
        <v>1</v>
      </c>
      <c r="O2977" s="71">
        <v>300000</v>
      </c>
      <c r="P2977" s="71">
        <v>600000</v>
      </c>
      <c r="Q2977" s="65" t="s">
        <v>3663</v>
      </c>
      <c r="R2977" s="65" t="s">
        <v>7351</v>
      </c>
      <c r="S2977" s="71">
        <v>450000</v>
      </c>
      <c r="T2977" s="65" t="b">
        <f>TRUE()</f>
        <v>1</v>
      </c>
      <c r="U2977" s="65" t="b">
        <f>FALSE()</f>
        <v>0</v>
      </c>
      <c r="V2977" s="65">
        <v>316</v>
      </c>
      <c r="W2977" s="67" t="s">
        <v>11314</v>
      </c>
      <c r="X2977" s="65">
        <v>1</v>
      </c>
      <c r="Y2977" s="68">
        <v>0.24</v>
      </c>
      <c r="Z2977" s="65" t="b">
        <f>FALSE()</f>
        <v>0</v>
      </c>
      <c r="AA2977" s="65" t="b">
        <f>FALSE()</f>
        <v>0</v>
      </c>
      <c r="AB2977" s="65" t="b">
        <f>FALSE()</f>
        <v>0</v>
      </c>
      <c r="AC2977" s="65" t="b">
        <f>TRUE()</f>
        <v>1</v>
      </c>
      <c r="AD2977" s="65" t="b">
        <f>FALSE()</f>
        <v>0</v>
      </c>
      <c r="AE2977" s="65">
        <v>1</v>
      </c>
      <c r="AF2977" s="69">
        <v>14.3</v>
      </c>
      <c r="AG2977" s="65" t="s">
        <v>74</v>
      </c>
      <c r="AH2977" s="65" t="s">
        <v>11315</v>
      </c>
      <c r="AI2977">
        <f>IF(AND(OR(Company_Explorer!$B$5="All Companies",$E2977=Company_Explorer!$B$5),OR(Company_Explorer!$B$6="All Platforms",$B2977=Company_Explorer!$B$6),OR(Company_Explorer!$B$7="All Roles",$D2977=Company_Explorer!$B$7),OR(Company_Explorer!$B$8="All Ghost Labels",$AG2977=Company_Explorer!$B$8)),1,0)</f>
        <v>0</v>
      </c>
    </row>
    <row r="2978" spans="1:35" ht="15" customHeight="1" x14ac:dyDescent="0.3">
      <c r="A2978" s="60" t="s">
        <v>11316</v>
      </c>
      <c r="B2978" s="60" t="s">
        <v>82</v>
      </c>
      <c r="C2978" s="60" t="s">
        <v>11317</v>
      </c>
      <c r="D2978" s="60" t="s">
        <v>127</v>
      </c>
      <c r="E2978" s="60" t="s">
        <v>7607</v>
      </c>
      <c r="F2978" s="60" t="b">
        <f>TRUE()</f>
        <v>1</v>
      </c>
      <c r="G2978" s="60" t="s">
        <v>166</v>
      </c>
      <c r="H2978" s="60" t="s">
        <v>235</v>
      </c>
      <c r="I2978" s="61">
        <v>46201</v>
      </c>
      <c r="J2978" s="61">
        <v>46210.286670659698</v>
      </c>
      <c r="K2978" s="60">
        <v>40</v>
      </c>
      <c r="L2978" s="60" t="s">
        <v>192</v>
      </c>
      <c r="M2978" s="60" t="s">
        <v>183</v>
      </c>
      <c r="N2978" s="60" t="b">
        <f>TRUE()</f>
        <v>1</v>
      </c>
      <c r="O2978" s="70">
        <v>361000</v>
      </c>
      <c r="P2978" s="70">
        <v>727750</v>
      </c>
      <c r="Q2978" s="60" t="s">
        <v>3663</v>
      </c>
      <c r="R2978" s="60" t="s">
        <v>7351</v>
      </c>
      <c r="S2978" s="70">
        <v>544375</v>
      </c>
      <c r="T2978" s="60" t="b">
        <f>TRUE()</f>
        <v>1</v>
      </c>
      <c r="U2978" s="60" t="b">
        <f>FALSE()</f>
        <v>0</v>
      </c>
      <c r="V2978" s="60">
        <v>701</v>
      </c>
      <c r="W2978" s="62" t="s">
        <v>11318</v>
      </c>
      <c r="X2978" s="60">
        <v>4</v>
      </c>
      <c r="Y2978" s="63">
        <v>0.97</v>
      </c>
      <c r="Z2978" s="60" t="b">
        <f>FALSE()</f>
        <v>0</v>
      </c>
      <c r="AA2978" s="60" t="b">
        <f>FALSE()</f>
        <v>0</v>
      </c>
      <c r="AB2978" s="60" t="b">
        <f>FALSE()</f>
        <v>0</v>
      </c>
      <c r="AC2978" s="60" t="b">
        <f>FALSE()</f>
        <v>0</v>
      </c>
      <c r="AD2978" s="60" t="b">
        <f>FALSE()</f>
        <v>0</v>
      </c>
      <c r="AE2978" s="60">
        <v>0</v>
      </c>
      <c r="AF2978" s="64">
        <v>0</v>
      </c>
      <c r="AG2978" s="60" t="s">
        <v>74</v>
      </c>
      <c r="AH2978" s="60" t="s">
        <v>11319</v>
      </c>
      <c r="AI2978">
        <f>IF(AND(OR(Company_Explorer!$B$5="All Companies",$E2978=Company_Explorer!$B$5),OR(Company_Explorer!$B$6="All Platforms",$B2978=Company_Explorer!$B$6),OR(Company_Explorer!$B$7="All Roles",$D2978=Company_Explorer!$B$7),OR(Company_Explorer!$B$8="All Ghost Labels",$AG2978=Company_Explorer!$B$8)),1,0)</f>
        <v>0</v>
      </c>
    </row>
    <row r="2979" spans="1:35" ht="15" customHeight="1" x14ac:dyDescent="0.3">
      <c r="A2979" s="65" t="s">
        <v>11320</v>
      </c>
      <c r="B2979" s="65" t="s">
        <v>82</v>
      </c>
      <c r="C2979" s="65" t="s">
        <v>11321</v>
      </c>
      <c r="D2979" s="65" t="s">
        <v>126</v>
      </c>
      <c r="E2979" s="65" t="s">
        <v>11120</v>
      </c>
      <c r="F2979" s="65" t="b">
        <f>TRUE()</f>
        <v>1</v>
      </c>
      <c r="G2979" s="65" t="s">
        <v>165</v>
      </c>
      <c r="H2979" s="65" t="s">
        <v>165</v>
      </c>
      <c r="I2979" s="66">
        <v>46197</v>
      </c>
      <c r="J2979" s="66">
        <v>46210.286670752299</v>
      </c>
      <c r="K2979" s="65">
        <v>13</v>
      </c>
      <c r="L2979" s="65" t="s">
        <v>183</v>
      </c>
      <c r="M2979" s="65" t="s">
        <v>183</v>
      </c>
      <c r="N2979" s="65" t="b">
        <f>FALSE()</f>
        <v>0</v>
      </c>
      <c r="O2979" s="65"/>
      <c r="P2979" s="65"/>
      <c r="Q2979" s="65" t="s">
        <v>3663</v>
      </c>
      <c r="R2979" s="65" t="s">
        <v>236</v>
      </c>
      <c r="S2979" s="65"/>
      <c r="T2979" s="65" t="b">
        <f>FALSE()</f>
        <v>0</v>
      </c>
      <c r="U2979" s="65" t="b">
        <f>FALSE()</f>
        <v>0</v>
      </c>
      <c r="V2979" s="65">
        <v>474</v>
      </c>
      <c r="W2979" s="67" t="s">
        <v>11322</v>
      </c>
      <c r="X2979" s="65">
        <v>2</v>
      </c>
      <c r="Y2979" s="68">
        <v>0.48</v>
      </c>
      <c r="Z2979" s="65" t="b">
        <f>FALSE()</f>
        <v>0</v>
      </c>
      <c r="AA2979" s="65" t="b">
        <f>TRUE()</f>
        <v>1</v>
      </c>
      <c r="AB2979" s="65" t="b">
        <f>FALSE()</f>
        <v>0</v>
      </c>
      <c r="AC2979" s="65" t="b">
        <f>FALSE()</f>
        <v>0</v>
      </c>
      <c r="AD2979" s="65" t="b">
        <f>FALSE()</f>
        <v>0</v>
      </c>
      <c r="AE2979" s="65">
        <v>1</v>
      </c>
      <c r="AF2979" s="69">
        <v>14.3</v>
      </c>
      <c r="AG2979" s="65" t="s">
        <v>74</v>
      </c>
      <c r="AH2979" s="65" t="s">
        <v>11323</v>
      </c>
      <c r="AI2979">
        <f>IF(AND(OR(Company_Explorer!$B$5="All Companies",$E2979=Company_Explorer!$B$5),OR(Company_Explorer!$B$6="All Platforms",$B2979=Company_Explorer!$B$6),OR(Company_Explorer!$B$7="All Roles",$D2979=Company_Explorer!$B$7),OR(Company_Explorer!$B$8="All Ghost Labels",$AG2979=Company_Explorer!$B$8)),1,0)</f>
        <v>0</v>
      </c>
    </row>
    <row r="2980" spans="1:35" ht="15" customHeight="1" x14ac:dyDescent="0.3">
      <c r="A2980" s="60" t="s">
        <v>11324</v>
      </c>
      <c r="B2980" s="60" t="s">
        <v>82</v>
      </c>
      <c r="C2980" s="60" t="s">
        <v>11325</v>
      </c>
      <c r="D2980" s="60" t="s">
        <v>127</v>
      </c>
      <c r="E2980" s="60" t="s">
        <v>11326</v>
      </c>
      <c r="F2980" s="60" t="b">
        <f>TRUE()</f>
        <v>1</v>
      </c>
      <c r="G2980" s="60" t="s">
        <v>165</v>
      </c>
      <c r="H2980" s="60" t="s">
        <v>165</v>
      </c>
      <c r="I2980" s="61">
        <v>46208</v>
      </c>
      <c r="J2980" s="61">
        <v>46210.286671192101</v>
      </c>
      <c r="K2980" s="60">
        <v>63</v>
      </c>
      <c r="L2980" s="60" t="s">
        <v>192</v>
      </c>
      <c r="M2980" s="60" t="s">
        <v>183</v>
      </c>
      <c r="N2980" s="60" t="b">
        <f>FALSE()</f>
        <v>0</v>
      </c>
      <c r="O2980" s="60"/>
      <c r="P2980" s="60"/>
      <c r="Q2980" s="60" t="s">
        <v>3663</v>
      </c>
      <c r="R2980" s="60" t="s">
        <v>236</v>
      </c>
      <c r="S2980" s="60"/>
      <c r="T2980" s="60" t="b">
        <f>FALSE()</f>
        <v>0</v>
      </c>
      <c r="U2980" s="60" t="b">
        <f>FALSE()</f>
        <v>0</v>
      </c>
      <c r="V2980" s="60">
        <v>455</v>
      </c>
      <c r="W2980" s="60" t="s">
        <v>11327</v>
      </c>
      <c r="X2980" s="60">
        <v>1</v>
      </c>
      <c r="Y2980" s="63">
        <v>0.24</v>
      </c>
      <c r="Z2980" s="60" t="b">
        <f>FALSE()</f>
        <v>0</v>
      </c>
      <c r="AA2980" s="60" t="b">
        <f>TRUE()</f>
        <v>1</v>
      </c>
      <c r="AB2980" s="60" t="b">
        <f>FALSE()</f>
        <v>0</v>
      </c>
      <c r="AC2980" s="60" t="b">
        <f>FALSE()</f>
        <v>0</v>
      </c>
      <c r="AD2980" s="60" t="b">
        <f>FALSE()</f>
        <v>0</v>
      </c>
      <c r="AE2980" s="60">
        <v>1</v>
      </c>
      <c r="AF2980" s="64">
        <v>14.3</v>
      </c>
      <c r="AG2980" s="60" t="s">
        <v>74</v>
      </c>
      <c r="AH2980" s="60" t="s">
        <v>11328</v>
      </c>
      <c r="AI2980">
        <f>IF(AND(OR(Company_Explorer!$B$5="All Companies",$E2980=Company_Explorer!$B$5),OR(Company_Explorer!$B$6="All Platforms",$B2980=Company_Explorer!$B$6),OR(Company_Explorer!$B$7="All Roles",$D2980=Company_Explorer!$B$7),OR(Company_Explorer!$B$8="All Ghost Labels",$AG2980=Company_Explorer!$B$8)),1,0)</f>
        <v>0</v>
      </c>
    </row>
    <row r="2981" spans="1:35" ht="15" customHeight="1" x14ac:dyDescent="0.3">
      <c r="A2981" s="65" t="s">
        <v>11329</v>
      </c>
      <c r="B2981" s="65" t="s">
        <v>82</v>
      </c>
      <c r="C2981" s="65" t="s">
        <v>5780</v>
      </c>
      <c r="D2981" s="65" t="s">
        <v>127</v>
      </c>
      <c r="E2981" s="65" t="s">
        <v>157</v>
      </c>
      <c r="F2981" s="65" t="b">
        <f>TRUE()</f>
        <v>1</v>
      </c>
      <c r="G2981" s="65" t="s">
        <v>176</v>
      </c>
      <c r="H2981" s="65" t="s">
        <v>302</v>
      </c>
      <c r="I2981" s="66">
        <v>46209</v>
      </c>
      <c r="J2981" s="66">
        <v>46210.286671793998</v>
      </c>
      <c r="K2981" s="65">
        <v>31</v>
      </c>
      <c r="L2981" s="65" t="s">
        <v>192</v>
      </c>
      <c r="M2981" s="65" t="s">
        <v>183</v>
      </c>
      <c r="N2981" s="65" t="b">
        <f>TRUE()</f>
        <v>1</v>
      </c>
      <c r="O2981" s="71">
        <v>600000</v>
      </c>
      <c r="P2981" s="71">
        <v>918750</v>
      </c>
      <c r="Q2981" s="65" t="s">
        <v>3663</v>
      </c>
      <c r="R2981" s="65" t="s">
        <v>7351</v>
      </c>
      <c r="S2981" s="71">
        <v>759375</v>
      </c>
      <c r="T2981" s="65" t="b">
        <f>TRUE()</f>
        <v>1</v>
      </c>
      <c r="U2981" s="65" t="b">
        <f>FALSE()</f>
        <v>0</v>
      </c>
      <c r="V2981" s="65">
        <v>38</v>
      </c>
      <c r="W2981" s="67" t="s">
        <v>11330</v>
      </c>
      <c r="X2981" s="65">
        <v>15</v>
      </c>
      <c r="Y2981" s="68">
        <v>3.62</v>
      </c>
      <c r="Z2981" s="65" t="b">
        <f>FALSE()</f>
        <v>0</v>
      </c>
      <c r="AA2981" s="65" t="b">
        <f>FALSE()</f>
        <v>0</v>
      </c>
      <c r="AB2981" s="65" t="b">
        <f>TRUE()</f>
        <v>1</v>
      </c>
      <c r="AC2981" s="65" t="b">
        <f>FALSE()</f>
        <v>0</v>
      </c>
      <c r="AD2981" s="65" t="b">
        <f>TRUE()</f>
        <v>1</v>
      </c>
      <c r="AE2981" s="65">
        <v>3</v>
      </c>
      <c r="AF2981" s="69">
        <v>42.9</v>
      </c>
      <c r="AG2981" s="65" t="s">
        <v>73</v>
      </c>
      <c r="AH2981" s="65" t="s">
        <v>11331</v>
      </c>
      <c r="AI2981">
        <f>IF(AND(OR(Company_Explorer!$B$5="All Companies",$E2981=Company_Explorer!$B$5),OR(Company_Explorer!$B$6="All Platforms",$B2981=Company_Explorer!$B$6),OR(Company_Explorer!$B$7="All Roles",$D2981=Company_Explorer!$B$7),OR(Company_Explorer!$B$8="All Ghost Labels",$AG2981=Company_Explorer!$B$8)),1,0)</f>
        <v>0</v>
      </c>
    </row>
    <row r="2982" spans="1:35" ht="15" customHeight="1" x14ac:dyDescent="0.3">
      <c r="A2982" s="60" t="s">
        <v>11332</v>
      </c>
      <c r="B2982" s="60" t="s">
        <v>82</v>
      </c>
      <c r="C2982" s="60" t="s">
        <v>5476</v>
      </c>
      <c r="D2982" s="60" t="s">
        <v>126</v>
      </c>
      <c r="E2982" s="60" t="s">
        <v>151</v>
      </c>
      <c r="F2982" s="60" t="b">
        <f>TRUE()</f>
        <v>1</v>
      </c>
      <c r="G2982" s="60" t="s">
        <v>167</v>
      </c>
      <c r="H2982" s="60" t="s">
        <v>276</v>
      </c>
      <c r="I2982" s="61">
        <v>46210</v>
      </c>
      <c r="J2982" s="61">
        <v>46210.286673472197</v>
      </c>
      <c r="K2982" s="60">
        <v>0</v>
      </c>
      <c r="L2982" s="60" t="s">
        <v>192</v>
      </c>
      <c r="M2982" s="60" t="s">
        <v>183</v>
      </c>
      <c r="N2982" s="60" t="b">
        <f>TRUE()</f>
        <v>1</v>
      </c>
      <c r="O2982" s="70">
        <v>825000</v>
      </c>
      <c r="P2982" s="70">
        <v>1036000</v>
      </c>
      <c r="Q2982" s="60" t="s">
        <v>3663</v>
      </c>
      <c r="R2982" s="60" t="s">
        <v>7351</v>
      </c>
      <c r="S2982" s="70">
        <v>930500</v>
      </c>
      <c r="T2982" s="60" t="b">
        <f>TRUE()</f>
        <v>1</v>
      </c>
      <c r="U2982" s="60" t="b">
        <f>FALSE()</f>
        <v>0</v>
      </c>
      <c r="V2982" s="60">
        <v>366</v>
      </c>
      <c r="W2982" s="62" t="s">
        <v>5477</v>
      </c>
      <c r="X2982" s="60">
        <v>17</v>
      </c>
      <c r="Y2982" s="63">
        <v>4.0999999999999996</v>
      </c>
      <c r="Z2982" s="60" t="b">
        <f>FALSE()</f>
        <v>0</v>
      </c>
      <c r="AA2982" s="60" t="b">
        <f>FALSE()</f>
        <v>0</v>
      </c>
      <c r="AB2982" s="60" t="b">
        <f>FALSE()</f>
        <v>0</v>
      </c>
      <c r="AC2982" s="60" t="b">
        <f>FALSE()</f>
        <v>0</v>
      </c>
      <c r="AD2982" s="60" t="b">
        <f>TRUE()</f>
        <v>1</v>
      </c>
      <c r="AE2982" s="60">
        <v>2</v>
      </c>
      <c r="AF2982" s="64">
        <v>28.6</v>
      </c>
      <c r="AG2982" s="60" t="s">
        <v>73</v>
      </c>
      <c r="AH2982" s="60" t="s">
        <v>11333</v>
      </c>
      <c r="AI2982">
        <f>IF(AND(OR(Company_Explorer!$B$5="All Companies",$E2982=Company_Explorer!$B$5),OR(Company_Explorer!$B$6="All Platforms",$B2982=Company_Explorer!$B$6),OR(Company_Explorer!$B$7="All Roles",$D2982=Company_Explorer!$B$7),OR(Company_Explorer!$B$8="All Ghost Labels",$AG2982=Company_Explorer!$B$8)),1,0)</f>
        <v>0</v>
      </c>
    </row>
    <row r="2983" spans="1:35" ht="15" customHeight="1" x14ac:dyDescent="0.3">
      <c r="A2983" s="65" t="s">
        <v>11334</v>
      </c>
      <c r="B2983" s="65" t="s">
        <v>82</v>
      </c>
      <c r="C2983" s="65" t="s">
        <v>5780</v>
      </c>
      <c r="D2983" s="65" t="s">
        <v>127</v>
      </c>
      <c r="E2983" s="65" t="s">
        <v>11335</v>
      </c>
      <c r="F2983" s="65" t="b">
        <f>TRUE()</f>
        <v>1</v>
      </c>
      <c r="G2983" s="65" t="s">
        <v>11336</v>
      </c>
      <c r="H2983" s="65" t="s">
        <v>302</v>
      </c>
      <c r="I2983" s="66">
        <v>46194</v>
      </c>
      <c r="J2983" s="66">
        <v>46210.2866737269</v>
      </c>
      <c r="K2983" s="65">
        <v>16</v>
      </c>
      <c r="L2983" s="65" t="s">
        <v>192</v>
      </c>
      <c r="M2983" s="65" t="s">
        <v>183</v>
      </c>
      <c r="N2983" s="65" t="b">
        <f>TRUE()</f>
        <v>1</v>
      </c>
      <c r="O2983" s="71">
        <v>254000</v>
      </c>
      <c r="P2983" s="71">
        <v>264000</v>
      </c>
      <c r="Q2983" s="65" t="s">
        <v>3663</v>
      </c>
      <c r="R2983" s="65" t="s">
        <v>7351</v>
      </c>
      <c r="S2983" s="71">
        <v>259000</v>
      </c>
      <c r="T2983" s="65" t="b">
        <f>TRUE()</f>
        <v>1</v>
      </c>
      <c r="U2983" s="65" t="b">
        <f>FALSE()</f>
        <v>0</v>
      </c>
      <c r="V2983" s="65">
        <v>318</v>
      </c>
      <c r="W2983" s="67" t="s">
        <v>11337</v>
      </c>
      <c r="X2983" s="65">
        <v>1</v>
      </c>
      <c r="Y2983" s="68">
        <v>0.24</v>
      </c>
      <c r="Z2983" s="65" t="b">
        <f>FALSE()</f>
        <v>0</v>
      </c>
      <c r="AA2983" s="65" t="b">
        <f>FALSE()</f>
        <v>0</v>
      </c>
      <c r="AB2983" s="65" t="b">
        <f>FALSE()</f>
        <v>0</v>
      </c>
      <c r="AC2983" s="65" t="b">
        <f>FALSE()</f>
        <v>0</v>
      </c>
      <c r="AD2983" s="65" t="b">
        <f>FALSE()</f>
        <v>0</v>
      </c>
      <c r="AE2983" s="65">
        <v>0</v>
      </c>
      <c r="AF2983" s="69">
        <v>0</v>
      </c>
      <c r="AG2983" s="65" t="s">
        <v>74</v>
      </c>
      <c r="AH2983" s="65" t="s">
        <v>11338</v>
      </c>
      <c r="AI2983">
        <f>IF(AND(OR(Company_Explorer!$B$5="All Companies",$E2983=Company_Explorer!$B$5),OR(Company_Explorer!$B$6="All Platforms",$B2983=Company_Explorer!$B$6),OR(Company_Explorer!$B$7="All Roles",$D2983=Company_Explorer!$B$7),OR(Company_Explorer!$B$8="All Ghost Labels",$AG2983=Company_Explorer!$B$8)),1,0)</f>
        <v>0</v>
      </c>
    </row>
    <row r="2984" spans="1:35" ht="15" customHeight="1" x14ac:dyDescent="0.3">
      <c r="A2984" s="60" t="s">
        <v>11339</v>
      </c>
      <c r="B2984" s="60" t="s">
        <v>82</v>
      </c>
      <c r="C2984" s="60" t="s">
        <v>11340</v>
      </c>
      <c r="D2984" s="60" t="s">
        <v>126</v>
      </c>
      <c r="E2984" s="60" t="s">
        <v>5859</v>
      </c>
      <c r="F2984" s="60" t="b">
        <f>TRUE()</f>
        <v>1</v>
      </c>
      <c r="G2984" s="60" t="s">
        <v>545</v>
      </c>
      <c r="H2984" s="60" t="s">
        <v>270</v>
      </c>
      <c r="I2984" s="61">
        <v>46182</v>
      </c>
      <c r="J2984" s="61">
        <v>46210.2866737847</v>
      </c>
      <c r="K2984" s="60">
        <v>28</v>
      </c>
      <c r="L2984" s="60" t="s">
        <v>192</v>
      </c>
      <c r="M2984" s="60" t="s">
        <v>183</v>
      </c>
      <c r="N2984" s="60" t="b">
        <f>TRUE()</f>
        <v>1</v>
      </c>
      <c r="O2984" s="70">
        <v>812000</v>
      </c>
      <c r="P2984" s="70">
        <v>1099010</v>
      </c>
      <c r="Q2984" s="60" t="s">
        <v>3663</v>
      </c>
      <c r="R2984" s="60" t="s">
        <v>7351</v>
      </c>
      <c r="S2984" s="70">
        <v>955505</v>
      </c>
      <c r="T2984" s="60" t="b">
        <f>TRUE()</f>
        <v>1</v>
      </c>
      <c r="U2984" s="60" t="b">
        <f>FALSE()</f>
        <v>0</v>
      </c>
      <c r="V2984" s="60">
        <v>730</v>
      </c>
      <c r="W2984" s="60" t="s">
        <v>11341</v>
      </c>
      <c r="X2984" s="60">
        <v>2</v>
      </c>
      <c r="Y2984" s="63">
        <v>0.48</v>
      </c>
      <c r="Z2984" s="60" t="b">
        <f>FALSE()</f>
        <v>0</v>
      </c>
      <c r="AA2984" s="60" t="b">
        <f>FALSE()</f>
        <v>0</v>
      </c>
      <c r="AB2984" s="60" t="b">
        <f>FALSE()</f>
        <v>0</v>
      </c>
      <c r="AC2984" s="60" t="b">
        <f>FALSE()</f>
        <v>0</v>
      </c>
      <c r="AD2984" s="60" t="b">
        <f>FALSE()</f>
        <v>0</v>
      </c>
      <c r="AE2984" s="60">
        <v>0</v>
      </c>
      <c r="AF2984" s="64">
        <v>0</v>
      </c>
      <c r="AG2984" s="60" t="s">
        <v>74</v>
      </c>
      <c r="AH2984" s="60" t="s">
        <v>11342</v>
      </c>
      <c r="AI2984">
        <f>IF(AND(OR(Company_Explorer!$B$5="All Companies",$E2984=Company_Explorer!$B$5),OR(Company_Explorer!$B$6="All Platforms",$B2984=Company_Explorer!$B$6),OR(Company_Explorer!$B$7="All Roles",$D2984=Company_Explorer!$B$7),OR(Company_Explorer!$B$8="All Ghost Labels",$AG2984=Company_Explorer!$B$8)),1,0)</f>
        <v>0</v>
      </c>
    </row>
    <row r="2985" spans="1:35" ht="15" customHeight="1" x14ac:dyDescent="0.3">
      <c r="A2985" s="65" t="s">
        <v>11343</v>
      </c>
      <c r="B2985" s="65" t="s">
        <v>82</v>
      </c>
      <c r="C2985" s="65" t="s">
        <v>11344</v>
      </c>
      <c r="D2985" s="65" t="s">
        <v>127</v>
      </c>
      <c r="E2985" s="65" t="s">
        <v>3726</v>
      </c>
      <c r="F2985" s="65" t="b">
        <f>FALSE()</f>
        <v>0</v>
      </c>
      <c r="G2985" s="65" t="s">
        <v>11345</v>
      </c>
      <c r="H2985" s="65" t="s">
        <v>585</v>
      </c>
      <c r="I2985" s="66">
        <v>46185</v>
      </c>
      <c r="J2985" s="66">
        <v>46210.286674224502</v>
      </c>
      <c r="K2985" s="65">
        <v>86</v>
      </c>
      <c r="L2985" s="65" t="s">
        <v>192</v>
      </c>
      <c r="M2985" s="65" t="s">
        <v>183</v>
      </c>
      <c r="N2985" s="65" t="b">
        <f>TRUE()</f>
        <v>1</v>
      </c>
      <c r="O2985" s="71">
        <v>30000</v>
      </c>
      <c r="P2985" s="71">
        <v>50000</v>
      </c>
      <c r="Q2985" s="65" t="s">
        <v>3663</v>
      </c>
      <c r="R2985" s="65" t="s">
        <v>7445</v>
      </c>
      <c r="S2985" s="71">
        <v>480000</v>
      </c>
      <c r="T2985" s="65" t="b">
        <f>TRUE()</f>
        <v>1</v>
      </c>
      <c r="U2985" s="65" t="b">
        <f>FALSE()</f>
        <v>0</v>
      </c>
      <c r="V2985" s="65">
        <v>350</v>
      </c>
      <c r="W2985" s="67" t="s">
        <v>11346</v>
      </c>
      <c r="X2985" s="65"/>
      <c r="Y2985" s="68"/>
      <c r="Z2985" s="65" t="b">
        <f>TRUE()</f>
        <v>1</v>
      </c>
      <c r="AA2985" s="65" t="b">
        <f>FALSE()</f>
        <v>0</v>
      </c>
      <c r="AB2985" s="65" t="b">
        <f>FALSE()</f>
        <v>0</v>
      </c>
      <c r="AC2985" s="65" t="b">
        <f>FALSE()</f>
        <v>0</v>
      </c>
      <c r="AD2985" s="65" t="b">
        <f>FALSE()</f>
        <v>0</v>
      </c>
      <c r="AE2985" s="65">
        <v>2</v>
      </c>
      <c r="AF2985" s="69">
        <v>28.6</v>
      </c>
      <c r="AG2985" s="65" t="s">
        <v>73</v>
      </c>
      <c r="AH2985" s="65" t="s">
        <v>11347</v>
      </c>
      <c r="AI2985">
        <f>IF(AND(OR(Company_Explorer!$B$5="All Companies",$E2985=Company_Explorer!$B$5),OR(Company_Explorer!$B$6="All Platforms",$B2985=Company_Explorer!$B$6),OR(Company_Explorer!$B$7="All Roles",$D2985=Company_Explorer!$B$7),OR(Company_Explorer!$B$8="All Ghost Labels",$AG2985=Company_Explorer!$B$8)),1,0)</f>
        <v>0</v>
      </c>
    </row>
    <row r="2986" spans="1:35" ht="15" customHeight="1" x14ac:dyDescent="0.3">
      <c r="A2986" s="60" t="s">
        <v>11348</v>
      </c>
      <c r="B2986" s="60" t="s">
        <v>82</v>
      </c>
      <c r="C2986" s="60" t="s">
        <v>11349</v>
      </c>
      <c r="D2986" s="60" t="s">
        <v>126</v>
      </c>
      <c r="E2986" s="60" t="s">
        <v>11350</v>
      </c>
      <c r="F2986" s="60" t="b">
        <f>TRUE()</f>
        <v>1</v>
      </c>
      <c r="G2986" s="60" t="s">
        <v>175</v>
      </c>
      <c r="H2986" s="60" t="s">
        <v>254</v>
      </c>
      <c r="I2986" s="61">
        <v>46197</v>
      </c>
      <c r="J2986" s="61">
        <v>46210.286675011601</v>
      </c>
      <c r="K2986" s="60">
        <v>75</v>
      </c>
      <c r="L2986" s="60" t="s">
        <v>183</v>
      </c>
      <c r="M2986" s="60" t="s">
        <v>183</v>
      </c>
      <c r="N2986" s="60" t="b">
        <f>TRUE()</f>
        <v>1</v>
      </c>
      <c r="O2986" s="70">
        <v>492000</v>
      </c>
      <c r="P2986" s="70">
        <v>642318</v>
      </c>
      <c r="Q2986" s="60" t="s">
        <v>3663</v>
      </c>
      <c r="R2986" s="60" t="s">
        <v>7351</v>
      </c>
      <c r="S2986" s="70">
        <v>567159</v>
      </c>
      <c r="T2986" s="60" t="b">
        <f>TRUE()</f>
        <v>1</v>
      </c>
      <c r="U2986" s="60" t="b">
        <f>FALSE()</f>
        <v>0</v>
      </c>
      <c r="V2986" s="60">
        <v>438</v>
      </c>
      <c r="W2986" s="62" t="s">
        <v>11351</v>
      </c>
      <c r="X2986" s="60">
        <v>1</v>
      </c>
      <c r="Y2986" s="63">
        <v>0.24</v>
      </c>
      <c r="Z2986" s="60" t="b">
        <f>FALSE()</f>
        <v>0</v>
      </c>
      <c r="AA2986" s="60" t="b">
        <f>FALSE()</f>
        <v>0</v>
      </c>
      <c r="AB2986" s="60" t="b">
        <f>FALSE()</f>
        <v>0</v>
      </c>
      <c r="AC2986" s="60" t="b">
        <f>FALSE()</f>
        <v>0</v>
      </c>
      <c r="AD2986" s="60" t="b">
        <f>FALSE()</f>
        <v>0</v>
      </c>
      <c r="AE2986" s="60">
        <v>0</v>
      </c>
      <c r="AF2986" s="64">
        <v>0</v>
      </c>
      <c r="AG2986" s="60" t="s">
        <v>74</v>
      </c>
      <c r="AH2986" s="60" t="s">
        <v>11352</v>
      </c>
      <c r="AI2986">
        <f>IF(AND(OR(Company_Explorer!$B$5="All Companies",$E2986=Company_Explorer!$B$5),OR(Company_Explorer!$B$6="All Platforms",$B2986=Company_Explorer!$B$6),OR(Company_Explorer!$B$7="All Roles",$D2986=Company_Explorer!$B$7),OR(Company_Explorer!$B$8="All Ghost Labels",$AG2986=Company_Explorer!$B$8)),1,0)</f>
        <v>0</v>
      </c>
    </row>
    <row r="2987" spans="1:35" ht="15" customHeight="1" x14ac:dyDescent="0.3">
      <c r="A2987" s="65" t="s">
        <v>11353</v>
      </c>
      <c r="B2987" s="65" t="s">
        <v>82</v>
      </c>
      <c r="C2987" s="65" t="s">
        <v>11354</v>
      </c>
      <c r="D2987" s="65" t="s">
        <v>127</v>
      </c>
      <c r="E2987" s="65" t="s">
        <v>7413</v>
      </c>
      <c r="F2987" s="65" t="b">
        <f>TRUE()</f>
        <v>1</v>
      </c>
      <c r="G2987" s="65" t="s">
        <v>175</v>
      </c>
      <c r="H2987" s="65" t="s">
        <v>254</v>
      </c>
      <c r="I2987" s="66">
        <v>46206</v>
      </c>
      <c r="J2987" s="66">
        <v>46210.286675254603</v>
      </c>
      <c r="K2987" s="65">
        <v>95</v>
      </c>
      <c r="L2987" s="65" t="s">
        <v>192</v>
      </c>
      <c r="M2987" s="65" t="s">
        <v>183</v>
      </c>
      <c r="N2987" s="65" t="b">
        <f>TRUE()</f>
        <v>1</v>
      </c>
      <c r="O2987" s="71">
        <v>615000</v>
      </c>
      <c r="P2987" s="71">
        <v>837502</v>
      </c>
      <c r="Q2987" s="65" t="s">
        <v>3663</v>
      </c>
      <c r="R2987" s="65" t="s">
        <v>7351</v>
      </c>
      <c r="S2987" s="71">
        <v>726251</v>
      </c>
      <c r="T2987" s="65" t="b">
        <f>TRUE()</f>
        <v>1</v>
      </c>
      <c r="U2987" s="65" t="b">
        <f>FALSE()</f>
        <v>0</v>
      </c>
      <c r="V2987" s="65">
        <v>972</v>
      </c>
      <c r="W2987" s="67" t="s">
        <v>11355</v>
      </c>
      <c r="X2987" s="65">
        <v>7</v>
      </c>
      <c r="Y2987" s="68">
        <v>1.69</v>
      </c>
      <c r="Z2987" s="65" t="b">
        <f>FALSE()</f>
        <v>0</v>
      </c>
      <c r="AA2987" s="65" t="b">
        <f>FALSE()</f>
        <v>0</v>
      </c>
      <c r="AB2987" s="65" t="b">
        <f>FALSE()</f>
        <v>0</v>
      </c>
      <c r="AC2987" s="65" t="b">
        <f>FALSE()</f>
        <v>0</v>
      </c>
      <c r="AD2987" s="65" t="b">
        <f>FALSE()</f>
        <v>0</v>
      </c>
      <c r="AE2987" s="65">
        <v>0</v>
      </c>
      <c r="AF2987" s="69">
        <v>0</v>
      </c>
      <c r="AG2987" s="65" t="s">
        <v>74</v>
      </c>
      <c r="AH2987" s="65" t="s">
        <v>11356</v>
      </c>
      <c r="AI2987">
        <f>IF(AND(OR(Company_Explorer!$B$5="All Companies",$E2987=Company_Explorer!$B$5),OR(Company_Explorer!$B$6="All Platforms",$B2987=Company_Explorer!$B$6),OR(Company_Explorer!$B$7="All Roles",$D2987=Company_Explorer!$B$7),OR(Company_Explorer!$B$8="All Ghost Labels",$AG2987=Company_Explorer!$B$8)),1,0)</f>
        <v>0</v>
      </c>
    </row>
    <row r="2988" spans="1:35" ht="15" customHeight="1" x14ac:dyDescent="0.3">
      <c r="A2988" s="60" t="s">
        <v>11357</v>
      </c>
      <c r="B2988" s="60" t="s">
        <v>82</v>
      </c>
      <c r="C2988" s="60" t="s">
        <v>11358</v>
      </c>
      <c r="D2988" s="60" t="s">
        <v>126</v>
      </c>
      <c r="E2988" s="60" t="s">
        <v>10732</v>
      </c>
      <c r="F2988" s="60" t="b">
        <f>TRUE()</f>
        <v>1</v>
      </c>
      <c r="G2988" s="60" t="s">
        <v>165</v>
      </c>
      <c r="H2988" s="60" t="s">
        <v>165</v>
      </c>
      <c r="I2988" s="61">
        <v>46210</v>
      </c>
      <c r="J2988" s="61">
        <v>46210.2866754282</v>
      </c>
      <c r="K2988" s="60">
        <v>62</v>
      </c>
      <c r="L2988" s="60" t="s">
        <v>192</v>
      </c>
      <c r="M2988" s="60" t="s">
        <v>183</v>
      </c>
      <c r="N2988" s="60" t="b">
        <f>FALSE()</f>
        <v>0</v>
      </c>
      <c r="O2988" s="60"/>
      <c r="P2988" s="60"/>
      <c r="Q2988" s="60" t="s">
        <v>3663</v>
      </c>
      <c r="R2988" s="60" t="s">
        <v>236</v>
      </c>
      <c r="S2988" s="60"/>
      <c r="T2988" s="60" t="b">
        <f>FALSE()</f>
        <v>0</v>
      </c>
      <c r="U2988" s="60" t="b">
        <f>FALSE()</f>
        <v>0</v>
      </c>
      <c r="V2988" s="60">
        <v>601</v>
      </c>
      <c r="W2988" s="62" t="s">
        <v>10733</v>
      </c>
      <c r="X2988" s="60">
        <v>2</v>
      </c>
      <c r="Y2988" s="63">
        <v>0.48</v>
      </c>
      <c r="Z2988" s="60" t="b">
        <f>FALSE()</f>
        <v>0</v>
      </c>
      <c r="AA2988" s="60" t="b">
        <f>TRUE()</f>
        <v>1</v>
      </c>
      <c r="AB2988" s="60" t="b">
        <f>FALSE()</f>
        <v>0</v>
      </c>
      <c r="AC2988" s="60" t="b">
        <f>FALSE()</f>
        <v>0</v>
      </c>
      <c r="AD2988" s="60" t="b">
        <f>FALSE()</f>
        <v>0</v>
      </c>
      <c r="AE2988" s="60">
        <v>1</v>
      </c>
      <c r="AF2988" s="64">
        <v>14.3</v>
      </c>
      <c r="AG2988" s="60" t="s">
        <v>74</v>
      </c>
      <c r="AH2988" s="60" t="s">
        <v>11359</v>
      </c>
      <c r="AI2988">
        <f>IF(AND(OR(Company_Explorer!$B$5="All Companies",$E2988=Company_Explorer!$B$5),OR(Company_Explorer!$B$6="All Platforms",$B2988=Company_Explorer!$B$6),OR(Company_Explorer!$B$7="All Roles",$D2988=Company_Explorer!$B$7),OR(Company_Explorer!$B$8="All Ghost Labels",$AG2988=Company_Explorer!$B$8)),1,0)</f>
        <v>0</v>
      </c>
    </row>
    <row r="2989" spans="1:35" ht="15" customHeight="1" x14ac:dyDescent="0.3">
      <c r="A2989" s="65" t="s">
        <v>11360</v>
      </c>
      <c r="B2989" s="65" t="s">
        <v>82</v>
      </c>
      <c r="C2989" s="65" t="s">
        <v>11361</v>
      </c>
      <c r="D2989" s="65" t="s">
        <v>127</v>
      </c>
      <c r="E2989" s="65" t="s">
        <v>10503</v>
      </c>
      <c r="F2989" s="65" t="b">
        <f>TRUE()</f>
        <v>1</v>
      </c>
      <c r="G2989" s="65" t="s">
        <v>165</v>
      </c>
      <c r="H2989" s="65" t="s">
        <v>165</v>
      </c>
      <c r="I2989" s="66">
        <v>46183</v>
      </c>
      <c r="J2989" s="66">
        <v>46210.286676006901</v>
      </c>
      <c r="K2989" s="65">
        <v>27</v>
      </c>
      <c r="L2989" s="65" t="s">
        <v>183</v>
      </c>
      <c r="M2989" s="65" t="s">
        <v>183</v>
      </c>
      <c r="N2989" s="65" t="b">
        <f>FALSE()</f>
        <v>0</v>
      </c>
      <c r="O2989" s="65"/>
      <c r="P2989" s="65"/>
      <c r="Q2989" s="65" t="s">
        <v>3663</v>
      </c>
      <c r="R2989" s="65" t="s">
        <v>236</v>
      </c>
      <c r="S2989" s="65"/>
      <c r="T2989" s="65" t="b">
        <f>FALSE()</f>
        <v>0</v>
      </c>
      <c r="U2989" s="65" t="b">
        <f>FALSE()</f>
        <v>0</v>
      </c>
      <c r="V2989" s="65">
        <v>177</v>
      </c>
      <c r="W2989" s="67" t="s">
        <v>11362</v>
      </c>
      <c r="X2989" s="65">
        <v>3</v>
      </c>
      <c r="Y2989" s="68">
        <v>0.72</v>
      </c>
      <c r="Z2989" s="65" t="b">
        <f>FALSE()</f>
        <v>0</v>
      </c>
      <c r="AA2989" s="65" t="b">
        <f>TRUE()</f>
        <v>1</v>
      </c>
      <c r="AB2989" s="65" t="b">
        <f>TRUE()</f>
        <v>1</v>
      </c>
      <c r="AC2989" s="65" t="b">
        <f>FALSE()</f>
        <v>0</v>
      </c>
      <c r="AD2989" s="65" t="b">
        <f>FALSE()</f>
        <v>0</v>
      </c>
      <c r="AE2989" s="65">
        <v>2</v>
      </c>
      <c r="AF2989" s="69">
        <v>28.6</v>
      </c>
      <c r="AG2989" s="65" t="s">
        <v>73</v>
      </c>
      <c r="AH2989" s="65" t="s">
        <v>11363</v>
      </c>
      <c r="AI2989">
        <f>IF(AND(OR(Company_Explorer!$B$5="All Companies",$E2989=Company_Explorer!$B$5),OR(Company_Explorer!$B$6="All Platforms",$B2989=Company_Explorer!$B$6),OR(Company_Explorer!$B$7="All Roles",$D2989=Company_Explorer!$B$7),OR(Company_Explorer!$B$8="All Ghost Labels",$AG2989=Company_Explorer!$B$8)),1,0)</f>
        <v>0</v>
      </c>
    </row>
    <row r="2990" spans="1:35" ht="15" customHeight="1" x14ac:dyDescent="0.3">
      <c r="A2990" s="60" t="s">
        <v>11364</v>
      </c>
      <c r="B2990" s="60" t="s">
        <v>82</v>
      </c>
      <c r="C2990" s="60" t="s">
        <v>11365</v>
      </c>
      <c r="D2990" s="60" t="s">
        <v>126</v>
      </c>
      <c r="E2990" s="60" t="s">
        <v>4865</v>
      </c>
      <c r="F2990" s="60" t="b">
        <f>TRUE()</f>
        <v>1</v>
      </c>
      <c r="G2990" s="60" t="s">
        <v>166</v>
      </c>
      <c r="H2990" s="60" t="s">
        <v>235</v>
      </c>
      <c r="I2990" s="61">
        <v>46186</v>
      </c>
      <c r="J2990" s="61">
        <v>46210.2866773032</v>
      </c>
      <c r="K2990" s="60">
        <v>24</v>
      </c>
      <c r="L2990" s="60" t="s">
        <v>192</v>
      </c>
      <c r="M2990" s="60" t="s">
        <v>183</v>
      </c>
      <c r="N2990" s="60" t="b">
        <f>TRUE()</f>
        <v>1</v>
      </c>
      <c r="O2990" s="70">
        <v>796800</v>
      </c>
      <c r="P2990" s="70">
        <v>1020000</v>
      </c>
      <c r="Q2990" s="60" t="s">
        <v>3663</v>
      </c>
      <c r="R2990" s="60" t="s">
        <v>7351</v>
      </c>
      <c r="S2990" s="70">
        <v>908400</v>
      </c>
      <c r="T2990" s="60" t="b">
        <f>TRUE()</f>
        <v>1</v>
      </c>
      <c r="U2990" s="60" t="b">
        <f>FALSE()</f>
        <v>0</v>
      </c>
      <c r="V2990" s="60">
        <v>517</v>
      </c>
      <c r="W2990" s="62" t="s">
        <v>7869</v>
      </c>
      <c r="X2990" s="60">
        <v>4</v>
      </c>
      <c r="Y2990" s="63">
        <v>0.97</v>
      </c>
      <c r="Z2990" s="60" t="b">
        <f>FALSE()</f>
        <v>0</v>
      </c>
      <c r="AA2990" s="60" t="b">
        <f>FALSE()</f>
        <v>0</v>
      </c>
      <c r="AB2990" s="60" t="b">
        <f>FALSE()</f>
        <v>0</v>
      </c>
      <c r="AC2990" s="60" t="b">
        <f>FALSE()</f>
        <v>0</v>
      </c>
      <c r="AD2990" s="60" t="b">
        <f>FALSE()</f>
        <v>0</v>
      </c>
      <c r="AE2990" s="60">
        <v>0</v>
      </c>
      <c r="AF2990" s="64">
        <v>0</v>
      </c>
      <c r="AG2990" s="60" t="s">
        <v>74</v>
      </c>
      <c r="AH2990" s="60" t="s">
        <v>11366</v>
      </c>
      <c r="AI2990">
        <f>IF(AND(OR(Company_Explorer!$B$5="All Companies",$E2990=Company_Explorer!$B$5),OR(Company_Explorer!$B$6="All Platforms",$B2990=Company_Explorer!$B$6),OR(Company_Explorer!$B$7="All Roles",$D2990=Company_Explorer!$B$7),OR(Company_Explorer!$B$8="All Ghost Labels",$AG2990=Company_Explorer!$B$8)),1,0)</f>
        <v>0</v>
      </c>
    </row>
    <row r="2991" spans="1:35" ht="15" customHeight="1" x14ac:dyDescent="0.3">
      <c r="A2991" s="65" t="s">
        <v>11367</v>
      </c>
      <c r="B2991" s="65" t="s">
        <v>82</v>
      </c>
      <c r="C2991" s="65" t="s">
        <v>11368</v>
      </c>
      <c r="D2991" s="65" t="s">
        <v>126</v>
      </c>
      <c r="E2991" s="65" t="s">
        <v>5743</v>
      </c>
      <c r="F2991" s="65" t="b">
        <f>TRUE()</f>
        <v>1</v>
      </c>
      <c r="G2991" s="65" t="s">
        <v>171</v>
      </c>
      <c r="H2991" s="65" t="s">
        <v>254</v>
      </c>
      <c r="I2991" s="66">
        <v>46199</v>
      </c>
      <c r="J2991" s="66">
        <v>46210.286677465301</v>
      </c>
      <c r="K2991" s="65">
        <v>11</v>
      </c>
      <c r="L2991" s="65" t="s">
        <v>183</v>
      </c>
      <c r="M2991" s="65" t="s">
        <v>183</v>
      </c>
      <c r="N2991" s="65" t="b">
        <f>TRUE()</f>
        <v>1</v>
      </c>
      <c r="O2991" s="71">
        <v>242500</v>
      </c>
      <c r="P2991" s="71">
        <v>351000</v>
      </c>
      <c r="Q2991" s="65" t="s">
        <v>3663</v>
      </c>
      <c r="R2991" s="65" t="s">
        <v>7351</v>
      </c>
      <c r="S2991" s="71">
        <v>296750</v>
      </c>
      <c r="T2991" s="65" t="b">
        <f>TRUE()</f>
        <v>1</v>
      </c>
      <c r="U2991" s="65" t="b">
        <f>FALSE()</f>
        <v>0</v>
      </c>
      <c r="V2991" s="65">
        <v>421</v>
      </c>
      <c r="W2991" s="67" t="s">
        <v>11369</v>
      </c>
      <c r="X2991" s="65">
        <v>1</v>
      </c>
      <c r="Y2991" s="68">
        <v>0.24</v>
      </c>
      <c r="Z2991" s="65" t="b">
        <f>FALSE()</f>
        <v>0</v>
      </c>
      <c r="AA2991" s="65" t="b">
        <f>FALSE()</f>
        <v>0</v>
      </c>
      <c r="AB2991" s="65" t="b">
        <f>FALSE()</f>
        <v>0</v>
      </c>
      <c r="AC2991" s="65" t="b">
        <f>FALSE()</f>
        <v>0</v>
      </c>
      <c r="AD2991" s="65" t="b">
        <f>FALSE()</f>
        <v>0</v>
      </c>
      <c r="AE2991" s="65">
        <v>0</v>
      </c>
      <c r="AF2991" s="69">
        <v>0</v>
      </c>
      <c r="AG2991" s="65" t="s">
        <v>74</v>
      </c>
      <c r="AH2991" s="65" t="s">
        <v>11370</v>
      </c>
      <c r="AI2991">
        <f>IF(AND(OR(Company_Explorer!$B$5="All Companies",$E2991=Company_Explorer!$B$5),OR(Company_Explorer!$B$6="All Platforms",$B2991=Company_Explorer!$B$6),OR(Company_Explorer!$B$7="All Roles",$D2991=Company_Explorer!$B$7),OR(Company_Explorer!$B$8="All Ghost Labels",$AG2991=Company_Explorer!$B$8)),1,0)</f>
        <v>0</v>
      </c>
    </row>
    <row r="2992" spans="1:35" ht="15" customHeight="1" x14ac:dyDescent="0.3">
      <c r="A2992" s="60" t="s">
        <v>11371</v>
      </c>
      <c r="B2992" s="60" t="s">
        <v>82</v>
      </c>
      <c r="C2992" s="60" t="s">
        <v>11372</v>
      </c>
      <c r="D2992" s="60" t="s">
        <v>125</v>
      </c>
      <c r="E2992" s="60" t="s">
        <v>8627</v>
      </c>
      <c r="F2992" s="60" t="b">
        <f>TRUE()</f>
        <v>1</v>
      </c>
      <c r="G2992" s="60" t="s">
        <v>165</v>
      </c>
      <c r="H2992" s="60" t="s">
        <v>165</v>
      </c>
      <c r="I2992" s="61">
        <v>46184</v>
      </c>
      <c r="J2992" s="61">
        <v>46210.286677800897</v>
      </c>
      <c r="K2992" s="60">
        <v>26</v>
      </c>
      <c r="L2992" s="60" t="s">
        <v>183</v>
      </c>
      <c r="M2992" s="60" t="s">
        <v>183</v>
      </c>
      <c r="N2992" s="60" t="b">
        <f>FALSE()</f>
        <v>0</v>
      </c>
      <c r="O2992" s="60"/>
      <c r="P2992" s="60"/>
      <c r="Q2992" s="60" t="s">
        <v>3663</v>
      </c>
      <c r="R2992" s="60" t="s">
        <v>236</v>
      </c>
      <c r="S2992" s="60"/>
      <c r="T2992" s="60" t="b">
        <f>FALSE()</f>
        <v>0</v>
      </c>
      <c r="U2992" s="60" t="b">
        <f>FALSE()</f>
        <v>0</v>
      </c>
      <c r="V2992" s="60">
        <v>868</v>
      </c>
      <c r="W2992" s="62" t="s">
        <v>11373</v>
      </c>
      <c r="X2992" s="60">
        <v>2</v>
      </c>
      <c r="Y2992" s="63">
        <v>0.48</v>
      </c>
      <c r="Z2992" s="60" t="b">
        <f>FALSE()</f>
        <v>0</v>
      </c>
      <c r="AA2992" s="60" t="b">
        <f>TRUE()</f>
        <v>1</v>
      </c>
      <c r="AB2992" s="60" t="b">
        <f>FALSE()</f>
        <v>0</v>
      </c>
      <c r="AC2992" s="60" t="b">
        <f>FALSE()</f>
        <v>0</v>
      </c>
      <c r="AD2992" s="60" t="b">
        <f>FALSE()</f>
        <v>0</v>
      </c>
      <c r="AE2992" s="60">
        <v>1</v>
      </c>
      <c r="AF2992" s="64">
        <v>14.3</v>
      </c>
      <c r="AG2992" s="60" t="s">
        <v>74</v>
      </c>
      <c r="AH2992" s="60" t="s">
        <v>11374</v>
      </c>
      <c r="AI2992">
        <f>IF(AND(OR(Company_Explorer!$B$5="All Companies",$E2992=Company_Explorer!$B$5),OR(Company_Explorer!$B$6="All Platforms",$B2992=Company_Explorer!$B$6),OR(Company_Explorer!$B$7="All Roles",$D2992=Company_Explorer!$B$7),OR(Company_Explorer!$B$8="All Ghost Labels",$AG2992=Company_Explorer!$B$8)),1,0)</f>
        <v>0</v>
      </c>
    </row>
    <row r="2993" spans="1:35" ht="15" customHeight="1" x14ac:dyDescent="0.3">
      <c r="A2993" s="65" t="s">
        <v>11375</v>
      </c>
      <c r="B2993" s="65" t="s">
        <v>82</v>
      </c>
      <c r="C2993" s="65" t="s">
        <v>11376</v>
      </c>
      <c r="D2993" s="65" t="s">
        <v>127</v>
      </c>
      <c r="E2993" s="65" t="s">
        <v>6933</v>
      </c>
      <c r="F2993" s="65" t="b">
        <f>TRUE()</f>
        <v>1</v>
      </c>
      <c r="G2993" s="65" t="s">
        <v>166</v>
      </c>
      <c r="H2993" s="65" t="s">
        <v>235</v>
      </c>
      <c r="I2993" s="66">
        <v>46206</v>
      </c>
      <c r="J2993" s="66">
        <v>46210.2866796296</v>
      </c>
      <c r="K2993" s="65">
        <v>4</v>
      </c>
      <c r="L2993" s="65" t="s">
        <v>192</v>
      </c>
      <c r="M2993" s="65" t="s">
        <v>183</v>
      </c>
      <c r="N2993" s="65" t="b">
        <f>TRUE()</f>
        <v>1</v>
      </c>
      <c r="O2993" s="71">
        <v>352500</v>
      </c>
      <c r="P2993" s="71">
        <v>520000</v>
      </c>
      <c r="Q2993" s="65" t="s">
        <v>3663</v>
      </c>
      <c r="R2993" s="65" t="s">
        <v>7351</v>
      </c>
      <c r="S2993" s="71">
        <v>436250</v>
      </c>
      <c r="T2993" s="65" t="b">
        <f>TRUE()</f>
        <v>1</v>
      </c>
      <c r="U2993" s="65" t="b">
        <f>FALSE()</f>
        <v>0</v>
      </c>
      <c r="V2993" s="65">
        <v>727</v>
      </c>
      <c r="W2993" s="67" t="s">
        <v>11377</v>
      </c>
      <c r="X2993" s="65">
        <v>1</v>
      </c>
      <c r="Y2993" s="68">
        <v>0.24</v>
      </c>
      <c r="Z2993" s="65" t="b">
        <f>FALSE()</f>
        <v>0</v>
      </c>
      <c r="AA2993" s="65" t="b">
        <f>FALSE()</f>
        <v>0</v>
      </c>
      <c r="AB2993" s="65" t="b">
        <f>FALSE()</f>
        <v>0</v>
      </c>
      <c r="AC2993" s="65" t="b">
        <f>FALSE()</f>
        <v>0</v>
      </c>
      <c r="AD2993" s="65" t="b">
        <f>FALSE()</f>
        <v>0</v>
      </c>
      <c r="AE2993" s="65">
        <v>0</v>
      </c>
      <c r="AF2993" s="69">
        <v>0</v>
      </c>
      <c r="AG2993" s="65" t="s">
        <v>74</v>
      </c>
      <c r="AH2993" s="65" t="s">
        <v>11378</v>
      </c>
      <c r="AI2993">
        <f>IF(AND(OR(Company_Explorer!$B$5="All Companies",$E2993=Company_Explorer!$B$5),OR(Company_Explorer!$B$6="All Platforms",$B2993=Company_Explorer!$B$6),OR(Company_Explorer!$B$7="All Roles",$D2993=Company_Explorer!$B$7),OR(Company_Explorer!$B$8="All Ghost Labels",$AG2993=Company_Explorer!$B$8)),1,0)</f>
        <v>0</v>
      </c>
    </row>
    <row r="2994" spans="1:35" ht="15" customHeight="1" x14ac:dyDescent="0.3">
      <c r="A2994" s="60" t="s">
        <v>11379</v>
      </c>
      <c r="B2994" s="60" t="s">
        <v>82</v>
      </c>
      <c r="C2994" s="60" t="s">
        <v>4021</v>
      </c>
      <c r="D2994" s="60" t="s">
        <v>126</v>
      </c>
      <c r="E2994" s="60" t="s">
        <v>7356</v>
      </c>
      <c r="F2994" s="60" t="b">
        <f>TRUE()</f>
        <v>1</v>
      </c>
      <c r="G2994" s="60" t="s">
        <v>175</v>
      </c>
      <c r="H2994" s="60" t="s">
        <v>254</v>
      </c>
      <c r="I2994" s="61">
        <v>46196</v>
      </c>
      <c r="J2994" s="61">
        <v>46210.286680335601</v>
      </c>
      <c r="K2994" s="60">
        <v>45</v>
      </c>
      <c r="L2994" s="60" t="s">
        <v>183</v>
      </c>
      <c r="M2994" s="60" t="s">
        <v>183</v>
      </c>
      <c r="N2994" s="60" t="b">
        <f>FALSE()</f>
        <v>0</v>
      </c>
      <c r="O2994" s="60"/>
      <c r="P2994" s="60"/>
      <c r="Q2994" s="60" t="s">
        <v>3663</v>
      </c>
      <c r="R2994" s="60" t="s">
        <v>236</v>
      </c>
      <c r="S2994" s="60"/>
      <c r="T2994" s="60" t="b">
        <f>FALSE()</f>
        <v>0</v>
      </c>
      <c r="U2994" s="60" t="b">
        <f>FALSE()</f>
        <v>0</v>
      </c>
      <c r="V2994" s="60">
        <v>786</v>
      </c>
      <c r="W2994" s="62" t="s">
        <v>11380</v>
      </c>
      <c r="X2994" s="60">
        <v>2</v>
      </c>
      <c r="Y2994" s="63">
        <v>0.48</v>
      </c>
      <c r="Z2994" s="60" t="b">
        <f>FALSE()</f>
        <v>0</v>
      </c>
      <c r="AA2994" s="60" t="b">
        <f>TRUE()</f>
        <v>1</v>
      </c>
      <c r="AB2994" s="60" t="b">
        <f>FALSE()</f>
        <v>0</v>
      </c>
      <c r="AC2994" s="60" t="b">
        <f>FALSE()</f>
        <v>0</v>
      </c>
      <c r="AD2994" s="60" t="b">
        <f>FALSE()</f>
        <v>0</v>
      </c>
      <c r="AE2994" s="60">
        <v>1</v>
      </c>
      <c r="AF2994" s="64">
        <v>14.3</v>
      </c>
      <c r="AG2994" s="60" t="s">
        <v>74</v>
      </c>
      <c r="AH2994" s="60" t="s">
        <v>11381</v>
      </c>
      <c r="AI2994">
        <f>IF(AND(OR(Company_Explorer!$B$5="All Companies",$E2994=Company_Explorer!$B$5),OR(Company_Explorer!$B$6="All Platforms",$B2994=Company_Explorer!$B$6),OR(Company_Explorer!$B$7="All Roles",$D2994=Company_Explorer!$B$7),OR(Company_Explorer!$B$8="All Ghost Labels",$AG2994=Company_Explorer!$B$8)),1,0)</f>
        <v>0</v>
      </c>
    </row>
    <row r="2995" spans="1:35" ht="15" customHeight="1" x14ac:dyDescent="0.3">
      <c r="A2995" s="65" t="s">
        <v>11382</v>
      </c>
      <c r="B2995" s="65" t="s">
        <v>82</v>
      </c>
      <c r="C2995" s="65" t="s">
        <v>11383</v>
      </c>
      <c r="D2995" s="65" t="s">
        <v>126</v>
      </c>
      <c r="E2995" s="65" t="s">
        <v>11384</v>
      </c>
      <c r="F2995" s="65" t="b">
        <f>TRUE()</f>
        <v>1</v>
      </c>
      <c r="G2995" s="65" t="s">
        <v>165</v>
      </c>
      <c r="H2995" s="65" t="s">
        <v>165</v>
      </c>
      <c r="I2995" s="66">
        <v>46186</v>
      </c>
      <c r="J2995" s="66">
        <v>46210.286680463003</v>
      </c>
      <c r="K2995" s="65">
        <v>116</v>
      </c>
      <c r="L2995" s="65" t="s">
        <v>183</v>
      </c>
      <c r="M2995" s="65" t="s">
        <v>183</v>
      </c>
      <c r="N2995" s="65" t="b">
        <f>FALSE()</f>
        <v>0</v>
      </c>
      <c r="O2995" s="65"/>
      <c r="P2995" s="65"/>
      <c r="Q2995" s="65" t="s">
        <v>3663</v>
      </c>
      <c r="R2995" s="65" t="s">
        <v>236</v>
      </c>
      <c r="S2995" s="65"/>
      <c r="T2995" s="65" t="b">
        <f>FALSE()</f>
        <v>0</v>
      </c>
      <c r="U2995" s="65" t="b">
        <f>FALSE()</f>
        <v>0</v>
      </c>
      <c r="V2995" s="65">
        <v>705</v>
      </c>
      <c r="W2995" s="67" t="s">
        <v>11385</v>
      </c>
      <c r="X2995" s="65">
        <v>1</v>
      </c>
      <c r="Y2995" s="68">
        <v>0.24</v>
      </c>
      <c r="Z2995" s="65" t="b">
        <f>FALSE()</f>
        <v>0</v>
      </c>
      <c r="AA2995" s="65" t="b">
        <f>TRUE()</f>
        <v>1</v>
      </c>
      <c r="AB2995" s="65" t="b">
        <f>FALSE()</f>
        <v>0</v>
      </c>
      <c r="AC2995" s="65" t="b">
        <f>FALSE()</f>
        <v>0</v>
      </c>
      <c r="AD2995" s="65" t="b">
        <f>FALSE()</f>
        <v>0</v>
      </c>
      <c r="AE2995" s="65">
        <v>1</v>
      </c>
      <c r="AF2995" s="69">
        <v>14.3</v>
      </c>
      <c r="AG2995" s="65" t="s">
        <v>74</v>
      </c>
      <c r="AH2995" s="65" t="s">
        <v>11386</v>
      </c>
      <c r="AI2995">
        <f>IF(AND(OR(Company_Explorer!$B$5="All Companies",$E2995=Company_Explorer!$B$5),OR(Company_Explorer!$B$6="All Platforms",$B2995=Company_Explorer!$B$6),OR(Company_Explorer!$B$7="All Roles",$D2995=Company_Explorer!$B$7),OR(Company_Explorer!$B$8="All Ghost Labels",$AG2995=Company_Explorer!$B$8)),1,0)</f>
        <v>0</v>
      </c>
    </row>
    <row r="2996" spans="1:35" ht="15" customHeight="1" x14ac:dyDescent="0.3">
      <c r="A2996" s="60" t="s">
        <v>11387</v>
      </c>
      <c r="B2996" s="60" t="s">
        <v>82</v>
      </c>
      <c r="C2996" s="60" t="s">
        <v>11388</v>
      </c>
      <c r="D2996" s="60" t="s">
        <v>127</v>
      </c>
      <c r="E2996" s="60" t="s">
        <v>11389</v>
      </c>
      <c r="F2996" s="60" t="b">
        <f>TRUE()</f>
        <v>1</v>
      </c>
      <c r="G2996" s="60" t="s">
        <v>9070</v>
      </c>
      <c r="H2996" s="60" t="s">
        <v>430</v>
      </c>
      <c r="I2996" s="61">
        <v>46202</v>
      </c>
      <c r="J2996" s="61">
        <v>46210.286681111102</v>
      </c>
      <c r="K2996" s="60">
        <v>129</v>
      </c>
      <c r="L2996" s="60" t="s">
        <v>195</v>
      </c>
      <c r="M2996" s="60" t="s">
        <v>183</v>
      </c>
      <c r="N2996" s="60" t="b">
        <f>TRUE()</f>
        <v>1</v>
      </c>
      <c r="O2996" s="70">
        <v>175000</v>
      </c>
      <c r="P2996" s="70">
        <v>200000</v>
      </c>
      <c r="Q2996" s="60" t="s">
        <v>3663</v>
      </c>
      <c r="R2996" s="60" t="s">
        <v>7351</v>
      </c>
      <c r="S2996" s="70">
        <v>187500</v>
      </c>
      <c r="T2996" s="60" t="b">
        <f>TRUE()</f>
        <v>1</v>
      </c>
      <c r="U2996" s="60" t="b">
        <f>FALSE()</f>
        <v>0</v>
      </c>
      <c r="V2996" s="60">
        <v>151</v>
      </c>
      <c r="W2996" s="62" t="s">
        <v>11390</v>
      </c>
      <c r="X2996" s="60">
        <v>1</v>
      </c>
      <c r="Y2996" s="63">
        <v>0.24</v>
      </c>
      <c r="Z2996" s="60" t="b">
        <f>FALSE()</f>
        <v>0</v>
      </c>
      <c r="AA2996" s="60" t="b">
        <f>FALSE()</f>
        <v>0</v>
      </c>
      <c r="AB2996" s="60" t="b">
        <f>TRUE()</f>
        <v>1</v>
      </c>
      <c r="AC2996" s="60" t="b">
        <f>TRUE()</f>
        <v>1</v>
      </c>
      <c r="AD2996" s="60" t="b">
        <f>FALSE()</f>
        <v>0</v>
      </c>
      <c r="AE2996" s="60">
        <v>2</v>
      </c>
      <c r="AF2996" s="64">
        <v>28.6</v>
      </c>
      <c r="AG2996" s="60" t="s">
        <v>73</v>
      </c>
      <c r="AH2996" s="60" t="s">
        <v>11391</v>
      </c>
      <c r="AI2996">
        <f>IF(AND(OR(Company_Explorer!$B$5="All Companies",$E2996=Company_Explorer!$B$5),OR(Company_Explorer!$B$6="All Platforms",$B2996=Company_Explorer!$B$6),OR(Company_Explorer!$B$7="All Roles",$D2996=Company_Explorer!$B$7),OR(Company_Explorer!$B$8="All Ghost Labels",$AG2996=Company_Explorer!$B$8)),1,0)</f>
        <v>0</v>
      </c>
    </row>
    <row r="2997" spans="1:35" ht="15" customHeight="1" x14ac:dyDescent="0.3">
      <c r="A2997" s="65" t="s">
        <v>11392</v>
      </c>
      <c r="B2997" s="65" t="s">
        <v>82</v>
      </c>
      <c r="C2997" s="65" t="s">
        <v>5765</v>
      </c>
      <c r="D2997" s="65" t="s">
        <v>125</v>
      </c>
      <c r="E2997" s="65" t="s">
        <v>11393</v>
      </c>
      <c r="F2997" s="65" t="b">
        <f>TRUE()</f>
        <v>1</v>
      </c>
      <c r="G2997" s="65" t="s">
        <v>165</v>
      </c>
      <c r="H2997" s="65" t="s">
        <v>165</v>
      </c>
      <c r="I2997" s="66">
        <v>46201</v>
      </c>
      <c r="J2997" s="66">
        <v>46210.286681238402</v>
      </c>
      <c r="K2997" s="65">
        <v>129</v>
      </c>
      <c r="L2997" s="65" t="s">
        <v>192</v>
      </c>
      <c r="M2997" s="65" t="s">
        <v>183</v>
      </c>
      <c r="N2997" s="65" t="b">
        <f>FALSE()</f>
        <v>0</v>
      </c>
      <c r="O2997" s="65"/>
      <c r="P2997" s="65"/>
      <c r="Q2997" s="65" t="s">
        <v>3663</v>
      </c>
      <c r="R2997" s="65" t="s">
        <v>236</v>
      </c>
      <c r="S2997" s="65"/>
      <c r="T2997" s="65" t="b">
        <f>FALSE()</f>
        <v>0</v>
      </c>
      <c r="U2997" s="65" t="b">
        <f>FALSE()</f>
        <v>0</v>
      </c>
      <c r="V2997" s="65">
        <v>431</v>
      </c>
      <c r="W2997" s="67" t="s">
        <v>11394</v>
      </c>
      <c r="X2997" s="65">
        <v>1</v>
      </c>
      <c r="Y2997" s="68">
        <v>0.24</v>
      </c>
      <c r="Z2997" s="65" t="b">
        <f>FALSE()</f>
        <v>0</v>
      </c>
      <c r="AA2997" s="65" t="b">
        <f>TRUE()</f>
        <v>1</v>
      </c>
      <c r="AB2997" s="65" t="b">
        <f>FALSE()</f>
        <v>0</v>
      </c>
      <c r="AC2997" s="65" t="b">
        <f>TRUE()</f>
        <v>1</v>
      </c>
      <c r="AD2997" s="65" t="b">
        <f>FALSE()</f>
        <v>0</v>
      </c>
      <c r="AE2997" s="65">
        <v>2</v>
      </c>
      <c r="AF2997" s="69">
        <v>28.6</v>
      </c>
      <c r="AG2997" s="65" t="s">
        <v>73</v>
      </c>
      <c r="AH2997" s="65" t="s">
        <v>11395</v>
      </c>
      <c r="AI2997">
        <f>IF(AND(OR(Company_Explorer!$B$5="All Companies",$E2997=Company_Explorer!$B$5),OR(Company_Explorer!$B$6="All Platforms",$B2997=Company_Explorer!$B$6),OR(Company_Explorer!$B$7="All Roles",$D2997=Company_Explorer!$B$7),OR(Company_Explorer!$B$8="All Ghost Labels",$AG2997=Company_Explorer!$B$8)),1,0)</f>
        <v>0</v>
      </c>
    </row>
    <row r="2998" spans="1:35" ht="15" customHeight="1" x14ac:dyDescent="0.3">
      <c r="A2998" s="60" t="s">
        <v>11396</v>
      </c>
      <c r="B2998" s="60" t="s">
        <v>82</v>
      </c>
      <c r="C2998" s="60" t="s">
        <v>5562</v>
      </c>
      <c r="D2998" s="60" t="s">
        <v>126</v>
      </c>
      <c r="E2998" s="60" t="s">
        <v>11397</v>
      </c>
      <c r="F2998" s="60" t="b">
        <f>TRUE()</f>
        <v>1</v>
      </c>
      <c r="G2998" s="60" t="s">
        <v>11398</v>
      </c>
      <c r="H2998" s="60" t="s">
        <v>2385</v>
      </c>
      <c r="I2998" s="61">
        <v>46182</v>
      </c>
      <c r="J2998" s="61">
        <v>46210.286681215301</v>
      </c>
      <c r="K2998" s="60">
        <v>28</v>
      </c>
      <c r="L2998" s="60" t="s">
        <v>183</v>
      </c>
      <c r="M2998" s="60" t="s">
        <v>183</v>
      </c>
      <c r="N2998" s="60" t="b">
        <f>TRUE()</f>
        <v>1</v>
      </c>
      <c r="O2998" s="70">
        <v>312500</v>
      </c>
      <c r="P2998" s="70">
        <v>742500</v>
      </c>
      <c r="Q2998" s="60" t="s">
        <v>3663</v>
      </c>
      <c r="R2998" s="60" t="s">
        <v>7351</v>
      </c>
      <c r="S2998" s="70">
        <v>527500</v>
      </c>
      <c r="T2998" s="60" t="b">
        <f>TRUE()</f>
        <v>1</v>
      </c>
      <c r="U2998" s="60" t="b">
        <f>FALSE()</f>
        <v>0</v>
      </c>
      <c r="V2998" s="60">
        <v>113</v>
      </c>
      <c r="W2998" s="62" t="s">
        <v>11399</v>
      </c>
      <c r="X2998" s="60">
        <v>1</v>
      </c>
      <c r="Y2998" s="63">
        <v>0.24</v>
      </c>
      <c r="Z2998" s="60" t="b">
        <f>FALSE()</f>
        <v>0</v>
      </c>
      <c r="AA2998" s="60" t="b">
        <f>FALSE()</f>
        <v>0</v>
      </c>
      <c r="AB2998" s="60" t="b">
        <f>TRUE()</f>
        <v>1</v>
      </c>
      <c r="AC2998" s="60" t="b">
        <f>FALSE()</f>
        <v>0</v>
      </c>
      <c r="AD2998" s="60" t="b">
        <f>FALSE()</f>
        <v>0</v>
      </c>
      <c r="AE2998" s="60">
        <v>1</v>
      </c>
      <c r="AF2998" s="64">
        <v>14.3</v>
      </c>
      <c r="AG2998" s="60" t="s">
        <v>74</v>
      </c>
      <c r="AH2998" s="60" t="s">
        <v>11400</v>
      </c>
      <c r="AI2998">
        <f>IF(AND(OR(Company_Explorer!$B$5="All Companies",$E2998=Company_Explorer!$B$5),OR(Company_Explorer!$B$6="All Platforms",$B2998=Company_Explorer!$B$6),OR(Company_Explorer!$B$7="All Roles",$D2998=Company_Explorer!$B$7),OR(Company_Explorer!$B$8="All Ghost Labels",$AG2998=Company_Explorer!$B$8)),1,0)</f>
        <v>0</v>
      </c>
    </row>
    <row r="2999" spans="1:35" ht="15" customHeight="1" x14ac:dyDescent="0.3">
      <c r="A2999" s="65" t="s">
        <v>11401</v>
      </c>
      <c r="B2999" s="65" t="s">
        <v>82</v>
      </c>
      <c r="C2999" s="65" t="s">
        <v>11402</v>
      </c>
      <c r="D2999" s="65" t="s">
        <v>127</v>
      </c>
      <c r="E2999" s="65" t="s">
        <v>151</v>
      </c>
      <c r="F2999" s="65" t="b">
        <f>TRUE()</f>
        <v>1</v>
      </c>
      <c r="G2999" s="65" t="s">
        <v>166</v>
      </c>
      <c r="H2999" s="65" t="s">
        <v>235</v>
      </c>
      <c r="I2999" s="66">
        <v>46207</v>
      </c>
      <c r="J2999" s="66">
        <v>46210.2866820255</v>
      </c>
      <c r="K2999" s="65">
        <v>3</v>
      </c>
      <c r="L2999" s="65" t="s">
        <v>192</v>
      </c>
      <c r="M2999" s="65" t="s">
        <v>183</v>
      </c>
      <c r="N2999" s="65" t="b">
        <f>TRUE()</f>
        <v>1</v>
      </c>
      <c r="O2999" s="71">
        <v>336000</v>
      </c>
      <c r="P2999" s="71">
        <v>931000</v>
      </c>
      <c r="Q2999" s="65" t="s">
        <v>3663</v>
      </c>
      <c r="R2999" s="65" t="s">
        <v>7351</v>
      </c>
      <c r="S2999" s="71">
        <v>633500</v>
      </c>
      <c r="T2999" s="65" t="b">
        <f>TRUE()</f>
        <v>1</v>
      </c>
      <c r="U2999" s="65" t="b">
        <f>FALSE()</f>
        <v>0</v>
      </c>
      <c r="V2999" s="65">
        <v>451</v>
      </c>
      <c r="W2999" s="67" t="s">
        <v>11403</v>
      </c>
      <c r="X2999" s="65">
        <v>17</v>
      </c>
      <c r="Y2999" s="68">
        <v>4.0999999999999996</v>
      </c>
      <c r="Z2999" s="65" t="b">
        <f>FALSE()</f>
        <v>0</v>
      </c>
      <c r="AA2999" s="65" t="b">
        <f>FALSE()</f>
        <v>0</v>
      </c>
      <c r="AB2999" s="65" t="b">
        <f>FALSE()</f>
        <v>0</v>
      </c>
      <c r="AC2999" s="65" t="b">
        <f>FALSE()</f>
        <v>0</v>
      </c>
      <c r="AD2999" s="65" t="b">
        <f>TRUE()</f>
        <v>1</v>
      </c>
      <c r="AE2999" s="65">
        <v>2</v>
      </c>
      <c r="AF2999" s="69">
        <v>28.6</v>
      </c>
      <c r="AG2999" s="65" t="s">
        <v>73</v>
      </c>
      <c r="AH2999" s="65" t="s">
        <v>11404</v>
      </c>
      <c r="AI2999">
        <f>IF(AND(OR(Company_Explorer!$B$5="All Companies",$E2999=Company_Explorer!$B$5),OR(Company_Explorer!$B$6="All Platforms",$B2999=Company_Explorer!$B$6),OR(Company_Explorer!$B$7="All Roles",$D2999=Company_Explorer!$B$7),OR(Company_Explorer!$B$8="All Ghost Labels",$AG2999=Company_Explorer!$B$8)),1,0)</f>
        <v>0</v>
      </c>
    </row>
    <row r="3000" spans="1:35" ht="15" customHeight="1" x14ac:dyDescent="0.3">
      <c r="A3000" s="60" t="s">
        <v>11405</v>
      </c>
      <c r="B3000" s="60" t="s">
        <v>82</v>
      </c>
      <c r="C3000" s="60" t="s">
        <v>6712</v>
      </c>
      <c r="D3000" s="60" t="s">
        <v>126</v>
      </c>
      <c r="E3000" s="60" t="s">
        <v>11406</v>
      </c>
      <c r="F3000" s="60" t="b">
        <f>TRUE()</f>
        <v>1</v>
      </c>
      <c r="G3000" s="60" t="s">
        <v>176</v>
      </c>
      <c r="H3000" s="60" t="s">
        <v>302</v>
      </c>
      <c r="I3000" s="61">
        <v>46207</v>
      </c>
      <c r="J3000" s="61">
        <v>46210.286683541701</v>
      </c>
      <c r="K3000" s="60">
        <v>3</v>
      </c>
      <c r="L3000" s="60" t="s">
        <v>192</v>
      </c>
      <c r="M3000" s="60" t="s">
        <v>183</v>
      </c>
      <c r="N3000" s="60" t="b">
        <f>TRUE()</f>
        <v>1</v>
      </c>
      <c r="O3000" s="70">
        <v>733404</v>
      </c>
      <c r="P3000" s="70">
        <v>846904</v>
      </c>
      <c r="Q3000" s="60" t="s">
        <v>3663</v>
      </c>
      <c r="R3000" s="60" t="s">
        <v>7351</v>
      </c>
      <c r="S3000" s="70">
        <v>790154</v>
      </c>
      <c r="T3000" s="60" t="b">
        <f>TRUE()</f>
        <v>1</v>
      </c>
      <c r="U3000" s="60" t="b">
        <f>FALSE()</f>
        <v>0</v>
      </c>
      <c r="V3000" s="60">
        <v>583</v>
      </c>
      <c r="W3000" s="62" t="s">
        <v>6714</v>
      </c>
      <c r="X3000" s="60">
        <v>1</v>
      </c>
      <c r="Y3000" s="63">
        <v>0.24</v>
      </c>
      <c r="Z3000" s="60" t="b">
        <f>FALSE()</f>
        <v>0</v>
      </c>
      <c r="AA3000" s="60" t="b">
        <f>FALSE()</f>
        <v>0</v>
      </c>
      <c r="AB3000" s="60" t="b">
        <f>FALSE()</f>
        <v>0</v>
      </c>
      <c r="AC3000" s="60" t="b">
        <f>FALSE()</f>
        <v>0</v>
      </c>
      <c r="AD3000" s="60" t="b">
        <f>FALSE()</f>
        <v>0</v>
      </c>
      <c r="AE3000" s="60">
        <v>0</v>
      </c>
      <c r="AF3000" s="64">
        <v>0</v>
      </c>
      <c r="AG3000" s="60" t="s">
        <v>74</v>
      </c>
      <c r="AH3000" s="60" t="s">
        <v>11407</v>
      </c>
      <c r="AI3000">
        <f>IF(AND(OR(Company_Explorer!$B$5="All Companies",$E3000=Company_Explorer!$B$5),OR(Company_Explorer!$B$6="All Platforms",$B3000=Company_Explorer!$B$6),OR(Company_Explorer!$B$7="All Roles",$D3000=Company_Explorer!$B$7),OR(Company_Explorer!$B$8="All Ghost Labels",$AG3000=Company_Explorer!$B$8)),1,0)</f>
        <v>0</v>
      </c>
    </row>
    <row r="3001" spans="1:35" ht="15" customHeight="1" x14ac:dyDescent="0.3">
      <c r="A3001" s="65" t="s">
        <v>11408</v>
      </c>
      <c r="B3001" s="65" t="s">
        <v>82</v>
      </c>
      <c r="C3001" s="65" t="s">
        <v>5587</v>
      </c>
      <c r="D3001" s="65" t="s">
        <v>126</v>
      </c>
      <c r="E3001" s="65" t="s">
        <v>11409</v>
      </c>
      <c r="F3001" s="65" t="b">
        <f>TRUE()</f>
        <v>1</v>
      </c>
      <c r="G3001" s="65" t="s">
        <v>165</v>
      </c>
      <c r="H3001" s="65" t="s">
        <v>165</v>
      </c>
      <c r="I3001" s="66">
        <v>46210</v>
      </c>
      <c r="J3001" s="66">
        <v>46210.286683981503</v>
      </c>
      <c r="K3001" s="65">
        <v>0</v>
      </c>
      <c r="L3001" s="65" t="s">
        <v>192</v>
      </c>
      <c r="M3001" s="65" t="s">
        <v>183</v>
      </c>
      <c r="N3001" s="65" t="b">
        <f>FALSE()</f>
        <v>0</v>
      </c>
      <c r="O3001" s="65"/>
      <c r="P3001" s="65"/>
      <c r="Q3001" s="65" t="s">
        <v>3663</v>
      </c>
      <c r="R3001" s="65" t="s">
        <v>236</v>
      </c>
      <c r="S3001" s="65"/>
      <c r="T3001" s="65" t="b">
        <f>FALSE()</f>
        <v>0</v>
      </c>
      <c r="U3001" s="65" t="b">
        <f>FALSE()</f>
        <v>0</v>
      </c>
      <c r="V3001" s="65">
        <v>674</v>
      </c>
      <c r="W3001" s="67" t="s">
        <v>5589</v>
      </c>
      <c r="X3001" s="65">
        <v>1</v>
      </c>
      <c r="Y3001" s="68">
        <v>0.24</v>
      </c>
      <c r="Z3001" s="65" t="b">
        <f>FALSE()</f>
        <v>0</v>
      </c>
      <c r="AA3001" s="65" t="b">
        <f>TRUE()</f>
        <v>1</v>
      </c>
      <c r="AB3001" s="65" t="b">
        <f>FALSE()</f>
        <v>0</v>
      </c>
      <c r="AC3001" s="65" t="b">
        <f>FALSE()</f>
        <v>0</v>
      </c>
      <c r="AD3001" s="65" t="b">
        <f>FALSE()</f>
        <v>0</v>
      </c>
      <c r="AE3001" s="65">
        <v>1</v>
      </c>
      <c r="AF3001" s="69">
        <v>14.3</v>
      </c>
      <c r="AG3001" s="65" t="s">
        <v>74</v>
      </c>
      <c r="AH3001" s="65" t="s">
        <v>11410</v>
      </c>
      <c r="AI3001">
        <f>IF(AND(OR(Company_Explorer!$B$5="All Companies",$E3001=Company_Explorer!$B$5),OR(Company_Explorer!$B$6="All Platforms",$B3001=Company_Explorer!$B$6),OR(Company_Explorer!$B$7="All Roles",$D3001=Company_Explorer!$B$7),OR(Company_Explorer!$B$8="All Ghost Labels",$AG3001=Company_Explorer!$B$8)),1,0)</f>
        <v>0</v>
      </c>
    </row>
  </sheetData>
  <conditionalFormatting sqref="AG2:AG3001">
    <cfRule type="expression" dxfId="2" priority="2">
      <formula>AG2="Likely Ghost"</formula>
    </cfRule>
    <cfRule type="expression" dxfId="1" priority="3">
      <formula>AG2="Uncertain"</formula>
    </cfRule>
    <cfRule type="expression" dxfId="0" priority="4">
      <formula>AG2="Likely Genuine"</formula>
    </cfRule>
  </conditionalFormatting>
  <pageMargins left="0.75" right="0.75" top="1" bottom="1" header="0.511811023622047" footer="0.511811023622047"/>
  <pageSetup paperSize="9" orientation="portrait" horizontalDpi="300" verticalDpi="300"/>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A00-000000000000}">
  <dimension ref="A1:F1305"/>
  <sheetViews>
    <sheetView zoomScaleNormal="100" workbookViewId="0"/>
  </sheetViews>
  <sheetFormatPr defaultColWidth="8.6640625" defaultRowHeight="14.4" x14ac:dyDescent="0.3"/>
  <cols>
    <col min="1" max="1" width="40" customWidth="1"/>
    <col min="5" max="5" width="40" customWidth="1"/>
  </cols>
  <sheetData>
    <row r="1" spans="1:6" ht="15" customHeight="1" x14ac:dyDescent="0.3">
      <c r="A1" t="s">
        <v>89</v>
      </c>
      <c r="B1" t="s">
        <v>92</v>
      </c>
      <c r="C1" t="s">
        <v>94</v>
      </c>
      <c r="D1" t="s">
        <v>96</v>
      </c>
      <c r="E1" t="s">
        <v>88</v>
      </c>
      <c r="F1" t="s">
        <v>11411</v>
      </c>
    </row>
    <row r="2" spans="1:6" ht="15" customHeight="1" x14ac:dyDescent="0.3">
      <c r="A2" t="s">
        <v>141</v>
      </c>
      <c r="B2" t="s">
        <v>80</v>
      </c>
      <c r="C2" t="s">
        <v>125</v>
      </c>
      <c r="D2" t="s">
        <v>72</v>
      </c>
      <c r="E2" t="s">
        <v>141</v>
      </c>
      <c r="F2">
        <v>429</v>
      </c>
    </row>
    <row r="3" spans="1:6" ht="15" customHeight="1" x14ac:dyDescent="0.3">
      <c r="A3" t="s">
        <v>3726</v>
      </c>
      <c r="B3" t="s">
        <v>81</v>
      </c>
      <c r="C3" t="s">
        <v>126</v>
      </c>
      <c r="D3" t="s">
        <v>73</v>
      </c>
      <c r="E3" t="s">
        <v>3726</v>
      </c>
      <c r="F3">
        <v>149</v>
      </c>
    </row>
    <row r="4" spans="1:6" ht="15" customHeight="1" x14ac:dyDescent="0.3">
      <c r="A4" t="s">
        <v>142</v>
      </c>
      <c r="B4" t="s">
        <v>82</v>
      </c>
      <c r="C4" t="s">
        <v>127</v>
      </c>
      <c r="D4" t="s">
        <v>74</v>
      </c>
      <c r="E4" t="s">
        <v>142</v>
      </c>
      <c r="F4">
        <v>81</v>
      </c>
    </row>
    <row r="5" spans="1:6" ht="15" customHeight="1" x14ac:dyDescent="0.3">
      <c r="A5" t="s">
        <v>143</v>
      </c>
      <c r="C5" t="s">
        <v>128</v>
      </c>
      <c r="E5" t="s">
        <v>143</v>
      </c>
      <c r="F5">
        <v>64</v>
      </c>
    </row>
    <row r="6" spans="1:6" ht="15" customHeight="1" x14ac:dyDescent="0.3">
      <c r="A6" t="s">
        <v>144</v>
      </c>
      <c r="C6" t="s">
        <v>129</v>
      </c>
      <c r="E6" t="s">
        <v>144</v>
      </c>
      <c r="F6">
        <v>50</v>
      </c>
    </row>
    <row r="7" spans="1:6" ht="15" customHeight="1" x14ac:dyDescent="0.3">
      <c r="A7" t="s">
        <v>145</v>
      </c>
      <c r="C7" t="s">
        <v>130</v>
      </c>
      <c r="E7" t="s">
        <v>145</v>
      </c>
      <c r="F7">
        <v>42</v>
      </c>
    </row>
    <row r="8" spans="1:6" ht="15" customHeight="1" x14ac:dyDescent="0.3">
      <c r="A8" t="s">
        <v>146</v>
      </c>
      <c r="C8" t="s">
        <v>131</v>
      </c>
      <c r="E8" t="s">
        <v>146</v>
      </c>
      <c r="F8">
        <v>33</v>
      </c>
    </row>
    <row r="9" spans="1:6" ht="15" customHeight="1" x14ac:dyDescent="0.3">
      <c r="A9" t="s">
        <v>147</v>
      </c>
      <c r="C9" t="s">
        <v>132</v>
      </c>
      <c r="E9" t="s">
        <v>147</v>
      </c>
      <c r="F9">
        <v>24</v>
      </c>
    </row>
    <row r="10" spans="1:6" ht="15" customHeight="1" x14ac:dyDescent="0.3">
      <c r="A10" t="s">
        <v>148</v>
      </c>
      <c r="C10" t="s">
        <v>133</v>
      </c>
      <c r="E10" t="s">
        <v>148</v>
      </c>
      <c r="F10">
        <v>18</v>
      </c>
    </row>
    <row r="11" spans="1:6" ht="15" customHeight="1" x14ac:dyDescent="0.3">
      <c r="A11" t="s">
        <v>149</v>
      </c>
      <c r="C11" t="s">
        <v>134</v>
      </c>
      <c r="E11" t="s">
        <v>149</v>
      </c>
      <c r="F11">
        <v>18</v>
      </c>
    </row>
    <row r="12" spans="1:6" ht="15" customHeight="1" x14ac:dyDescent="0.3">
      <c r="A12" t="s">
        <v>150</v>
      </c>
      <c r="C12" t="s">
        <v>135</v>
      </c>
      <c r="E12" t="s">
        <v>150</v>
      </c>
      <c r="F12">
        <v>18</v>
      </c>
    </row>
    <row r="13" spans="1:6" ht="15" customHeight="1" x14ac:dyDescent="0.3">
      <c r="A13" t="s">
        <v>151</v>
      </c>
      <c r="C13" t="s">
        <v>136</v>
      </c>
      <c r="E13" t="s">
        <v>151</v>
      </c>
      <c r="F13">
        <v>17</v>
      </c>
    </row>
    <row r="14" spans="1:6" ht="15" customHeight="1" x14ac:dyDescent="0.3">
      <c r="A14" t="s">
        <v>152</v>
      </c>
      <c r="E14" t="s">
        <v>152</v>
      </c>
      <c r="F14">
        <v>17</v>
      </c>
    </row>
    <row r="15" spans="1:6" ht="15" customHeight="1" x14ac:dyDescent="0.3">
      <c r="A15" t="s">
        <v>155</v>
      </c>
      <c r="E15" t="s">
        <v>155</v>
      </c>
      <c r="F15">
        <v>16</v>
      </c>
    </row>
    <row r="16" spans="1:6" ht="15" customHeight="1" x14ac:dyDescent="0.3">
      <c r="A16" t="s">
        <v>153</v>
      </c>
      <c r="E16" t="s">
        <v>153</v>
      </c>
      <c r="F16">
        <v>16</v>
      </c>
    </row>
    <row r="17" spans="1:6" ht="15" customHeight="1" x14ac:dyDescent="0.3">
      <c r="A17" t="s">
        <v>154</v>
      </c>
      <c r="E17" t="s">
        <v>154</v>
      </c>
      <c r="F17">
        <v>16</v>
      </c>
    </row>
    <row r="18" spans="1:6" ht="15" customHeight="1" x14ac:dyDescent="0.3">
      <c r="A18" t="s">
        <v>158</v>
      </c>
      <c r="E18" t="s">
        <v>158</v>
      </c>
      <c r="F18">
        <v>15</v>
      </c>
    </row>
    <row r="19" spans="1:6" ht="15" customHeight="1" x14ac:dyDescent="0.3">
      <c r="A19" t="s">
        <v>156</v>
      </c>
      <c r="E19" t="s">
        <v>156</v>
      </c>
      <c r="F19">
        <v>15</v>
      </c>
    </row>
    <row r="20" spans="1:6" ht="15" customHeight="1" x14ac:dyDescent="0.3">
      <c r="A20" t="s">
        <v>157</v>
      </c>
      <c r="E20" t="s">
        <v>157</v>
      </c>
      <c r="F20">
        <v>15</v>
      </c>
    </row>
    <row r="21" spans="1:6" ht="15" customHeight="1" x14ac:dyDescent="0.3">
      <c r="A21" t="s">
        <v>159</v>
      </c>
      <c r="E21" t="s">
        <v>159</v>
      </c>
      <c r="F21">
        <v>14</v>
      </c>
    </row>
    <row r="22" spans="1:6" ht="15" customHeight="1" x14ac:dyDescent="0.3">
      <c r="A22" t="s">
        <v>160</v>
      </c>
      <c r="E22" t="s">
        <v>160</v>
      </c>
      <c r="F22">
        <v>14</v>
      </c>
    </row>
    <row r="23" spans="1:6" ht="15" customHeight="1" x14ac:dyDescent="0.3">
      <c r="A23" t="s">
        <v>2758</v>
      </c>
      <c r="E23" t="s">
        <v>2758</v>
      </c>
      <c r="F23">
        <v>13</v>
      </c>
    </row>
    <row r="24" spans="1:6" ht="15" customHeight="1" x14ac:dyDescent="0.3">
      <c r="A24" t="s">
        <v>3947</v>
      </c>
      <c r="E24" t="s">
        <v>3947</v>
      </c>
      <c r="F24">
        <v>13</v>
      </c>
    </row>
    <row r="25" spans="1:6" ht="15" customHeight="1" x14ac:dyDescent="0.3">
      <c r="A25" t="s">
        <v>3868</v>
      </c>
      <c r="E25" t="s">
        <v>3868</v>
      </c>
      <c r="F25">
        <v>12</v>
      </c>
    </row>
    <row r="26" spans="1:6" ht="15" customHeight="1" x14ac:dyDescent="0.3">
      <c r="A26" t="s">
        <v>4610</v>
      </c>
      <c r="E26" t="s">
        <v>4610</v>
      </c>
      <c r="F26">
        <v>12</v>
      </c>
    </row>
    <row r="27" spans="1:6" ht="15" customHeight="1" x14ac:dyDescent="0.3">
      <c r="A27" t="s">
        <v>5058</v>
      </c>
      <c r="E27" t="s">
        <v>5058</v>
      </c>
      <c r="F27">
        <v>12</v>
      </c>
    </row>
    <row r="28" spans="1:6" ht="15" customHeight="1" x14ac:dyDescent="0.3">
      <c r="A28" t="s">
        <v>351</v>
      </c>
      <c r="E28" t="s">
        <v>351</v>
      </c>
      <c r="F28">
        <v>10</v>
      </c>
    </row>
    <row r="29" spans="1:6" ht="15" customHeight="1" x14ac:dyDescent="0.3">
      <c r="A29" t="s">
        <v>3810</v>
      </c>
      <c r="E29" t="s">
        <v>3810</v>
      </c>
      <c r="F29">
        <v>10</v>
      </c>
    </row>
    <row r="30" spans="1:6" ht="15" customHeight="1" x14ac:dyDescent="0.3">
      <c r="A30" t="s">
        <v>7346</v>
      </c>
      <c r="E30" t="s">
        <v>7346</v>
      </c>
      <c r="F30">
        <v>10</v>
      </c>
    </row>
    <row r="31" spans="1:6" ht="15" customHeight="1" x14ac:dyDescent="0.3">
      <c r="A31" t="s">
        <v>7559</v>
      </c>
      <c r="E31" t="s">
        <v>7559</v>
      </c>
      <c r="F31">
        <v>10</v>
      </c>
    </row>
    <row r="32" spans="1:6" ht="15" customHeight="1" x14ac:dyDescent="0.3">
      <c r="A32" t="s">
        <v>247</v>
      </c>
      <c r="E32" t="s">
        <v>247</v>
      </c>
      <c r="F32">
        <v>9</v>
      </c>
    </row>
    <row r="33" spans="1:6" ht="15" customHeight="1" x14ac:dyDescent="0.3">
      <c r="A33" t="s">
        <v>3013</v>
      </c>
      <c r="E33" t="s">
        <v>3013</v>
      </c>
      <c r="F33">
        <v>9</v>
      </c>
    </row>
    <row r="34" spans="1:6" ht="15" customHeight="1" x14ac:dyDescent="0.3">
      <c r="A34" t="s">
        <v>3445</v>
      </c>
      <c r="E34" t="s">
        <v>3445</v>
      </c>
      <c r="F34">
        <v>9</v>
      </c>
    </row>
    <row r="35" spans="1:6" ht="15" customHeight="1" x14ac:dyDescent="0.3">
      <c r="A35" t="s">
        <v>3718</v>
      </c>
      <c r="E35" t="s">
        <v>3718</v>
      </c>
      <c r="F35">
        <v>9</v>
      </c>
    </row>
    <row r="36" spans="1:6" ht="15" customHeight="1" x14ac:dyDescent="0.3">
      <c r="A36" t="s">
        <v>3892</v>
      </c>
      <c r="E36" t="s">
        <v>3892</v>
      </c>
      <c r="F36">
        <v>9</v>
      </c>
    </row>
    <row r="37" spans="1:6" ht="15" customHeight="1" x14ac:dyDescent="0.3">
      <c r="A37" t="s">
        <v>5421</v>
      </c>
      <c r="E37" t="s">
        <v>5421</v>
      </c>
      <c r="F37">
        <v>9</v>
      </c>
    </row>
    <row r="38" spans="1:6" ht="15" customHeight="1" x14ac:dyDescent="0.3">
      <c r="A38" t="s">
        <v>7511</v>
      </c>
      <c r="E38" t="s">
        <v>7511</v>
      </c>
      <c r="F38">
        <v>9</v>
      </c>
    </row>
    <row r="39" spans="1:6" ht="15" customHeight="1" x14ac:dyDescent="0.3">
      <c r="A39" t="s">
        <v>719</v>
      </c>
      <c r="E39" t="s">
        <v>719</v>
      </c>
      <c r="F39">
        <v>8</v>
      </c>
    </row>
    <row r="40" spans="1:6" ht="15" customHeight="1" x14ac:dyDescent="0.3">
      <c r="A40" t="s">
        <v>2690</v>
      </c>
      <c r="E40" t="s">
        <v>2690</v>
      </c>
      <c r="F40">
        <v>8</v>
      </c>
    </row>
    <row r="41" spans="1:6" ht="15" customHeight="1" x14ac:dyDescent="0.3">
      <c r="A41" t="s">
        <v>5135</v>
      </c>
      <c r="E41" t="s">
        <v>5135</v>
      </c>
      <c r="F41">
        <v>8</v>
      </c>
    </row>
    <row r="42" spans="1:6" ht="15" customHeight="1" x14ac:dyDescent="0.3">
      <c r="A42" t="s">
        <v>7877</v>
      </c>
      <c r="E42" t="s">
        <v>7877</v>
      </c>
      <c r="F42">
        <v>8</v>
      </c>
    </row>
    <row r="43" spans="1:6" ht="15" customHeight="1" x14ac:dyDescent="0.3">
      <c r="A43" t="s">
        <v>331</v>
      </c>
      <c r="E43" t="s">
        <v>331</v>
      </c>
      <c r="F43">
        <v>7</v>
      </c>
    </row>
    <row r="44" spans="1:6" ht="15" customHeight="1" x14ac:dyDescent="0.3">
      <c r="A44" t="s">
        <v>614</v>
      </c>
      <c r="E44" t="s">
        <v>614</v>
      </c>
      <c r="F44">
        <v>7</v>
      </c>
    </row>
    <row r="45" spans="1:6" ht="15" customHeight="1" x14ac:dyDescent="0.3">
      <c r="A45" t="s">
        <v>1580</v>
      </c>
      <c r="E45" t="s">
        <v>1580</v>
      </c>
      <c r="F45">
        <v>7</v>
      </c>
    </row>
    <row r="46" spans="1:6" ht="15" customHeight="1" x14ac:dyDescent="0.3">
      <c r="A46" t="s">
        <v>7413</v>
      </c>
      <c r="E46" t="s">
        <v>7413</v>
      </c>
      <c r="F46">
        <v>7</v>
      </c>
    </row>
    <row r="47" spans="1:6" ht="15" customHeight="1" x14ac:dyDescent="0.3">
      <c r="A47" t="s">
        <v>7730</v>
      </c>
      <c r="E47" t="s">
        <v>7730</v>
      </c>
      <c r="F47">
        <v>7</v>
      </c>
    </row>
    <row r="48" spans="1:6" ht="15" customHeight="1" x14ac:dyDescent="0.3">
      <c r="A48" t="s">
        <v>8682</v>
      </c>
      <c r="E48" t="s">
        <v>8682</v>
      </c>
      <c r="F48">
        <v>7</v>
      </c>
    </row>
    <row r="49" spans="1:6" ht="15" customHeight="1" x14ac:dyDescent="0.3">
      <c r="A49" t="s">
        <v>8702</v>
      </c>
      <c r="E49" t="s">
        <v>8702</v>
      </c>
      <c r="F49">
        <v>7</v>
      </c>
    </row>
    <row r="50" spans="1:6" ht="15" customHeight="1" x14ac:dyDescent="0.3">
      <c r="A50" t="s">
        <v>341</v>
      </c>
      <c r="E50" t="s">
        <v>341</v>
      </c>
      <c r="F50">
        <v>6</v>
      </c>
    </row>
    <row r="51" spans="1:6" ht="15" customHeight="1" x14ac:dyDescent="0.3">
      <c r="A51" t="s">
        <v>589</v>
      </c>
      <c r="E51" t="s">
        <v>589</v>
      </c>
      <c r="F51">
        <v>6</v>
      </c>
    </row>
    <row r="52" spans="1:6" ht="15" customHeight="1" x14ac:dyDescent="0.3">
      <c r="A52" t="s">
        <v>3701</v>
      </c>
      <c r="E52" t="s">
        <v>3701</v>
      </c>
      <c r="F52">
        <v>6</v>
      </c>
    </row>
    <row r="53" spans="1:6" ht="15" customHeight="1" x14ac:dyDescent="0.3">
      <c r="A53" t="s">
        <v>3985</v>
      </c>
      <c r="E53" t="s">
        <v>3985</v>
      </c>
      <c r="F53">
        <v>6</v>
      </c>
    </row>
    <row r="54" spans="1:6" ht="15" customHeight="1" x14ac:dyDescent="0.3">
      <c r="A54" t="s">
        <v>4028</v>
      </c>
      <c r="E54" t="s">
        <v>4028</v>
      </c>
      <c r="F54">
        <v>6</v>
      </c>
    </row>
    <row r="55" spans="1:6" ht="15" customHeight="1" x14ac:dyDescent="0.3">
      <c r="A55" t="s">
        <v>4865</v>
      </c>
      <c r="E55" t="s">
        <v>4865</v>
      </c>
      <c r="F55">
        <v>6</v>
      </c>
    </row>
    <row r="56" spans="1:6" ht="15" customHeight="1" x14ac:dyDescent="0.3">
      <c r="A56" t="s">
        <v>7369</v>
      </c>
      <c r="E56" t="s">
        <v>7369</v>
      </c>
      <c r="F56">
        <v>6</v>
      </c>
    </row>
    <row r="57" spans="1:6" ht="15" customHeight="1" x14ac:dyDescent="0.3">
      <c r="A57" t="s">
        <v>7491</v>
      </c>
      <c r="E57" t="s">
        <v>7491</v>
      </c>
      <c r="F57">
        <v>6</v>
      </c>
    </row>
    <row r="58" spans="1:6" ht="15" customHeight="1" x14ac:dyDescent="0.3">
      <c r="A58" t="s">
        <v>3740</v>
      </c>
      <c r="E58" t="s">
        <v>3740</v>
      </c>
      <c r="F58">
        <v>5</v>
      </c>
    </row>
    <row r="59" spans="1:6" ht="15" customHeight="1" x14ac:dyDescent="0.3">
      <c r="A59" t="s">
        <v>3847</v>
      </c>
      <c r="E59" t="s">
        <v>3847</v>
      </c>
      <c r="F59">
        <v>5</v>
      </c>
    </row>
    <row r="60" spans="1:6" ht="15" customHeight="1" x14ac:dyDescent="0.3">
      <c r="A60" t="s">
        <v>4055</v>
      </c>
      <c r="E60" t="s">
        <v>4055</v>
      </c>
      <c r="F60">
        <v>5</v>
      </c>
    </row>
    <row r="61" spans="1:6" ht="15" customHeight="1" x14ac:dyDescent="0.3">
      <c r="A61" t="s">
        <v>4157</v>
      </c>
      <c r="E61" t="s">
        <v>4157</v>
      </c>
      <c r="F61">
        <v>5</v>
      </c>
    </row>
    <row r="62" spans="1:6" ht="15" customHeight="1" x14ac:dyDescent="0.3">
      <c r="A62" t="s">
        <v>4216</v>
      </c>
      <c r="E62" t="s">
        <v>4216</v>
      </c>
      <c r="F62">
        <v>5</v>
      </c>
    </row>
    <row r="63" spans="1:6" ht="15" customHeight="1" x14ac:dyDescent="0.3">
      <c r="A63" t="s">
        <v>4389</v>
      </c>
      <c r="E63" t="s">
        <v>4389</v>
      </c>
      <c r="F63">
        <v>5</v>
      </c>
    </row>
    <row r="64" spans="1:6" ht="15" customHeight="1" x14ac:dyDescent="0.3">
      <c r="A64" t="s">
        <v>6769</v>
      </c>
      <c r="E64" t="s">
        <v>6769</v>
      </c>
      <c r="F64">
        <v>5</v>
      </c>
    </row>
    <row r="65" spans="1:6" ht="15" customHeight="1" x14ac:dyDescent="0.3">
      <c r="A65" t="s">
        <v>7361</v>
      </c>
      <c r="E65" t="s">
        <v>7361</v>
      </c>
      <c r="F65">
        <v>5</v>
      </c>
    </row>
    <row r="66" spans="1:6" ht="15" customHeight="1" x14ac:dyDescent="0.3">
      <c r="A66" t="s">
        <v>7487</v>
      </c>
      <c r="E66" t="s">
        <v>7487</v>
      </c>
      <c r="F66">
        <v>5</v>
      </c>
    </row>
    <row r="67" spans="1:6" ht="15" customHeight="1" x14ac:dyDescent="0.3">
      <c r="A67" t="s">
        <v>346</v>
      </c>
      <c r="E67" t="s">
        <v>346</v>
      </c>
      <c r="F67">
        <v>4</v>
      </c>
    </row>
    <row r="68" spans="1:6" ht="15" customHeight="1" x14ac:dyDescent="0.3">
      <c r="A68" t="s">
        <v>381</v>
      </c>
      <c r="E68" t="s">
        <v>381</v>
      </c>
      <c r="F68">
        <v>4</v>
      </c>
    </row>
    <row r="69" spans="1:6" ht="15" customHeight="1" x14ac:dyDescent="0.3">
      <c r="A69" t="s">
        <v>435</v>
      </c>
      <c r="E69" t="s">
        <v>435</v>
      </c>
      <c r="F69">
        <v>4</v>
      </c>
    </row>
    <row r="70" spans="1:6" ht="15" customHeight="1" x14ac:dyDescent="0.3">
      <c r="A70" t="s">
        <v>619</v>
      </c>
      <c r="E70" t="s">
        <v>619</v>
      </c>
      <c r="F70">
        <v>4</v>
      </c>
    </row>
    <row r="71" spans="1:6" ht="15" customHeight="1" x14ac:dyDescent="0.3">
      <c r="A71" t="s">
        <v>624</v>
      </c>
      <c r="E71" t="s">
        <v>624</v>
      </c>
      <c r="F71">
        <v>4</v>
      </c>
    </row>
    <row r="72" spans="1:6" ht="15" customHeight="1" x14ac:dyDescent="0.3">
      <c r="A72" t="s">
        <v>1182</v>
      </c>
      <c r="E72" t="s">
        <v>1182</v>
      </c>
      <c r="F72">
        <v>4</v>
      </c>
    </row>
    <row r="73" spans="1:6" ht="15" customHeight="1" x14ac:dyDescent="0.3">
      <c r="A73" t="s">
        <v>2051</v>
      </c>
      <c r="E73" t="s">
        <v>2051</v>
      </c>
      <c r="F73">
        <v>4</v>
      </c>
    </row>
    <row r="74" spans="1:6" ht="15" customHeight="1" x14ac:dyDescent="0.3">
      <c r="A74" t="s">
        <v>2359</v>
      </c>
      <c r="E74" t="s">
        <v>2359</v>
      </c>
      <c r="F74">
        <v>4</v>
      </c>
    </row>
    <row r="75" spans="1:6" ht="15" customHeight="1" x14ac:dyDescent="0.3">
      <c r="A75" t="s">
        <v>3230</v>
      </c>
      <c r="E75" t="s">
        <v>3230</v>
      </c>
      <c r="F75">
        <v>4</v>
      </c>
    </row>
    <row r="76" spans="1:6" ht="15" customHeight="1" x14ac:dyDescent="0.3">
      <c r="A76" t="s">
        <v>3820</v>
      </c>
      <c r="E76" t="s">
        <v>3820</v>
      </c>
      <c r="F76">
        <v>4</v>
      </c>
    </row>
    <row r="77" spans="1:6" ht="15" customHeight="1" x14ac:dyDescent="0.3">
      <c r="A77" t="s">
        <v>3860</v>
      </c>
      <c r="E77" t="s">
        <v>3860</v>
      </c>
      <c r="F77">
        <v>4</v>
      </c>
    </row>
    <row r="78" spans="1:6" ht="15" customHeight="1" x14ac:dyDescent="0.3">
      <c r="A78" t="s">
        <v>4594</v>
      </c>
      <c r="E78" t="s">
        <v>4594</v>
      </c>
      <c r="F78">
        <v>4</v>
      </c>
    </row>
    <row r="79" spans="1:6" ht="15" customHeight="1" x14ac:dyDescent="0.3">
      <c r="A79" t="s">
        <v>5743</v>
      </c>
      <c r="E79" t="s">
        <v>5743</v>
      </c>
      <c r="F79">
        <v>4</v>
      </c>
    </row>
    <row r="80" spans="1:6" ht="15" customHeight="1" x14ac:dyDescent="0.3">
      <c r="A80" t="s">
        <v>5799</v>
      </c>
      <c r="E80" t="s">
        <v>5799</v>
      </c>
      <c r="F80">
        <v>4</v>
      </c>
    </row>
    <row r="81" spans="1:6" ht="15" customHeight="1" x14ac:dyDescent="0.3">
      <c r="A81" t="s">
        <v>5859</v>
      </c>
      <c r="E81" t="s">
        <v>5859</v>
      </c>
      <c r="F81">
        <v>4</v>
      </c>
    </row>
    <row r="82" spans="1:6" ht="15" customHeight="1" x14ac:dyDescent="0.3">
      <c r="A82" t="s">
        <v>7431</v>
      </c>
      <c r="E82" t="s">
        <v>7431</v>
      </c>
      <c r="F82">
        <v>4</v>
      </c>
    </row>
    <row r="83" spans="1:6" ht="15" customHeight="1" x14ac:dyDescent="0.3">
      <c r="A83" t="s">
        <v>7473</v>
      </c>
      <c r="E83" t="s">
        <v>7473</v>
      </c>
      <c r="F83">
        <v>4</v>
      </c>
    </row>
    <row r="84" spans="1:6" ht="15" customHeight="1" x14ac:dyDescent="0.3">
      <c r="A84" t="s">
        <v>7501</v>
      </c>
      <c r="E84" t="s">
        <v>7501</v>
      </c>
      <c r="F84">
        <v>4</v>
      </c>
    </row>
    <row r="85" spans="1:6" ht="15" customHeight="1" x14ac:dyDescent="0.3">
      <c r="A85" t="s">
        <v>7607</v>
      </c>
      <c r="E85" t="s">
        <v>7607</v>
      </c>
      <c r="F85">
        <v>4</v>
      </c>
    </row>
    <row r="86" spans="1:6" ht="15" customHeight="1" x14ac:dyDescent="0.3">
      <c r="A86" t="s">
        <v>7723</v>
      </c>
      <c r="E86" t="s">
        <v>7723</v>
      </c>
      <c r="F86">
        <v>4</v>
      </c>
    </row>
    <row r="87" spans="1:6" ht="15" customHeight="1" x14ac:dyDescent="0.3">
      <c r="A87" t="s">
        <v>7796</v>
      </c>
      <c r="E87" t="s">
        <v>7796</v>
      </c>
      <c r="F87">
        <v>4</v>
      </c>
    </row>
    <row r="88" spans="1:6" ht="15" customHeight="1" x14ac:dyDescent="0.3">
      <c r="A88" t="s">
        <v>7899</v>
      </c>
      <c r="E88" t="s">
        <v>7899</v>
      </c>
      <c r="F88">
        <v>4</v>
      </c>
    </row>
    <row r="89" spans="1:6" ht="15" customHeight="1" x14ac:dyDescent="0.3">
      <c r="A89" t="s">
        <v>8250</v>
      </c>
      <c r="E89" t="s">
        <v>8250</v>
      </c>
      <c r="F89">
        <v>4</v>
      </c>
    </row>
    <row r="90" spans="1:6" ht="15" customHeight="1" x14ac:dyDescent="0.3">
      <c r="A90" t="s">
        <v>8798</v>
      </c>
      <c r="E90" t="s">
        <v>8798</v>
      </c>
      <c r="F90">
        <v>4</v>
      </c>
    </row>
    <row r="91" spans="1:6" ht="15" customHeight="1" x14ac:dyDescent="0.3">
      <c r="A91" t="s">
        <v>8827</v>
      </c>
      <c r="E91" t="s">
        <v>8827</v>
      </c>
      <c r="F91">
        <v>4</v>
      </c>
    </row>
    <row r="92" spans="1:6" ht="15" customHeight="1" x14ac:dyDescent="0.3">
      <c r="A92" t="s">
        <v>324</v>
      </c>
      <c r="E92" t="s">
        <v>324</v>
      </c>
      <c r="F92">
        <v>3</v>
      </c>
    </row>
    <row r="93" spans="1:6" ht="15" customHeight="1" x14ac:dyDescent="0.3">
      <c r="A93" t="s">
        <v>365</v>
      </c>
      <c r="E93" t="s">
        <v>365</v>
      </c>
      <c r="F93">
        <v>3</v>
      </c>
    </row>
    <row r="94" spans="1:6" ht="15" customHeight="1" x14ac:dyDescent="0.3">
      <c r="A94" t="s">
        <v>412</v>
      </c>
      <c r="E94" t="s">
        <v>412</v>
      </c>
      <c r="F94">
        <v>3</v>
      </c>
    </row>
    <row r="95" spans="1:6" ht="15" customHeight="1" x14ac:dyDescent="0.3">
      <c r="A95" t="s">
        <v>445</v>
      </c>
      <c r="E95" t="s">
        <v>445</v>
      </c>
      <c r="F95">
        <v>3</v>
      </c>
    </row>
    <row r="96" spans="1:6" ht="15" customHeight="1" x14ac:dyDescent="0.3">
      <c r="A96" t="s">
        <v>664</v>
      </c>
      <c r="E96" t="s">
        <v>664</v>
      </c>
      <c r="F96">
        <v>3</v>
      </c>
    </row>
    <row r="97" spans="1:6" ht="15" customHeight="1" x14ac:dyDescent="0.3">
      <c r="A97" t="s">
        <v>676</v>
      </c>
      <c r="E97" t="s">
        <v>676</v>
      </c>
      <c r="F97">
        <v>3</v>
      </c>
    </row>
    <row r="98" spans="1:6" ht="15" customHeight="1" x14ac:dyDescent="0.3">
      <c r="A98" t="s">
        <v>764</v>
      </c>
      <c r="E98" t="s">
        <v>764</v>
      </c>
      <c r="F98">
        <v>3</v>
      </c>
    </row>
    <row r="99" spans="1:6" ht="15" customHeight="1" x14ac:dyDescent="0.3">
      <c r="A99" t="s">
        <v>781</v>
      </c>
      <c r="E99" t="s">
        <v>781</v>
      </c>
      <c r="F99">
        <v>3</v>
      </c>
    </row>
    <row r="100" spans="1:6" ht="15" customHeight="1" x14ac:dyDescent="0.3">
      <c r="A100" t="s">
        <v>970</v>
      </c>
      <c r="E100" t="s">
        <v>970</v>
      </c>
      <c r="F100">
        <v>3</v>
      </c>
    </row>
    <row r="101" spans="1:6" ht="15" customHeight="1" x14ac:dyDescent="0.3">
      <c r="A101" t="s">
        <v>1193</v>
      </c>
      <c r="E101" t="s">
        <v>1193</v>
      </c>
      <c r="F101">
        <v>3</v>
      </c>
    </row>
    <row r="102" spans="1:6" ht="15" customHeight="1" x14ac:dyDescent="0.3">
      <c r="A102" t="s">
        <v>1197</v>
      </c>
      <c r="E102" t="s">
        <v>1197</v>
      </c>
      <c r="F102">
        <v>3</v>
      </c>
    </row>
    <row r="103" spans="1:6" ht="15" customHeight="1" x14ac:dyDescent="0.3">
      <c r="A103" t="s">
        <v>1275</v>
      </c>
      <c r="E103" t="s">
        <v>1275</v>
      </c>
      <c r="F103">
        <v>3</v>
      </c>
    </row>
    <row r="104" spans="1:6" ht="15" customHeight="1" x14ac:dyDescent="0.3">
      <c r="A104" t="s">
        <v>1477</v>
      </c>
      <c r="E104" t="s">
        <v>1477</v>
      </c>
      <c r="F104">
        <v>3</v>
      </c>
    </row>
    <row r="105" spans="1:6" ht="15" customHeight="1" x14ac:dyDescent="0.3">
      <c r="A105" t="s">
        <v>1812</v>
      </c>
      <c r="E105" t="s">
        <v>1812</v>
      </c>
      <c r="F105">
        <v>3</v>
      </c>
    </row>
    <row r="106" spans="1:6" ht="15" customHeight="1" x14ac:dyDescent="0.3">
      <c r="A106" t="s">
        <v>1839</v>
      </c>
      <c r="E106" t="s">
        <v>1839</v>
      </c>
      <c r="F106">
        <v>3</v>
      </c>
    </row>
    <row r="107" spans="1:6" ht="15" customHeight="1" x14ac:dyDescent="0.3">
      <c r="A107" t="s">
        <v>2029</v>
      </c>
      <c r="E107" t="s">
        <v>2029</v>
      </c>
      <c r="F107">
        <v>3</v>
      </c>
    </row>
    <row r="108" spans="1:6" ht="15" customHeight="1" x14ac:dyDescent="0.3">
      <c r="A108" t="s">
        <v>2142</v>
      </c>
      <c r="E108" t="s">
        <v>2142</v>
      </c>
      <c r="F108">
        <v>3</v>
      </c>
    </row>
    <row r="109" spans="1:6" ht="15" customHeight="1" x14ac:dyDescent="0.3">
      <c r="A109" t="s">
        <v>2279</v>
      </c>
      <c r="E109" t="s">
        <v>2279</v>
      </c>
      <c r="F109">
        <v>3</v>
      </c>
    </row>
    <row r="110" spans="1:6" ht="15" customHeight="1" x14ac:dyDescent="0.3">
      <c r="A110" t="s">
        <v>2463</v>
      </c>
      <c r="E110" t="s">
        <v>2463</v>
      </c>
      <c r="F110">
        <v>3</v>
      </c>
    </row>
    <row r="111" spans="1:6" ht="15" customHeight="1" x14ac:dyDescent="0.3">
      <c r="A111" t="s">
        <v>3461</v>
      </c>
      <c r="E111" t="s">
        <v>3461</v>
      </c>
      <c r="F111">
        <v>3</v>
      </c>
    </row>
    <row r="112" spans="1:6" ht="15" customHeight="1" x14ac:dyDescent="0.3">
      <c r="A112" t="s">
        <v>3635</v>
      </c>
      <c r="E112" t="s">
        <v>3635</v>
      </c>
      <c r="F112">
        <v>3</v>
      </c>
    </row>
    <row r="113" spans="1:6" ht="15" customHeight="1" x14ac:dyDescent="0.3">
      <c r="A113" t="s">
        <v>3754</v>
      </c>
      <c r="E113" t="s">
        <v>3754</v>
      </c>
      <c r="F113">
        <v>3</v>
      </c>
    </row>
    <row r="114" spans="1:6" ht="15" customHeight="1" x14ac:dyDescent="0.3">
      <c r="A114" t="s">
        <v>3914</v>
      </c>
      <c r="E114" t="s">
        <v>3914</v>
      </c>
      <c r="F114">
        <v>3</v>
      </c>
    </row>
    <row r="115" spans="1:6" ht="15" customHeight="1" x14ac:dyDescent="0.3">
      <c r="A115" t="s">
        <v>3931</v>
      </c>
      <c r="E115" t="s">
        <v>3931</v>
      </c>
      <c r="F115">
        <v>3</v>
      </c>
    </row>
    <row r="116" spans="1:6" ht="15" customHeight="1" x14ac:dyDescent="0.3">
      <c r="A116" t="s">
        <v>4040</v>
      </c>
      <c r="E116" t="s">
        <v>4040</v>
      </c>
      <c r="F116">
        <v>3</v>
      </c>
    </row>
    <row r="117" spans="1:6" ht="15" customHeight="1" x14ac:dyDescent="0.3">
      <c r="A117" t="s">
        <v>4314</v>
      </c>
      <c r="E117" t="s">
        <v>4314</v>
      </c>
      <c r="F117">
        <v>3</v>
      </c>
    </row>
    <row r="118" spans="1:6" ht="15" customHeight="1" x14ac:dyDescent="0.3">
      <c r="A118" t="s">
        <v>4425</v>
      </c>
      <c r="E118" t="s">
        <v>4425</v>
      </c>
      <c r="F118">
        <v>3</v>
      </c>
    </row>
    <row r="119" spans="1:6" ht="15" customHeight="1" x14ac:dyDescent="0.3">
      <c r="A119" t="s">
        <v>4850</v>
      </c>
      <c r="E119" t="s">
        <v>4850</v>
      </c>
      <c r="F119">
        <v>3</v>
      </c>
    </row>
    <row r="120" spans="1:6" ht="15" customHeight="1" x14ac:dyDescent="0.3">
      <c r="A120" t="s">
        <v>5193</v>
      </c>
      <c r="E120" t="s">
        <v>5193</v>
      </c>
      <c r="F120">
        <v>3</v>
      </c>
    </row>
    <row r="121" spans="1:6" ht="15" customHeight="1" x14ac:dyDescent="0.3">
      <c r="A121" t="s">
        <v>5339</v>
      </c>
      <c r="E121" t="s">
        <v>5339</v>
      </c>
      <c r="F121">
        <v>3</v>
      </c>
    </row>
    <row r="122" spans="1:6" ht="15" customHeight="1" x14ac:dyDescent="0.3">
      <c r="A122" t="s">
        <v>5483</v>
      </c>
      <c r="E122" t="s">
        <v>5483</v>
      </c>
      <c r="F122">
        <v>3</v>
      </c>
    </row>
    <row r="123" spans="1:6" ht="15" customHeight="1" x14ac:dyDescent="0.3">
      <c r="A123" t="s">
        <v>5507</v>
      </c>
      <c r="E123" t="s">
        <v>5507</v>
      </c>
      <c r="F123">
        <v>3</v>
      </c>
    </row>
    <row r="124" spans="1:6" ht="15" customHeight="1" x14ac:dyDescent="0.3">
      <c r="A124" t="s">
        <v>5866</v>
      </c>
      <c r="E124" t="s">
        <v>5866</v>
      </c>
      <c r="F124">
        <v>3</v>
      </c>
    </row>
    <row r="125" spans="1:6" ht="15" customHeight="1" x14ac:dyDescent="0.3">
      <c r="A125" t="s">
        <v>6173</v>
      </c>
      <c r="E125" t="s">
        <v>6173</v>
      </c>
      <c r="F125">
        <v>3</v>
      </c>
    </row>
    <row r="126" spans="1:6" ht="15" customHeight="1" x14ac:dyDescent="0.3">
      <c r="A126" t="s">
        <v>6311</v>
      </c>
      <c r="E126" t="s">
        <v>6311</v>
      </c>
      <c r="F126">
        <v>3</v>
      </c>
    </row>
    <row r="127" spans="1:6" ht="15" customHeight="1" x14ac:dyDescent="0.3">
      <c r="A127" t="s">
        <v>6350</v>
      </c>
      <c r="E127" t="s">
        <v>6350</v>
      </c>
      <c r="F127">
        <v>3</v>
      </c>
    </row>
    <row r="128" spans="1:6" ht="15" customHeight="1" x14ac:dyDescent="0.3">
      <c r="A128" t="s">
        <v>6459</v>
      </c>
      <c r="E128" t="s">
        <v>6459</v>
      </c>
      <c r="F128">
        <v>3</v>
      </c>
    </row>
    <row r="129" spans="1:6" ht="15" customHeight="1" x14ac:dyDescent="0.3">
      <c r="A129" t="s">
        <v>6555</v>
      </c>
      <c r="E129" t="s">
        <v>6555</v>
      </c>
      <c r="F129">
        <v>3</v>
      </c>
    </row>
    <row r="130" spans="1:6" ht="15" customHeight="1" x14ac:dyDescent="0.3">
      <c r="A130" t="s">
        <v>6724</v>
      </c>
      <c r="E130" t="s">
        <v>6724</v>
      </c>
      <c r="F130">
        <v>3</v>
      </c>
    </row>
    <row r="131" spans="1:6" ht="15" customHeight="1" x14ac:dyDescent="0.3">
      <c r="A131" t="s">
        <v>7113</v>
      </c>
      <c r="E131" t="s">
        <v>7113</v>
      </c>
      <c r="F131">
        <v>3</v>
      </c>
    </row>
    <row r="132" spans="1:6" ht="15" customHeight="1" x14ac:dyDescent="0.3">
      <c r="A132" t="s">
        <v>7459</v>
      </c>
      <c r="E132" t="s">
        <v>7459</v>
      </c>
      <c r="F132">
        <v>3</v>
      </c>
    </row>
    <row r="133" spans="1:6" ht="15" customHeight="1" x14ac:dyDescent="0.3">
      <c r="A133" t="s">
        <v>7595</v>
      </c>
      <c r="E133" t="s">
        <v>7595</v>
      </c>
      <c r="F133">
        <v>3</v>
      </c>
    </row>
    <row r="134" spans="1:6" ht="15" customHeight="1" x14ac:dyDescent="0.3">
      <c r="A134" t="s">
        <v>7708</v>
      </c>
      <c r="E134" t="s">
        <v>7708</v>
      </c>
      <c r="F134">
        <v>3</v>
      </c>
    </row>
    <row r="135" spans="1:6" ht="15" customHeight="1" x14ac:dyDescent="0.3">
      <c r="A135" t="s">
        <v>7758</v>
      </c>
      <c r="E135" t="s">
        <v>7758</v>
      </c>
      <c r="F135">
        <v>3</v>
      </c>
    </row>
    <row r="136" spans="1:6" ht="15" customHeight="1" x14ac:dyDescent="0.3">
      <c r="A136" t="s">
        <v>7887</v>
      </c>
      <c r="E136" t="s">
        <v>7887</v>
      </c>
      <c r="F136">
        <v>3</v>
      </c>
    </row>
    <row r="137" spans="1:6" ht="15" customHeight="1" x14ac:dyDescent="0.3">
      <c r="A137" t="s">
        <v>7907</v>
      </c>
      <c r="E137" t="s">
        <v>7907</v>
      </c>
      <c r="F137">
        <v>3</v>
      </c>
    </row>
    <row r="138" spans="1:6" ht="15" customHeight="1" x14ac:dyDescent="0.3">
      <c r="A138" t="s">
        <v>7961</v>
      </c>
      <c r="E138" t="s">
        <v>7961</v>
      </c>
      <c r="F138">
        <v>3</v>
      </c>
    </row>
    <row r="139" spans="1:6" ht="15" customHeight="1" x14ac:dyDescent="0.3">
      <c r="A139" t="s">
        <v>8070</v>
      </c>
      <c r="E139" t="s">
        <v>8070</v>
      </c>
      <c r="F139">
        <v>3</v>
      </c>
    </row>
    <row r="140" spans="1:6" ht="15" customHeight="1" x14ac:dyDescent="0.3">
      <c r="A140" t="s">
        <v>8410</v>
      </c>
      <c r="E140" t="s">
        <v>8410</v>
      </c>
      <c r="F140">
        <v>3</v>
      </c>
    </row>
    <row r="141" spans="1:6" ht="15" customHeight="1" x14ac:dyDescent="0.3">
      <c r="A141" t="s">
        <v>8422</v>
      </c>
      <c r="E141" t="s">
        <v>8422</v>
      </c>
      <c r="F141">
        <v>3</v>
      </c>
    </row>
    <row r="142" spans="1:6" ht="15" customHeight="1" x14ac:dyDescent="0.3">
      <c r="A142" t="s">
        <v>8426</v>
      </c>
      <c r="E142" t="s">
        <v>8426</v>
      </c>
      <c r="F142">
        <v>3</v>
      </c>
    </row>
    <row r="143" spans="1:6" ht="15" customHeight="1" x14ac:dyDescent="0.3">
      <c r="A143" t="s">
        <v>8470</v>
      </c>
      <c r="E143" t="s">
        <v>8470</v>
      </c>
      <c r="F143">
        <v>3</v>
      </c>
    </row>
    <row r="144" spans="1:6" ht="15" customHeight="1" x14ac:dyDescent="0.3">
      <c r="A144" t="s">
        <v>8818</v>
      </c>
      <c r="E144" t="s">
        <v>8818</v>
      </c>
      <c r="F144">
        <v>3</v>
      </c>
    </row>
    <row r="145" spans="1:6" ht="15" customHeight="1" x14ac:dyDescent="0.3">
      <c r="A145" t="s">
        <v>9241</v>
      </c>
      <c r="E145" t="s">
        <v>9241</v>
      </c>
      <c r="F145">
        <v>3</v>
      </c>
    </row>
    <row r="146" spans="1:6" ht="15" customHeight="1" x14ac:dyDescent="0.3">
      <c r="A146" t="s">
        <v>9304</v>
      </c>
      <c r="E146" t="s">
        <v>9304</v>
      </c>
      <c r="F146">
        <v>3</v>
      </c>
    </row>
    <row r="147" spans="1:6" ht="15" customHeight="1" x14ac:dyDescent="0.3">
      <c r="A147" t="s">
        <v>10196</v>
      </c>
      <c r="E147" t="s">
        <v>10196</v>
      </c>
      <c r="F147">
        <v>3</v>
      </c>
    </row>
    <row r="148" spans="1:6" ht="15" customHeight="1" x14ac:dyDescent="0.3">
      <c r="A148" t="s">
        <v>10503</v>
      </c>
      <c r="E148" t="s">
        <v>10503</v>
      </c>
      <c r="F148">
        <v>3</v>
      </c>
    </row>
    <row r="149" spans="1:6" ht="15" customHeight="1" x14ac:dyDescent="0.3">
      <c r="A149" t="s">
        <v>252</v>
      </c>
      <c r="E149" t="s">
        <v>252</v>
      </c>
      <c r="F149">
        <v>2</v>
      </c>
    </row>
    <row r="150" spans="1:6" ht="15" customHeight="1" x14ac:dyDescent="0.3">
      <c r="A150" t="s">
        <v>268</v>
      </c>
      <c r="E150" t="s">
        <v>268</v>
      </c>
      <c r="F150">
        <v>2</v>
      </c>
    </row>
    <row r="151" spans="1:6" ht="15" customHeight="1" x14ac:dyDescent="0.3">
      <c r="A151" t="s">
        <v>386</v>
      </c>
      <c r="E151" t="s">
        <v>386</v>
      </c>
      <c r="F151">
        <v>2</v>
      </c>
    </row>
    <row r="152" spans="1:6" ht="15" customHeight="1" x14ac:dyDescent="0.3">
      <c r="A152" t="s">
        <v>453</v>
      </c>
      <c r="E152" t="s">
        <v>453</v>
      </c>
      <c r="F152">
        <v>2</v>
      </c>
    </row>
    <row r="153" spans="1:6" ht="15" customHeight="1" x14ac:dyDescent="0.3">
      <c r="A153" t="s">
        <v>80</v>
      </c>
      <c r="E153" t="s">
        <v>80</v>
      </c>
      <c r="F153">
        <v>2</v>
      </c>
    </row>
    <row r="154" spans="1:6" ht="15" customHeight="1" x14ac:dyDescent="0.3">
      <c r="A154" t="s">
        <v>641</v>
      </c>
      <c r="E154" t="s">
        <v>641</v>
      </c>
      <c r="F154">
        <v>2</v>
      </c>
    </row>
    <row r="155" spans="1:6" ht="15" customHeight="1" x14ac:dyDescent="0.3">
      <c r="A155" t="s">
        <v>687</v>
      </c>
      <c r="E155" t="s">
        <v>687</v>
      </c>
      <c r="F155">
        <v>2</v>
      </c>
    </row>
    <row r="156" spans="1:6" ht="15" customHeight="1" x14ac:dyDescent="0.3">
      <c r="A156" t="s">
        <v>695</v>
      </c>
      <c r="E156" t="s">
        <v>695</v>
      </c>
      <c r="F156">
        <v>2</v>
      </c>
    </row>
    <row r="157" spans="1:6" ht="15" customHeight="1" x14ac:dyDescent="0.3">
      <c r="A157" t="s">
        <v>773</v>
      </c>
      <c r="E157" t="s">
        <v>773</v>
      </c>
      <c r="F157">
        <v>2</v>
      </c>
    </row>
    <row r="158" spans="1:6" ht="15" customHeight="1" x14ac:dyDescent="0.3">
      <c r="A158" t="s">
        <v>803</v>
      </c>
      <c r="E158" t="s">
        <v>803</v>
      </c>
      <c r="F158">
        <v>2</v>
      </c>
    </row>
    <row r="159" spans="1:6" ht="15" customHeight="1" x14ac:dyDescent="0.3">
      <c r="A159" t="s">
        <v>811</v>
      </c>
      <c r="E159" t="s">
        <v>811</v>
      </c>
      <c r="F159">
        <v>2</v>
      </c>
    </row>
    <row r="160" spans="1:6" ht="15" customHeight="1" x14ac:dyDescent="0.3">
      <c r="A160" t="s">
        <v>853</v>
      </c>
      <c r="E160" t="s">
        <v>853</v>
      </c>
      <c r="F160">
        <v>2</v>
      </c>
    </row>
    <row r="161" spans="1:6" ht="15" customHeight="1" x14ac:dyDescent="0.3">
      <c r="A161" t="s">
        <v>935</v>
      </c>
      <c r="E161" t="s">
        <v>935</v>
      </c>
      <c r="F161">
        <v>2</v>
      </c>
    </row>
    <row r="162" spans="1:6" ht="15" customHeight="1" x14ac:dyDescent="0.3">
      <c r="A162" t="s">
        <v>1008</v>
      </c>
      <c r="E162" t="s">
        <v>1008</v>
      </c>
      <c r="F162">
        <v>2</v>
      </c>
    </row>
    <row r="163" spans="1:6" ht="15" customHeight="1" x14ac:dyDescent="0.3">
      <c r="A163" t="s">
        <v>1167</v>
      </c>
      <c r="E163" t="s">
        <v>1167</v>
      </c>
      <c r="F163">
        <v>2</v>
      </c>
    </row>
    <row r="164" spans="1:6" ht="15" customHeight="1" x14ac:dyDescent="0.3">
      <c r="A164" t="s">
        <v>1352</v>
      </c>
      <c r="E164" t="s">
        <v>1352</v>
      </c>
      <c r="F164">
        <v>2</v>
      </c>
    </row>
    <row r="165" spans="1:6" ht="15" customHeight="1" x14ac:dyDescent="0.3">
      <c r="A165" t="s">
        <v>1455</v>
      </c>
      <c r="E165" t="s">
        <v>1455</v>
      </c>
      <c r="F165">
        <v>2</v>
      </c>
    </row>
    <row r="166" spans="1:6" ht="15" customHeight="1" x14ac:dyDescent="0.3">
      <c r="A166" t="s">
        <v>1496</v>
      </c>
      <c r="E166" t="s">
        <v>1496</v>
      </c>
      <c r="F166">
        <v>2</v>
      </c>
    </row>
    <row r="167" spans="1:6" ht="15" customHeight="1" x14ac:dyDescent="0.3">
      <c r="A167" t="s">
        <v>1522</v>
      </c>
      <c r="E167" t="s">
        <v>1522</v>
      </c>
      <c r="F167">
        <v>2</v>
      </c>
    </row>
    <row r="168" spans="1:6" ht="15" customHeight="1" x14ac:dyDescent="0.3">
      <c r="A168" t="s">
        <v>1944</v>
      </c>
      <c r="E168" t="s">
        <v>1944</v>
      </c>
      <c r="F168">
        <v>2</v>
      </c>
    </row>
    <row r="169" spans="1:6" ht="15" customHeight="1" x14ac:dyDescent="0.3">
      <c r="A169" t="s">
        <v>1958</v>
      </c>
      <c r="E169" t="s">
        <v>1958</v>
      </c>
      <c r="F169">
        <v>2</v>
      </c>
    </row>
    <row r="170" spans="1:6" ht="15" customHeight="1" x14ac:dyDescent="0.3">
      <c r="A170" t="s">
        <v>2075</v>
      </c>
      <c r="E170" t="s">
        <v>2075</v>
      </c>
      <c r="F170">
        <v>2</v>
      </c>
    </row>
    <row r="171" spans="1:6" ht="15" customHeight="1" x14ac:dyDescent="0.3">
      <c r="A171" t="s">
        <v>2101</v>
      </c>
      <c r="E171" t="s">
        <v>2101</v>
      </c>
      <c r="F171">
        <v>2</v>
      </c>
    </row>
    <row r="172" spans="1:6" ht="15" customHeight="1" x14ac:dyDescent="0.3">
      <c r="A172" t="s">
        <v>2204</v>
      </c>
      <c r="E172" t="s">
        <v>2204</v>
      </c>
      <c r="F172">
        <v>2</v>
      </c>
    </row>
    <row r="173" spans="1:6" ht="15" customHeight="1" x14ac:dyDescent="0.3">
      <c r="A173" t="s">
        <v>2254</v>
      </c>
      <c r="E173" t="s">
        <v>2254</v>
      </c>
      <c r="F173">
        <v>2</v>
      </c>
    </row>
    <row r="174" spans="1:6" ht="15" customHeight="1" x14ac:dyDescent="0.3">
      <c r="A174" t="s">
        <v>2306</v>
      </c>
      <c r="E174" t="s">
        <v>2306</v>
      </c>
      <c r="F174">
        <v>2</v>
      </c>
    </row>
    <row r="175" spans="1:6" ht="15" customHeight="1" x14ac:dyDescent="0.3">
      <c r="A175" t="s">
        <v>2325</v>
      </c>
      <c r="E175" t="s">
        <v>2325</v>
      </c>
      <c r="F175">
        <v>2</v>
      </c>
    </row>
    <row r="176" spans="1:6" ht="15" customHeight="1" x14ac:dyDescent="0.3">
      <c r="A176" t="s">
        <v>2331</v>
      </c>
      <c r="E176" t="s">
        <v>2331</v>
      </c>
      <c r="F176">
        <v>2</v>
      </c>
    </row>
    <row r="177" spans="1:6" ht="15" customHeight="1" x14ac:dyDescent="0.3">
      <c r="A177" t="s">
        <v>2400</v>
      </c>
      <c r="E177" t="s">
        <v>2400</v>
      </c>
      <c r="F177">
        <v>2</v>
      </c>
    </row>
    <row r="178" spans="1:6" ht="15" customHeight="1" x14ac:dyDescent="0.3">
      <c r="A178" t="s">
        <v>2596</v>
      </c>
      <c r="E178" t="s">
        <v>2596</v>
      </c>
      <c r="F178">
        <v>2</v>
      </c>
    </row>
    <row r="179" spans="1:6" ht="15" customHeight="1" x14ac:dyDescent="0.3">
      <c r="A179" t="s">
        <v>2642</v>
      </c>
      <c r="E179" t="s">
        <v>2642</v>
      </c>
      <c r="F179">
        <v>2</v>
      </c>
    </row>
    <row r="180" spans="1:6" ht="15" customHeight="1" x14ac:dyDescent="0.3">
      <c r="A180" t="s">
        <v>2659</v>
      </c>
      <c r="E180" t="s">
        <v>2659</v>
      </c>
      <c r="F180">
        <v>2</v>
      </c>
    </row>
    <row r="181" spans="1:6" ht="15" customHeight="1" x14ac:dyDescent="0.3">
      <c r="A181" t="s">
        <v>2681</v>
      </c>
      <c r="E181" t="s">
        <v>2681</v>
      </c>
      <c r="F181">
        <v>2</v>
      </c>
    </row>
    <row r="182" spans="1:6" ht="15" customHeight="1" x14ac:dyDescent="0.3">
      <c r="A182" t="s">
        <v>2798</v>
      </c>
      <c r="E182" t="s">
        <v>2798</v>
      </c>
      <c r="F182">
        <v>2</v>
      </c>
    </row>
    <row r="183" spans="1:6" ht="15" customHeight="1" x14ac:dyDescent="0.3">
      <c r="A183" t="s">
        <v>2873</v>
      </c>
      <c r="E183" t="s">
        <v>2873</v>
      </c>
      <c r="F183">
        <v>2</v>
      </c>
    </row>
    <row r="184" spans="1:6" ht="15" customHeight="1" x14ac:dyDescent="0.3">
      <c r="A184" t="s">
        <v>2891</v>
      </c>
      <c r="E184" t="s">
        <v>2891</v>
      </c>
      <c r="F184">
        <v>2</v>
      </c>
    </row>
    <row r="185" spans="1:6" ht="15" customHeight="1" x14ac:dyDescent="0.3">
      <c r="A185" t="s">
        <v>2918</v>
      </c>
      <c r="E185" t="s">
        <v>2918</v>
      </c>
      <c r="F185">
        <v>2</v>
      </c>
    </row>
    <row r="186" spans="1:6" ht="15" customHeight="1" x14ac:dyDescent="0.3">
      <c r="A186" t="s">
        <v>2925</v>
      </c>
      <c r="E186" t="s">
        <v>2925</v>
      </c>
      <c r="F186">
        <v>2</v>
      </c>
    </row>
    <row r="187" spans="1:6" ht="15" customHeight="1" x14ac:dyDescent="0.3">
      <c r="A187" t="s">
        <v>3144</v>
      </c>
      <c r="E187" t="s">
        <v>3144</v>
      </c>
      <c r="F187">
        <v>2</v>
      </c>
    </row>
    <row r="188" spans="1:6" ht="15" customHeight="1" x14ac:dyDescent="0.3">
      <c r="A188" t="s">
        <v>3732</v>
      </c>
      <c r="E188" t="s">
        <v>3732</v>
      </c>
      <c r="F188">
        <v>2</v>
      </c>
    </row>
    <row r="189" spans="1:6" ht="15" customHeight="1" x14ac:dyDescent="0.3">
      <c r="A189" t="s">
        <v>3745</v>
      </c>
      <c r="E189" t="s">
        <v>3745</v>
      </c>
      <c r="F189">
        <v>2</v>
      </c>
    </row>
    <row r="190" spans="1:6" ht="15" customHeight="1" x14ac:dyDescent="0.3">
      <c r="A190" t="s">
        <v>3774</v>
      </c>
      <c r="E190" t="s">
        <v>3774</v>
      </c>
      <c r="F190">
        <v>2</v>
      </c>
    </row>
    <row r="191" spans="1:6" ht="15" customHeight="1" x14ac:dyDescent="0.3">
      <c r="A191" t="s">
        <v>3800</v>
      </c>
      <c r="E191" t="s">
        <v>3800</v>
      </c>
      <c r="F191">
        <v>2</v>
      </c>
    </row>
    <row r="192" spans="1:6" ht="15" customHeight="1" x14ac:dyDescent="0.3">
      <c r="A192" t="s">
        <v>3815</v>
      </c>
      <c r="E192" t="s">
        <v>3815</v>
      </c>
      <c r="F192">
        <v>2</v>
      </c>
    </row>
    <row r="193" spans="1:6" ht="15" customHeight="1" x14ac:dyDescent="0.3">
      <c r="A193" t="s">
        <v>3826</v>
      </c>
      <c r="E193" t="s">
        <v>3826</v>
      </c>
      <c r="F193">
        <v>2</v>
      </c>
    </row>
    <row r="194" spans="1:6" ht="15" customHeight="1" x14ac:dyDescent="0.3">
      <c r="A194" t="s">
        <v>3838</v>
      </c>
      <c r="E194" t="s">
        <v>3838</v>
      </c>
      <c r="F194">
        <v>2</v>
      </c>
    </row>
    <row r="195" spans="1:6" ht="15" customHeight="1" x14ac:dyDescent="0.3">
      <c r="A195" t="s">
        <v>3878</v>
      </c>
      <c r="E195" t="s">
        <v>3878</v>
      </c>
      <c r="F195">
        <v>2</v>
      </c>
    </row>
    <row r="196" spans="1:6" ht="15" customHeight="1" x14ac:dyDescent="0.3">
      <c r="A196" t="s">
        <v>3896</v>
      </c>
      <c r="E196" t="s">
        <v>3896</v>
      </c>
      <c r="F196">
        <v>2</v>
      </c>
    </row>
    <row r="197" spans="1:6" ht="15" customHeight="1" x14ac:dyDescent="0.3">
      <c r="A197" t="s">
        <v>3919</v>
      </c>
      <c r="E197" t="s">
        <v>3919</v>
      </c>
      <c r="F197">
        <v>2</v>
      </c>
    </row>
    <row r="198" spans="1:6" ht="15" customHeight="1" x14ac:dyDescent="0.3">
      <c r="A198" t="s">
        <v>3926</v>
      </c>
      <c r="E198" t="s">
        <v>3926</v>
      </c>
      <c r="F198">
        <v>2</v>
      </c>
    </row>
    <row r="199" spans="1:6" ht="15" customHeight="1" x14ac:dyDescent="0.3">
      <c r="A199" t="s">
        <v>3960</v>
      </c>
      <c r="E199" t="s">
        <v>3960</v>
      </c>
      <c r="F199">
        <v>2</v>
      </c>
    </row>
    <row r="200" spans="1:6" ht="15" customHeight="1" x14ac:dyDescent="0.3">
      <c r="A200" t="s">
        <v>3966</v>
      </c>
      <c r="E200" t="s">
        <v>3966</v>
      </c>
      <c r="F200">
        <v>2</v>
      </c>
    </row>
    <row r="201" spans="1:6" ht="15" customHeight="1" x14ac:dyDescent="0.3">
      <c r="A201" t="s">
        <v>4036</v>
      </c>
      <c r="E201" t="s">
        <v>4036</v>
      </c>
      <c r="F201">
        <v>2</v>
      </c>
    </row>
    <row r="202" spans="1:6" ht="15" customHeight="1" x14ac:dyDescent="0.3">
      <c r="A202" t="s">
        <v>4073</v>
      </c>
      <c r="E202" t="s">
        <v>4073</v>
      </c>
      <c r="F202">
        <v>2</v>
      </c>
    </row>
    <row r="203" spans="1:6" ht="15" customHeight="1" x14ac:dyDescent="0.3">
      <c r="A203" t="s">
        <v>4084</v>
      </c>
      <c r="E203" t="s">
        <v>4084</v>
      </c>
      <c r="F203">
        <v>2</v>
      </c>
    </row>
    <row r="204" spans="1:6" ht="15" customHeight="1" x14ac:dyDescent="0.3">
      <c r="A204" t="s">
        <v>4124</v>
      </c>
      <c r="E204" t="s">
        <v>4124</v>
      </c>
      <c r="F204">
        <v>2</v>
      </c>
    </row>
    <row r="205" spans="1:6" ht="15" customHeight="1" x14ac:dyDescent="0.3">
      <c r="A205" t="s">
        <v>4138</v>
      </c>
      <c r="E205" t="s">
        <v>4138</v>
      </c>
      <c r="F205">
        <v>2</v>
      </c>
    </row>
    <row r="206" spans="1:6" ht="15" customHeight="1" x14ac:dyDescent="0.3">
      <c r="A206" t="s">
        <v>4148</v>
      </c>
      <c r="E206" t="s">
        <v>4148</v>
      </c>
      <c r="F206">
        <v>2</v>
      </c>
    </row>
    <row r="207" spans="1:6" ht="15" customHeight="1" x14ac:dyDescent="0.3">
      <c r="A207" t="s">
        <v>4350</v>
      </c>
      <c r="E207" t="s">
        <v>4350</v>
      </c>
      <c r="F207">
        <v>2</v>
      </c>
    </row>
    <row r="208" spans="1:6" ht="15" customHeight="1" x14ac:dyDescent="0.3">
      <c r="A208" t="s">
        <v>4360</v>
      </c>
      <c r="E208" t="s">
        <v>4360</v>
      </c>
      <c r="F208">
        <v>2</v>
      </c>
    </row>
    <row r="209" spans="1:6" ht="15" customHeight="1" x14ac:dyDescent="0.3">
      <c r="A209" t="s">
        <v>4375</v>
      </c>
      <c r="E209" t="s">
        <v>4375</v>
      </c>
      <c r="F209">
        <v>2</v>
      </c>
    </row>
    <row r="210" spans="1:6" ht="15" customHeight="1" x14ac:dyDescent="0.3">
      <c r="A210" t="s">
        <v>4384</v>
      </c>
      <c r="E210" t="s">
        <v>4384</v>
      </c>
      <c r="F210">
        <v>2</v>
      </c>
    </row>
    <row r="211" spans="1:6" ht="15" customHeight="1" x14ac:dyDescent="0.3">
      <c r="A211" t="s">
        <v>4470</v>
      </c>
      <c r="E211" t="s">
        <v>4470</v>
      </c>
      <c r="F211">
        <v>2</v>
      </c>
    </row>
    <row r="212" spans="1:6" ht="15" customHeight="1" x14ac:dyDescent="0.3">
      <c r="A212" t="s">
        <v>4565</v>
      </c>
      <c r="E212" t="s">
        <v>4565</v>
      </c>
      <c r="F212">
        <v>2</v>
      </c>
    </row>
    <row r="213" spans="1:6" ht="15" customHeight="1" x14ac:dyDescent="0.3">
      <c r="A213" t="s">
        <v>4615</v>
      </c>
      <c r="E213" t="s">
        <v>4615</v>
      </c>
      <c r="F213">
        <v>2</v>
      </c>
    </row>
    <row r="214" spans="1:6" ht="15" customHeight="1" x14ac:dyDescent="0.3">
      <c r="A214" t="s">
        <v>4620</v>
      </c>
      <c r="E214" t="s">
        <v>4620</v>
      </c>
      <c r="F214">
        <v>2</v>
      </c>
    </row>
    <row r="215" spans="1:6" ht="15" customHeight="1" x14ac:dyDescent="0.3">
      <c r="A215" t="s">
        <v>4834</v>
      </c>
      <c r="E215" t="s">
        <v>4834</v>
      </c>
      <c r="F215">
        <v>2</v>
      </c>
    </row>
    <row r="216" spans="1:6" ht="15" customHeight="1" x14ac:dyDescent="0.3">
      <c r="A216" t="s">
        <v>4841</v>
      </c>
      <c r="E216" t="s">
        <v>4841</v>
      </c>
      <c r="F216">
        <v>2</v>
      </c>
    </row>
    <row r="217" spans="1:6" ht="15" customHeight="1" x14ac:dyDescent="0.3">
      <c r="A217" t="s">
        <v>4905</v>
      </c>
      <c r="E217" t="s">
        <v>4905</v>
      </c>
      <c r="F217">
        <v>2</v>
      </c>
    </row>
    <row r="218" spans="1:6" ht="15" customHeight="1" x14ac:dyDescent="0.3">
      <c r="A218" t="s">
        <v>4989</v>
      </c>
      <c r="E218" t="s">
        <v>4989</v>
      </c>
      <c r="F218">
        <v>2</v>
      </c>
    </row>
    <row r="219" spans="1:6" ht="15" customHeight="1" x14ac:dyDescent="0.3">
      <c r="A219" t="s">
        <v>5044</v>
      </c>
      <c r="E219" t="s">
        <v>5044</v>
      </c>
      <c r="F219">
        <v>2</v>
      </c>
    </row>
    <row r="220" spans="1:6" ht="15" customHeight="1" x14ac:dyDescent="0.3">
      <c r="A220" t="s">
        <v>5107</v>
      </c>
      <c r="E220" t="s">
        <v>5107</v>
      </c>
      <c r="F220">
        <v>2</v>
      </c>
    </row>
    <row r="221" spans="1:6" ht="15" customHeight="1" x14ac:dyDescent="0.3">
      <c r="A221" t="s">
        <v>5221</v>
      </c>
      <c r="E221" t="s">
        <v>5221</v>
      </c>
      <c r="F221">
        <v>2</v>
      </c>
    </row>
    <row r="222" spans="1:6" ht="15" customHeight="1" x14ac:dyDescent="0.3">
      <c r="A222" t="s">
        <v>5305</v>
      </c>
      <c r="E222" t="s">
        <v>5305</v>
      </c>
      <c r="F222">
        <v>2</v>
      </c>
    </row>
    <row r="223" spans="1:6" ht="15" customHeight="1" x14ac:dyDescent="0.3">
      <c r="A223" t="s">
        <v>5472</v>
      </c>
      <c r="E223" t="s">
        <v>5472</v>
      </c>
      <c r="F223">
        <v>2</v>
      </c>
    </row>
    <row r="224" spans="1:6" ht="15" customHeight="1" x14ac:dyDescent="0.3">
      <c r="A224" t="s">
        <v>5493</v>
      </c>
      <c r="E224" t="s">
        <v>5493</v>
      </c>
      <c r="F224">
        <v>2</v>
      </c>
    </row>
    <row r="225" spans="1:6" ht="15" customHeight="1" x14ac:dyDescent="0.3">
      <c r="A225" t="s">
        <v>5573</v>
      </c>
      <c r="E225" t="s">
        <v>5573</v>
      </c>
      <c r="F225">
        <v>2</v>
      </c>
    </row>
    <row r="226" spans="1:6" ht="15" customHeight="1" x14ac:dyDescent="0.3">
      <c r="A226" t="s">
        <v>5649</v>
      </c>
      <c r="E226" t="s">
        <v>5649</v>
      </c>
      <c r="F226">
        <v>2</v>
      </c>
    </row>
    <row r="227" spans="1:6" ht="15" customHeight="1" x14ac:dyDescent="0.3">
      <c r="A227" t="s">
        <v>5693</v>
      </c>
      <c r="E227" t="s">
        <v>5693</v>
      </c>
      <c r="F227">
        <v>2</v>
      </c>
    </row>
    <row r="228" spans="1:6" ht="15" customHeight="1" x14ac:dyDescent="0.3">
      <c r="A228" t="s">
        <v>5735</v>
      </c>
      <c r="E228" t="s">
        <v>5735</v>
      </c>
      <c r="F228">
        <v>2</v>
      </c>
    </row>
    <row r="229" spans="1:6" ht="15" customHeight="1" x14ac:dyDescent="0.3">
      <c r="A229" t="s">
        <v>6374</v>
      </c>
      <c r="E229" t="s">
        <v>6374</v>
      </c>
      <c r="F229">
        <v>2</v>
      </c>
    </row>
    <row r="230" spans="1:6" ht="15" customHeight="1" x14ac:dyDescent="0.3">
      <c r="A230" t="s">
        <v>6638</v>
      </c>
      <c r="E230" t="s">
        <v>6638</v>
      </c>
      <c r="F230">
        <v>2</v>
      </c>
    </row>
    <row r="231" spans="1:6" ht="15" customHeight="1" x14ac:dyDescent="0.3">
      <c r="A231" t="s">
        <v>6853</v>
      </c>
      <c r="E231" t="s">
        <v>6853</v>
      </c>
      <c r="F231">
        <v>2</v>
      </c>
    </row>
    <row r="232" spans="1:6" ht="15" customHeight="1" x14ac:dyDescent="0.3">
      <c r="A232" t="s">
        <v>6886</v>
      </c>
      <c r="E232" t="s">
        <v>6886</v>
      </c>
      <c r="F232">
        <v>2</v>
      </c>
    </row>
    <row r="233" spans="1:6" ht="15" customHeight="1" x14ac:dyDescent="0.3">
      <c r="A233" t="s">
        <v>6901</v>
      </c>
      <c r="E233" t="s">
        <v>6901</v>
      </c>
      <c r="F233">
        <v>2</v>
      </c>
    </row>
    <row r="234" spans="1:6" ht="15" customHeight="1" x14ac:dyDescent="0.3">
      <c r="A234" t="s">
        <v>6905</v>
      </c>
      <c r="E234" t="s">
        <v>6905</v>
      </c>
      <c r="F234">
        <v>2</v>
      </c>
    </row>
    <row r="235" spans="1:6" ht="15" customHeight="1" x14ac:dyDescent="0.3">
      <c r="A235" t="s">
        <v>6933</v>
      </c>
      <c r="E235" t="s">
        <v>6933</v>
      </c>
      <c r="F235">
        <v>2</v>
      </c>
    </row>
    <row r="236" spans="1:6" ht="15" customHeight="1" x14ac:dyDescent="0.3">
      <c r="A236" t="s">
        <v>7309</v>
      </c>
      <c r="E236" t="s">
        <v>7309</v>
      </c>
      <c r="F236">
        <v>2</v>
      </c>
    </row>
    <row r="237" spans="1:6" ht="15" customHeight="1" x14ac:dyDescent="0.3">
      <c r="A237" t="s">
        <v>7341</v>
      </c>
      <c r="E237" t="s">
        <v>7341</v>
      </c>
      <c r="F237">
        <v>2</v>
      </c>
    </row>
    <row r="238" spans="1:6" ht="15" customHeight="1" x14ac:dyDescent="0.3">
      <c r="A238" t="s">
        <v>7356</v>
      </c>
      <c r="E238" t="s">
        <v>7356</v>
      </c>
      <c r="F238">
        <v>2</v>
      </c>
    </row>
    <row r="239" spans="1:6" ht="15" customHeight="1" x14ac:dyDescent="0.3">
      <c r="A239" t="s">
        <v>7365</v>
      </c>
      <c r="E239" t="s">
        <v>7365</v>
      </c>
      <c r="F239">
        <v>2</v>
      </c>
    </row>
    <row r="240" spans="1:6" ht="15" customHeight="1" x14ac:dyDescent="0.3">
      <c r="A240" t="s">
        <v>7427</v>
      </c>
      <c r="E240" t="s">
        <v>7427</v>
      </c>
      <c r="F240">
        <v>2</v>
      </c>
    </row>
    <row r="241" spans="1:6" ht="15" customHeight="1" x14ac:dyDescent="0.3">
      <c r="A241" t="s">
        <v>7435</v>
      </c>
      <c r="E241" t="s">
        <v>7435</v>
      </c>
      <c r="F241">
        <v>2</v>
      </c>
    </row>
    <row r="242" spans="1:6" ht="15" customHeight="1" x14ac:dyDescent="0.3">
      <c r="A242" t="s">
        <v>7469</v>
      </c>
      <c r="E242" t="s">
        <v>7469</v>
      </c>
      <c r="F242">
        <v>2</v>
      </c>
    </row>
    <row r="243" spans="1:6" ht="15" customHeight="1" x14ac:dyDescent="0.3">
      <c r="A243" t="s">
        <v>7522</v>
      </c>
      <c r="E243" t="s">
        <v>7522</v>
      </c>
      <c r="F243">
        <v>2</v>
      </c>
    </row>
    <row r="244" spans="1:6" ht="15" customHeight="1" x14ac:dyDescent="0.3">
      <c r="A244" t="s">
        <v>7582</v>
      </c>
      <c r="E244" t="s">
        <v>7582</v>
      </c>
      <c r="F244">
        <v>2</v>
      </c>
    </row>
    <row r="245" spans="1:6" ht="15" customHeight="1" x14ac:dyDescent="0.3">
      <c r="A245" t="s">
        <v>7637</v>
      </c>
      <c r="E245" t="s">
        <v>7637</v>
      </c>
      <c r="F245">
        <v>2</v>
      </c>
    </row>
    <row r="246" spans="1:6" ht="15" customHeight="1" x14ac:dyDescent="0.3">
      <c r="A246" t="s">
        <v>7641</v>
      </c>
      <c r="E246" t="s">
        <v>7641</v>
      </c>
      <c r="F246">
        <v>2</v>
      </c>
    </row>
    <row r="247" spans="1:6" ht="15" customHeight="1" x14ac:dyDescent="0.3">
      <c r="A247" t="s">
        <v>7661</v>
      </c>
      <c r="E247" t="s">
        <v>7661</v>
      </c>
      <c r="F247">
        <v>2</v>
      </c>
    </row>
    <row r="248" spans="1:6" ht="15" customHeight="1" x14ac:dyDescent="0.3">
      <c r="A248" t="s">
        <v>7696</v>
      </c>
      <c r="E248" t="s">
        <v>7696</v>
      </c>
      <c r="F248">
        <v>2</v>
      </c>
    </row>
    <row r="249" spans="1:6" ht="15" customHeight="1" x14ac:dyDescent="0.3">
      <c r="A249" t="s">
        <v>7740</v>
      </c>
      <c r="E249" t="s">
        <v>7740</v>
      </c>
      <c r="F249">
        <v>2</v>
      </c>
    </row>
    <row r="250" spans="1:6" ht="15" customHeight="1" x14ac:dyDescent="0.3">
      <c r="A250" t="s">
        <v>7856</v>
      </c>
      <c r="E250" t="s">
        <v>7856</v>
      </c>
      <c r="F250">
        <v>2</v>
      </c>
    </row>
    <row r="251" spans="1:6" ht="15" customHeight="1" x14ac:dyDescent="0.3">
      <c r="A251" t="s">
        <v>7927</v>
      </c>
      <c r="E251" t="s">
        <v>7927</v>
      </c>
      <c r="F251">
        <v>2</v>
      </c>
    </row>
    <row r="252" spans="1:6" ht="15" customHeight="1" x14ac:dyDescent="0.3">
      <c r="A252" t="s">
        <v>7952</v>
      </c>
      <c r="E252" t="s">
        <v>7952</v>
      </c>
      <c r="F252">
        <v>2</v>
      </c>
    </row>
    <row r="253" spans="1:6" ht="15" customHeight="1" x14ac:dyDescent="0.3">
      <c r="A253" t="s">
        <v>7988</v>
      </c>
      <c r="E253" t="s">
        <v>7988</v>
      </c>
      <c r="F253">
        <v>2</v>
      </c>
    </row>
    <row r="254" spans="1:6" ht="15" customHeight="1" x14ac:dyDescent="0.3">
      <c r="A254" t="s">
        <v>8021</v>
      </c>
      <c r="E254" t="s">
        <v>8021</v>
      </c>
      <c r="F254">
        <v>2</v>
      </c>
    </row>
    <row r="255" spans="1:6" ht="15" customHeight="1" x14ac:dyDescent="0.3">
      <c r="A255" t="s">
        <v>8134</v>
      </c>
      <c r="E255" t="s">
        <v>8134</v>
      </c>
      <c r="F255">
        <v>2</v>
      </c>
    </row>
    <row r="256" spans="1:6" ht="15" customHeight="1" x14ac:dyDescent="0.3">
      <c r="A256" t="s">
        <v>8170</v>
      </c>
      <c r="E256" t="s">
        <v>8170</v>
      </c>
      <c r="F256">
        <v>2</v>
      </c>
    </row>
    <row r="257" spans="1:6" ht="15" customHeight="1" x14ac:dyDescent="0.3">
      <c r="A257" t="s">
        <v>8259</v>
      </c>
      <c r="E257" t="s">
        <v>8259</v>
      </c>
      <c r="F257">
        <v>2</v>
      </c>
    </row>
    <row r="258" spans="1:6" ht="15" customHeight="1" x14ac:dyDescent="0.3">
      <c r="A258" t="s">
        <v>8303</v>
      </c>
      <c r="E258" t="s">
        <v>8303</v>
      </c>
      <c r="F258">
        <v>2</v>
      </c>
    </row>
    <row r="259" spans="1:6" ht="15" customHeight="1" x14ac:dyDescent="0.3">
      <c r="A259" t="s">
        <v>8312</v>
      </c>
      <c r="E259" t="s">
        <v>8312</v>
      </c>
      <c r="F259">
        <v>2</v>
      </c>
    </row>
    <row r="260" spans="1:6" ht="15" customHeight="1" x14ac:dyDescent="0.3">
      <c r="A260" t="s">
        <v>8376</v>
      </c>
      <c r="E260" t="s">
        <v>8376</v>
      </c>
      <c r="F260">
        <v>2</v>
      </c>
    </row>
    <row r="261" spans="1:6" ht="15" customHeight="1" x14ac:dyDescent="0.3">
      <c r="A261" t="s">
        <v>8407</v>
      </c>
      <c r="E261" t="s">
        <v>8407</v>
      </c>
      <c r="F261">
        <v>2</v>
      </c>
    </row>
    <row r="262" spans="1:6" ht="15" customHeight="1" x14ac:dyDescent="0.3">
      <c r="A262" t="s">
        <v>8475</v>
      </c>
      <c r="E262" t="s">
        <v>8475</v>
      </c>
      <c r="F262">
        <v>2</v>
      </c>
    </row>
    <row r="263" spans="1:6" ht="15" customHeight="1" x14ac:dyDescent="0.3">
      <c r="A263" t="s">
        <v>8501</v>
      </c>
      <c r="E263" t="s">
        <v>8501</v>
      </c>
      <c r="F263">
        <v>2</v>
      </c>
    </row>
    <row r="264" spans="1:6" ht="15" customHeight="1" x14ac:dyDescent="0.3">
      <c r="A264" t="s">
        <v>8520</v>
      </c>
      <c r="E264" t="s">
        <v>8520</v>
      </c>
      <c r="F264">
        <v>2</v>
      </c>
    </row>
    <row r="265" spans="1:6" ht="15" customHeight="1" x14ac:dyDescent="0.3">
      <c r="A265" t="s">
        <v>8529</v>
      </c>
      <c r="E265" t="s">
        <v>8529</v>
      </c>
      <c r="F265">
        <v>2</v>
      </c>
    </row>
    <row r="266" spans="1:6" ht="15" customHeight="1" x14ac:dyDescent="0.3">
      <c r="A266" t="s">
        <v>8534</v>
      </c>
      <c r="E266" t="s">
        <v>8534</v>
      </c>
      <c r="F266">
        <v>2</v>
      </c>
    </row>
    <row r="267" spans="1:6" ht="15" customHeight="1" x14ac:dyDescent="0.3">
      <c r="A267" t="s">
        <v>8579</v>
      </c>
      <c r="E267" t="s">
        <v>8579</v>
      </c>
      <c r="F267">
        <v>2</v>
      </c>
    </row>
    <row r="268" spans="1:6" ht="15" customHeight="1" x14ac:dyDescent="0.3">
      <c r="A268" t="s">
        <v>8606</v>
      </c>
      <c r="E268" t="s">
        <v>8606</v>
      </c>
      <c r="F268">
        <v>2</v>
      </c>
    </row>
    <row r="269" spans="1:6" ht="15" customHeight="1" x14ac:dyDescent="0.3">
      <c r="A269" t="s">
        <v>8627</v>
      </c>
      <c r="E269" t="s">
        <v>8627</v>
      </c>
      <c r="F269">
        <v>2</v>
      </c>
    </row>
    <row r="270" spans="1:6" ht="15" customHeight="1" x14ac:dyDescent="0.3">
      <c r="A270" t="s">
        <v>8632</v>
      </c>
      <c r="E270" t="s">
        <v>8632</v>
      </c>
      <c r="F270">
        <v>2</v>
      </c>
    </row>
    <row r="271" spans="1:6" ht="15" customHeight="1" x14ac:dyDescent="0.3">
      <c r="A271" t="s">
        <v>8717</v>
      </c>
      <c r="E271" t="s">
        <v>8717</v>
      </c>
      <c r="F271">
        <v>2</v>
      </c>
    </row>
    <row r="272" spans="1:6" ht="15" customHeight="1" x14ac:dyDescent="0.3">
      <c r="A272" t="s">
        <v>8730</v>
      </c>
      <c r="E272" t="s">
        <v>8730</v>
      </c>
      <c r="F272">
        <v>2</v>
      </c>
    </row>
    <row r="273" spans="1:6" ht="15" customHeight="1" x14ac:dyDescent="0.3">
      <c r="A273" t="s">
        <v>8742</v>
      </c>
      <c r="E273" t="s">
        <v>8742</v>
      </c>
      <c r="F273">
        <v>2</v>
      </c>
    </row>
    <row r="274" spans="1:6" ht="15" customHeight="1" x14ac:dyDescent="0.3">
      <c r="A274" t="s">
        <v>8785</v>
      </c>
      <c r="E274" t="s">
        <v>8785</v>
      </c>
      <c r="F274">
        <v>2</v>
      </c>
    </row>
    <row r="275" spans="1:6" ht="15" customHeight="1" x14ac:dyDescent="0.3">
      <c r="A275" t="s">
        <v>8881</v>
      </c>
      <c r="E275" t="s">
        <v>8881</v>
      </c>
      <c r="F275">
        <v>2</v>
      </c>
    </row>
    <row r="276" spans="1:6" ht="15" customHeight="1" x14ac:dyDescent="0.3">
      <c r="A276" t="s">
        <v>8909</v>
      </c>
      <c r="E276" t="s">
        <v>8909</v>
      </c>
      <c r="F276">
        <v>2</v>
      </c>
    </row>
    <row r="277" spans="1:6" ht="15" customHeight="1" x14ac:dyDescent="0.3">
      <c r="A277" t="s">
        <v>8922</v>
      </c>
      <c r="E277" t="s">
        <v>8922</v>
      </c>
      <c r="F277">
        <v>2</v>
      </c>
    </row>
    <row r="278" spans="1:6" ht="15" customHeight="1" x14ac:dyDescent="0.3">
      <c r="A278" t="s">
        <v>8938</v>
      </c>
      <c r="E278" t="s">
        <v>8938</v>
      </c>
      <c r="F278">
        <v>2</v>
      </c>
    </row>
    <row r="279" spans="1:6" ht="15" customHeight="1" x14ac:dyDescent="0.3">
      <c r="A279" t="s">
        <v>9032</v>
      </c>
      <c r="E279" t="s">
        <v>9032</v>
      </c>
      <c r="F279">
        <v>2</v>
      </c>
    </row>
    <row r="280" spans="1:6" ht="15" customHeight="1" x14ac:dyDescent="0.3">
      <c r="A280" t="s">
        <v>9055</v>
      </c>
      <c r="E280" t="s">
        <v>9055</v>
      </c>
      <c r="F280">
        <v>2</v>
      </c>
    </row>
    <row r="281" spans="1:6" ht="15" customHeight="1" x14ac:dyDescent="0.3">
      <c r="A281" t="s">
        <v>9128</v>
      </c>
      <c r="E281" t="s">
        <v>9128</v>
      </c>
      <c r="F281">
        <v>2</v>
      </c>
    </row>
    <row r="282" spans="1:6" ht="15" customHeight="1" x14ac:dyDescent="0.3">
      <c r="A282" t="s">
        <v>9167</v>
      </c>
      <c r="E282" t="s">
        <v>9167</v>
      </c>
      <c r="F282">
        <v>2</v>
      </c>
    </row>
    <row r="283" spans="1:6" ht="15" customHeight="1" x14ac:dyDescent="0.3">
      <c r="A283" t="s">
        <v>9172</v>
      </c>
      <c r="E283" t="s">
        <v>9172</v>
      </c>
      <c r="F283">
        <v>2</v>
      </c>
    </row>
    <row r="284" spans="1:6" ht="15" customHeight="1" x14ac:dyDescent="0.3">
      <c r="A284" t="s">
        <v>9356</v>
      </c>
      <c r="E284" t="s">
        <v>9356</v>
      </c>
      <c r="F284">
        <v>2</v>
      </c>
    </row>
    <row r="285" spans="1:6" ht="15" customHeight="1" x14ac:dyDescent="0.3">
      <c r="A285" t="s">
        <v>9588</v>
      </c>
      <c r="E285" t="s">
        <v>9588</v>
      </c>
      <c r="F285">
        <v>2</v>
      </c>
    </row>
    <row r="286" spans="1:6" ht="15" customHeight="1" x14ac:dyDescent="0.3">
      <c r="A286" t="s">
        <v>9741</v>
      </c>
      <c r="E286" t="s">
        <v>9741</v>
      </c>
      <c r="F286">
        <v>2</v>
      </c>
    </row>
    <row r="287" spans="1:6" ht="15" customHeight="1" x14ac:dyDescent="0.3">
      <c r="A287" t="s">
        <v>9812</v>
      </c>
      <c r="E287" t="s">
        <v>9812</v>
      </c>
      <c r="F287">
        <v>2</v>
      </c>
    </row>
    <row r="288" spans="1:6" ht="15" customHeight="1" x14ac:dyDescent="0.3">
      <c r="A288" t="s">
        <v>9979</v>
      </c>
      <c r="E288" t="s">
        <v>9979</v>
      </c>
      <c r="F288">
        <v>2</v>
      </c>
    </row>
    <row r="289" spans="1:6" ht="15" customHeight="1" x14ac:dyDescent="0.3">
      <c r="A289" t="s">
        <v>10128</v>
      </c>
      <c r="E289" t="s">
        <v>10128</v>
      </c>
      <c r="F289">
        <v>2</v>
      </c>
    </row>
    <row r="290" spans="1:6" ht="15" customHeight="1" x14ac:dyDescent="0.3">
      <c r="A290" t="s">
        <v>10548</v>
      </c>
      <c r="E290" t="s">
        <v>10548</v>
      </c>
      <c r="F290">
        <v>2</v>
      </c>
    </row>
    <row r="291" spans="1:6" ht="15" customHeight="1" x14ac:dyDescent="0.3">
      <c r="A291" t="s">
        <v>10565</v>
      </c>
      <c r="E291" t="s">
        <v>10565</v>
      </c>
      <c r="F291">
        <v>2</v>
      </c>
    </row>
    <row r="292" spans="1:6" ht="15" customHeight="1" x14ac:dyDescent="0.3">
      <c r="A292" t="s">
        <v>10612</v>
      </c>
      <c r="E292" t="s">
        <v>10612</v>
      </c>
      <c r="F292">
        <v>2</v>
      </c>
    </row>
    <row r="293" spans="1:6" ht="15" customHeight="1" x14ac:dyDescent="0.3">
      <c r="A293" t="s">
        <v>10625</v>
      </c>
      <c r="E293" t="s">
        <v>10625</v>
      </c>
      <c r="F293">
        <v>2</v>
      </c>
    </row>
    <row r="294" spans="1:6" ht="15" customHeight="1" x14ac:dyDescent="0.3">
      <c r="A294" t="s">
        <v>10640</v>
      </c>
      <c r="E294" t="s">
        <v>10640</v>
      </c>
      <c r="F294">
        <v>2</v>
      </c>
    </row>
    <row r="295" spans="1:6" ht="15" customHeight="1" x14ac:dyDescent="0.3">
      <c r="A295" t="s">
        <v>10708</v>
      </c>
      <c r="E295" t="s">
        <v>10708</v>
      </c>
      <c r="F295">
        <v>2</v>
      </c>
    </row>
    <row r="296" spans="1:6" ht="15" customHeight="1" x14ac:dyDescent="0.3">
      <c r="A296" t="s">
        <v>10712</v>
      </c>
      <c r="E296" t="s">
        <v>10712</v>
      </c>
      <c r="F296">
        <v>2</v>
      </c>
    </row>
    <row r="297" spans="1:6" ht="15" customHeight="1" x14ac:dyDescent="0.3">
      <c r="A297" t="s">
        <v>10732</v>
      </c>
      <c r="E297" t="s">
        <v>10732</v>
      </c>
      <c r="F297">
        <v>2</v>
      </c>
    </row>
    <row r="298" spans="1:6" ht="15" customHeight="1" x14ac:dyDescent="0.3">
      <c r="A298" t="s">
        <v>10758</v>
      </c>
      <c r="E298" t="s">
        <v>10758</v>
      </c>
      <c r="F298">
        <v>2</v>
      </c>
    </row>
    <row r="299" spans="1:6" ht="15" customHeight="1" x14ac:dyDescent="0.3">
      <c r="A299" t="s">
        <v>11110</v>
      </c>
      <c r="E299" t="s">
        <v>11110</v>
      </c>
      <c r="F299">
        <v>2</v>
      </c>
    </row>
    <row r="300" spans="1:6" ht="15" customHeight="1" x14ac:dyDescent="0.3">
      <c r="A300" t="s">
        <v>11120</v>
      </c>
      <c r="E300" t="s">
        <v>11120</v>
      </c>
      <c r="F300">
        <v>2</v>
      </c>
    </row>
    <row r="301" spans="1:6" ht="15" customHeight="1" x14ac:dyDescent="0.3">
      <c r="A301" t="s">
        <v>234</v>
      </c>
      <c r="E301" t="s">
        <v>234</v>
      </c>
      <c r="F301">
        <v>1</v>
      </c>
    </row>
    <row r="302" spans="1:6" ht="15" customHeight="1" x14ac:dyDescent="0.3">
      <c r="A302" t="s">
        <v>242</v>
      </c>
      <c r="E302" t="s">
        <v>242</v>
      </c>
      <c r="F302">
        <v>1</v>
      </c>
    </row>
    <row r="303" spans="1:6" ht="15" customHeight="1" x14ac:dyDescent="0.3">
      <c r="A303" t="s">
        <v>288</v>
      </c>
      <c r="E303" t="s">
        <v>288</v>
      </c>
      <c r="F303">
        <v>1</v>
      </c>
    </row>
    <row r="304" spans="1:6" ht="15" customHeight="1" x14ac:dyDescent="0.3">
      <c r="A304" t="s">
        <v>293</v>
      </c>
      <c r="E304" t="s">
        <v>293</v>
      </c>
      <c r="F304">
        <v>1</v>
      </c>
    </row>
    <row r="305" spans="1:6" ht="15" customHeight="1" x14ac:dyDescent="0.3">
      <c r="A305" t="s">
        <v>301</v>
      </c>
      <c r="E305" t="s">
        <v>301</v>
      </c>
      <c r="F305">
        <v>1</v>
      </c>
    </row>
    <row r="306" spans="1:6" ht="15" customHeight="1" x14ac:dyDescent="0.3">
      <c r="A306" t="s">
        <v>310</v>
      </c>
      <c r="E306" t="s">
        <v>310</v>
      </c>
      <c r="F306">
        <v>1</v>
      </c>
    </row>
    <row r="307" spans="1:6" ht="15" customHeight="1" x14ac:dyDescent="0.3">
      <c r="A307" t="s">
        <v>355</v>
      </c>
      <c r="E307" t="s">
        <v>355</v>
      </c>
      <c r="F307">
        <v>1</v>
      </c>
    </row>
    <row r="308" spans="1:6" ht="15" customHeight="1" x14ac:dyDescent="0.3">
      <c r="A308" t="s">
        <v>369</v>
      </c>
      <c r="E308" t="s">
        <v>369</v>
      </c>
      <c r="F308">
        <v>1</v>
      </c>
    </row>
    <row r="309" spans="1:6" ht="15" customHeight="1" x14ac:dyDescent="0.3">
      <c r="A309" t="s">
        <v>377</v>
      </c>
      <c r="E309" t="s">
        <v>377</v>
      </c>
      <c r="F309">
        <v>1</v>
      </c>
    </row>
    <row r="310" spans="1:6" ht="15" customHeight="1" x14ac:dyDescent="0.3">
      <c r="A310" t="s">
        <v>391</v>
      </c>
      <c r="E310" t="s">
        <v>391</v>
      </c>
      <c r="F310">
        <v>1</v>
      </c>
    </row>
    <row r="311" spans="1:6" ht="15" customHeight="1" x14ac:dyDescent="0.3">
      <c r="A311" t="s">
        <v>418</v>
      </c>
      <c r="E311" t="s">
        <v>418</v>
      </c>
      <c r="F311">
        <v>1</v>
      </c>
    </row>
    <row r="312" spans="1:6" ht="15" customHeight="1" x14ac:dyDescent="0.3">
      <c r="A312" t="s">
        <v>423</v>
      </c>
      <c r="E312" t="s">
        <v>423</v>
      </c>
      <c r="F312">
        <v>1</v>
      </c>
    </row>
    <row r="313" spans="1:6" ht="15" customHeight="1" x14ac:dyDescent="0.3">
      <c r="A313" t="s">
        <v>428</v>
      </c>
      <c r="E313" t="s">
        <v>428</v>
      </c>
      <c r="F313">
        <v>1</v>
      </c>
    </row>
    <row r="314" spans="1:6" ht="15" customHeight="1" x14ac:dyDescent="0.3">
      <c r="A314" t="s">
        <v>440</v>
      </c>
      <c r="E314" t="s">
        <v>440</v>
      </c>
      <c r="F314">
        <v>1</v>
      </c>
    </row>
    <row r="315" spans="1:6" ht="15" customHeight="1" x14ac:dyDescent="0.3">
      <c r="A315" t="s">
        <v>458</v>
      </c>
      <c r="E315" t="s">
        <v>458</v>
      </c>
      <c r="F315">
        <v>1</v>
      </c>
    </row>
    <row r="316" spans="1:6" ht="15" customHeight="1" x14ac:dyDescent="0.3">
      <c r="A316" t="s">
        <v>466</v>
      </c>
      <c r="E316" t="s">
        <v>466</v>
      </c>
      <c r="F316">
        <v>1</v>
      </c>
    </row>
    <row r="317" spans="1:6" ht="15" customHeight="1" x14ac:dyDescent="0.3">
      <c r="A317" t="s">
        <v>477</v>
      </c>
      <c r="E317" t="s">
        <v>477</v>
      </c>
      <c r="F317">
        <v>1</v>
      </c>
    </row>
    <row r="318" spans="1:6" ht="15" customHeight="1" x14ac:dyDescent="0.3">
      <c r="A318" t="s">
        <v>488</v>
      </c>
      <c r="E318" t="s">
        <v>488</v>
      </c>
      <c r="F318">
        <v>1</v>
      </c>
    </row>
    <row r="319" spans="1:6" ht="15" customHeight="1" x14ac:dyDescent="0.3">
      <c r="A319" t="s">
        <v>506</v>
      </c>
      <c r="E319" t="s">
        <v>506</v>
      </c>
      <c r="F319">
        <v>1</v>
      </c>
    </row>
    <row r="320" spans="1:6" ht="15" customHeight="1" x14ac:dyDescent="0.3">
      <c r="A320" t="s">
        <v>523</v>
      </c>
      <c r="E320" t="s">
        <v>523</v>
      </c>
      <c r="F320">
        <v>1</v>
      </c>
    </row>
    <row r="321" spans="1:6" ht="15" customHeight="1" x14ac:dyDescent="0.3">
      <c r="A321" t="s">
        <v>537</v>
      </c>
      <c r="E321" t="s">
        <v>537</v>
      </c>
      <c r="F321">
        <v>1</v>
      </c>
    </row>
    <row r="322" spans="1:6" ht="15" customHeight="1" x14ac:dyDescent="0.3">
      <c r="A322" t="s">
        <v>544</v>
      </c>
      <c r="E322" t="s">
        <v>544</v>
      </c>
      <c r="F322">
        <v>1</v>
      </c>
    </row>
    <row r="323" spans="1:6" ht="15" customHeight="1" x14ac:dyDescent="0.3">
      <c r="A323" t="s">
        <v>550</v>
      </c>
      <c r="E323" t="s">
        <v>550</v>
      </c>
      <c r="F323">
        <v>1</v>
      </c>
    </row>
    <row r="324" spans="1:6" ht="15" customHeight="1" x14ac:dyDescent="0.3">
      <c r="A324" t="s">
        <v>556</v>
      </c>
      <c r="E324" t="s">
        <v>556</v>
      </c>
      <c r="F324">
        <v>1</v>
      </c>
    </row>
    <row r="325" spans="1:6" ht="15" customHeight="1" x14ac:dyDescent="0.3">
      <c r="A325" t="s">
        <v>568</v>
      </c>
      <c r="E325" t="s">
        <v>568</v>
      </c>
      <c r="F325">
        <v>1</v>
      </c>
    </row>
    <row r="326" spans="1:6" ht="15" customHeight="1" x14ac:dyDescent="0.3">
      <c r="A326" t="s">
        <v>574</v>
      </c>
      <c r="E326" t="s">
        <v>574</v>
      </c>
      <c r="F326">
        <v>1</v>
      </c>
    </row>
    <row r="327" spans="1:6" ht="15" customHeight="1" x14ac:dyDescent="0.3">
      <c r="A327" t="s">
        <v>579</v>
      </c>
      <c r="E327" t="s">
        <v>579</v>
      </c>
      <c r="F327">
        <v>1</v>
      </c>
    </row>
    <row r="328" spans="1:6" ht="15" customHeight="1" x14ac:dyDescent="0.3">
      <c r="A328" t="s">
        <v>584</v>
      </c>
      <c r="E328" t="s">
        <v>584</v>
      </c>
      <c r="F328">
        <v>1</v>
      </c>
    </row>
    <row r="329" spans="1:6" ht="15" customHeight="1" x14ac:dyDescent="0.3">
      <c r="A329" t="s">
        <v>597</v>
      </c>
      <c r="E329" t="s">
        <v>597</v>
      </c>
      <c r="F329">
        <v>1</v>
      </c>
    </row>
    <row r="330" spans="1:6" ht="15" customHeight="1" x14ac:dyDescent="0.3">
      <c r="A330" t="s">
        <v>605</v>
      </c>
      <c r="E330" t="s">
        <v>605</v>
      </c>
      <c r="F330">
        <v>1</v>
      </c>
    </row>
    <row r="331" spans="1:6" ht="15" customHeight="1" x14ac:dyDescent="0.3">
      <c r="A331" t="s">
        <v>652</v>
      </c>
      <c r="E331" t="s">
        <v>652</v>
      </c>
      <c r="F331">
        <v>1</v>
      </c>
    </row>
    <row r="332" spans="1:6" ht="15" customHeight="1" x14ac:dyDescent="0.3">
      <c r="A332" t="s">
        <v>657</v>
      </c>
      <c r="E332" t="s">
        <v>657</v>
      </c>
      <c r="F332">
        <v>1</v>
      </c>
    </row>
    <row r="333" spans="1:6" ht="15" customHeight="1" x14ac:dyDescent="0.3">
      <c r="A333" t="s">
        <v>668</v>
      </c>
      <c r="E333" t="s">
        <v>668</v>
      </c>
      <c r="F333">
        <v>1</v>
      </c>
    </row>
    <row r="334" spans="1:6" ht="15" customHeight="1" x14ac:dyDescent="0.3">
      <c r="A334" t="s">
        <v>700</v>
      </c>
      <c r="E334" t="s">
        <v>700</v>
      </c>
      <c r="F334">
        <v>1</v>
      </c>
    </row>
    <row r="335" spans="1:6" ht="15" customHeight="1" x14ac:dyDescent="0.3">
      <c r="A335" t="s">
        <v>729</v>
      </c>
      <c r="E335" t="s">
        <v>729</v>
      </c>
      <c r="F335">
        <v>1</v>
      </c>
    </row>
    <row r="336" spans="1:6" ht="15" customHeight="1" x14ac:dyDescent="0.3">
      <c r="A336" t="s">
        <v>736</v>
      </c>
      <c r="E336" t="s">
        <v>736</v>
      </c>
      <c r="F336">
        <v>1</v>
      </c>
    </row>
    <row r="337" spans="1:6" ht="15" customHeight="1" x14ac:dyDescent="0.3">
      <c r="A337" t="s">
        <v>752</v>
      </c>
      <c r="E337" t="s">
        <v>752</v>
      </c>
      <c r="F337">
        <v>1</v>
      </c>
    </row>
    <row r="338" spans="1:6" ht="15" customHeight="1" x14ac:dyDescent="0.3">
      <c r="A338" t="s">
        <v>759</v>
      </c>
      <c r="E338" t="s">
        <v>759</v>
      </c>
      <c r="F338">
        <v>1</v>
      </c>
    </row>
    <row r="339" spans="1:6" ht="15" customHeight="1" x14ac:dyDescent="0.3">
      <c r="A339" t="s">
        <v>792</v>
      </c>
      <c r="E339" t="s">
        <v>792</v>
      </c>
      <c r="F339">
        <v>1</v>
      </c>
    </row>
    <row r="340" spans="1:6" ht="15" customHeight="1" x14ac:dyDescent="0.3">
      <c r="A340" t="s">
        <v>799</v>
      </c>
      <c r="E340" t="s">
        <v>799</v>
      </c>
      <c r="F340">
        <v>1</v>
      </c>
    </row>
    <row r="341" spans="1:6" ht="15" customHeight="1" x14ac:dyDescent="0.3">
      <c r="A341" t="s">
        <v>848</v>
      </c>
      <c r="E341" t="s">
        <v>848</v>
      </c>
      <c r="F341">
        <v>1</v>
      </c>
    </row>
    <row r="342" spans="1:6" ht="15" customHeight="1" x14ac:dyDescent="0.3">
      <c r="A342" t="s">
        <v>922</v>
      </c>
      <c r="E342" t="s">
        <v>922</v>
      </c>
      <c r="F342">
        <v>1</v>
      </c>
    </row>
    <row r="343" spans="1:6" ht="15" customHeight="1" x14ac:dyDescent="0.3">
      <c r="A343" t="s">
        <v>945</v>
      </c>
      <c r="E343" t="s">
        <v>945</v>
      </c>
      <c r="F343">
        <v>1</v>
      </c>
    </row>
    <row r="344" spans="1:6" ht="15" customHeight="1" x14ac:dyDescent="0.3">
      <c r="A344" t="s">
        <v>966</v>
      </c>
      <c r="E344" t="s">
        <v>966</v>
      </c>
      <c r="F344">
        <v>1</v>
      </c>
    </row>
    <row r="345" spans="1:6" ht="15" customHeight="1" x14ac:dyDescent="0.3">
      <c r="A345" t="s">
        <v>975</v>
      </c>
      <c r="E345" t="s">
        <v>975</v>
      </c>
      <c r="F345">
        <v>1</v>
      </c>
    </row>
    <row r="346" spans="1:6" ht="15" customHeight="1" x14ac:dyDescent="0.3">
      <c r="A346" t="s">
        <v>993</v>
      </c>
      <c r="E346" t="s">
        <v>993</v>
      </c>
      <c r="F346">
        <v>1</v>
      </c>
    </row>
    <row r="347" spans="1:6" ht="15" customHeight="1" x14ac:dyDescent="0.3">
      <c r="A347" t="s">
        <v>1012</v>
      </c>
      <c r="E347" t="s">
        <v>1012</v>
      </c>
      <c r="F347">
        <v>1</v>
      </c>
    </row>
    <row r="348" spans="1:6" ht="15" customHeight="1" x14ac:dyDescent="0.3">
      <c r="A348" t="s">
        <v>1017</v>
      </c>
      <c r="E348" t="s">
        <v>1017</v>
      </c>
      <c r="F348">
        <v>1</v>
      </c>
    </row>
    <row r="349" spans="1:6" ht="15" customHeight="1" x14ac:dyDescent="0.3">
      <c r="A349" t="s">
        <v>1039</v>
      </c>
      <c r="E349" t="s">
        <v>1039</v>
      </c>
      <c r="F349">
        <v>1</v>
      </c>
    </row>
    <row r="350" spans="1:6" ht="15" customHeight="1" x14ac:dyDescent="0.3">
      <c r="A350" t="s">
        <v>1048</v>
      </c>
      <c r="E350" t="s">
        <v>1048</v>
      </c>
      <c r="F350">
        <v>1</v>
      </c>
    </row>
    <row r="351" spans="1:6" ht="15" customHeight="1" x14ac:dyDescent="0.3">
      <c r="A351" t="s">
        <v>1078</v>
      </c>
      <c r="E351" t="s">
        <v>1078</v>
      </c>
      <c r="F351">
        <v>1</v>
      </c>
    </row>
    <row r="352" spans="1:6" ht="15" customHeight="1" x14ac:dyDescent="0.3">
      <c r="A352" t="s">
        <v>1147</v>
      </c>
      <c r="E352" t="s">
        <v>1147</v>
      </c>
      <c r="F352">
        <v>1</v>
      </c>
    </row>
    <row r="353" spans="1:6" ht="15" customHeight="1" x14ac:dyDescent="0.3">
      <c r="A353" t="s">
        <v>1158</v>
      </c>
      <c r="E353" t="s">
        <v>1158</v>
      </c>
      <c r="F353">
        <v>1</v>
      </c>
    </row>
    <row r="354" spans="1:6" ht="15" customHeight="1" x14ac:dyDescent="0.3">
      <c r="A354" t="s">
        <v>1163</v>
      </c>
      <c r="E354" t="s">
        <v>1163</v>
      </c>
      <c r="F354">
        <v>1</v>
      </c>
    </row>
    <row r="355" spans="1:6" ht="15" customHeight="1" x14ac:dyDescent="0.3">
      <c r="A355" t="s">
        <v>1175</v>
      </c>
      <c r="E355" t="s">
        <v>1175</v>
      </c>
      <c r="F355">
        <v>1</v>
      </c>
    </row>
    <row r="356" spans="1:6" ht="15" customHeight="1" x14ac:dyDescent="0.3">
      <c r="A356" t="s">
        <v>1220</v>
      </c>
      <c r="E356" t="s">
        <v>1220</v>
      </c>
      <c r="F356">
        <v>1</v>
      </c>
    </row>
    <row r="357" spans="1:6" ht="15" customHeight="1" x14ac:dyDescent="0.3">
      <c r="A357" t="s">
        <v>1238</v>
      </c>
      <c r="E357" t="s">
        <v>1238</v>
      </c>
      <c r="F357">
        <v>1</v>
      </c>
    </row>
    <row r="358" spans="1:6" ht="15" customHeight="1" x14ac:dyDescent="0.3">
      <c r="A358" t="s">
        <v>1256</v>
      </c>
      <c r="E358" t="s">
        <v>1256</v>
      </c>
      <c r="F358">
        <v>1</v>
      </c>
    </row>
    <row r="359" spans="1:6" ht="15" customHeight="1" x14ac:dyDescent="0.3">
      <c r="A359" t="s">
        <v>1268</v>
      </c>
      <c r="E359" t="s">
        <v>1268</v>
      </c>
      <c r="F359">
        <v>1</v>
      </c>
    </row>
    <row r="360" spans="1:6" ht="15" customHeight="1" x14ac:dyDescent="0.3">
      <c r="A360" t="s">
        <v>1281</v>
      </c>
      <c r="E360" t="s">
        <v>1281</v>
      </c>
      <c r="F360">
        <v>1</v>
      </c>
    </row>
    <row r="361" spans="1:6" ht="15" customHeight="1" x14ac:dyDescent="0.3">
      <c r="A361" t="s">
        <v>1316</v>
      </c>
      <c r="E361" t="s">
        <v>1316</v>
      </c>
      <c r="F361">
        <v>1</v>
      </c>
    </row>
    <row r="362" spans="1:6" ht="15" customHeight="1" x14ac:dyDescent="0.3">
      <c r="A362" t="s">
        <v>1336</v>
      </c>
      <c r="E362" t="s">
        <v>1336</v>
      </c>
      <c r="F362">
        <v>1</v>
      </c>
    </row>
    <row r="363" spans="1:6" ht="15" customHeight="1" x14ac:dyDescent="0.3">
      <c r="A363" t="s">
        <v>1346</v>
      </c>
      <c r="E363" t="s">
        <v>1346</v>
      </c>
      <c r="F363">
        <v>1</v>
      </c>
    </row>
    <row r="364" spans="1:6" ht="15" customHeight="1" x14ac:dyDescent="0.3">
      <c r="A364" t="s">
        <v>1371</v>
      </c>
      <c r="E364" t="s">
        <v>1371</v>
      </c>
      <c r="F364">
        <v>1</v>
      </c>
    </row>
    <row r="365" spans="1:6" ht="15" customHeight="1" x14ac:dyDescent="0.3">
      <c r="A365" t="s">
        <v>1379</v>
      </c>
      <c r="E365" t="s">
        <v>1379</v>
      </c>
      <c r="F365">
        <v>1</v>
      </c>
    </row>
    <row r="366" spans="1:6" ht="15" customHeight="1" x14ac:dyDescent="0.3">
      <c r="A366" t="s">
        <v>1388</v>
      </c>
      <c r="E366" t="s">
        <v>1388</v>
      </c>
      <c r="F366">
        <v>1</v>
      </c>
    </row>
    <row r="367" spans="1:6" ht="15" customHeight="1" x14ac:dyDescent="0.3">
      <c r="A367" t="s">
        <v>1402</v>
      </c>
      <c r="E367" t="s">
        <v>1402</v>
      </c>
      <c r="F367">
        <v>1</v>
      </c>
    </row>
    <row r="368" spans="1:6" ht="15" customHeight="1" x14ac:dyDescent="0.3">
      <c r="A368" t="s">
        <v>1448</v>
      </c>
      <c r="E368" t="s">
        <v>1448</v>
      </c>
      <c r="F368">
        <v>1</v>
      </c>
    </row>
    <row r="369" spans="1:6" ht="15" customHeight="1" x14ac:dyDescent="0.3">
      <c r="A369" t="s">
        <v>1470</v>
      </c>
      <c r="E369" t="s">
        <v>1470</v>
      </c>
      <c r="F369">
        <v>1</v>
      </c>
    </row>
    <row r="370" spans="1:6" ht="15" customHeight="1" x14ac:dyDescent="0.3">
      <c r="A370" t="s">
        <v>1484</v>
      </c>
      <c r="E370" t="s">
        <v>1484</v>
      </c>
      <c r="F370">
        <v>1</v>
      </c>
    </row>
    <row r="371" spans="1:6" ht="15" customHeight="1" x14ac:dyDescent="0.3">
      <c r="A371" t="s">
        <v>1488</v>
      </c>
      <c r="E371" t="s">
        <v>1488</v>
      </c>
      <c r="F371">
        <v>1</v>
      </c>
    </row>
    <row r="372" spans="1:6" ht="15" customHeight="1" x14ac:dyDescent="0.3">
      <c r="A372" t="s">
        <v>1507</v>
      </c>
      <c r="E372" t="s">
        <v>1507</v>
      </c>
      <c r="F372">
        <v>1</v>
      </c>
    </row>
    <row r="373" spans="1:6" ht="15" customHeight="1" x14ac:dyDescent="0.3">
      <c r="A373" t="s">
        <v>1511</v>
      </c>
      <c r="E373" t="s">
        <v>1511</v>
      </c>
      <c r="F373">
        <v>1</v>
      </c>
    </row>
    <row r="374" spans="1:6" ht="15" customHeight="1" x14ac:dyDescent="0.3">
      <c r="A374" t="s">
        <v>1518</v>
      </c>
      <c r="E374" t="s">
        <v>1518</v>
      </c>
      <c r="F374">
        <v>1</v>
      </c>
    </row>
    <row r="375" spans="1:6" ht="15" customHeight="1" x14ac:dyDescent="0.3">
      <c r="A375" t="s">
        <v>1526</v>
      </c>
      <c r="E375" t="s">
        <v>1526</v>
      </c>
      <c r="F375">
        <v>1</v>
      </c>
    </row>
    <row r="376" spans="1:6" ht="15" customHeight="1" x14ac:dyDescent="0.3">
      <c r="A376" t="s">
        <v>1561</v>
      </c>
      <c r="E376" t="s">
        <v>1561</v>
      </c>
      <c r="F376">
        <v>1</v>
      </c>
    </row>
    <row r="377" spans="1:6" ht="15" customHeight="1" x14ac:dyDescent="0.3">
      <c r="A377" t="s">
        <v>1585</v>
      </c>
      <c r="E377" t="s">
        <v>1585</v>
      </c>
      <c r="F377">
        <v>1</v>
      </c>
    </row>
    <row r="378" spans="1:6" ht="15" customHeight="1" x14ac:dyDescent="0.3">
      <c r="A378" t="s">
        <v>1590</v>
      </c>
      <c r="E378" t="s">
        <v>1590</v>
      </c>
      <c r="F378">
        <v>1</v>
      </c>
    </row>
    <row r="379" spans="1:6" ht="15" customHeight="1" x14ac:dyDescent="0.3">
      <c r="A379" t="s">
        <v>1600</v>
      </c>
      <c r="E379" t="s">
        <v>1600</v>
      </c>
      <c r="F379">
        <v>1</v>
      </c>
    </row>
    <row r="380" spans="1:6" ht="15" customHeight="1" x14ac:dyDescent="0.3">
      <c r="A380" t="s">
        <v>1609</v>
      </c>
      <c r="E380" t="s">
        <v>1609</v>
      </c>
      <c r="F380">
        <v>1</v>
      </c>
    </row>
    <row r="381" spans="1:6" ht="15" customHeight="1" x14ac:dyDescent="0.3">
      <c r="A381" t="s">
        <v>1614</v>
      </c>
      <c r="E381" t="s">
        <v>1614</v>
      </c>
      <c r="F381">
        <v>1</v>
      </c>
    </row>
    <row r="382" spans="1:6" ht="15" customHeight="1" x14ac:dyDescent="0.3">
      <c r="A382" t="s">
        <v>1626</v>
      </c>
      <c r="E382" t="s">
        <v>1626</v>
      </c>
      <c r="F382">
        <v>1</v>
      </c>
    </row>
    <row r="383" spans="1:6" ht="15" customHeight="1" x14ac:dyDescent="0.3">
      <c r="A383" t="s">
        <v>1630</v>
      </c>
      <c r="E383" t="s">
        <v>1630</v>
      </c>
      <c r="F383">
        <v>1</v>
      </c>
    </row>
    <row r="384" spans="1:6" ht="15" customHeight="1" x14ac:dyDescent="0.3">
      <c r="A384" t="s">
        <v>1638</v>
      </c>
      <c r="E384" t="s">
        <v>1638</v>
      </c>
      <c r="F384">
        <v>1</v>
      </c>
    </row>
    <row r="385" spans="1:6" ht="15" customHeight="1" x14ac:dyDescent="0.3">
      <c r="A385" t="s">
        <v>1643</v>
      </c>
      <c r="E385" t="s">
        <v>1643</v>
      </c>
      <c r="F385">
        <v>1</v>
      </c>
    </row>
    <row r="386" spans="1:6" ht="15" customHeight="1" x14ac:dyDescent="0.3">
      <c r="A386" t="s">
        <v>1652</v>
      </c>
      <c r="E386" t="s">
        <v>1652</v>
      </c>
      <c r="F386">
        <v>1</v>
      </c>
    </row>
    <row r="387" spans="1:6" ht="15" customHeight="1" x14ac:dyDescent="0.3">
      <c r="A387" t="s">
        <v>1657</v>
      </c>
      <c r="E387" t="s">
        <v>1657</v>
      </c>
      <c r="F387">
        <v>1</v>
      </c>
    </row>
    <row r="388" spans="1:6" ht="15" customHeight="1" x14ac:dyDescent="0.3">
      <c r="A388" t="s">
        <v>1662</v>
      </c>
      <c r="E388" t="s">
        <v>1662</v>
      </c>
      <c r="F388">
        <v>1</v>
      </c>
    </row>
    <row r="389" spans="1:6" ht="15" customHeight="1" x14ac:dyDescent="0.3">
      <c r="A389" t="s">
        <v>1666</v>
      </c>
      <c r="E389" t="s">
        <v>1666</v>
      </c>
      <c r="F389">
        <v>1</v>
      </c>
    </row>
    <row r="390" spans="1:6" ht="15" customHeight="1" x14ac:dyDescent="0.3">
      <c r="A390" t="s">
        <v>1673</v>
      </c>
      <c r="E390" t="s">
        <v>1673</v>
      </c>
      <c r="F390">
        <v>1</v>
      </c>
    </row>
    <row r="391" spans="1:6" ht="15" customHeight="1" x14ac:dyDescent="0.3">
      <c r="A391" t="s">
        <v>1696</v>
      </c>
      <c r="E391" t="s">
        <v>1696</v>
      </c>
      <c r="F391">
        <v>1</v>
      </c>
    </row>
    <row r="392" spans="1:6" ht="15" customHeight="1" x14ac:dyDescent="0.3">
      <c r="A392" t="s">
        <v>1786</v>
      </c>
      <c r="E392" t="s">
        <v>1786</v>
      </c>
      <c r="F392">
        <v>1</v>
      </c>
    </row>
    <row r="393" spans="1:6" ht="15" customHeight="1" x14ac:dyDescent="0.3">
      <c r="A393" t="s">
        <v>1790</v>
      </c>
      <c r="E393" t="s">
        <v>1790</v>
      </c>
      <c r="F393">
        <v>1</v>
      </c>
    </row>
    <row r="394" spans="1:6" ht="15" customHeight="1" x14ac:dyDescent="0.3">
      <c r="A394" t="s">
        <v>1794</v>
      </c>
      <c r="E394" t="s">
        <v>1794</v>
      </c>
      <c r="F394">
        <v>1</v>
      </c>
    </row>
    <row r="395" spans="1:6" ht="15" customHeight="1" x14ac:dyDescent="0.3">
      <c r="A395" t="s">
        <v>1803</v>
      </c>
      <c r="E395" t="s">
        <v>1803</v>
      </c>
      <c r="F395">
        <v>1</v>
      </c>
    </row>
    <row r="396" spans="1:6" ht="15" customHeight="1" x14ac:dyDescent="0.3">
      <c r="A396" t="s">
        <v>1832</v>
      </c>
      <c r="E396" t="s">
        <v>1832</v>
      </c>
      <c r="F396">
        <v>1</v>
      </c>
    </row>
    <row r="397" spans="1:6" ht="15" customHeight="1" x14ac:dyDescent="0.3">
      <c r="A397" t="s">
        <v>1864</v>
      </c>
      <c r="E397" t="s">
        <v>1864</v>
      </c>
      <c r="F397">
        <v>1</v>
      </c>
    </row>
    <row r="398" spans="1:6" ht="15" customHeight="1" x14ac:dyDescent="0.3">
      <c r="A398" t="s">
        <v>1880</v>
      </c>
      <c r="E398" t="s">
        <v>1880</v>
      </c>
      <c r="F398">
        <v>1</v>
      </c>
    </row>
    <row r="399" spans="1:6" ht="15" customHeight="1" x14ac:dyDescent="0.3">
      <c r="A399" t="s">
        <v>1885</v>
      </c>
      <c r="E399" t="s">
        <v>1885</v>
      </c>
      <c r="F399">
        <v>1</v>
      </c>
    </row>
    <row r="400" spans="1:6" ht="15" customHeight="1" x14ac:dyDescent="0.3">
      <c r="A400" t="s">
        <v>1892</v>
      </c>
      <c r="E400" t="s">
        <v>1892</v>
      </c>
      <c r="F400">
        <v>1</v>
      </c>
    </row>
    <row r="401" spans="1:6" ht="15" customHeight="1" x14ac:dyDescent="0.3">
      <c r="A401" t="s">
        <v>1896</v>
      </c>
      <c r="E401" t="s">
        <v>1896</v>
      </c>
      <c r="F401">
        <v>1</v>
      </c>
    </row>
    <row r="402" spans="1:6" ht="15" customHeight="1" x14ac:dyDescent="0.3">
      <c r="A402" t="s">
        <v>1909</v>
      </c>
      <c r="E402" t="s">
        <v>1909</v>
      </c>
      <c r="F402">
        <v>1</v>
      </c>
    </row>
    <row r="403" spans="1:6" ht="15" customHeight="1" x14ac:dyDescent="0.3">
      <c r="A403" t="s">
        <v>1930</v>
      </c>
      <c r="E403" t="s">
        <v>1930</v>
      </c>
      <c r="F403">
        <v>1</v>
      </c>
    </row>
    <row r="404" spans="1:6" ht="15" customHeight="1" x14ac:dyDescent="0.3">
      <c r="A404" t="s">
        <v>1935</v>
      </c>
      <c r="E404" t="s">
        <v>1935</v>
      </c>
      <c r="F404">
        <v>1</v>
      </c>
    </row>
    <row r="405" spans="1:6" ht="15" customHeight="1" x14ac:dyDescent="0.3">
      <c r="A405" t="s">
        <v>1949</v>
      </c>
      <c r="E405" t="s">
        <v>1949</v>
      </c>
      <c r="F405">
        <v>1</v>
      </c>
    </row>
    <row r="406" spans="1:6" ht="15" customHeight="1" x14ac:dyDescent="0.3">
      <c r="A406" t="s">
        <v>1963</v>
      </c>
      <c r="E406" t="s">
        <v>1963</v>
      </c>
      <c r="F406">
        <v>1</v>
      </c>
    </row>
    <row r="407" spans="1:6" ht="15" customHeight="1" x14ac:dyDescent="0.3">
      <c r="A407" t="s">
        <v>1990</v>
      </c>
      <c r="E407" t="s">
        <v>1990</v>
      </c>
      <c r="F407">
        <v>1</v>
      </c>
    </row>
    <row r="408" spans="1:6" ht="15" customHeight="1" x14ac:dyDescent="0.3">
      <c r="A408" t="s">
        <v>1995</v>
      </c>
      <c r="E408" t="s">
        <v>1995</v>
      </c>
      <c r="F408">
        <v>1</v>
      </c>
    </row>
    <row r="409" spans="1:6" ht="15" customHeight="1" x14ac:dyDescent="0.3">
      <c r="A409" t="s">
        <v>2011</v>
      </c>
      <c r="E409" t="s">
        <v>2011</v>
      </c>
      <c r="F409">
        <v>1</v>
      </c>
    </row>
    <row r="410" spans="1:6" ht="15" customHeight="1" x14ac:dyDescent="0.3">
      <c r="A410" t="s">
        <v>2018</v>
      </c>
      <c r="E410" t="s">
        <v>2018</v>
      </c>
      <c r="F410">
        <v>1</v>
      </c>
    </row>
    <row r="411" spans="1:6" ht="15" customHeight="1" x14ac:dyDescent="0.3">
      <c r="A411" t="s">
        <v>2022</v>
      </c>
      <c r="E411" t="s">
        <v>2022</v>
      </c>
      <c r="F411">
        <v>1</v>
      </c>
    </row>
    <row r="412" spans="1:6" ht="15" customHeight="1" x14ac:dyDescent="0.3">
      <c r="A412" t="s">
        <v>2035</v>
      </c>
      <c r="E412" t="s">
        <v>2035</v>
      </c>
      <c r="F412">
        <v>1</v>
      </c>
    </row>
    <row r="413" spans="1:6" ht="15" customHeight="1" x14ac:dyDescent="0.3">
      <c r="A413" t="s">
        <v>2043</v>
      </c>
      <c r="E413" t="s">
        <v>2043</v>
      </c>
      <c r="F413">
        <v>1</v>
      </c>
    </row>
    <row r="414" spans="1:6" ht="15" customHeight="1" x14ac:dyDescent="0.3">
      <c r="A414" t="s">
        <v>2059</v>
      </c>
      <c r="E414" t="s">
        <v>2059</v>
      </c>
      <c r="F414">
        <v>1</v>
      </c>
    </row>
    <row r="415" spans="1:6" ht="15" customHeight="1" x14ac:dyDescent="0.3">
      <c r="A415" t="s">
        <v>2064</v>
      </c>
      <c r="E415" t="s">
        <v>2064</v>
      </c>
      <c r="F415">
        <v>1</v>
      </c>
    </row>
    <row r="416" spans="1:6" ht="15" customHeight="1" x14ac:dyDescent="0.3">
      <c r="A416" t="s">
        <v>2083</v>
      </c>
      <c r="E416" t="s">
        <v>2083</v>
      </c>
      <c r="F416">
        <v>1</v>
      </c>
    </row>
    <row r="417" spans="1:6" ht="15" customHeight="1" x14ac:dyDescent="0.3">
      <c r="A417" t="s">
        <v>2090</v>
      </c>
      <c r="E417" t="s">
        <v>2090</v>
      </c>
      <c r="F417">
        <v>1</v>
      </c>
    </row>
    <row r="418" spans="1:6" ht="15" customHeight="1" x14ac:dyDescent="0.3">
      <c r="A418" t="s">
        <v>2097</v>
      </c>
      <c r="E418" t="s">
        <v>2097</v>
      </c>
      <c r="F418">
        <v>1</v>
      </c>
    </row>
    <row r="419" spans="1:6" ht="15" customHeight="1" x14ac:dyDescent="0.3">
      <c r="A419" t="s">
        <v>2113</v>
      </c>
      <c r="E419" t="s">
        <v>2113</v>
      </c>
      <c r="F419">
        <v>1</v>
      </c>
    </row>
    <row r="420" spans="1:6" ht="15" customHeight="1" x14ac:dyDescent="0.3">
      <c r="A420" t="s">
        <v>2118</v>
      </c>
      <c r="E420" t="s">
        <v>2118</v>
      </c>
      <c r="F420">
        <v>1</v>
      </c>
    </row>
    <row r="421" spans="1:6" ht="15" customHeight="1" x14ac:dyDescent="0.3">
      <c r="A421" t="s">
        <v>2124</v>
      </c>
      <c r="E421" t="s">
        <v>2124</v>
      </c>
      <c r="F421">
        <v>1</v>
      </c>
    </row>
    <row r="422" spans="1:6" ht="15" customHeight="1" x14ac:dyDescent="0.3">
      <c r="A422" t="s">
        <v>2133</v>
      </c>
      <c r="E422" t="s">
        <v>2133</v>
      </c>
      <c r="F422">
        <v>1</v>
      </c>
    </row>
    <row r="423" spans="1:6" ht="15" customHeight="1" x14ac:dyDescent="0.3">
      <c r="A423" t="s">
        <v>2148</v>
      </c>
      <c r="E423" t="s">
        <v>2148</v>
      </c>
      <c r="F423">
        <v>1</v>
      </c>
    </row>
    <row r="424" spans="1:6" ht="15" customHeight="1" x14ac:dyDescent="0.3">
      <c r="A424" t="s">
        <v>2159</v>
      </c>
      <c r="E424" t="s">
        <v>2159</v>
      </c>
      <c r="F424">
        <v>1</v>
      </c>
    </row>
    <row r="425" spans="1:6" ht="15" customHeight="1" x14ac:dyDescent="0.3">
      <c r="A425" t="s">
        <v>2167</v>
      </c>
      <c r="E425" t="s">
        <v>2167</v>
      </c>
      <c r="F425">
        <v>1</v>
      </c>
    </row>
    <row r="426" spans="1:6" ht="15" customHeight="1" x14ac:dyDescent="0.3">
      <c r="A426" t="s">
        <v>2179</v>
      </c>
      <c r="E426" t="s">
        <v>2179</v>
      </c>
      <c r="F426">
        <v>1</v>
      </c>
    </row>
    <row r="427" spans="1:6" ht="15" customHeight="1" x14ac:dyDescent="0.3">
      <c r="A427" t="s">
        <v>2185</v>
      </c>
      <c r="E427" t="s">
        <v>2185</v>
      </c>
      <c r="F427">
        <v>1</v>
      </c>
    </row>
    <row r="428" spans="1:6" ht="15" customHeight="1" x14ac:dyDescent="0.3">
      <c r="A428" t="s">
        <v>2190</v>
      </c>
      <c r="E428" t="s">
        <v>2190</v>
      </c>
      <c r="F428">
        <v>1</v>
      </c>
    </row>
    <row r="429" spans="1:6" ht="15" customHeight="1" x14ac:dyDescent="0.3">
      <c r="A429" t="s">
        <v>2197</v>
      </c>
      <c r="E429" t="s">
        <v>2197</v>
      </c>
      <c r="F429">
        <v>1</v>
      </c>
    </row>
    <row r="430" spans="1:6" ht="15" customHeight="1" x14ac:dyDescent="0.3">
      <c r="A430" t="s">
        <v>2225</v>
      </c>
      <c r="E430" t="s">
        <v>2225</v>
      </c>
      <c r="F430">
        <v>1</v>
      </c>
    </row>
    <row r="431" spans="1:6" ht="15" customHeight="1" x14ac:dyDescent="0.3">
      <c r="A431" t="s">
        <v>2230</v>
      </c>
      <c r="E431" t="s">
        <v>2230</v>
      </c>
      <c r="F431">
        <v>1</v>
      </c>
    </row>
    <row r="432" spans="1:6" ht="15" customHeight="1" x14ac:dyDescent="0.3">
      <c r="A432" t="s">
        <v>2235</v>
      </c>
      <c r="E432" t="s">
        <v>2235</v>
      </c>
      <c r="F432">
        <v>1</v>
      </c>
    </row>
    <row r="433" spans="1:6" ht="15" customHeight="1" x14ac:dyDescent="0.3">
      <c r="A433" t="s">
        <v>2244</v>
      </c>
      <c r="E433" t="s">
        <v>2244</v>
      </c>
      <c r="F433">
        <v>1</v>
      </c>
    </row>
    <row r="434" spans="1:6" ht="15" customHeight="1" x14ac:dyDescent="0.3">
      <c r="A434" t="s">
        <v>2249</v>
      </c>
      <c r="E434" t="s">
        <v>2249</v>
      </c>
      <c r="F434">
        <v>1</v>
      </c>
    </row>
    <row r="435" spans="1:6" ht="15" customHeight="1" x14ac:dyDescent="0.3">
      <c r="A435" t="s">
        <v>2262</v>
      </c>
      <c r="E435" t="s">
        <v>2262</v>
      </c>
      <c r="F435">
        <v>1</v>
      </c>
    </row>
    <row r="436" spans="1:6" ht="15" customHeight="1" x14ac:dyDescent="0.3">
      <c r="A436" t="s">
        <v>2266</v>
      </c>
      <c r="E436" t="s">
        <v>2266</v>
      </c>
      <c r="F436">
        <v>1</v>
      </c>
    </row>
    <row r="437" spans="1:6" ht="15" customHeight="1" x14ac:dyDescent="0.3">
      <c r="A437" t="s">
        <v>2270</v>
      </c>
      <c r="E437" t="s">
        <v>2270</v>
      </c>
      <c r="F437">
        <v>1</v>
      </c>
    </row>
    <row r="438" spans="1:6" ht="15" customHeight="1" x14ac:dyDescent="0.3">
      <c r="A438" t="s">
        <v>2283</v>
      </c>
      <c r="E438" t="s">
        <v>2283</v>
      </c>
      <c r="F438">
        <v>1</v>
      </c>
    </row>
    <row r="439" spans="1:6" ht="15" customHeight="1" x14ac:dyDescent="0.3">
      <c r="A439" t="s">
        <v>2293</v>
      </c>
      <c r="E439" t="s">
        <v>2293</v>
      </c>
      <c r="F439">
        <v>1</v>
      </c>
    </row>
    <row r="440" spans="1:6" ht="15" customHeight="1" x14ac:dyDescent="0.3">
      <c r="A440" t="s">
        <v>2297</v>
      </c>
      <c r="E440" t="s">
        <v>2297</v>
      </c>
      <c r="F440">
        <v>1</v>
      </c>
    </row>
    <row r="441" spans="1:6" ht="15" customHeight="1" x14ac:dyDescent="0.3">
      <c r="A441" t="s">
        <v>2301</v>
      </c>
      <c r="E441" t="s">
        <v>2301</v>
      </c>
      <c r="F441">
        <v>1</v>
      </c>
    </row>
    <row r="442" spans="1:6" ht="15" customHeight="1" x14ac:dyDescent="0.3">
      <c r="A442" t="s">
        <v>2316</v>
      </c>
      <c r="E442" t="s">
        <v>2316</v>
      </c>
      <c r="F442">
        <v>1</v>
      </c>
    </row>
    <row r="443" spans="1:6" ht="15" customHeight="1" x14ac:dyDescent="0.3">
      <c r="A443" t="s">
        <v>2320</v>
      </c>
      <c r="E443" t="s">
        <v>2320</v>
      </c>
      <c r="F443">
        <v>1</v>
      </c>
    </row>
    <row r="444" spans="1:6" ht="15" customHeight="1" x14ac:dyDescent="0.3">
      <c r="A444" t="s">
        <v>2345</v>
      </c>
      <c r="E444" t="s">
        <v>2345</v>
      </c>
      <c r="F444">
        <v>1</v>
      </c>
    </row>
    <row r="445" spans="1:6" ht="15" customHeight="1" x14ac:dyDescent="0.3">
      <c r="A445" t="s">
        <v>2354</v>
      </c>
      <c r="E445" t="s">
        <v>2354</v>
      </c>
      <c r="F445">
        <v>1</v>
      </c>
    </row>
    <row r="446" spans="1:6" ht="15" customHeight="1" x14ac:dyDescent="0.3">
      <c r="A446" t="s">
        <v>2366</v>
      </c>
      <c r="E446" t="s">
        <v>2366</v>
      </c>
      <c r="F446">
        <v>1</v>
      </c>
    </row>
    <row r="447" spans="1:6" ht="15" customHeight="1" x14ac:dyDescent="0.3">
      <c r="A447" t="s">
        <v>2375</v>
      </c>
      <c r="E447" t="s">
        <v>2375</v>
      </c>
      <c r="F447">
        <v>1</v>
      </c>
    </row>
    <row r="448" spans="1:6" ht="15" customHeight="1" x14ac:dyDescent="0.3">
      <c r="A448" t="s">
        <v>2380</v>
      </c>
      <c r="E448" t="s">
        <v>2380</v>
      </c>
      <c r="F448">
        <v>1</v>
      </c>
    </row>
    <row r="449" spans="1:6" ht="15" customHeight="1" x14ac:dyDescent="0.3">
      <c r="A449" t="s">
        <v>2390</v>
      </c>
      <c r="E449" t="s">
        <v>2390</v>
      </c>
      <c r="F449">
        <v>1</v>
      </c>
    </row>
    <row r="450" spans="1:6" ht="15" customHeight="1" x14ac:dyDescent="0.3">
      <c r="A450" t="s">
        <v>2405</v>
      </c>
      <c r="E450" t="s">
        <v>2405</v>
      </c>
      <c r="F450">
        <v>1</v>
      </c>
    </row>
    <row r="451" spans="1:6" ht="15" customHeight="1" x14ac:dyDescent="0.3">
      <c r="A451" t="s">
        <v>2417</v>
      </c>
      <c r="E451" t="s">
        <v>2417</v>
      </c>
      <c r="F451">
        <v>1</v>
      </c>
    </row>
    <row r="452" spans="1:6" ht="15" customHeight="1" x14ac:dyDescent="0.3">
      <c r="A452" t="s">
        <v>2421</v>
      </c>
      <c r="E452" t="s">
        <v>2421</v>
      </c>
      <c r="F452">
        <v>1</v>
      </c>
    </row>
    <row r="453" spans="1:6" ht="15" customHeight="1" x14ac:dyDescent="0.3">
      <c r="A453" t="s">
        <v>2425</v>
      </c>
      <c r="E453" t="s">
        <v>2425</v>
      </c>
      <c r="F453">
        <v>1</v>
      </c>
    </row>
    <row r="454" spans="1:6" ht="15" customHeight="1" x14ac:dyDescent="0.3">
      <c r="A454" t="s">
        <v>2429</v>
      </c>
      <c r="E454" t="s">
        <v>2429</v>
      </c>
      <c r="F454">
        <v>1</v>
      </c>
    </row>
    <row r="455" spans="1:6" ht="15" customHeight="1" x14ac:dyDescent="0.3">
      <c r="A455" t="s">
        <v>2441</v>
      </c>
      <c r="E455" t="s">
        <v>2441</v>
      </c>
      <c r="F455">
        <v>1</v>
      </c>
    </row>
    <row r="456" spans="1:6" ht="15" customHeight="1" x14ac:dyDescent="0.3">
      <c r="A456" t="s">
        <v>2446</v>
      </c>
      <c r="E456" t="s">
        <v>2446</v>
      </c>
      <c r="F456">
        <v>1</v>
      </c>
    </row>
    <row r="457" spans="1:6" ht="15" customHeight="1" x14ac:dyDescent="0.3">
      <c r="A457" t="s">
        <v>2451</v>
      </c>
      <c r="E457" t="s">
        <v>2451</v>
      </c>
      <c r="F457">
        <v>1</v>
      </c>
    </row>
    <row r="458" spans="1:6" ht="15" customHeight="1" x14ac:dyDescent="0.3">
      <c r="A458" t="s">
        <v>2468</v>
      </c>
      <c r="E458" t="s">
        <v>2468</v>
      </c>
      <c r="F458">
        <v>1</v>
      </c>
    </row>
    <row r="459" spans="1:6" ht="15" customHeight="1" x14ac:dyDescent="0.3">
      <c r="A459" t="s">
        <v>2476</v>
      </c>
      <c r="E459" t="s">
        <v>2476</v>
      </c>
      <c r="F459">
        <v>1</v>
      </c>
    </row>
    <row r="460" spans="1:6" ht="15" customHeight="1" x14ac:dyDescent="0.3">
      <c r="A460" t="s">
        <v>2481</v>
      </c>
      <c r="E460" t="s">
        <v>2481</v>
      </c>
      <c r="F460">
        <v>1</v>
      </c>
    </row>
    <row r="461" spans="1:6" ht="15" customHeight="1" x14ac:dyDescent="0.3">
      <c r="A461" t="s">
        <v>2486</v>
      </c>
      <c r="E461" t="s">
        <v>2486</v>
      </c>
      <c r="F461">
        <v>1</v>
      </c>
    </row>
    <row r="462" spans="1:6" ht="15" customHeight="1" x14ac:dyDescent="0.3">
      <c r="A462" t="s">
        <v>2493</v>
      </c>
      <c r="E462" t="s">
        <v>2493</v>
      </c>
      <c r="F462">
        <v>1</v>
      </c>
    </row>
    <row r="463" spans="1:6" ht="15" customHeight="1" x14ac:dyDescent="0.3">
      <c r="A463" t="s">
        <v>2504</v>
      </c>
      <c r="E463" t="s">
        <v>2504</v>
      </c>
      <c r="F463">
        <v>1</v>
      </c>
    </row>
    <row r="464" spans="1:6" ht="15" customHeight="1" x14ac:dyDescent="0.3">
      <c r="A464" t="s">
        <v>2508</v>
      </c>
      <c r="E464" t="s">
        <v>2508</v>
      </c>
      <c r="F464">
        <v>1</v>
      </c>
    </row>
    <row r="465" spans="1:6" ht="15" customHeight="1" x14ac:dyDescent="0.3">
      <c r="A465" t="s">
        <v>2514</v>
      </c>
      <c r="E465" t="s">
        <v>2514</v>
      </c>
      <c r="F465">
        <v>1</v>
      </c>
    </row>
    <row r="466" spans="1:6" ht="15" customHeight="1" x14ac:dyDescent="0.3">
      <c r="A466" t="s">
        <v>2518</v>
      </c>
      <c r="E466" t="s">
        <v>2518</v>
      </c>
      <c r="F466">
        <v>1</v>
      </c>
    </row>
    <row r="467" spans="1:6" ht="15" customHeight="1" x14ac:dyDescent="0.3">
      <c r="A467" t="s">
        <v>2523</v>
      </c>
      <c r="E467" t="s">
        <v>2523</v>
      </c>
      <c r="F467">
        <v>1</v>
      </c>
    </row>
    <row r="468" spans="1:6" ht="15" customHeight="1" x14ac:dyDescent="0.3">
      <c r="A468" t="s">
        <v>2528</v>
      </c>
      <c r="E468" t="s">
        <v>2528</v>
      </c>
      <c r="F468">
        <v>1</v>
      </c>
    </row>
    <row r="469" spans="1:6" ht="15" customHeight="1" x14ac:dyDescent="0.3">
      <c r="A469" t="s">
        <v>2532</v>
      </c>
      <c r="E469" t="s">
        <v>2532</v>
      </c>
      <c r="F469">
        <v>1</v>
      </c>
    </row>
    <row r="470" spans="1:6" ht="15" customHeight="1" x14ac:dyDescent="0.3">
      <c r="A470" t="s">
        <v>2540</v>
      </c>
      <c r="E470" t="s">
        <v>2540</v>
      </c>
      <c r="F470">
        <v>1</v>
      </c>
    </row>
    <row r="471" spans="1:6" ht="15" customHeight="1" x14ac:dyDescent="0.3">
      <c r="A471" t="s">
        <v>2549</v>
      </c>
      <c r="E471" t="s">
        <v>2549</v>
      </c>
      <c r="F471">
        <v>1</v>
      </c>
    </row>
    <row r="472" spans="1:6" ht="15" customHeight="1" x14ac:dyDescent="0.3">
      <c r="A472" t="s">
        <v>2558</v>
      </c>
      <c r="E472" t="s">
        <v>2558</v>
      </c>
      <c r="F472">
        <v>1</v>
      </c>
    </row>
    <row r="473" spans="1:6" ht="15" customHeight="1" x14ac:dyDescent="0.3">
      <c r="A473" t="s">
        <v>2562</v>
      </c>
      <c r="E473" t="s">
        <v>2562</v>
      </c>
      <c r="F473">
        <v>1</v>
      </c>
    </row>
    <row r="474" spans="1:6" ht="15" customHeight="1" x14ac:dyDescent="0.3">
      <c r="A474" t="s">
        <v>2567</v>
      </c>
      <c r="E474" t="s">
        <v>2567</v>
      </c>
      <c r="F474">
        <v>1</v>
      </c>
    </row>
    <row r="475" spans="1:6" ht="15" customHeight="1" x14ac:dyDescent="0.3">
      <c r="A475" t="s">
        <v>2573</v>
      </c>
      <c r="E475" t="s">
        <v>2573</v>
      </c>
      <c r="F475">
        <v>1</v>
      </c>
    </row>
    <row r="476" spans="1:6" ht="15" customHeight="1" x14ac:dyDescent="0.3">
      <c r="A476" t="s">
        <v>2577</v>
      </c>
      <c r="E476" t="s">
        <v>2577</v>
      </c>
      <c r="F476">
        <v>1</v>
      </c>
    </row>
    <row r="477" spans="1:6" ht="15" customHeight="1" x14ac:dyDescent="0.3">
      <c r="A477" t="s">
        <v>2582</v>
      </c>
      <c r="E477" t="s">
        <v>2582</v>
      </c>
      <c r="F477">
        <v>1</v>
      </c>
    </row>
    <row r="478" spans="1:6" ht="15" customHeight="1" x14ac:dyDescent="0.3">
      <c r="A478" t="s">
        <v>2587</v>
      </c>
      <c r="E478" t="s">
        <v>2587</v>
      </c>
      <c r="F478">
        <v>1</v>
      </c>
    </row>
    <row r="479" spans="1:6" ht="15" customHeight="1" x14ac:dyDescent="0.3">
      <c r="A479" t="s">
        <v>2591</v>
      </c>
      <c r="E479" t="s">
        <v>2591</v>
      </c>
      <c r="F479">
        <v>1</v>
      </c>
    </row>
    <row r="480" spans="1:6" ht="15" customHeight="1" x14ac:dyDescent="0.3">
      <c r="A480" t="s">
        <v>2601</v>
      </c>
      <c r="E480" t="s">
        <v>2601</v>
      </c>
      <c r="F480">
        <v>1</v>
      </c>
    </row>
    <row r="481" spans="1:6" ht="15" customHeight="1" x14ac:dyDescent="0.3">
      <c r="A481" t="s">
        <v>2605</v>
      </c>
      <c r="E481" t="s">
        <v>2605</v>
      </c>
      <c r="F481">
        <v>1</v>
      </c>
    </row>
    <row r="482" spans="1:6" ht="15" customHeight="1" x14ac:dyDescent="0.3">
      <c r="A482" t="s">
        <v>2611</v>
      </c>
      <c r="E482" t="s">
        <v>2611</v>
      </c>
      <c r="F482">
        <v>1</v>
      </c>
    </row>
    <row r="483" spans="1:6" ht="15" customHeight="1" x14ac:dyDescent="0.3">
      <c r="A483" t="s">
        <v>2619</v>
      </c>
      <c r="E483" t="s">
        <v>2619</v>
      </c>
      <c r="F483">
        <v>1</v>
      </c>
    </row>
    <row r="484" spans="1:6" ht="15" customHeight="1" x14ac:dyDescent="0.3">
      <c r="A484" t="s">
        <v>2624</v>
      </c>
      <c r="E484" t="s">
        <v>2624</v>
      </c>
      <c r="F484">
        <v>1</v>
      </c>
    </row>
    <row r="485" spans="1:6" ht="15" customHeight="1" x14ac:dyDescent="0.3">
      <c r="A485" t="s">
        <v>2633</v>
      </c>
      <c r="E485" t="s">
        <v>2633</v>
      </c>
      <c r="F485">
        <v>1</v>
      </c>
    </row>
    <row r="486" spans="1:6" ht="15" customHeight="1" x14ac:dyDescent="0.3">
      <c r="A486" t="s">
        <v>2647</v>
      </c>
      <c r="E486" t="s">
        <v>2647</v>
      </c>
      <c r="F486">
        <v>1</v>
      </c>
    </row>
    <row r="487" spans="1:6" ht="15" customHeight="1" x14ac:dyDescent="0.3">
      <c r="A487" t="s">
        <v>2651</v>
      </c>
      <c r="E487" t="s">
        <v>2651</v>
      </c>
      <c r="F487">
        <v>1</v>
      </c>
    </row>
    <row r="488" spans="1:6" ht="15" customHeight="1" x14ac:dyDescent="0.3">
      <c r="A488" t="s">
        <v>2664</v>
      </c>
      <c r="E488" t="s">
        <v>2664</v>
      </c>
      <c r="F488">
        <v>1</v>
      </c>
    </row>
    <row r="489" spans="1:6" ht="15" customHeight="1" x14ac:dyDescent="0.3">
      <c r="A489" t="s">
        <v>2668</v>
      </c>
      <c r="E489" t="s">
        <v>2668</v>
      </c>
      <c r="F489">
        <v>1</v>
      </c>
    </row>
    <row r="490" spans="1:6" ht="15" customHeight="1" x14ac:dyDescent="0.3">
      <c r="A490" t="s">
        <v>2673</v>
      </c>
      <c r="E490" t="s">
        <v>2673</v>
      </c>
      <c r="F490">
        <v>1</v>
      </c>
    </row>
    <row r="491" spans="1:6" ht="15" customHeight="1" x14ac:dyDescent="0.3">
      <c r="A491" t="s">
        <v>2677</v>
      </c>
      <c r="E491" t="s">
        <v>2677</v>
      </c>
      <c r="F491">
        <v>1</v>
      </c>
    </row>
    <row r="492" spans="1:6" ht="15" customHeight="1" x14ac:dyDescent="0.3">
      <c r="A492" t="s">
        <v>2685</v>
      </c>
      <c r="E492" t="s">
        <v>2685</v>
      </c>
      <c r="F492">
        <v>1</v>
      </c>
    </row>
    <row r="493" spans="1:6" ht="15" customHeight="1" x14ac:dyDescent="0.3">
      <c r="A493" t="s">
        <v>2695</v>
      </c>
      <c r="E493" t="s">
        <v>2695</v>
      </c>
      <c r="F493">
        <v>1</v>
      </c>
    </row>
    <row r="494" spans="1:6" ht="15" customHeight="1" x14ac:dyDescent="0.3">
      <c r="A494" t="s">
        <v>2699</v>
      </c>
      <c r="E494" t="s">
        <v>2699</v>
      </c>
      <c r="F494">
        <v>1</v>
      </c>
    </row>
    <row r="495" spans="1:6" ht="15" customHeight="1" x14ac:dyDescent="0.3">
      <c r="A495" t="s">
        <v>2703</v>
      </c>
      <c r="E495" t="s">
        <v>2703</v>
      </c>
      <c r="F495">
        <v>1</v>
      </c>
    </row>
    <row r="496" spans="1:6" ht="15" customHeight="1" x14ac:dyDescent="0.3">
      <c r="A496" t="s">
        <v>2712</v>
      </c>
      <c r="E496" t="s">
        <v>2712</v>
      </c>
      <c r="F496">
        <v>1</v>
      </c>
    </row>
    <row r="497" spans="1:6" ht="15" customHeight="1" x14ac:dyDescent="0.3">
      <c r="A497" t="s">
        <v>2721</v>
      </c>
      <c r="E497" t="s">
        <v>2721</v>
      </c>
      <c r="F497">
        <v>1</v>
      </c>
    </row>
    <row r="498" spans="1:6" ht="15" customHeight="1" x14ac:dyDescent="0.3">
      <c r="A498" t="s">
        <v>2726</v>
      </c>
      <c r="E498" t="s">
        <v>2726</v>
      </c>
      <c r="F498">
        <v>1</v>
      </c>
    </row>
    <row r="499" spans="1:6" ht="15" customHeight="1" x14ac:dyDescent="0.3">
      <c r="A499" t="s">
        <v>2732</v>
      </c>
      <c r="E499" t="s">
        <v>2732</v>
      </c>
      <c r="F499">
        <v>1</v>
      </c>
    </row>
    <row r="500" spans="1:6" ht="15" customHeight="1" x14ac:dyDescent="0.3">
      <c r="A500" t="s">
        <v>2737</v>
      </c>
      <c r="E500" t="s">
        <v>2737</v>
      </c>
      <c r="F500">
        <v>1</v>
      </c>
    </row>
    <row r="501" spans="1:6" ht="15" customHeight="1" x14ac:dyDescent="0.3">
      <c r="A501" t="s">
        <v>2742</v>
      </c>
      <c r="E501" t="s">
        <v>2742</v>
      </c>
      <c r="F501">
        <v>1</v>
      </c>
    </row>
    <row r="502" spans="1:6" ht="15" customHeight="1" x14ac:dyDescent="0.3">
      <c r="A502" t="s">
        <v>2751</v>
      </c>
      <c r="E502" t="s">
        <v>2751</v>
      </c>
      <c r="F502">
        <v>1</v>
      </c>
    </row>
    <row r="503" spans="1:6" ht="15" customHeight="1" x14ac:dyDescent="0.3">
      <c r="A503" t="s">
        <v>2762</v>
      </c>
      <c r="E503" t="s">
        <v>2762</v>
      </c>
      <c r="F503">
        <v>1</v>
      </c>
    </row>
    <row r="504" spans="1:6" ht="15" customHeight="1" x14ac:dyDescent="0.3">
      <c r="A504" t="s">
        <v>2768</v>
      </c>
      <c r="E504" t="s">
        <v>2768</v>
      </c>
      <c r="F504">
        <v>1</v>
      </c>
    </row>
    <row r="505" spans="1:6" ht="15" customHeight="1" x14ac:dyDescent="0.3">
      <c r="A505" t="s">
        <v>2772</v>
      </c>
      <c r="E505" t="s">
        <v>2772</v>
      </c>
      <c r="F505">
        <v>1</v>
      </c>
    </row>
    <row r="506" spans="1:6" ht="15" customHeight="1" x14ac:dyDescent="0.3">
      <c r="A506" t="s">
        <v>2777</v>
      </c>
      <c r="E506" t="s">
        <v>2777</v>
      </c>
      <c r="F506">
        <v>1</v>
      </c>
    </row>
    <row r="507" spans="1:6" ht="15" customHeight="1" x14ac:dyDescent="0.3">
      <c r="A507" t="s">
        <v>2781</v>
      </c>
      <c r="E507" t="s">
        <v>2781</v>
      </c>
      <c r="F507">
        <v>1</v>
      </c>
    </row>
    <row r="508" spans="1:6" ht="15" customHeight="1" x14ac:dyDescent="0.3">
      <c r="A508" t="s">
        <v>2785</v>
      </c>
      <c r="E508" t="s">
        <v>2785</v>
      </c>
      <c r="F508">
        <v>1</v>
      </c>
    </row>
    <row r="509" spans="1:6" ht="15" customHeight="1" x14ac:dyDescent="0.3">
      <c r="A509" t="s">
        <v>2793</v>
      </c>
      <c r="E509" t="s">
        <v>2793</v>
      </c>
      <c r="F509">
        <v>1</v>
      </c>
    </row>
    <row r="510" spans="1:6" ht="15" customHeight="1" x14ac:dyDescent="0.3">
      <c r="A510" t="s">
        <v>2803</v>
      </c>
      <c r="E510" t="s">
        <v>2803</v>
      </c>
      <c r="F510">
        <v>1</v>
      </c>
    </row>
    <row r="511" spans="1:6" ht="15" customHeight="1" x14ac:dyDescent="0.3">
      <c r="A511" t="s">
        <v>2808</v>
      </c>
      <c r="E511" t="s">
        <v>2808</v>
      </c>
      <c r="F511">
        <v>1</v>
      </c>
    </row>
    <row r="512" spans="1:6" ht="15" customHeight="1" x14ac:dyDescent="0.3">
      <c r="A512" t="s">
        <v>2813</v>
      </c>
      <c r="E512" t="s">
        <v>2813</v>
      </c>
      <c r="F512">
        <v>1</v>
      </c>
    </row>
    <row r="513" spans="1:6" ht="15" customHeight="1" x14ac:dyDescent="0.3">
      <c r="A513" t="s">
        <v>2818</v>
      </c>
      <c r="E513" t="s">
        <v>2818</v>
      </c>
      <c r="F513">
        <v>1</v>
      </c>
    </row>
    <row r="514" spans="1:6" ht="15" customHeight="1" x14ac:dyDescent="0.3">
      <c r="A514" t="s">
        <v>2822</v>
      </c>
      <c r="E514" t="s">
        <v>2822</v>
      </c>
      <c r="F514">
        <v>1</v>
      </c>
    </row>
    <row r="515" spans="1:6" ht="15" customHeight="1" x14ac:dyDescent="0.3">
      <c r="A515" t="s">
        <v>2827</v>
      </c>
      <c r="E515" t="s">
        <v>2827</v>
      </c>
      <c r="F515">
        <v>1</v>
      </c>
    </row>
    <row r="516" spans="1:6" ht="15" customHeight="1" x14ac:dyDescent="0.3">
      <c r="A516" t="s">
        <v>2832</v>
      </c>
      <c r="E516" t="s">
        <v>2832</v>
      </c>
      <c r="F516">
        <v>1</v>
      </c>
    </row>
    <row r="517" spans="1:6" ht="15" customHeight="1" x14ac:dyDescent="0.3">
      <c r="A517" t="s">
        <v>2836</v>
      </c>
      <c r="E517" t="s">
        <v>2836</v>
      </c>
      <c r="F517">
        <v>1</v>
      </c>
    </row>
    <row r="518" spans="1:6" ht="15" customHeight="1" x14ac:dyDescent="0.3">
      <c r="A518" t="s">
        <v>2841</v>
      </c>
      <c r="E518" t="s">
        <v>2841</v>
      </c>
      <c r="F518">
        <v>1</v>
      </c>
    </row>
    <row r="519" spans="1:6" ht="15" customHeight="1" x14ac:dyDescent="0.3">
      <c r="A519" t="s">
        <v>2846</v>
      </c>
      <c r="E519" t="s">
        <v>2846</v>
      </c>
      <c r="F519">
        <v>1</v>
      </c>
    </row>
    <row r="520" spans="1:6" ht="15" customHeight="1" x14ac:dyDescent="0.3">
      <c r="A520" t="s">
        <v>2861</v>
      </c>
      <c r="E520" t="s">
        <v>2861</v>
      </c>
      <c r="F520">
        <v>1</v>
      </c>
    </row>
    <row r="521" spans="1:6" ht="15" customHeight="1" x14ac:dyDescent="0.3">
      <c r="A521" t="s">
        <v>2865</v>
      </c>
      <c r="E521" t="s">
        <v>2865</v>
      </c>
      <c r="F521">
        <v>1</v>
      </c>
    </row>
    <row r="522" spans="1:6" ht="15" customHeight="1" x14ac:dyDescent="0.3">
      <c r="A522" t="s">
        <v>2879</v>
      </c>
      <c r="E522" t="s">
        <v>2879</v>
      </c>
      <c r="F522">
        <v>1</v>
      </c>
    </row>
    <row r="523" spans="1:6" ht="15" customHeight="1" x14ac:dyDescent="0.3">
      <c r="A523" t="s">
        <v>2883</v>
      </c>
      <c r="E523" t="s">
        <v>2883</v>
      </c>
      <c r="F523">
        <v>1</v>
      </c>
    </row>
    <row r="524" spans="1:6" ht="15" customHeight="1" x14ac:dyDescent="0.3">
      <c r="A524" t="s">
        <v>2887</v>
      </c>
      <c r="E524" t="s">
        <v>2887</v>
      </c>
      <c r="F524">
        <v>1</v>
      </c>
    </row>
    <row r="525" spans="1:6" ht="15" customHeight="1" x14ac:dyDescent="0.3">
      <c r="A525" t="s">
        <v>2898</v>
      </c>
      <c r="E525" t="s">
        <v>2898</v>
      </c>
      <c r="F525">
        <v>1</v>
      </c>
    </row>
    <row r="526" spans="1:6" ht="15" customHeight="1" x14ac:dyDescent="0.3">
      <c r="A526" t="s">
        <v>2904</v>
      </c>
      <c r="E526" t="s">
        <v>2904</v>
      </c>
      <c r="F526">
        <v>1</v>
      </c>
    </row>
    <row r="527" spans="1:6" ht="15" customHeight="1" x14ac:dyDescent="0.3">
      <c r="A527" t="s">
        <v>2908</v>
      </c>
      <c r="E527" t="s">
        <v>2908</v>
      </c>
      <c r="F527">
        <v>1</v>
      </c>
    </row>
    <row r="528" spans="1:6" ht="15" customHeight="1" x14ac:dyDescent="0.3">
      <c r="A528" t="s">
        <v>2912</v>
      </c>
      <c r="E528" t="s">
        <v>2912</v>
      </c>
      <c r="F528">
        <v>1</v>
      </c>
    </row>
    <row r="529" spans="1:6" ht="15" customHeight="1" x14ac:dyDescent="0.3">
      <c r="A529" t="s">
        <v>2932</v>
      </c>
      <c r="E529" t="s">
        <v>2932</v>
      </c>
      <c r="F529">
        <v>1</v>
      </c>
    </row>
    <row r="530" spans="1:6" ht="15" customHeight="1" x14ac:dyDescent="0.3">
      <c r="A530" t="s">
        <v>2941</v>
      </c>
      <c r="E530" t="s">
        <v>2941</v>
      </c>
      <c r="F530">
        <v>1</v>
      </c>
    </row>
    <row r="531" spans="1:6" ht="15" customHeight="1" x14ac:dyDescent="0.3">
      <c r="A531" t="s">
        <v>2960</v>
      </c>
      <c r="E531" t="s">
        <v>2960</v>
      </c>
      <c r="F531">
        <v>1</v>
      </c>
    </row>
    <row r="532" spans="1:6" ht="15" customHeight="1" x14ac:dyDescent="0.3">
      <c r="A532" t="s">
        <v>2964</v>
      </c>
      <c r="E532" t="s">
        <v>2964</v>
      </c>
      <c r="F532">
        <v>1</v>
      </c>
    </row>
    <row r="533" spans="1:6" ht="15" customHeight="1" x14ac:dyDescent="0.3">
      <c r="A533" t="s">
        <v>2969</v>
      </c>
      <c r="E533" t="s">
        <v>2969</v>
      </c>
      <c r="F533">
        <v>1</v>
      </c>
    </row>
    <row r="534" spans="1:6" ht="15" customHeight="1" x14ac:dyDescent="0.3">
      <c r="A534" t="s">
        <v>2973</v>
      </c>
      <c r="E534" t="s">
        <v>2973</v>
      </c>
      <c r="F534">
        <v>1</v>
      </c>
    </row>
    <row r="535" spans="1:6" ht="15" customHeight="1" x14ac:dyDescent="0.3">
      <c r="A535" t="s">
        <v>2978</v>
      </c>
      <c r="E535" t="s">
        <v>2978</v>
      </c>
      <c r="F535">
        <v>1</v>
      </c>
    </row>
    <row r="536" spans="1:6" ht="15" customHeight="1" x14ac:dyDescent="0.3">
      <c r="A536" t="s">
        <v>2988</v>
      </c>
      <c r="E536" t="s">
        <v>2988</v>
      </c>
      <c r="F536">
        <v>1</v>
      </c>
    </row>
    <row r="537" spans="1:6" ht="15" customHeight="1" x14ac:dyDescent="0.3">
      <c r="A537" t="s">
        <v>2994</v>
      </c>
      <c r="E537" t="s">
        <v>2994</v>
      </c>
      <c r="F537">
        <v>1</v>
      </c>
    </row>
    <row r="538" spans="1:6" ht="15" customHeight="1" x14ac:dyDescent="0.3">
      <c r="A538" t="s">
        <v>3003</v>
      </c>
      <c r="E538" t="s">
        <v>3003</v>
      </c>
      <c r="F538">
        <v>1</v>
      </c>
    </row>
    <row r="539" spans="1:6" ht="15" customHeight="1" x14ac:dyDescent="0.3">
      <c r="A539" t="s">
        <v>3008</v>
      </c>
      <c r="E539" t="s">
        <v>3008</v>
      </c>
      <c r="F539">
        <v>1</v>
      </c>
    </row>
    <row r="540" spans="1:6" ht="15" customHeight="1" x14ac:dyDescent="0.3">
      <c r="A540" t="s">
        <v>3022</v>
      </c>
      <c r="E540" t="s">
        <v>3022</v>
      </c>
      <c r="F540">
        <v>1</v>
      </c>
    </row>
    <row r="541" spans="1:6" ht="15" customHeight="1" x14ac:dyDescent="0.3">
      <c r="A541" t="s">
        <v>3038</v>
      </c>
      <c r="E541" t="s">
        <v>3038</v>
      </c>
      <c r="F541">
        <v>1</v>
      </c>
    </row>
    <row r="542" spans="1:6" ht="15" customHeight="1" x14ac:dyDescent="0.3">
      <c r="A542" t="s">
        <v>3042</v>
      </c>
      <c r="E542" t="s">
        <v>3042</v>
      </c>
      <c r="F542">
        <v>1</v>
      </c>
    </row>
    <row r="543" spans="1:6" ht="15" customHeight="1" x14ac:dyDescent="0.3">
      <c r="A543" t="s">
        <v>3050</v>
      </c>
      <c r="E543" t="s">
        <v>3050</v>
      </c>
      <c r="F543">
        <v>1</v>
      </c>
    </row>
    <row r="544" spans="1:6" ht="15" customHeight="1" x14ac:dyDescent="0.3">
      <c r="A544" t="s">
        <v>3102</v>
      </c>
      <c r="E544" t="s">
        <v>3102</v>
      </c>
      <c r="F544">
        <v>1</v>
      </c>
    </row>
    <row r="545" spans="1:6" ht="15" customHeight="1" x14ac:dyDescent="0.3">
      <c r="A545" t="s">
        <v>3109</v>
      </c>
      <c r="E545" t="s">
        <v>3109</v>
      </c>
      <c r="F545">
        <v>1</v>
      </c>
    </row>
    <row r="546" spans="1:6" ht="15" customHeight="1" x14ac:dyDescent="0.3">
      <c r="A546" t="s">
        <v>3115</v>
      </c>
      <c r="E546" t="s">
        <v>3115</v>
      </c>
      <c r="F546">
        <v>1</v>
      </c>
    </row>
    <row r="547" spans="1:6" ht="15" customHeight="1" x14ac:dyDescent="0.3">
      <c r="A547" t="s">
        <v>3135</v>
      </c>
      <c r="E547" t="s">
        <v>3135</v>
      </c>
      <c r="F547">
        <v>1</v>
      </c>
    </row>
    <row r="548" spans="1:6" ht="15" customHeight="1" x14ac:dyDescent="0.3">
      <c r="A548" t="s">
        <v>3139</v>
      </c>
      <c r="E548" t="s">
        <v>3139</v>
      </c>
      <c r="F548">
        <v>1</v>
      </c>
    </row>
    <row r="549" spans="1:6" ht="15" customHeight="1" x14ac:dyDescent="0.3">
      <c r="A549" t="s">
        <v>3153</v>
      </c>
      <c r="E549" t="s">
        <v>3153</v>
      </c>
      <c r="F549">
        <v>1</v>
      </c>
    </row>
    <row r="550" spans="1:6" ht="15" customHeight="1" x14ac:dyDescent="0.3">
      <c r="A550" t="s">
        <v>3160</v>
      </c>
      <c r="E550" t="s">
        <v>3160</v>
      </c>
      <c r="F550">
        <v>1</v>
      </c>
    </row>
    <row r="551" spans="1:6" ht="15" customHeight="1" x14ac:dyDescent="0.3">
      <c r="A551" t="s">
        <v>3167</v>
      </c>
      <c r="E551" t="s">
        <v>3167</v>
      </c>
      <c r="F551">
        <v>1</v>
      </c>
    </row>
    <row r="552" spans="1:6" ht="15" customHeight="1" x14ac:dyDescent="0.3">
      <c r="A552" t="s">
        <v>3172</v>
      </c>
      <c r="E552" t="s">
        <v>3172</v>
      </c>
      <c r="F552">
        <v>1</v>
      </c>
    </row>
    <row r="553" spans="1:6" ht="15" customHeight="1" x14ac:dyDescent="0.3">
      <c r="A553" t="s">
        <v>3177</v>
      </c>
      <c r="E553" t="s">
        <v>3177</v>
      </c>
      <c r="F553">
        <v>1</v>
      </c>
    </row>
    <row r="554" spans="1:6" ht="15" customHeight="1" x14ac:dyDescent="0.3">
      <c r="A554" t="s">
        <v>3181</v>
      </c>
      <c r="E554" t="s">
        <v>3181</v>
      </c>
      <c r="F554">
        <v>1</v>
      </c>
    </row>
    <row r="555" spans="1:6" ht="15" customHeight="1" x14ac:dyDescent="0.3">
      <c r="A555" t="s">
        <v>3199</v>
      </c>
      <c r="E555" t="s">
        <v>3199</v>
      </c>
      <c r="F555">
        <v>1</v>
      </c>
    </row>
    <row r="556" spans="1:6" ht="15" customHeight="1" x14ac:dyDescent="0.3">
      <c r="A556" t="s">
        <v>3203</v>
      </c>
      <c r="E556" t="s">
        <v>3203</v>
      </c>
      <c r="F556">
        <v>1</v>
      </c>
    </row>
    <row r="557" spans="1:6" ht="15" customHeight="1" x14ac:dyDescent="0.3">
      <c r="A557" t="s">
        <v>3236</v>
      </c>
      <c r="E557" t="s">
        <v>3236</v>
      </c>
      <c r="F557">
        <v>1</v>
      </c>
    </row>
    <row r="558" spans="1:6" ht="15" customHeight="1" x14ac:dyDescent="0.3">
      <c r="A558" t="s">
        <v>3247</v>
      </c>
      <c r="E558" t="s">
        <v>3247</v>
      </c>
      <c r="F558">
        <v>1</v>
      </c>
    </row>
    <row r="559" spans="1:6" ht="15" customHeight="1" x14ac:dyDescent="0.3">
      <c r="A559" t="s">
        <v>3256</v>
      </c>
      <c r="E559" t="s">
        <v>3256</v>
      </c>
      <c r="F559">
        <v>1</v>
      </c>
    </row>
    <row r="560" spans="1:6" ht="15" customHeight="1" x14ac:dyDescent="0.3">
      <c r="A560" t="s">
        <v>3261</v>
      </c>
      <c r="E560" t="s">
        <v>3261</v>
      </c>
      <c r="F560">
        <v>1</v>
      </c>
    </row>
    <row r="561" spans="1:6" ht="15" customHeight="1" x14ac:dyDescent="0.3">
      <c r="A561" t="s">
        <v>3266</v>
      </c>
      <c r="E561" t="s">
        <v>3266</v>
      </c>
      <c r="F561">
        <v>1</v>
      </c>
    </row>
    <row r="562" spans="1:6" ht="15" customHeight="1" x14ac:dyDescent="0.3">
      <c r="A562" t="s">
        <v>3271</v>
      </c>
      <c r="E562" t="s">
        <v>3271</v>
      </c>
      <c r="F562">
        <v>1</v>
      </c>
    </row>
    <row r="563" spans="1:6" ht="15" customHeight="1" x14ac:dyDescent="0.3">
      <c r="A563" t="s">
        <v>3281</v>
      </c>
      <c r="E563" t="s">
        <v>3281</v>
      </c>
      <c r="F563">
        <v>1</v>
      </c>
    </row>
    <row r="564" spans="1:6" ht="15" customHeight="1" x14ac:dyDescent="0.3">
      <c r="A564" t="s">
        <v>3287</v>
      </c>
      <c r="E564" t="s">
        <v>3287</v>
      </c>
      <c r="F564">
        <v>1</v>
      </c>
    </row>
    <row r="565" spans="1:6" ht="15" customHeight="1" x14ac:dyDescent="0.3">
      <c r="A565" t="s">
        <v>3313</v>
      </c>
      <c r="E565" t="s">
        <v>3313</v>
      </c>
      <c r="F565">
        <v>1</v>
      </c>
    </row>
    <row r="566" spans="1:6" ht="15" customHeight="1" x14ac:dyDescent="0.3">
      <c r="A566" t="s">
        <v>3324</v>
      </c>
      <c r="E566" t="s">
        <v>3324</v>
      </c>
      <c r="F566">
        <v>1</v>
      </c>
    </row>
    <row r="567" spans="1:6" ht="15" customHeight="1" x14ac:dyDescent="0.3">
      <c r="A567" t="s">
        <v>3329</v>
      </c>
      <c r="E567" t="s">
        <v>3329</v>
      </c>
      <c r="F567">
        <v>1</v>
      </c>
    </row>
    <row r="568" spans="1:6" ht="15" customHeight="1" x14ac:dyDescent="0.3">
      <c r="A568" t="s">
        <v>3338</v>
      </c>
      <c r="E568" t="s">
        <v>3338</v>
      </c>
      <c r="F568">
        <v>1</v>
      </c>
    </row>
    <row r="569" spans="1:6" ht="15" customHeight="1" x14ac:dyDescent="0.3">
      <c r="A569" t="s">
        <v>3353</v>
      </c>
      <c r="E569" t="s">
        <v>3353</v>
      </c>
      <c r="F569">
        <v>1</v>
      </c>
    </row>
    <row r="570" spans="1:6" ht="15" customHeight="1" x14ac:dyDescent="0.3">
      <c r="A570" t="s">
        <v>3362</v>
      </c>
      <c r="E570" t="s">
        <v>3362</v>
      </c>
      <c r="F570">
        <v>1</v>
      </c>
    </row>
    <row r="571" spans="1:6" ht="15" customHeight="1" x14ac:dyDescent="0.3">
      <c r="A571" t="s">
        <v>3374</v>
      </c>
      <c r="E571" t="s">
        <v>3374</v>
      </c>
      <c r="F571">
        <v>1</v>
      </c>
    </row>
    <row r="572" spans="1:6" ht="15" customHeight="1" x14ac:dyDescent="0.3">
      <c r="A572" t="s">
        <v>3380</v>
      </c>
      <c r="E572" t="s">
        <v>3380</v>
      </c>
      <c r="F572">
        <v>1</v>
      </c>
    </row>
    <row r="573" spans="1:6" ht="15" customHeight="1" x14ac:dyDescent="0.3">
      <c r="A573" t="s">
        <v>3389</v>
      </c>
      <c r="E573" t="s">
        <v>3389</v>
      </c>
      <c r="F573">
        <v>1</v>
      </c>
    </row>
    <row r="574" spans="1:6" ht="15" customHeight="1" x14ac:dyDescent="0.3">
      <c r="A574" t="s">
        <v>3393</v>
      </c>
      <c r="E574" t="s">
        <v>3393</v>
      </c>
      <c r="F574">
        <v>1</v>
      </c>
    </row>
    <row r="575" spans="1:6" ht="15" customHeight="1" x14ac:dyDescent="0.3">
      <c r="A575" t="s">
        <v>3402</v>
      </c>
      <c r="E575" t="s">
        <v>3402</v>
      </c>
      <c r="F575">
        <v>1</v>
      </c>
    </row>
    <row r="576" spans="1:6" ht="15" customHeight="1" x14ac:dyDescent="0.3">
      <c r="A576" t="s">
        <v>3411</v>
      </c>
      <c r="E576" t="s">
        <v>3411</v>
      </c>
      <c r="F576">
        <v>1</v>
      </c>
    </row>
    <row r="577" spans="1:6" ht="15" customHeight="1" x14ac:dyDescent="0.3">
      <c r="A577" t="s">
        <v>3415</v>
      </c>
      <c r="E577" t="s">
        <v>3415</v>
      </c>
      <c r="F577">
        <v>1</v>
      </c>
    </row>
    <row r="578" spans="1:6" ht="15" customHeight="1" x14ac:dyDescent="0.3">
      <c r="A578" t="s">
        <v>3421</v>
      </c>
      <c r="E578" t="s">
        <v>3421</v>
      </c>
      <c r="F578">
        <v>1</v>
      </c>
    </row>
    <row r="579" spans="1:6" ht="15" customHeight="1" x14ac:dyDescent="0.3">
      <c r="A579" t="s">
        <v>3431</v>
      </c>
      <c r="E579" t="s">
        <v>3431</v>
      </c>
      <c r="F579">
        <v>1</v>
      </c>
    </row>
    <row r="580" spans="1:6" ht="15" customHeight="1" x14ac:dyDescent="0.3">
      <c r="A580" t="s">
        <v>3436</v>
      </c>
      <c r="E580" t="s">
        <v>3436</v>
      </c>
      <c r="F580">
        <v>1</v>
      </c>
    </row>
    <row r="581" spans="1:6" ht="15" customHeight="1" x14ac:dyDescent="0.3">
      <c r="A581" t="s">
        <v>3441</v>
      </c>
      <c r="E581" t="s">
        <v>3441</v>
      </c>
      <c r="F581">
        <v>1</v>
      </c>
    </row>
    <row r="582" spans="1:6" ht="15" customHeight="1" x14ac:dyDescent="0.3">
      <c r="A582" t="s">
        <v>3450</v>
      </c>
      <c r="E582" t="s">
        <v>3450</v>
      </c>
      <c r="F582">
        <v>1</v>
      </c>
    </row>
    <row r="583" spans="1:6" ht="15" customHeight="1" x14ac:dyDescent="0.3">
      <c r="A583" t="s">
        <v>3454</v>
      </c>
      <c r="E583" t="s">
        <v>3454</v>
      </c>
      <c r="F583">
        <v>1</v>
      </c>
    </row>
    <row r="584" spans="1:6" ht="15" customHeight="1" x14ac:dyDescent="0.3">
      <c r="A584" t="s">
        <v>3472</v>
      </c>
      <c r="E584" t="s">
        <v>3472</v>
      </c>
      <c r="F584">
        <v>1</v>
      </c>
    </row>
    <row r="585" spans="1:6" ht="15" customHeight="1" x14ac:dyDescent="0.3">
      <c r="A585" t="s">
        <v>3479</v>
      </c>
      <c r="E585" t="s">
        <v>3479</v>
      </c>
      <c r="F585">
        <v>1</v>
      </c>
    </row>
    <row r="586" spans="1:6" ht="15" customHeight="1" x14ac:dyDescent="0.3">
      <c r="A586" t="s">
        <v>3484</v>
      </c>
      <c r="E586" t="s">
        <v>3484</v>
      </c>
      <c r="F586">
        <v>1</v>
      </c>
    </row>
    <row r="587" spans="1:6" ht="15" customHeight="1" x14ac:dyDescent="0.3">
      <c r="A587" t="s">
        <v>3488</v>
      </c>
      <c r="E587" t="s">
        <v>3488</v>
      </c>
      <c r="F587">
        <v>1</v>
      </c>
    </row>
    <row r="588" spans="1:6" ht="15" customHeight="1" x14ac:dyDescent="0.3">
      <c r="A588" t="s">
        <v>3495</v>
      </c>
      <c r="E588" t="s">
        <v>3495</v>
      </c>
      <c r="F588">
        <v>1</v>
      </c>
    </row>
    <row r="589" spans="1:6" ht="15" customHeight="1" x14ac:dyDescent="0.3">
      <c r="A589" t="s">
        <v>3504</v>
      </c>
      <c r="E589" t="s">
        <v>3504</v>
      </c>
      <c r="F589">
        <v>1</v>
      </c>
    </row>
    <row r="590" spans="1:6" ht="15" customHeight="1" x14ac:dyDescent="0.3">
      <c r="A590" t="s">
        <v>3511</v>
      </c>
      <c r="E590" t="s">
        <v>3511</v>
      </c>
      <c r="F590">
        <v>1</v>
      </c>
    </row>
    <row r="591" spans="1:6" ht="15" customHeight="1" x14ac:dyDescent="0.3">
      <c r="A591" t="s">
        <v>3521</v>
      </c>
      <c r="E591" t="s">
        <v>3521</v>
      </c>
      <c r="F591">
        <v>1</v>
      </c>
    </row>
    <row r="592" spans="1:6" ht="15" customHeight="1" x14ac:dyDescent="0.3">
      <c r="A592" t="s">
        <v>3527</v>
      </c>
      <c r="E592" t="s">
        <v>3527</v>
      </c>
      <c r="F592">
        <v>1</v>
      </c>
    </row>
    <row r="593" spans="1:6" ht="15" customHeight="1" x14ac:dyDescent="0.3">
      <c r="A593" t="s">
        <v>3532</v>
      </c>
      <c r="E593" t="s">
        <v>3532</v>
      </c>
      <c r="F593">
        <v>1</v>
      </c>
    </row>
    <row r="594" spans="1:6" ht="15" customHeight="1" x14ac:dyDescent="0.3">
      <c r="A594" t="s">
        <v>3542</v>
      </c>
      <c r="E594" t="s">
        <v>3542</v>
      </c>
      <c r="F594">
        <v>1</v>
      </c>
    </row>
    <row r="595" spans="1:6" ht="15" customHeight="1" x14ac:dyDescent="0.3">
      <c r="A595" t="s">
        <v>3547</v>
      </c>
      <c r="E595" t="s">
        <v>3547</v>
      </c>
      <c r="F595">
        <v>1</v>
      </c>
    </row>
    <row r="596" spans="1:6" ht="15" customHeight="1" x14ac:dyDescent="0.3">
      <c r="A596" t="s">
        <v>3552</v>
      </c>
      <c r="E596" t="s">
        <v>3552</v>
      </c>
      <c r="F596">
        <v>1</v>
      </c>
    </row>
    <row r="597" spans="1:6" ht="15" customHeight="1" x14ac:dyDescent="0.3">
      <c r="A597" t="s">
        <v>3557</v>
      </c>
      <c r="E597" t="s">
        <v>3557</v>
      </c>
      <c r="F597">
        <v>1</v>
      </c>
    </row>
    <row r="598" spans="1:6" ht="15" customHeight="1" x14ac:dyDescent="0.3">
      <c r="A598" t="s">
        <v>3563</v>
      </c>
      <c r="E598" t="s">
        <v>3563</v>
      </c>
      <c r="F598">
        <v>1</v>
      </c>
    </row>
    <row r="599" spans="1:6" ht="15" customHeight="1" x14ac:dyDescent="0.3">
      <c r="A599" t="s">
        <v>3568</v>
      </c>
      <c r="E599" t="s">
        <v>3568</v>
      </c>
      <c r="F599">
        <v>1</v>
      </c>
    </row>
    <row r="600" spans="1:6" ht="15" customHeight="1" x14ac:dyDescent="0.3">
      <c r="A600" t="s">
        <v>3577</v>
      </c>
      <c r="E600" t="s">
        <v>3577</v>
      </c>
      <c r="F600">
        <v>1</v>
      </c>
    </row>
    <row r="601" spans="1:6" ht="15" customHeight="1" x14ac:dyDescent="0.3">
      <c r="A601" t="s">
        <v>3581</v>
      </c>
      <c r="E601" t="s">
        <v>3581</v>
      </c>
      <c r="F601">
        <v>1</v>
      </c>
    </row>
    <row r="602" spans="1:6" ht="15" customHeight="1" x14ac:dyDescent="0.3">
      <c r="A602" t="s">
        <v>3586</v>
      </c>
      <c r="E602" t="s">
        <v>3586</v>
      </c>
      <c r="F602">
        <v>1</v>
      </c>
    </row>
    <row r="603" spans="1:6" ht="15" customHeight="1" x14ac:dyDescent="0.3">
      <c r="A603" t="s">
        <v>3591</v>
      </c>
      <c r="E603" t="s">
        <v>3591</v>
      </c>
      <c r="F603">
        <v>1</v>
      </c>
    </row>
    <row r="604" spans="1:6" ht="15" customHeight="1" x14ac:dyDescent="0.3">
      <c r="A604" t="s">
        <v>3596</v>
      </c>
      <c r="E604" t="s">
        <v>3596</v>
      </c>
      <c r="F604">
        <v>1</v>
      </c>
    </row>
    <row r="605" spans="1:6" ht="15" customHeight="1" x14ac:dyDescent="0.3">
      <c r="A605" t="s">
        <v>3601</v>
      </c>
      <c r="E605" t="s">
        <v>3601</v>
      </c>
      <c r="F605">
        <v>1</v>
      </c>
    </row>
    <row r="606" spans="1:6" ht="15" customHeight="1" x14ac:dyDescent="0.3">
      <c r="A606" t="s">
        <v>3605</v>
      </c>
      <c r="E606" t="s">
        <v>3605</v>
      </c>
      <c r="F606">
        <v>1</v>
      </c>
    </row>
    <row r="607" spans="1:6" ht="15" customHeight="1" x14ac:dyDescent="0.3">
      <c r="A607" t="s">
        <v>3619</v>
      </c>
      <c r="E607" t="s">
        <v>3619</v>
      </c>
      <c r="F607">
        <v>1</v>
      </c>
    </row>
    <row r="608" spans="1:6" ht="15" customHeight="1" x14ac:dyDescent="0.3">
      <c r="A608" t="s">
        <v>3625</v>
      </c>
      <c r="E608" t="s">
        <v>3625</v>
      </c>
      <c r="F608">
        <v>1</v>
      </c>
    </row>
    <row r="609" spans="1:6" ht="15" customHeight="1" x14ac:dyDescent="0.3">
      <c r="A609" t="s">
        <v>3641</v>
      </c>
      <c r="E609" t="s">
        <v>3641</v>
      </c>
      <c r="F609">
        <v>1</v>
      </c>
    </row>
    <row r="610" spans="1:6" ht="15" customHeight="1" x14ac:dyDescent="0.3">
      <c r="A610" t="s">
        <v>3654</v>
      </c>
      <c r="E610" t="s">
        <v>3654</v>
      </c>
      <c r="F610">
        <v>1</v>
      </c>
    </row>
    <row r="611" spans="1:6" ht="15" customHeight="1" x14ac:dyDescent="0.3">
      <c r="A611" t="s">
        <v>3662</v>
      </c>
      <c r="E611" t="s">
        <v>3662</v>
      </c>
      <c r="F611">
        <v>1</v>
      </c>
    </row>
    <row r="612" spans="1:6" ht="15" customHeight="1" x14ac:dyDescent="0.3">
      <c r="A612" t="s">
        <v>3671</v>
      </c>
      <c r="E612" t="s">
        <v>3671</v>
      </c>
      <c r="F612">
        <v>1</v>
      </c>
    </row>
    <row r="613" spans="1:6" ht="15" customHeight="1" x14ac:dyDescent="0.3">
      <c r="A613" t="s">
        <v>3677</v>
      </c>
      <c r="E613" t="s">
        <v>3677</v>
      </c>
      <c r="F613">
        <v>1</v>
      </c>
    </row>
    <row r="614" spans="1:6" ht="15" customHeight="1" x14ac:dyDescent="0.3">
      <c r="A614" t="s">
        <v>3689</v>
      </c>
      <c r="E614" t="s">
        <v>3689</v>
      </c>
      <c r="F614">
        <v>1</v>
      </c>
    </row>
    <row r="615" spans="1:6" ht="15" customHeight="1" x14ac:dyDescent="0.3">
      <c r="A615" t="s">
        <v>3750</v>
      </c>
      <c r="E615" t="s">
        <v>3750</v>
      </c>
      <c r="F615">
        <v>1</v>
      </c>
    </row>
    <row r="616" spans="1:6" ht="15" customHeight="1" x14ac:dyDescent="0.3">
      <c r="A616" t="s">
        <v>3761</v>
      </c>
      <c r="E616" t="s">
        <v>3761</v>
      </c>
      <c r="F616">
        <v>1</v>
      </c>
    </row>
    <row r="617" spans="1:6" ht="15" customHeight="1" x14ac:dyDescent="0.3">
      <c r="A617" t="s">
        <v>3794</v>
      </c>
      <c r="E617" t="s">
        <v>3794</v>
      </c>
      <c r="F617">
        <v>1</v>
      </c>
    </row>
    <row r="618" spans="1:6" ht="15" customHeight="1" x14ac:dyDescent="0.3">
      <c r="A618" t="s">
        <v>3804</v>
      </c>
      <c r="E618" t="s">
        <v>3804</v>
      </c>
      <c r="F618">
        <v>1</v>
      </c>
    </row>
    <row r="619" spans="1:6" ht="15" customHeight="1" x14ac:dyDescent="0.3">
      <c r="A619" t="s">
        <v>3852</v>
      </c>
      <c r="E619" t="s">
        <v>3852</v>
      </c>
      <c r="F619">
        <v>1</v>
      </c>
    </row>
    <row r="620" spans="1:6" ht="15" customHeight="1" x14ac:dyDescent="0.3">
      <c r="A620" t="s">
        <v>3873</v>
      </c>
      <c r="E620" t="s">
        <v>3873</v>
      </c>
      <c r="F620">
        <v>1</v>
      </c>
    </row>
    <row r="621" spans="1:6" ht="15" customHeight="1" x14ac:dyDescent="0.3">
      <c r="A621" t="s">
        <v>3901</v>
      </c>
      <c r="E621" t="s">
        <v>3901</v>
      </c>
      <c r="F621">
        <v>1</v>
      </c>
    </row>
    <row r="622" spans="1:6" ht="15" customHeight="1" x14ac:dyDescent="0.3">
      <c r="A622" t="s">
        <v>3909</v>
      </c>
      <c r="E622" t="s">
        <v>3909</v>
      </c>
      <c r="F622">
        <v>1</v>
      </c>
    </row>
    <row r="623" spans="1:6" ht="15" customHeight="1" x14ac:dyDescent="0.3">
      <c r="A623" t="s">
        <v>3936</v>
      </c>
      <c r="E623" t="s">
        <v>3936</v>
      </c>
      <c r="F623">
        <v>1</v>
      </c>
    </row>
    <row r="624" spans="1:6" ht="15" customHeight="1" x14ac:dyDescent="0.3">
      <c r="A624" t="s">
        <v>3942</v>
      </c>
      <c r="E624" t="s">
        <v>3942</v>
      </c>
      <c r="F624">
        <v>1</v>
      </c>
    </row>
    <row r="625" spans="1:6" ht="15" customHeight="1" x14ac:dyDescent="0.3">
      <c r="A625" t="s">
        <v>3977</v>
      </c>
      <c r="E625" t="s">
        <v>3977</v>
      </c>
      <c r="F625">
        <v>1</v>
      </c>
    </row>
    <row r="626" spans="1:6" ht="15" customHeight="1" x14ac:dyDescent="0.3">
      <c r="A626" t="s">
        <v>3996</v>
      </c>
      <c r="E626" t="s">
        <v>3996</v>
      </c>
      <c r="F626">
        <v>1</v>
      </c>
    </row>
    <row r="627" spans="1:6" ht="15" customHeight="1" x14ac:dyDescent="0.3">
      <c r="A627" t="s">
        <v>4001</v>
      </c>
      <c r="E627" t="s">
        <v>4001</v>
      </c>
      <c r="F627">
        <v>1</v>
      </c>
    </row>
    <row r="628" spans="1:6" ht="15" customHeight="1" x14ac:dyDescent="0.3">
      <c r="A628" t="s">
        <v>4045</v>
      </c>
      <c r="E628" t="s">
        <v>4045</v>
      </c>
      <c r="F628">
        <v>1</v>
      </c>
    </row>
    <row r="629" spans="1:6" ht="15" customHeight="1" x14ac:dyDescent="0.3">
      <c r="A629" t="s">
        <v>4050</v>
      </c>
      <c r="E629" t="s">
        <v>4050</v>
      </c>
      <c r="F629">
        <v>1</v>
      </c>
    </row>
    <row r="630" spans="1:6" ht="15" customHeight="1" x14ac:dyDescent="0.3">
      <c r="A630" t="s">
        <v>4059</v>
      </c>
      <c r="E630" t="s">
        <v>4059</v>
      </c>
      <c r="F630">
        <v>1</v>
      </c>
    </row>
    <row r="631" spans="1:6" ht="15" customHeight="1" x14ac:dyDescent="0.3">
      <c r="A631" t="s">
        <v>4064</v>
      </c>
      <c r="E631" t="s">
        <v>4064</v>
      </c>
      <c r="F631">
        <v>1</v>
      </c>
    </row>
    <row r="632" spans="1:6" ht="15" customHeight="1" x14ac:dyDescent="0.3">
      <c r="A632" t="s">
        <v>4077</v>
      </c>
      <c r="E632" t="s">
        <v>4077</v>
      </c>
      <c r="F632">
        <v>1</v>
      </c>
    </row>
    <row r="633" spans="1:6" ht="15" customHeight="1" x14ac:dyDescent="0.3">
      <c r="A633" t="s">
        <v>4092</v>
      </c>
      <c r="E633" t="s">
        <v>4092</v>
      </c>
      <c r="F633">
        <v>1</v>
      </c>
    </row>
    <row r="634" spans="1:6" ht="15" customHeight="1" x14ac:dyDescent="0.3">
      <c r="A634" t="s">
        <v>4097</v>
      </c>
      <c r="E634" t="s">
        <v>4097</v>
      </c>
      <c r="F634">
        <v>1</v>
      </c>
    </row>
    <row r="635" spans="1:6" ht="15" customHeight="1" x14ac:dyDescent="0.3">
      <c r="A635" t="s">
        <v>4105</v>
      </c>
      <c r="E635" t="s">
        <v>4105</v>
      </c>
      <c r="F635">
        <v>1</v>
      </c>
    </row>
    <row r="636" spans="1:6" ht="15" customHeight="1" x14ac:dyDescent="0.3">
      <c r="A636" t="s">
        <v>4129</v>
      </c>
      <c r="E636" t="s">
        <v>4129</v>
      </c>
      <c r="F636">
        <v>1</v>
      </c>
    </row>
    <row r="637" spans="1:6" ht="15" customHeight="1" x14ac:dyDescent="0.3">
      <c r="A637" t="s">
        <v>4134</v>
      </c>
      <c r="E637" t="s">
        <v>4134</v>
      </c>
      <c r="F637">
        <v>1</v>
      </c>
    </row>
    <row r="638" spans="1:6" ht="15" customHeight="1" x14ac:dyDescent="0.3">
      <c r="A638" t="s">
        <v>4143</v>
      </c>
      <c r="E638" t="s">
        <v>4143</v>
      </c>
      <c r="F638">
        <v>1</v>
      </c>
    </row>
    <row r="639" spans="1:6" ht="15" customHeight="1" x14ac:dyDescent="0.3">
      <c r="A639" t="s">
        <v>4162</v>
      </c>
      <c r="E639" t="s">
        <v>4162</v>
      </c>
      <c r="F639">
        <v>1</v>
      </c>
    </row>
    <row r="640" spans="1:6" ht="15" customHeight="1" x14ac:dyDescent="0.3">
      <c r="A640" t="s">
        <v>4167</v>
      </c>
      <c r="E640" t="s">
        <v>4167</v>
      </c>
      <c r="F640">
        <v>1</v>
      </c>
    </row>
    <row r="641" spans="1:6" ht="15" customHeight="1" x14ac:dyDescent="0.3">
      <c r="A641" t="s">
        <v>4172</v>
      </c>
      <c r="E641" t="s">
        <v>4172</v>
      </c>
      <c r="F641">
        <v>1</v>
      </c>
    </row>
    <row r="642" spans="1:6" ht="15" customHeight="1" x14ac:dyDescent="0.3">
      <c r="A642" t="s">
        <v>4177</v>
      </c>
      <c r="E642" t="s">
        <v>4177</v>
      </c>
      <c r="F642">
        <v>1</v>
      </c>
    </row>
    <row r="643" spans="1:6" ht="15" customHeight="1" x14ac:dyDescent="0.3">
      <c r="A643" t="s">
        <v>4182</v>
      </c>
      <c r="E643" t="s">
        <v>4182</v>
      </c>
      <c r="F643">
        <v>1</v>
      </c>
    </row>
    <row r="644" spans="1:6" ht="15" customHeight="1" x14ac:dyDescent="0.3">
      <c r="A644" t="s">
        <v>4191</v>
      </c>
      <c r="E644" t="s">
        <v>4191</v>
      </c>
      <c r="F644">
        <v>1</v>
      </c>
    </row>
    <row r="645" spans="1:6" ht="15" customHeight="1" x14ac:dyDescent="0.3">
      <c r="A645" t="s">
        <v>4200</v>
      </c>
      <c r="E645" t="s">
        <v>4200</v>
      </c>
      <c r="F645">
        <v>1</v>
      </c>
    </row>
    <row r="646" spans="1:6" ht="15" customHeight="1" x14ac:dyDescent="0.3">
      <c r="A646" t="s">
        <v>4210</v>
      </c>
      <c r="E646" t="s">
        <v>4210</v>
      </c>
      <c r="F646">
        <v>1</v>
      </c>
    </row>
    <row r="647" spans="1:6" ht="15" customHeight="1" x14ac:dyDescent="0.3">
      <c r="A647" t="s">
        <v>4229</v>
      </c>
      <c r="E647" t="s">
        <v>4229</v>
      </c>
      <c r="F647">
        <v>1</v>
      </c>
    </row>
    <row r="648" spans="1:6" ht="15" customHeight="1" x14ac:dyDescent="0.3">
      <c r="A648" t="s">
        <v>4238</v>
      </c>
      <c r="E648" t="s">
        <v>4238</v>
      </c>
      <c r="F648">
        <v>1</v>
      </c>
    </row>
    <row r="649" spans="1:6" ht="15" customHeight="1" x14ac:dyDescent="0.3">
      <c r="A649" t="s">
        <v>4243</v>
      </c>
      <c r="E649" t="s">
        <v>4243</v>
      </c>
      <c r="F649">
        <v>1</v>
      </c>
    </row>
    <row r="650" spans="1:6" ht="15" customHeight="1" x14ac:dyDescent="0.3">
      <c r="A650" t="s">
        <v>4256</v>
      </c>
      <c r="E650" t="s">
        <v>4256</v>
      </c>
      <c r="F650">
        <v>1</v>
      </c>
    </row>
    <row r="651" spans="1:6" ht="15" customHeight="1" x14ac:dyDescent="0.3">
      <c r="A651" t="s">
        <v>4261</v>
      </c>
      <c r="E651" t="s">
        <v>4261</v>
      </c>
      <c r="F651">
        <v>1</v>
      </c>
    </row>
    <row r="652" spans="1:6" ht="15" customHeight="1" x14ac:dyDescent="0.3">
      <c r="A652" t="s">
        <v>4266</v>
      </c>
      <c r="E652" t="s">
        <v>4266</v>
      </c>
      <c r="F652">
        <v>1</v>
      </c>
    </row>
    <row r="653" spans="1:6" ht="15" customHeight="1" x14ac:dyDescent="0.3">
      <c r="A653" t="s">
        <v>4271</v>
      </c>
      <c r="E653" t="s">
        <v>4271</v>
      </c>
      <c r="F653">
        <v>1</v>
      </c>
    </row>
    <row r="654" spans="1:6" ht="15" customHeight="1" x14ac:dyDescent="0.3">
      <c r="A654" t="s">
        <v>4291</v>
      </c>
      <c r="E654" t="s">
        <v>4291</v>
      </c>
      <c r="F654">
        <v>1</v>
      </c>
    </row>
    <row r="655" spans="1:6" ht="15" customHeight="1" x14ac:dyDescent="0.3">
      <c r="A655" t="s">
        <v>4296</v>
      </c>
      <c r="E655" t="s">
        <v>4296</v>
      </c>
      <c r="F655">
        <v>1</v>
      </c>
    </row>
    <row r="656" spans="1:6" ht="15" customHeight="1" x14ac:dyDescent="0.3">
      <c r="A656" t="s">
        <v>4301</v>
      </c>
      <c r="E656" t="s">
        <v>4301</v>
      </c>
      <c r="F656">
        <v>1</v>
      </c>
    </row>
    <row r="657" spans="1:6" ht="15" customHeight="1" x14ac:dyDescent="0.3">
      <c r="A657" t="s">
        <v>4319</v>
      </c>
      <c r="E657" t="s">
        <v>4319</v>
      </c>
      <c r="F657">
        <v>1</v>
      </c>
    </row>
    <row r="658" spans="1:6" ht="15" customHeight="1" x14ac:dyDescent="0.3">
      <c r="A658" t="s">
        <v>4326</v>
      </c>
      <c r="E658" t="s">
        <v>4326</v>
      </c>
      <c r="F658">
        <v>1</v>
      </c>
    </row>
    <row r="659" spans="1:6" ht="15" customHeight="1" x14ac:dyDescent="0.3">
      <c r="A659" t="s">
        <v>4331</v>
      </c>
      <c r="E659" t="s">
        <v>4331</v>
      </c>
      <c r="F659">
        <v>1</v>
      </c>
    </row>
    <row r="660" spans="1:6" ht="15" customHeight="1" x14ac:dyDescent="0.3">
      <c r="A660" t="s">
        <v>4336</v>
      </c>
      <c r="E660" t="s">
        <v>4336</v>
      </c>
      <c r="F660">
        <v>1</v>
      </c>
    </row>
    <row r="661" spans="1:6" ht="15" customHeight="1" x14ac:dyDescent="0.3">
      <c r="A661" t="s">
        <v>4341</v>
      </c>
      <c r="E661" t="s">
        <v>4341</v>
      </c>
      <c r="F661">
        <v>1</v>
      </c>
    </row>
    <row r="662" spans="1:6" ht="15" customHeight="1" x14ac:dyDescent="0.3">
      <c r="A662" t="s">
        <v>4355</v>
      </c>
      <c r="E662" t="s">
        <v>4355</v>
      </c>
      <c r="F662">
        <v>1</v>
      </c>
    </row>
    <row r="663" spans="1:6" ht="15" customHeight="1" x14ac:dyDescent="0.3">
      <c r="A663" t="s">
        <v>4365</v>
      </c>
      <c r="E663" t="s">
        <v>4365</v>
      </c>
      <c r="F663">
        <v>1</v>
      </c>
    </row>
    <row r="664" spans="1:6" ht="15" customHeight="1" x14ac:dyDescent="0.3">
      <c r="A664" t="s">
        <v>4370</v>
      </c>
      <c r="E664" t="s">
        <v>4370</v>
      </c>
      <c r="F664">
        <v>1</v>
      </c>
    </row>
    <row r="665" spans="1:6" ht="15" customHeight="1" x14ac:dyDescent="0.3">
      <c r="A665" t="s">
        <v>4398</v>
      </c>
      <c r="E665" t="s">
        <v>4398</v>
      </c>
      <c r="F665">
        <v>1</v>
      </c>
    </row>
    <row r="666" spans="1:6" ht="15" customHeight="1" x14ac:dyDescent="0.3">
      <c r="A666" t="s">
        <v>4410</v>
      </c>
      <c r="E666" t="s">
        <v>4410</v>
      </c>
      <c r="F666">
        <v>1</v>
      </c>
    </row>
    <row r="667" spans="1:6" ht="15" customHeight="1" x14ac:dyDescent="0.3">
      <c r="A667" t="s">
        <v>4441</v>
      </c>
      <c r="E667" t="s">
        <v>4441</v>
      </c>
      <c r="F667">
        <v>1</v>
      </c>
    </row>
    <row r="668" spans="1:6" ht="15" customHeight="1" x14ac:dyDescent="0.3">
      <c r="A668" t="s">
        <v>4459</v>
      </c>
      <c r="E668" t="s">
        <v>4459</v>
      </c>
      <c r="F668">
        <v>1</v>
      </c>
    </row>
    <row r="669" spans="1:6" ht="15" customHeight="1" x14ac:dyDescent="0.3">
      <c r="A669" t="s">
        <v>4477</v>
      </c>
      <c r="E669" t="s">
        <v>4477</v>
      </c>
      <c r="F669">
        <v>1</v>
      </c>
    </row>
    <row r="670" spans="1:6" ht="15" customHeight="1" x14ac:dyDescent="0.3">
      <c r="A670" t="s">
        <v>4482</v>
      </c>
      <c r="E670" t="s">
        <v>4482</v>
      </c>
      <c r="F670">
        <v>1</v>
      </c>
    </row>
    <row r="671" spans="1:6" ht="15" customHeight="1" x14ac:dyDescent="0.3">
      <c r="A671" t="s">
        <v>4486</v>
      </c>
      <c r="E671" t="s">
        <v>4486</v>
      </c>
      <c r="F671">
        <v>1</v>
      </c>
    </row>
    <row r="672" spans="1:6" ht="15" customHeight="1" x14ac:dyDescent="0.3">
      <c r="A672" t="s">
        <v>4510</v>
      </c>
      <c r="E672" t="s">
        <v>4510</v>
      </c>
      <c r="F672">
        <v>1</v>
      </c>
    </row>
    <row r="673" spans="1:6" ht="15" customHeight="1" x14ac:dyDescent="0.3">
      <c r="A673" t="s">
        <v>4599</v>
      </c>
      <c r="E673" t="s">
        <v>4599</v>
      </c>
      <c r="F673">
        <v>1</v>
      </c>
    </row>
    <row r="674" spans="1:6" ht="15" customHeight="1" x14ac:dyDescent="0.3">
      <c r="A674" t="s">
        <v>4625</v>
      </c>
      <c r="E674" t="s">
        <v>4625</v>
      </c>
      <c r="F674">
        <v>1</v>
      </c>
    </row>
    <row r="675" spans="1:6" ht="15" customHeight="1" x14ac:dyDescent="0.3">
      <c r="A675" t="s">
        <v>4630</v>
      </c>
      <c r="E675" t="s">
        <v>4630</v>
      </c>
      <c r="F675">
        <v>1</v>
      </c>
    </row>
    <row r="676" spans="1:6" ht="15" customHeight="1" x14ac:dyDescent="0.3">
      <c r="A676" t="s">
        <v>4638</v>
      </c>
      <c r="E676" t="s">
        <v>4638</v>
      </c>
      <c r="F676">
        <v>1</v>
      </c>
    </row>
    <row r="677" spans="1:6" ht="15" customHeight="1" x14ac:dyDescent="0.3">
      <c r="A677" t="s">
        <v>4643</v>
      </c>
      <c r="E677" t="s">
        <v>4643</v>
      </c>
      <c r="F677">
        <v>1</v>
      </c>
    </row>
    <row r="678" spans="1:6" ht="15" customHeight="1" x14ac:dyDescent="0.3">
      <c r="A678" t="s">
        <v>4648</v>
      </c>
      <c r="E678" t="s">
        <v>4648</v>
      </c>
      <c r="F678">
        <v>1</v>
      </c>
    </row>
    <row r="679" spans="1:6" ht="15" customHeight="1" x14ac:dyDescent="0.3">
      <c r="A679" t="s">
        <v>4653</v>
      </c>
      <c r="E679" t="s">
        <v>4653</v>
      </c>
      <c r="F679">
        <v>1</v>
      </c>
    </row>
    <row r="680" spans="1:6" ht="15" customHeight="1" x14ac:dyDescent="0.3">
      <c r="A680" t="s">
        <v>4666</v>
      </c>
      <c r="E680" t="s">
        <v>4666</v>
      </c>
      <c r="F680">
        <v>1</v>
      </c>
    </row>
    <row r="681" spans="1:6" ht="15" customHeight="1" x14ac:dyDescent="0.3">
      <c r="A681" t="s">
        <v>4677</v>
      </c>
      <c r="E681" t="s">
        <v>4677</v>
      </c>
      <c r="F681">
        <v>1</v>
      </c>
    </row>
    <row r="682" spans="1:6" ht="15" customHeight="1" x14ac:dyDescent="0.3">
      <c r="A682" t="s">
        <v>4686</v>
      </c>
      <c r="E682" t="s">
        <v>4686</v>
      </c>
      <c r="F682">
        <v>1</v>
      </c>
    </row>
    <row r="683" spans="1:6" ht="15" customHeight="1" x14ac:dyDescent="0.3">
      <c r="A683" t="s">
        <v>4695</v>
      </c>
      <c r="E683" t="s">
        <v>4695</v>
      </c>
      <c r="F683">
        <v>1</v>
      </c>
    </row>
    <row r="684" spans="1:6" ht="15" customHeight="1" x14ac:dyDescent="0.3">
      <c r="A684" t="s">
        <v>4704</v>
      </c>
      <c r="E684" t="s">
        <v>4704</v>
      </c>
      <c r="F684">
        <v>1</v>
      </c>
    </row>
    <row r="685" spans="1:6" ht="15" customHeight="1" x14ac:dyDescent="0.3">
      <c r="A685" t="s">
        <v>4709</v>
      </c>
      <c r="E685" t="s">
        <v>4709</v>
      </c>
      <c r="F685">
        <v>1</v>
      </c>
    </row>
    <row r="686" spans="1:6" ht="15" customHeight="1" x14ac:dyDescent="0.3">
      <c r="A686" t="s">
        <v>4714</v>
      </c>
      <c r="E686" t="s">
        <v>4714</v>
      </c>
      <c r="F686">
        <v>1</v>
      </c>
    </row>
    <row r="687" spans="1:6" ht="15" customHeight="1" x14ac:dyDescent="0.3">
      <c r="A687" t="s">
        <v>4719</v>
      </c>
      <c r="E687" t="s">
        <v>4719</v>
      </c>
      <c r="F687">
        <v>1</v>
      </c>
    </row>
    <row r="688" spans="1:6" ht="15" customHeight="1" x14ac:dyDescent="0.3">
      <c r="A688" t="s">
        <v>4732</v>
      </c>
      <c r="E688" t="s">
        <v>4732</v>
      </c>
      <c r="F688">
        <v>1</v>
      </c>
    </row>
    <row r="689" spans="1:6" ht="15" customHeight="1" x14ac:dyDescent="0.3">
      <c r="A689" t="s">
        <v>4742</v>
      </c>
      <c r="E689" t="s">
        <v>4742</v>
      </c>
      <c r="F689">
        <v>1</v>
      </c>
    </row>
    <row r="690" spans="1:6" ht="15" customHeight="1" x14ac:dyDescent="0.3">
      <c r="A690" t="s">
        <v>4797</v>
      </c>
      <c r="E690" t="s">
        <v>4797</v>
      </c>
      <c r="F690">
        <v>1</v>
      </c>
    </row>
    <row r="691" spans="1:6" ht="15" customHeight="1" x14ac:dyDescent="0.3">
      <c r="A691" t="s">
        <v>4808</v>
      </c>
      <c r="E691" t="s">
        <v>4808</v>
      </c>
      <c r="F691">
        <v>1</v>
      </c>
    </row>
    <row r="692" spans="1:6" ht="15" customHeight="1" x14ac:dyDescent="0.3">
      <c r="A692" t="s">
        <v>4825</v>
      </c>
      <c r="E692" t="s">
        <v>4825</v>
      </c>
      <c r="F692">
        <v>1</v>
      </c>
    </row>
    <row r="693" spans="1:6" ht="15" customHeight="1" x14ac:dyDescent="0.3">
      <c r="A693" t="s">
        <v>4900</v>
      </c>
      <c r="E693" t="s">
        <v>4900</v>
      </c>
      <c r="F693">
        <v>1</v>
      </c>
    </row>
    <row r="694" spans="1:6" ht="15" customHeight="1" x14ac:dyDescent="0.3">
      <c r="A694" t="s">
        <v>4995</v>
      </c>
      <c r="E694" t="s">
        <v>4995</v>
      </c>
      <c r="F694">
        <v>1</v>
      </c>
    </row>
    <row r="695" spans="1:6" ht="15" customHeight="1" x14ac:dyDescent="0.3">
      <c r="A695" t="s">
        <v>5000</v>
      </c>
      <c r="E695" t="s">
        <v>5000</v>
      </c>
      <c r="F695">
        <v>1</v>
      </c>
    </row>
    <row r="696" spans="1:6" ht="15" customHeight="1" x14ac:dyDescent="0.3">
      <c r="A696" t="s">
        <v>5012</v>
      </c>
      <c r="E696" t="s">
        <v>5012</v>
      </c>
      <c r="F696">
        <v>1</v>
      </c>
    </row>
    <row r="697" spans="1:6" ht="15" customHeight="1" x14ac:dyDescent="0.3">
      <c r="A697" t="s">
        <v>5053</v>
      </c>
      <c r="E697" t="s">
        <v>5053</v>
      </c>
      <c r="F697">
        <v>1</v>
      </c>
    </row>
    <row r="698" spans="1:6" ht="15" customHeight="1" x14ac:dyDescent="0.3">
      <c r="A698" t="s">
        <v>5089</v>
      </c>
      <c r="E698" t="s">
        <v>5089</v>
      </c>
      <c r="F698">
        <v>1</v>
      </c>
    </row>
    <row r="699" spans="1:6" ht="15" customHeight="1" x14ac:dyDescent="0.3">
      <c r="A699" t="s">
        <v>5116</v>
      </c>
      <c r="E699" t="s">
        <v>5116</v>
      </c>
      <c r="F699">
        <v>1</v>
      </c>
    </row>
    <row r="700" spans="1:6" ht="15" customHeight="1" x14ac:dyDescent="0.3">
      <c r="A700" t="s">
        <v>5155</v>
      </c>
      <c r="E700" t="s">
        <v>5155</v>
      </c>
      <c r="F700">
        <v>1</v>
      </c>
    </row>
    <row r="701" spans="1:6" ht="15" customHeight="1" x14ac:dyDescent="0.3">
      <c r="A701" t="s">
        <v>5163</v>
      </c>
      <c r="E701" t="s">
        <v>5163</v>
      </c>
      <c r="F701">
        <v>1</v>
      </c>
    </row>
    <row r="702" spans="1:6" ht="15" customHeight="1" x14ac:dyDescent="0.3">
      <c r="A702" t="s">
        <v>5168</v>
      </c>
      <c r="E702" t="s">
        <v>5168</v>
      </c>
      <c r="F702">
        <v>1</v>
      </c>
    </row>
    <row r="703" spans="1:6" ht="15" customHeight="1" x14ac:dyDescent="0.3">
      <c r="A703" t="s">
        <v>5173</v>
      </c>
      <c r="E703" t="s">
        <v>5173</v>
      </c>
      <c r="F703">
        <v>1</v>
      </c>
    </row>
    <row r="704" spans="1:6" ht="15" customHeight="1" x14ac:dyDescent="0.3">
      <c r="A704" t="s">
        <v>5188</v>
      </c>
      <c r="E704" t="s">
        <v>5188</v>
      </c>
      <c r="F704">
        <v>1</v>
      </c>
    </row>
    <row r="705" spans="1:6" ht="15" customHeight="1" x14ac:dyDescent="0.3">
      <c r="A705" t="s">
        <v>5241</v>
      </c>
      <c r="E705" t="s">
        <v>5241</v>
      </c>
      <c r="F705">
        <v>1</v>
      </c>
    </row>
    <row r="706" spans="1:6" ht="15" customHeight="1" x14ac:dyDescent="0.3">
      <c r="A706" t="s">
        <v>5260</v>
      </c>
      <c r="E706" t="s">
        <v>5260</v>
      </c>
      <c r="F706">
        <v>1</v>
      </c>
    </row>
    <row r="707" spans="1:6" ht="15" customHeight="1" x14ac:dyDescent="0.3">
      <c r="A707" t="s">
        <v>5265</v>
      </c>
      <c r="E707" t="s">
        <v>5265</v>
      </c>
      <c r="F707">
        <v>1</v>
      </c>
    </row>
    <row r="708" spans="1:6" ht="15" customHeight="1" x14ac:dyDescent="0.3">
      <c r="A708" t="s">
        <v>5272</v>
      </c>
      <c r="E708" t="s">
        <v>5272</v>
      </c>
      <c r="F708">
        <v>1</v>
      </c>
    </row>
    <row r="709" spans="1:6" ht="15" customHeight="1" x14ac:dyDescent="0.3">
      <c r="A709" t="s">
        <v>5281</v>
      </c>
      <c r="E709" t="s">
        <v>5281</v>
      </c>
      <c r="F709">
        <v>1</v>
      </c>
    </row>
    <row r="710" spans="1:6" ht="15" customHeight="1" x14ac:dyDescent="0.3">
      <c r="A710" t="s">
        <v>5300</v>
      </c>
      <c r="E710" t="s">
        <v>5300</v>
      </c>
      <c r="F710">
        <v>1</v>
      </c>
    </row>
    <row r="711" spans="1:6" ht="15" customHeight="1" x14ac:dyDescent="0.3">
      <c r="A711" t="s">
        <v>5315</v>
      </c>
      <c r="E711" t="s">
        <v>5315</v>
      </c>
      <c r="F711">
        <v>1</v>
      </c>
    </row>
    <row r="712" spans="1:6" ht="15" customHeight="1" x14ac:dyDescent="0.3">
      <c r="A712" t="s">
        <v>5320</v>
      </c>
      <c r="E712" t="s">
        <v>5320</v>
      </c>
      <c r="F712">
        <v>1</v>
      </c>
    </row>
    <row r="713" spans="1:6" ht="15" customHeight="1" x14ac:dyDescent="0.3">
      <c r="A713" t="s">
        <v>5344</v>
      </c>
      <c r="E713" t="s">
        <v>5344</v>
      </c>
      <c r="F713">
        <v>1</v>
      </c>
    </row>
    <row r="714" spans="1:6" ht="15" customHeight="1" x14ac:dyDescent="0.3">
      <c r="A714" t="s">
        <v>5385</v>
      </c>
      <c r="E714" t="s">
        <v>5385</v>
      </c>
      <c r="F714">
        <v>1</v>
      </c>
    </row>
    <row r="715" spans="1:6" ht="15" customHeight="1" x14ac:dyDescent="0.3">
      <c r="A715" t="s">
        <v>5394</v>
      </c>
      <c r="E715" t="s">
        <v>5394</v>
      </c>
      <c r="F715">
        <v>1</v>
      </c>
    </row>
    <row r="716" spans="1:6" ht="15" customHeight="1" x14ac:dyDescent="0.3">
      <c r="A716" t="s">
        <v>5441</v>
      </c>
      <c r="E716" t="s">
        <v>5441</v>
      </c>
      <c r="F716">
        <v>1</v>
      </c>
    </row>
    <row r="717" spans="1:6" ht="15" customHeight="1" x14ac:dyDescent="0.3">
      <c r="A717" t="s">
        <v>5445</v>
      </c>
      <c r="E717" t="s">
        <v>5445</v>
      </c>
      <c r="F717">
        <v>1</v>
      </c>
    </row>
    <row r="718" spans="1:6" ht="15" customHeight="1" x14ac:dyDescent="0.3">
      <c r="A718" t="s">
        <v>5488</v>
      </c>
      <c r="E718" t="s">
        <v>5488</v>
      </c>
      <c r="F718">
        <v>1</v>
      </c>
    </row>
    <row r="719" spans="1:6" ht="15" customHeight="1" x14ac:dyDescent="0.3">
      <c r="A719" t="s">
        <v>5532</v>
      </c>
      <c r="E719" t="s">
        <v>5532</v>
      </c>
      <c r="F719">
        <v>1</v>
      </c>
    </row>
    <row r="720" spans="1:6" ht="15" customHeight="1" x14ac:dyDescent="0.3">
      <c r="A720" t="s">
        <v>5541</v>
      </c>
      <c r="E720" t="s">
        <v>5541</v>
      </c>
      <c r="F720">
        <v>1</v>
      </c>
    </row>
    <row r="721" spans="1:6" ht="15" customHeight="1" x14ac:dyDescent="0.3">
      <c r="A721" t="s">
        <v>5546</v>
      </c>
      <c r="E721" t="s">
        <v>5546</v>
      </c>
      <c r="F721">
        <v>1</v>
      </c>
    </row>
    <row r="722" spans="1:6" ht="15" customHeight="1" x14ac:dyDescent="0.3">
      <c r="A722" t="s">
        <v>5551</v>
      </c>
      <c r="E722" t="s">
        <v>5551</v>
      </c>
      <c r="F722">
        <v>1</v>
      </c>
    </row>
    <row r="723" spans="1:6" ht="15" customHeight="1" x14ac:dyDescent="0.3">
      <c r="A723" t="s">
        <v>5558</v>
      </c>
      <c r="E723" t="s">
        <v>5558</v>
      </c>
      <c r="F723">
        <v>1</v>
      </c>
    </row>
    <row r="724" spans="1:6" ht="15" customHeight="1" x14ac:dyDescent="0.3">
      <c r="A724" t="s">
        <v>5563</v>
      </c>
      <c r="E724" t="s">
        <v>5563</v>
      </c>
      <c r="F724">
        <v>1</v>
      </c>
    </row>
    <row r="725" spans="1:6" ht="15" customHeight="1" x14ac:dyDescent="0.3">
      <c r="A725" t="s">
        <v>5567</v>
      </c>
      <c r="E725" t="s">
        <v>5567</v>
      </c>
      <c r="F725">
        <v>1</v>
      </c>
    </row>
    <row r="726" spans="1:6" ht="15" customHeight="1" x14ac:dyDescent="0.3">
      <c r="A726" t="s">
        <v>5583</v>
      </c>
      <c r="E726" t="s">
        <v>5583</v>
      </c>
      <c r="F726">
        <v>1</v>
      </c>
    </row>
    <row r="727" spans="1:6" ht="15" customHeight="1" x14ac:dyDescent="0.3">
      <c r="A727" t="s">
        <v>5588</v>
      </c>
      <c r="E727" t="s">
        <v>5588</v>
      </c>
      <c r="F727">
        <v>1</v>
      </c>
    </row>
    <row r="728" spans="1:6" ht="15" customHeight="1" x14ac:dyDescent="0.3">
      <c r="A728" t="s">
        <v>5595</v>
      </c>
      <c r="E728" t="s">
        <v>5595</v>
      </c>
      <c r="F728">
        <v>1</v>
      </c>
    </row>
    <row r="729" spans="1:6" ht="15" customHeight="1" x14ac:dyDescent="0.3">
      <c r="A729" t="s">
        <v>5613</v>
      </c>
      <c r="E729" t="s">
        <v>5613</v>
      </c>
      <c r="F729">
        <v>1</v>
      </c>
    </row>
    <row r="730" spans="1:6" ht="15" customHeight="1" x14ac:dyDescent="0.3">
      <c r="A730" t="s">
        <v>5635</v>
      </c>
      <c r="E730" t="s">
        <v>5635</v>
      </c>
      <c r="F730">
        <v>1</v>
      </c>
    </row>
    <row r="731" spans="1:6" ht="15" customHeight="1" x14ac:dyDescent="0.3">
      <c r="A731" t="s">
        <v>5644</v>
      </c>
      <c r="E731" t="s">
        <v>5644</v>
      </c>
      <c r="F731">
        <v>1</v>
      </c>
    </row>
    <row r="732" spans="1:6" ht="15" customHeight="1" x14ac:dyDescent="0.3">
      <c r="A732" t="s">
        <v>5660</v>
      </c>
      <c r="E732" t="s">
        <v>5660</v>
      </c>
      <c r="F732">
        <v>1</v>
      </c>
    </row>
    <row r="733" spans="1:6" ht="15" customHeight="1" x14ac:dyDescent="0.3">
      <c r="A733" t="s">
        <v>5667</v>
      </c>
      <c r="E733" t="s">
        <v>5667</v>
      </c>
      <c r="F733">
        <v>1</v>
      </c>
    </row>
    <row r="734" spans="1:6" ht="15" customHeight="1" x14ac:dyDescent="0.3">
      <c r="A734" t="s">
        <v>5672</v>
      </c>
      <c r="E734" t="s">
        <v>5672</v>
      </c>
      <c r="F734">
        <v>1</v>
      </c>
    </row>
    <row r="735" spans="1:6" ht="15" customHeight="1" x14ac:dyDescent="0.3">
      <c r="A735" t="s">
        <v>5681</v>
      </c>
      <c r="E735" t="s">
        <v>5681</v>
      </c>
      <c r="F735">
        <v>1</v>
      </c>
    </row>
    <row r="736" spans="1:6" ht="15" customHeight="1" x14ac:dyDescent="0.3">
      <c r="A736" t="s">
        <v>5688</v>
      </c>
      <c r="E736" t="s">
        <v>5688</v>
      </c>
      <c r="F736">
        <v>1</v>
      </c>
    </row>
    <row r="737" spans="1:6" ht="15" customHeight="1" x14ac:dyDescent="0.3">
      <c r="A737" t="s">
        <v>5698</v>
      </c>
      <c r="E737" t="s">
        <v>5698</v>
      </c>
      <c r="F737">
        <v>1</v>
      </c>
    </row>
    <row r="738" spans="1:6" ht="15" customHeight="1" x14ac:dyDescent="0.3">
      <c r="A738" t="s">
        <v>5702</v>
      </c>
      <c r="E738" t="s">
        <v>5702</v>
      </c>
      <c r="F738">
        <v>1</v>
      </c>
    </row>
    <row r="739" spans="1:6" ht="15" customHeight="1" x14ac:dyDescent="0.3">
      <c r="A739" t="s">
        <v>5709</v>
      </c>
      <c r="E739" t="s">
        <v>5709</v>
      </c>
      <c r="F739">
        <v>1</v>
      </c>
    </row>
    <row r="740" spans="1:6" ht="15" customHeight="1" x14ac:dyDescent="0.3">
      <c r="A740" t="s">
        <v>5720</v>
      </c>
      <c r="E740" t="s">
        <v>5720</v>
      </c>
      <c r="F740">
        <v>1</v>
      </c>
    </row>
    <row r="741" spans="1:6" ht="15" customHeight="1" x14ac:dyDescent="0.3">
      <c r="A741" t="s">
        <v>5730</v>
      </c>
      <c r="E741" t="s">
        <v>5730</v>
      </c>
      <c r="F741">
        <v>1</v>
      </c>
    </row>
    <row r="742" spans="1:6" ht="15" customHeight="1" x14ac:dyDescent="0.3">
      <c r="A742" t="s">
        <v>5757</v>
      </c>
      <c r="E742" t="s">
        <v>5757</v>
      </c>
      <c r="F742">
        <v>1</v>
      </c>
    </row>
    <row r="743" spans="1:6" ht="15" customHeight="1" x14ac:dyDescent="0.3">
      <c r="A743" t="s">
        <v>5776</v>
      </c>
      <c r="E743" t="s">
        <v>5776</v>
      </c>
      <c r="F743">
        <v>1</v>
      </c>
    </row>
    <row r="744" spans="1:6" ht="15" customHeight="1" x14ac:dyDescent="0.3">
      <c r="A744" t="s">
        <v>5781</v>
      </c>
      <c r="E744" t="s">
        <v>5781</v>
      </c>
      <c r="F744">
        <v>1</v>
      </c>
    </row>
    <row r="745" spans="1:6" ht="15" customHeight="1" x14ac:dyDescent="0.3">
      <c r="A745" t="s">
        <v>5786</v>
      </c>
      <c r="E745" t="s">
        <v>5786</v>
      </c>
      <c r="F745">
        <v>1</v>
      </c>
    </row>
    <row r="746" spans="1:6" ht="15" customHeight="1" x14ac:dyDescent="0.3">
      <c r="A746" t="s">
        <v>5794</v>
      </c>
      <c r="E746" t="s">
        <v>5794</v>
      </c>
      <c r="F746">
        <v>1</v>
      </c>
    </row>
    <row r="747" spans="1:6" ht="15" customHeight="1" x14ac:dyDescent="0.3">
      <c r="A747" t="s">
        <v>5815</v>
      </c>
      <c r="E747" t="s">
        <v>5815</v>
      </c>
      <c r="F747">
        <v>1</v>
      </c>
    </row>
    <row r="748" spans="1:6" ht="15" customHeight="1" x14ac:dyDescent="0.3">
      <c r="A748" t="s">
        <v>5820</v>
      </c>
      <c r="E748" t="s">
        <v>5820</v>
      </c>
      <c r="F748">
        <v>1</v>
      </c>
    </row>
    <row r="749" spans="1:6" ht="15" customHeight="1" x14ac:dyDescent="0.3">
      <c r="A749" t="s">
        <v>5875</v>
      </c>
      <c r="E749" t="s">
        <v>5875</v>
      </c>
      <c r="F749">
        <v>1</v>
      </c>
    </row>
    <row r="750" spans="1:6" ht="15" customHeight="1" x14ac:dyDescent="0.3">
      <c r="A750" t="s">
        <v>5916</v>
      </c>
      <c r="E750" t="s">
        <v>5916</v>
      </c>
      <c r="F750">
        <v>1</v>
      </c>
    </row>
    <row r="751" spans="1:6" ht="15" customHeight="1" x14ac:dyDescent="0.3">
      <c r="A751" t="s">
        <v>6021</v>
      </c>
      <c r="E751" t="s">
        <v>6021</v>
      </c>
      <c r="F751">
        <v>1</v>
      </c>
    </row>
    <row r="752" spans="1:6" ht="15" customHeight="1" x14ac:dyDescent="0.3">
      <c r="A752" t="s">
        <v>6032</v>
      </c>
      <c r="E752" t="s">
        <v>6032</v>
      </c>
      <c r="F752">
        <v>1</v>
      </c>
    </row>
    <row r="753" spans="1:6" ht="15" customHeight="1" x14ac:dyDescent="0.3">
      <c r="A753" t="s">
        <v>6037</v>
      </c>
      <c r="E753" t="s">
        <v>6037</v>
      </c>
      <c r="F753">
        <v>1</v>
      </c>
    </row>
    <row r="754" spans="1:6" ht="15" customHeight="1" x14ac:dyDescent="0.3">
      <c r="A754" t="s">
        <v>6045</v>
      </c>
      <c r="E754" t="s">
        <v>6045</v>
      </c>
      <c r="F754">
        <v>1</v>
      </c>
    </row>
    <row r="755" spans="1:6" ht="15" customHeight="1" x14ac:dyDescent="0.3">
      <c r="A755" t="s">
        <v>6070</v>
      </c>
      <c r="E755" t="s">
        <v>6070</v>
      </c>
      <c r="F755">
        <v>1</v>
      </c>
    </row>
    <row r="756" spans="1:6" ht="15" customHeight="1" x14ac:dyDescent="0.3">
      <c r="A756" t="s">
        <v>6110</v>
      </c>
      <c r="E756" t="s">
        <v>6110</v>
      </c>
      <c r="F756">
        <v>1</v>
      </c>
    </row>
    <row r="757" spans="1:6" ht="15" customHeight="1" x14ac:dyDescent="0.3">
      <c r="A757" t="s">
        <v>6142</v>
      </c>
      <c r="E757" t="s">
        <v>6142</v>
      </c>
      <c r="F757">
        <v>1</v>
      </c>
    </row>
    <row r="758" spans="1:6" ht="15" customHeight="1" x14ac:dyDescent="0.3">
      <c r="A758" t="s">
        <v>6159</v>
      </c>
      <c r="E758" t="s">
        <v>6159</v>
      </c>
      <c r="F758">
        <v>1</v>
      </c>
    </row>
    <row r="759" spans="1:6" ht="15" customHeight="1" x14ac:dyDescent="0.3">
      <c r="A759" t="s">
        <v>6168</v>
      </c>
      <c r="E759" t="s">
        <v>6168</v>
      </c>
      <c r="F759">
        <v>1</v>
      </c>
    </row>
    <row r="760" spans="1:6" ht="15" customHeight="1" x14ac:dyDescent="0.3">
      <c r="A760" t="s">
        <v>6228</v>
      </c>
      <c r="E760" t="s">
        <v>6228</v>
      </c>
      <c r="F760">
        <v>1</v>
      </c>
    </row>
    <row r="761" spans="1:6" ht="15" customHeight="1" x14ac:dyDescent="0.3">
      <c r="A761" t="s">
        <v>6252</v>
      </c>
      <c r="E761" t="s">
        <v>6252</v>
      </c>
      <c r="F761">
        <v>1</v>
      </c>
    </row>
    <row r="762" spans="1:6" ht="15" customHeight="1" x14ac:dyDescent="0.3">
      <c r="A762" t="s">
        <v>6296</v>
      </c>
      <c r="E762" t="s">
        <v>6296</v>
      </c>
      <c r="F762">
        <v>1</v>
      </c>
    </row>
    <row r="763" spans="1:6" ht="15" customHeight="1" x14ac:dyDescent="0.3">
      <c r="A763" t="s">
        <v>6301</v>
      </c>
      <c r="E763" t="s">
        <v>6301</v>
      </c>
      <c r="F763">
        <v>1</v>
      </c>
    </row>
    <row r="764" spans="1:6" ht="15" customHeight="1" x14ac:dyDescent="0.3">
      <c r="A764" t="s">
        <v>6306</v>
      </c>
      <c r="E764" t="s">
        <v>6306</v>
      </c>
      <c r="F764">
        <v>1</v>
      </c>
    </row>
    <row r="765" spans="1:6" ht="15" customHeight="1" x14ac:dyDescent="0.3">
      <c r="A765" t="s">
        <v>6320</v>
      </c>
      <c r="E765" t="s">
        <v>6320</v>
      </c>
      <c r="F765">
        <v>1</v>
      </c>
    </row>
    <row r="766" spans="1:6" ht="15" customHeight="1" x14ac:dyDescent="0.3">
      <c r="A766" t="s">
        <v>6342</v>
      </c>
      <c r="E766" t="s">
        <v>6342</v>
      </c>
      <c r="F766">
        <v>1</v>
      </c>
    </row>
    <row r="767" spans="1:6" ht="15" customHeight="1" x14ac:dyDescent="0.3">
      <c r="A767" t="s">
        <v>6379</v>
      </c>
      <c r="E767" t="s">
        <v>6379</v>
      </c>
      <c r="F767">
        <v>1</v>
      </c>
    </row>
    <row r="768" spans="1:6" ht="15" customHeight="1" x14ac:dyDescent="0.3">
      <c r="A768" t="s">
        <v>6399</v>
      </c>
      <c r="E768" t="s">
        <v>6399</v>
      </c>
      <c r="F768">
        <v>1</v>
      </c>
    </row>
    <row r="769" spans="1:6" ht="15" customHeight="1" x14ac:dyDescent="0.3">
      <c r="A769" t="s">
        <v>6406</v>
      </c>
      <c r="E769" t="s">
        <v>6406</v>
      </c>
      <c r="F769">
        <v>1</v>
      </c>
    </row>
    <row r="770" spans="1:6" ht="15" customHeight="1" x14ac:dyDescent="0.3">
      <c r="A770" t="s">
        <v>6417</v>
      </c>
      <c r="E770" t="s">
        <v>6417</v>
      </c>
      <c r="F770">
        <v>1</v>
      </c>
    </row>
    <row r="771" spans="1:6" ht="15" customHeight="1" x14ac:dyDescent="0.3">
      <c r="A771" t="s">
        <v>6450</v>
      </c>
      <c r="E771" t="s">
        <v>6450</v>
      </c>
      <c r="F771">
        <v>1</v>
      </c>
    </row>
    <row r="772" spans="1:6" ht="15" customHeight="1" x14ac:dyDescent="0.3">
      <c r="A772" t="s">
        <v>6455</v>
      </c>
      <c r="E772" t="s">
        <v>6455</v>
      </c>
      <c r="F772">
        <v>1</v>
      </c>
    </row>
    <row r="773" spans="1:6" ht="15" customHeight="1" x14ac:dyDescent="0.3">
      <c r="A773" t="s">
        <v>6476</v>
      </c>
      <c r="E773" t="s">
        <v>6476</v>
      </c>
      <c r="F773">
        <v>1</v>
      </c>
    </row>
    <row r="774" spans="1:6" ht="15" customHeight="1" x14ac:dyDescent="0.3">
      <c r="A774" t="s">
        <v>6481</v>
      </c>
      <c r="E774" t="s">
        <v>6481</v>
      </c>
      <c r="F774">
        <v>1</v>
      </c>
    </row>
    <row r="775" spans="1:6" ht="15" customHeight="1" x14ac:dyDescent="0.3">
      <c r="A775" t="s">
        <v>6485</v>
      </c>
      <c r="E775" t="s">
        <v>6485</v>
      </c>
      <c r="F775">
        <v>1</v>
      </c>
    </row>
    <row r="776" spans="1:6" ht="15" customHeight="1" x14ac:dyDescent="0.3">
      <c r="A776" t="s">
        <v>6498</v>
      </c>
      <c r="E776" t="s">
        <v>6498</v>
      </c>
      <c r="F776">
        <v>1</v>
      </c>
    </row>
    <row r="777" spans="1:6" ht="15" customHeight="1" x14ac:dyDescent="0.3">
      <c r="A777" t="s">
        <v>6504</v>
      </c>
      <c r="E777" t="s">
        <v>6504</v>
      </c>
      <c r="F777">
        <v>1</v>
      </c>
    </row>
    <row r="778" spans="1:6" ht="15" customHeight="1" x14ac:dyDescent="0.3">
      <c r="A778" t="s">
        <v>6508</v>
      </c>
      <c r="E778" t="s">
        <v>6508</v>
      </c>
      <c r="F778">
        <v>1</v>
      </c>
    </row>
    <row r="779" spans="1:6" ht="15" customHeight="1" x14ac:dyDescent="0.3">
      <c r="A779" t="s">
        <v>6517</v>
      </c>
      <c r="E779" t="s">
        <v>6517</v>
      </c>
      <c r="F779">
        <v>1</v>
      </c>
    </row>
    <row r="780" spans="1:6" ht="15" customHeight="1" x14ac:dyDescent="0.3">
      <c r="A780" t="s">
        <v>6524</v>
      </c>
      <c r="E780" t="s">
        <v>6524</v>
      </c>
      <c r="F780">
        <v>1</v>
      </c>
    </row>
    <row r="781" spans="1:6" ht="15" customHeight="1" x14ac:dyDescent="0.3">
      <c r="A781" t="s">
        <v>6545</v>
      </c>
      <c r="E781" t="s">
        <v>6545</v>
      </c>
      <c r="F781">
        <v>1</v>
      </c>
    </row>
    <row r="782" spans="1:6" ht="15" customHeight="1" x14ac:dyDescent="0.3">
      <c r="A782" t="s">
        <v>6550</v>
      </c>
      <c r="E782" t="s">
        <v>6550</v>
      </c>
      <c r="F782">
        <v>1</v>
      </c>
    </row>
    <row r="783" spans="1:6" ht="15" customHeight="1" x14ac:dyDescent="0.3">
      <c r="A783" t="s">
        <v>6573</v>
      </c>
      <c r="E783" t="s">
        <v>6573</v>
      </c>
      <c r="F783">
        <v>1</v>
      </c>
    </row>
    <row r="784" spans="1:6" ht="15" customHeight="1" x14ac:dyDescent="0.3">
      <c r="A784" t="s">
        <v>6578</v>
      </c>
      <c r="E784" t="s">
        <v>6578</v>
      </c>
      <c r="F784">
        <v>1</v>
      </c>
    </row>
    <row r="785" spans="1:6" ht="15" customHeight="1" x14ac:dyDescent="0.3">
      <c r="A785" t="s">
        <v>6583</v>
      </c>
      <c r="E785" t="s">
        <v>6583</v>
      </c>
      <c r="F785">
        <v>1</v>
      </c>
    </row>
    <row r="786" spans="1:6" ht="15" customHeight="1" x14ac:dyDescent="0.3">
      <c r="A786" t="s">
        <v>6592</v>
      </c>
      <c r="E786" t="s">
        <v>6592</v>
      </c>
      <c r="F786">
        <v>1</v>
      </c>
    </row>
    <row r="787" spans="1:6" ht="15" customHeight="1" x14ac:dyDescent="0.3">
      <c r="A787" t="s">
        <v>6600</v>
      </c>
      <c r="E787" t="s">
        <v>6600</v>
      </c>
      <c r="F787">
        <v>1</v>
      </c>
    </row>
    <row r="788" spans="1:6" ht="15" customHeight="1" x14ac:dyDescent="0.3">
      <c r="A788" t="s">
        <v>6616</v>
      </c>
      <c r="E788" t="s">
        <v>6616</v>
      </c>
      <c r="F788">
        <v>1</v>
      </c>
    </row>
    <row r="789" spans="1:6" ht="15" customHeight="1" x14ac:dyDescent="0.3">
      <c r="A789" t="s">
        <v>6645</v>
      </c>
      <c r="E789" t="s">
        <v>6645</v>
      </c>
      <c r="F789">
        <v>1</v>
      </c>
    </row>
    <row r="790" spans="1:6" ht="15" customHeight="1" x14ac:dyDescent="0.3">
      <c r="A790" t="s">
        <v>6653</v>
      </c>
      <c r="E790" t="s">
        <v>6653</v>
      </c>
      <c r="F790">
        <v>1</v>
      </c>
    </row>
    <row r="791" spans="1:6" ht="15" customHeight="1" x14ac:dyDescent="0.3">
      <c r="A791" t="s">
        <v>6672</v>
      </c>
      <c r="E791" t="s">
        <v>6672</v>
      </c>
      <c r="F791">
        <v>1</v>
      </c>
    </row>
    <row r="792" spans="1:6" ht="15" customHeight="1" x14ac:dyDescent="0.3">
      <c r="A792" t="s">
        <v>6677</v>
      </c>
      <c r="E792" t="s">
        <v>6677</v>
      </c>
      <c r="F792">
        <v>1</v>
      </c>
    </row>
    <row r="793" spans="1:6" ht="15" customHeight="1" x14ac:dyDescent="0.3">
      <c r="A793" t="s">
        <v>6682</v>
      </c>
      <c r="E793" t="s">
        <v>6682</v>
      </c>
      <c r="F793">
        <v>1</v>
      </c>
    </row>
    <row r="794" spans="1:6" ht="15" customHeight="1" x14ac:dyDescent="0.3">
      <c r="A794" t="s">
        <v>6695</v>
      </c>
      <c r="E794" t="s">
        <v>6695</v>
      </c>
      <c r="F794">
        <v>1</v>
      </c>
    </row>
    <row r="795" spans="1:6" ht="15" customHeight="1" x14ac:dyDescent="0.3">
      <c r="A795" t="s">
        <v>6709</v>
      </c>
      <c r="E795" t="s">
        <v>6709</v>
      </c>
      <c r="F795">
        <v>1</v>
      </c>
    </row>
    <row r="796" spans="1:6" ht="15" customHeight="1" x14ac:dyDescent="0.3">
      <c r="A796" t="s">
        <v>6713</v>
      </c>
      <c r="E796" t="s">
        <v>6713</v>
      </c>
      <c r="F796">
        <v>1</v>
      </c>
    </row>
    <row r="797" spans="1:6" ht="15" customHeight="1" x14ac:dyDescent="0.3">
      <c r="A797" t="s">
        <v>6737</v>
      </c>
      <c r="E797" t="s">
        <v>6737</v>
      </c>
      <c r="F797">
        <v>1</v>
      </c>
    </row>
    <row r="798" spans="1:6" ht="15" customHeight="1" x14ac:dyDescent="0.3">
      <c r="A798" t="s">
        <v>6745</v>
      </c>
      <c r="E798" t="s">
        <v>6745</v>
      </c>
      <c r="F798">
        <v>1</v>
      </c>
    </row>
    <row r="799" spans="1:6" ht="15" customHeight="1" x14ac:dyDescent="0.3">
      <c r="A799" t="s">
        <v>6749</v>
      </c>
      <c r="E799" t="s">
        <v>6749</v>
      </c>
      <c r="F799">
        <v>1</v>
      </c>
    </row>
    <row r="800" spans="1:6" ht="15" customHeight="1" x14ac:dyDescent="0.3">
      <c r="A800" t="s">
        <v>6754</v>
      </c>
      <c r="E800" t="s">
        <v>6754</v>
      </c>
      <c r="F800">
        <v>1</v>
      </c>
    </row>
    <row r="801" spans="1:6" ht="15" customHeight="1" x14ac:dyDescent="0.3">
      <c r="A801" t="s">
        <v>6760</v>
      </c>
      <c r="E801" t="s">
        <v>6760</v>
      </c>
      <c r="F801">
        <v>1</v>
      </c>
    </row>
    <row r="802" spans="1:6" ht="15" customHeight="1" x14ac:dyDescent="0.3">
      <c r="A802" t="s">
        <v>6780</v>
      </c>
      <c r="E802" t="s">
        <v>6780</v>
      </c>
      <c r="F802">
        <v>1</v>
      </c>
    </row>
    <row r="803" spans="1:6" ht="15" customHeight="1" x14ac:dyDescent="0.3">
      <c r="A803" t="s">
        <v>6788</v>
      </c>
      <c r="E803" t="s">
        <v>6788</v>
      </c>
      <c r="F803">
        <v>1</v>
      </c>
    </row>
    <row r="804" spans="1:6" ht="15" customHeight="1" x14ac:dyDescent="0.3">
      <c r="A804" t="s">
        <v>6793</v>
      </c>
      <c r="E804" t="s">
        <v>6793</v>
      </c>
      <c r="F804">
        <v>1</v>
      </c>
    </row>
    <row r="805" spans="1:6" ht="15" customHeight="1" x14ac:dyDescent="0.3">
      <c r="A805" t="s">
        <v>6802</v>
      </c>
      <c r="E805" t="s">
        <v>6802</v>
      </c>
      <c r="F805">
        <v>1</v>
      </c>
    </row>
    <row r="806" spans="1:6" ht="15" customHeight="1" x14ac:dyDescent="0.3">
      <c r="A806" t="s">
        <v>6813</v>
      </c>
      <c r="E806" t="s">
        <v>6813</v>
      </c>
      <c r="F806">
        <v>1</v>
      </c>
    </row>
    <row r="807" spans="1:6" ht="15" customHeight="1" x14ac:dyDescent="0.3">
      <c r="A807" t="s">
        <v>6817</v>
      </c>
      <c r="E807" t="s">
        <v>6817</v>
      </c>
      <c r="F807">
        <v>1</v>
      </c>
    </row>
    <row r="808" spans="1:6" ht="15" customHeight="1" x14ac:dyDescent="0.3">
      <c r="A808" t="s">
        <v>6833</v>
      </c>
      <c r="E808" t="s">
        <v>6833</v>
      </c>
      <c r="F808">
        <v>1</v>
      </c>
    </row>
    <row r="809" spans="1:6" ht="15" customHeight="1" x14ac:dyDescent="0.3">
      <c r="A809" t="s">
        <v>6845</v>
      </c>
      <c r="E809" t="s">
        <v>6845</v>
      </c>
      <c r="F809">
        <v>1</v>
      </c>
    </row>
    <row r="810" spans="1:6" ht="15" customHeight="1" x14ac:dyDescent="0.3">
      <c r="A810" t="s">
        <v>6860</v>
      </c>
      <c r="E810" t="s">
        <v>6860</v>
      </c>
      <c r="F810">
        <v>1</v>
      </c>
    </row>
    <row r="811" spans="1:6" ht="15" customHeight="1" x14ac:dyDescent="0.3">
      <c r="A811" t="s">
        <v>6868</v>
      </c>
      <c r="E811" t="s">
        <v>6868</v>
      </c>
      <c r="F811">
        <v>1</v>
      </c>
    </row>
    <row r="812" spans="1:6" ht="15" customHeight="1" x14ac:dyDescent="0.3">
      <c r="A812" t="s">
        <v>6873</v>
      </c>
      <c r="E812" t="s">
        <v>6873</v>
      </c>
      <c r="F812">
        <v>1</v>
      </c>
    </row>
    <row r="813" spans="1:6" ht="15" customHeight="1" x14ac:dyDescent="0.3">
      <c r="A813" t="s">
        <v>6912</v>
      </c>
      <c r="E813" t="s">
        <v>6912</v>
      </c>
      <c r="F813">
        <v>1</v>
      </c>
    </row>
    <row r="814" spans="1:6" ht="15" customHeight="1" x14ac:dyDescent="0.3">
      <c r="A814" t="s">
        <v>6916</v>
      </c>
      <c r="E814" t="s">
        <v>6916</v>
      </c>
      <c r="F814">
        <v>1</v>
      </c>
    </row>
    <row r="815" spans="1:6" ht="15" customHeight="1" x14ac:dyDescent="0.3">
      <c r="A815" t="s">
        <v>6938</v>
      </c>
      <c r="E815" t="s">
        <v>6938</v>
      </c>
      <c r="F815">
        <v>1</v>
      </c>
    </row>
    <row r="816" spans="1:6" ht="15" customHeight="1" x14ac:dyDescent="0.3">
      <c r="A816" t="s">
        <v>6986</v>
      </c>
      <c r="E816" t="s">
        <v>6986</v>
      </c>
      <c r="F816">
        <v>1</v>
      </c>
    </row>
    <row r="817" spans="1:6" ht="15" customHeight="1" x14ac:dyDescent="0.3">
      <c r="A817" t="s">
        <v>7007</v>
      </c>
      <c r="E817" t="s">
        <v>7007</v>
      </c>
      <c r="F817">
        <v>1</v>
      </c>
    </row>
    <row r="818" spans="1:6" ht="15" customHeight="1" x14ac:dyDescent="0.3">
      <c r="A818" t="s">
        <v>7016</v>
      </c>
      <c r="E818" t="s">
        <v>7016</v>
      </c>
      <c r="F818">
        <v>1</v>
      </c>
    </row>
    <row r="819" spans="1:6" ht="15" customHeight="1" x14ac:dyDescent="0.3">
      <c r="A819" t="s">
        <v>7021</v>
      </c>
      <c r="E819" t="s">
        <v>7021</v>
      </c>
      <c r="F819">
        <v>1</v>
      </c>
    </row>
    <row r="820" spans="1:6" ht="15" customHeight="1" x14ac:dyDescent="0.3">
      <c r="A820" t="s">
        <v>7030</v>
      </c>
      <c r="E820" t="s">
        <v>7030</v>
      </c>
      <c r="F820">
        <v>1</v>
      </c>
    </row>
    <row r="821" spans="1:6" ht="15" customHeight="1" x14ac:dyDescent="0.3">
      <c r="A821" t="s">
        <v>7057</v>
      </c>
      <c r="E821" t="s">
        <v>7057</v>
      </c>
      <c r="F821">
        <v>1</v>
      </c>
    </row>
    <row r="822" spans="1:6" ht="15" customHeight="1" x14ac:dyDescent="0.3">
      <c r="A822" t="s">
        <v>7066</v>
      </c>
      <c r="E822" t="s">
        <v>7066</v>
      </c>
      <c r="F822">
        <v>1</v>
      </c>
    </row>
    <row r="823" spans="1:6" ht="15" customHeight="1" x14ac:dyDescent="0.3">
      <c r="A823" t="s">
        <v>7071</v>
      </c>
      <c r="E823" t="s">
        <v>7071</v>
      </c>
      <c r="F823">
        <v>1</v>
      </c>
    </row>
    <row r="824" spans="1:6" ht="15" customHeight="1" x14ac:dyDescent="0.3">
      <c r="A824" t="s">
        <v>7076</v>
      </c>
      <c r="E824" t="s">
        <v>7076</v>
      </c>
      <c r="F824">
        <v>1</v>
      </c>
    </row>
    <row r="825" spans="1:6" ht="15" customHeight="1" x14ac:dyDescent="0.3">
      <c r="A825" t="s">
        <v>7081</v>
      </c>
      <c r="E825" t="s">
        <v>7081</v>
      </c>
      <c r="F825">
        <v>1</v>
      </c>
    </row>
    <row r="826" spans="1:6" ht="15" customHeight="1" x14ac:dyDescent="0.3">
      <c r="A826" t="s">
        <v>7106</v>
      </c>
      <c r="E826" t="s">
        <v>7106</v>
      </c>
      <c r="F826">
        <v>1</v>
      </c>
    </row>
    <row r="827" spans="1:6" ht="15" customHeight="1" x14ac:dyDescent="0.3">
      <c r="A827" t="s">
        <v>7136</v>
      </c>
      <c r="E827" t="s">
        <v>7136</v>
      </c>
      <c r="F827">
        <v>1</v>
      </c>
    </row>
    <row r="828" spans="1:6" ht="15" customHeight="1" x14ac:dyDescent="0.3">
      <c r="A828" t="s">
        <v>7143</v>
      </c>
      <c r="E828" t="s">
        <v>7143</v>
      </c>
      <c r="F828">
        <v>1</v>
      </c>
    </row>
    <row r="829" spans="1:6" ht="15" customHeight="1" x14ac:dyDescent="0.3">
      <c r="A829" t="s">
        <v>7152</v>
      </c>
      <c r="E829" t="s">
        <v>7152</v>
      </c>
      <c r="F829">
        <v>1</v>
      </c>
    </row>
    <row r="830" spans="1:6" ht="15" customHeight="1" x14ac:dyDescent="0.3">
      <c r="A830" t="s">
        <v>7165</v>
      </c>
      <c r="E830" t="s">
        <v>7165</v>
      </c>
      <c r="F830">
        <v>1</v>
      </c>
    </row>
    <row r="831" spans="1:6" ht="15" customHeight="1" x14ac:dyDescent="0.3">
      <c r="A831" t="s">
        <v>7170</v>
      </c>
      <c r="E831" t="s">
        <v>7170</v>
      </c>
      <c r="F831">
        <v>1</v>
      </c>
    </row>
    <row r="832" spans="1:6" ht="15" customHeight="1" x14ac:dyDescent="0.3">
      <c r="A832" t="s">
        <v>7197</v>
      </c>
      <c r="E832" t="s">
        <v>7197</v>
      </c>
      <c r="F832">
        <v>1</v>
      </c>
    </row>
    <row r="833" spans="1:6" ht="15" customHeight="1" x14ac:dyDescent="0.3">
      <c r="A833" t="s">
        <v>7203</v>
      </c>
      <c r="E833" t="s">
        <v>7203</v>
      </c>
      <c r="F833">
        <v>1</v>
      </c>
    </row>
    <row r="834" spans="1:6" ht="15" customHeight="1" x14ac:dyDescent="0.3">
      <c r="A834" t="s">
        <v>7211</v>
      </c>
      <c r="E834" t="s">
        <v>7211</v>
      </c>
      <c r="F834">
        <v>1</v>
      </c>
    </row>
    <row r="835" spans="1:6" ht="15" customHeight="1" x14ac:dyDescent="0.3">
      <c r="A835" t="s">
        <v>7219</v>
      </c>
      <c r="E835" t="s">
        <v>7219</v>
      </c>
      <c r="F835">
        <v>1</v>
      </c>
    </row>
    <row r="836" spans="1:6" ht="15" customHeight="1" x14ac:dyDescent="0.3">
      <c r="A836" t="s">
        <v>7224</v>
      </c>
      <c r="E836" t="s">
        <v>7224</v>
      </c>
      <c r="F836">
        <v>1</v>
      </c>
    </row>
    <row r="837" spans="1:6" ht="15" customHeight="1" x14ac:dyDescent="0.3">
      <c r="A837" t="s">
        <v>7228</v>
      </c>
      <c r="E837" t="s">
        <v>7228</v>
      </c>
      <c r="F837">
        <v>1</v>
      </c>
    </row>
    <row r="838" spans="1:6" ht="15" customHeight="1" x14ac:dyDescent="0.3">
      <c r="A838" t="s">
        <v>7243</v>
      </c>
      <c r="E838" t="s">
        <v>7243</v>
      </c>
      <c r="F838">
        <v>1</v>
      </c>
    </row>
    <row r="839" spans="1:6" ht="15" customHeight="1" x14ac:dyDescent="0.3">
      <c r="A839" t="s">
        <v>7248</v>
      </c>
      <c r="E839" t="s">
        <v>7248</v>
      </c>
      <c r="F839">
        <v>1</v>
      </c>
    </row>
    <row r="840" spans="1:6" ht="15" customHeight="1" x14ac:dyDescent="0.3">
      <c r="A840" t="s">
        <v>7261</v>
      </c>
      <c r="E840" t="s">
        <v>7261</v>
      </c>
      <c r="F840">
        <v>1</v>
      </c>
    </row>
    <row r="841" spans="1:6" ht="15" customHeight="1" x14ac:dyDescent="0.3">
      <c r="A841" t="s">
        <v>7270</v>
      </c>
      <c r="E841" t="s">
        <v>7270</v>
      </c>
      <c r="F841">
        <v>1</v>
      </c>
    </row>
    <row r="842" spans="1:6" ht="15" customHeight="1" x14ac:dyDescent="0.3">
      <c r="A842" t="s">
        <v>7274</v>
      </c>
      <c r="E842" t="s">
        <v>7274</v>
      </c>
      <c r="F842">
        <v>1</v>
      </c>
    </row>
    <row r="843" spans="1:6" ht="15" customHeight="1" x14ac:dyDescent="0.3">
      <c r="A843" t="s">
        <v>7290</v>
      </c>
      <c r="E843" t="s">
        <v>7290</v>
      </c>
      <c r="F843">
        <v>1</v>
      </c>
    </row>
    <row r="844" spans="1:6" ht="15" customHeight="1" x14ac:dyDescent="0.3">
      <c r="A844" t="s">
        <v>7295</v>
      </c>
      <c r="E844" t="s">
        <v>7295</v>
      </c>
      <c r="F844">
        <v>1</v>
      </c>
    </row>
    <row r="845" spans="1:6" ht="15" customHeight="1" x14ac:dyDescent="0.3">
      <c r="A845" t="s">
        <v>7300</v>
      </c>
      <c r="E845" t="s">
        <v>7300</v>
      </c>
      <c r="F845">
        <v>1</v>
      </c>
    </row>
    <row r="846" spans="1:6" ht="15" customHeight="1" x14ac:dyDescent="0.3">
      <c r="A846" t="s">
        <v>7314</v>
      </c>
      <c r="E846" t="s">
        <v>7314</v>
      </c>
      <c r="F846">
        <v>1</v>
      </c>
    </row>
    <row r="847" spans="1:6" ht="15" customHeight="1" x14ac:dyDescent="0.3">
      <c r="A847" t="s">
        <v>7323</v>
      </c>
      <c r="E847" t="s">
        <v>7323</v>
      </c>
      <c r="F847">
        <v>1</v>
      </c>
    </row>
    <row r="848" spans="1:6" ht="15" customHeight="1" x14ac:dyDescent="0.3">
      <c r="A848" t="s">
        <v>7328</v>
      </c>
      <c r="E848" t="s">
        <v>7328</v>
      </c>
      <c r="F848">
        <v>1</v>
      </c>
    </row>
    <row r="849" spans="1:6" ht="15" customHeight="1" x14ac:dyDescent="0.3">
      <c r="A849" t="s">
        <v>7333</v>
      </c>
      <c r="E849" t="s">
        <v>7333</v>
      </c>
      <c r="F849">
        <v>1</v>
      </c>
    </row>
    <row r="850" spans="1:6" ht="15" customHeight="1" x14ac:dyDescent="0.3">
      <c r="A850" t="s">
        <v>7374</v>
      </c>
      <c r="E850" t="s">
        <v>7374</v>
      </c>
      <c r="F850">
        <v>1</v>
      </c>
    </row>
    <row r="851" spans="1:6" ht="15" customHeight="1" x14ac:dyDescent="0.3">
      <c r="A851" t="s">
        <v>7379</v>
      </c>
      <c r="E851" t="s">
        <v>7379</v>
      </c>
      <c r="F851">
        <v>1</v>
      </c>
    </row>
    <row r="852" spans="1:6" ht="15" customHeight="1" x14ac:dyDescent="0.3">
      <c r="A852" t="s">
        <v>7384</v>
      </c>
      <c r="E852" t="s">
        <v>7384</v>
      </c>
      <c r="F852">
        <v>1</v>
      </c>
    </row>
    <row r="853" spans="1:6" ht="15" customHeight="1" x14ac:dyDescent="0.3">
      <c r="A853" t="s">
        <v>7389</v>
      </c>
      <c r="E853" t="s">
        <v>7389</v>
      </c>
      <c r="F853">
        <v>1</v>
      </c>
    </row>
    <row r="854" spans="1:6" ht="15" customHeight="1" x14ac:dyDescent="0.3">
      <c r="A854" t="s">
        <v>7394</v>
      </c>
      <c r="E854" t="s">
        <v>7394</v>
      </c>
      <c r="F854">
        <v>1</v>
      </c>
    </row>
    <row r="855" spans="1:6" ht="15" customHeight="1" x14ac:dyDescent="0.3">
      <c r="A855" t="s">
        <v>7399</v>
      </c>
      <c r="E855" t="s">
        <v>7399</v>
      </c>
      <c r="F855">
        <v>1</v>
      </c>
    </row>
    <row r="856" spans="1:6" ht="15" customHeight="1" x14ac:dyDescent="0.3">
      <c r="A856" t="s">
        <v>7408</v>
      </c>
      <c r="E856" t="s">
        <v>7408</v>
      </c>
      <c r="F856">
        <v>1</v>
      </c>
    </row>
    <row r="857" spans="1:6" ht="15" customHeight="1" x14ac:dyDescent="0.3">
      <c r="A857" t="s">
        <v>7419</v>
      </c>
      <c r="E857" t="s">
        <v>7419</v>
      </c>
      <c r="F857">
        <v>1</v>
      </c>
    </row>
    <row r="858" spans="1:6" ht="15" customHeight="1" x14ac:dyDescent="0.3">
      <c r="A858" t="s">
        <v>7422</v>
      </c>
      <c r="E858" t="s">
        <v>7422</v>
      </c>
      <c r="F858">
        <v>1</v>
      </c>
    </row>
    <row r="859" spans="1:6" ht="15" customHeight="1" x14ac:dyDescent="0.3">
      <c r="A859" t="s">
        <v>7454</v>
      </c>
      <c r="E859" t="s">
        <v>7454</v>
      </c>
      <c r="F859">
        <v>1</v>
      </c>
    </row>
    <row r="860" spans="1:6" ht="15" customHeight="1" x14ac:dyDescent="0.3">
      <c r="A860" t="s">
        <v>7463</v>
      </c>
      <c r="E860" t="s">
        <v>7463</v>
      </c>
      <c r="F860">
        <v>1</v>
      </c>
    </row>
    <row r="861" spans="1:6" ht="15" customHeight="1" x14ac:dyDescent="0.3">
      <c r="A861" t="s">
        <v>7477</v>
      </c>
      <c r="E861" t="s">
        <v>7477</v>
      </c>
      <c r="F861">
        <v>1</v>
      </c>
    </row>
    <row r="862" spans="1:6" ht="15" customHeight="1" x14ac:dyDescent="0.3">
      <c r="A862" t="s">
        <v>7482</v>
      </c>
      <c r="E862" t="s">
        <v>7482</v>
      </c>
      <c r="F862">
        <v>1</v>
      </c>
    </row>
    <row r="863" spans="1:6" ht="15" customHeight="1" x14ac:dyDescent="0.3">
      <c r="A863" t="s">
        <v>7506</v>
      </c>
      <c r="E863" t="s">
        <v>7506</v>
      </c>
      <c r="F863">
        <v>1</v>
      </c>
    </row>
    <row r="864" spans="1:6" ht="15" customHeight="1" x14ac:dyDescent="0.3">
      <c r="A864" t="s">
        <v>7531</v>
      </c>
      <c r="E864" t="s">
        <v>7531</v>
      </c>
      <c r="F864">
        <v>1</v>
      </c>
    </row>
    <row r="865" spans="1:6" ht="15" customHeight="1" x14ac:dyDescent="0.3">
      <c r="A865" t="s">
        <v>7535</v>
      </c>
      <c r="E865" t="s">
        <v>7535</v>
      </c>
      <c r="F865">
        <v>1</v>
      </c>
    </row>
    <row r="866" spans="1:6" ht="15" customHeight="1" x14ac:dyDescent="0.3">
      <c r="A866" t="s">
        <v>7544</v>
      </c>
      <c r="E866" t="s">
        <v>7544</v>
      </c>
      <c r="F866">
        <v>1</v>
      </c>
    </row>
    <row r="867" spans="1:6" ht="15" customHeight="1" x14ac:dyDescent="0.3">
      <c r="A867" t="s">
        <v>7553</v>
      </c>
      <c r="E867" t="s">
        <v>7553</v>
      </c>
      <c r="F867">
        <v>1</v>
      </c>
    </row>
    <row r="868" spans="1:6" ht="15" customHeight="1" x14ac:dyDescent="0.3">
      <c r="A868" t="s">
        <v>7556</v>
      </c>
      <c r="E868" t="s">
        <v>7556</v>
      </c>
      <c r="F868">
        <v>1</v>
      </c>
    </row>
    <row r="869" spans="1:6" ht="15" customHeight="1" x14ac:dyDescent="0.3">
      <c r="A869" t="s">
        <v>7563</v>
      </c>
      <c r="E869" t="s">
        <v>7563</v>
      </c>
      <c r="F869">
        <v>1</v>
      </c>
    </row>
    <row r="870" spans="1:6" ht="15" customHeight="1" x14ac:dyDescent="0.3">
      <c r="A870" t="s">
        <v>7572</v>
      </c>
      <c r="E870" t="s">
        <v>7572</v>
      </c>
      <c r="F870">
        <v>1</v>
      </c>
    </row>
    <row r="871" spans="1:6" ht="15" customHeight="1" x14ac:dyDescent="0.3">
      <c r="A871" t="s">
        <v>7612</v>
      </c>
      <c r="E871" t="s">
        <v>7612</v>
      </c>
      <c r="F871">
        <v>1</v>
      </c>
    </row>
    <row r="872" spans="1:6" ht="15" customHeight="1" x14ac:dyDescent="0.3">
      <c r="A872" t="s">
        <v>7617</v>
      </c>
      <c r="E872" t="s">
        <v>7617</v>
      </c>
      <c r="F872">
        <v>1</v>
      </c>
    </row>
    <row r="873" spans="1:6" ht="15" customHeight="1" x14ac:dyDescent="0.3">
      <c r="A873" t="s">
        <v>7632</v>
      </c>
      <c r="E873" t="s">
        <v>7632</v>
      </c>
      <c r="F873">
        <v>1</v>
      </c>
    </row>
    <row r="874" spans="1:6" ht="15" customHeight="1" x14ac:dyDescent="0.3">
      <c r="A874" t="s">
        <v>7646</v>
      </c>
      <c r="E874" t="s">
        <v>7646</v>
      </c>
      <c r="F874">
        <v>1</v>
      </c>
    </row>
    <row r="875" spans="1:6" ht="15" customHeight="1" x14ac:dyDescent="0.3">
      <c r="A875" t="s">
        <v>7650</v>
      </c>
      <c r="E875" t="s">
        <v>7650</v>
      </c>
      <c r="F875">
        <v>1</v>
      </c>
    </row>
    <row r="876" spans="1:6" ht="15" customHeight="1" x14ac:dyDescent="0.3">
      <c r="A876" t="s">
        <v>7665</v>
      </c>
      <c r="E876" t="s">
        <v>7665</v>
      </c>
      <c r="F876">
        <v>1</v>
      </c>
    </row>
    <row r="877" spans="1:6" ht="15" customHeight="1" x14ac:dyDescent="0.3">
      <c r="A877" t="s">
        <v>7672</v>
      </c>
      <c r="E877" t="s">
        <v>7672</v>
      </c>
      <c r="F877">
        <v>1</v>
      </c>
    </row>
    <row r="878" spans="1:6" ht="15" customHeight="1" x14ac:dyDescent="0.3">
      <c r="A878" t="s">
        <v>7685</v>
      </c>
      <c r="E878" t="s">
        <v>7685</v>
      </c>
      <c r="F878">
        <v>1</v>
      </c>
    </row>
    <row r="879" spans="1:6" ht="15" customHeight="1" x14ac:dyDescent="0.3">
      <c r="A879" t="s">
        <v>7692</v>
      </c>
      <c r="E879" t="s">
        <v>7692</v>
      </c>
      <c r="F879">
        <v>1</v>
      </c>
    </row>
    <row r="880" spans="1:6" ht="15" customHeight="1" x14ac:dyDescent="0.3">
      <c r="A880" t="s">
        <v>7704</v>
      </c>
      <c r="E880" t="s">
        <v>7704</v>
      </c>
      <c r="F880">
        <v>1</v>
      </c>
    </row>
    <row r="881" spans="1:6" ht="15" customHeight="1" x14ac:dyDescent="0.3">
      <c r="A881" t="s">
        <v>7736</v>
      </c>
      <c r="E881" t="s">
        <v>7736</v>
      </c>
      <c r="F881">
        <v>1</v>
      </c>
    </row>
    <row r="882" spans="1:6" ht="15" customHeight="1" x14ac:dyDescent="0.3">
      <c r="A882" t="s">
        <v>7747</v>
      </c>
      <c r="E882" t="s">
        <v>7747</v>
      </c>
      <c r="F882">
        <v>1</v>
      </c>
    </row>
    <row r="883" spans="1:6" ht="15" customHeight="1" x14ac:dyDescent="0.3">
      <c r="A883" t="s">
        <v>7754</v>
      </c>
      <c r="E883" t="s">
        <v>7754</v>
      </c>
      <c r="F883">
        <v>1</v>
      </c>
    </row>
    <row r="884" spans="1:6" ht="15" customHeight="1" x14ac:dyDescent="0.3">
      <c r="A884" t="s">
        <v>7765</v>
      </c>
      <c r="E884" t="s">
        <v>7765</v>
      </c>
      <c r="F884">
        <v>1</v>
      </c>
    </row>
    <row r="885" spans="1:6" ht="15" customHeight="1" x14ac:dyDescent="0.3">
      <c r="A885" t="s">
        <v>7770</v>
      </c>
      <c r="E885" t="s">
        <v>7770</v>
      </c>
      <c r="F885">
        <v>1</v>
      </c>
    </row>
    <row r="886" spans="1:6" ht="15" customHeight="1" x14ac:dyDescent="0.3">
      <c r="A886" t="s">
        <v>7777</v>
      </c>
      <c r="E886" t="s">
        <v>7777</v>
      </c>
      <c r="F886">
        <v>1</v>
      </c>
    </row>
    <row r="887" spans="1:6" ht="15" customHeight="1" x14ac:dyDescent="0.3">
      <c r="A887" t="s">
        <v>7782</v>
      </c>
      <c r="E887" t="s">
        <v>7782</v>
      </c>
      <c r="F887">
        <v>1</v>
      </c>
    </row>
    <row r="888" spans="1:6" ht="15" customHeight="1" x14ac:dyDescent="0.3">
      <c r="A888" t="s">
        <v>7790</v>
      </c>
      <c r="E888" t="s">
        <v>7790</v>
      </c>
      <c r="F888">
        <v>1</v>
      </c>
    </row>
    <row r="889" spans="1:6" ht="15" customHeight="1" x14ac:dyDescent="0.3">
      <c r="A889" t="s">
        <v>7807</v>
      </c>
      <c r="E889" t="s">
        <v>7807</v>
      </c>
      <c r="F889">
        <v>1</v>
      </c>
    </row>
    <row r="890" spans="1:6" ht="15" customHeight="1" x14ac:dyDescent="0.3">
      <c r="A890" t="s">
        <v>7812</v>
      </c>
      <c r="E890" t="s">
        <v>7812</v>
      </c>
      <c r="F890">
        <v>1</v>
      </c>
    </row>
    <row r="891" spans="1:6" ht="15" customHeight="1" x14ac:dyDescent="0.3">
      <c r="A891" t="s">
        <v>7817</v>
      </c>
      <c r="E891" t="s">
        <v>7817</v>
      </c>
      <c r="F891">
        <v>1</v>
      </c>
    </row>
    <row r="892" spans="1:6" ht="15" customHeight="1" x14ac:dyDescent="0.3">
      <c r="A892" t="s">
        <v>7822</v>
      </c>
      <c r="E892" t="s">
        <v>7822</v>
      </c>
      <c r="F892">
        <v>1</v>
      </c>
    </row>
    <row r="893" spans="1:6" ht="15" customHeight="1" x14ac:dyDescent="0.3">
      <c r="A893" t="s">
        <v>7830</v>
      </c>
      <c r="E893" t="s">
        <v>7830</v>
      </c>
      <c r="F893">
        <v>1</v>
      </c>
    </row>
    <row r="894" spans="1:6" ht="15" customHeight="1" x14ac:dyDescent="0.3">
      <c r="A894" t="s">
        <v>7835</v>
      </c>
      <c r="E894" t="s">
        <v>7835</v>
      </c>
      <c r="F894">
        <v>1</v>
      </c>
    </row>
    <row r="895" spans="1:6" ht="15" customHeight="1" x14ac:dyDescent="0.3">
      <c r="A895" t="s">
        <v>7852</v>
      </c>
      <c r="E895" t="s">
        <v>7852</v>
      </c>
      <c r="F895">
        <v>1</v>
      </c>
    </row>
    <row r="896" spans="1:6" ht="15" customHeight="1" x14ac:dyDescent="0.3">
      <c r="A896" t="s">
        <v>7860</v>
      </c>
      <c r="E896" t="s">
        <v>7860</v>
      </c>
      <c r="F896">
        <v>1</v>
      </c>
    </row>
    <row r="897" spans="1:6" ht="15" customHeight="1" x14ac:dyDescent="0.3">
      <c r="A897" t="s">
        <v>7873</v>
      </c>
      <c r="E897" t="s">
        <v>7873</v>
      </c>
      <c r="F897">
        <v>1</v>
      </c>
    </row>
    <row r="898" spans="1:6" ht="15" customHeight="1" x14ac:dyDescent="0.3">
      <c r="A898" t="s">
        <v>7882</v>
      </c>
      <c r="E898" t="s">
        <v>7882</v>
      </c>
      <c r="F898">
        <v>1</v>
      </c>
    </row>
    <row r="899" spans="1:6" ht="15" customHeight="1" x14ac:dyDescent="0.3">
      <c r="A899" t="s">
        <v>7891</v>
      </c>
      <c r="E899" t="s">
        <v>7891</v>
      </c>
      <c r="F899">
        <v>1</v>
      </c>
    </row>
    <row r="900" spans="1:6" ht="15" customHeight="1" x14ac:dyDescent="0.3">
      <c r="A900" t="s">
        <v>7895</v>
      </c>
      <c r="E900" t="s">
        <v>7895</v>
      </c>
      <c r="F900">
        <v>1</v>
      </c>
    </row>
    <row r="901" spans="1:6" ht="15" customHeight="1" x14ac:dyDescent="0.3">
      <c r="A901" t="s">
        <v>7903</v>
      </c>
      <c r="E901" t="s">
        <v>7903</v>
      </c>
      <c r="F901">
        <v>1</v>
      </c>
    </row>
    <row r="902" spans="1:6" ht="15" customHeight="1" x14ac:dyDescent="0.3">
      <c r="A902" t="s">
        <v>7945</v>
      </c>
      <c r="E902" t="s">
        <v>7945</v>
      </c>
      <c r="F902">
        <v>1</v>
      </c>
    </row>
    <row r="903" spans="1:6" ht="15" customHeight="1" x14ac:dyDescent="0.3">
      <c r="A903" t="s">
        <v>7970</v>
      </c>
      <c r="E903" t="s">
        <v>7970</v>
      </c>
      <c r="F903">
        <v>1</v>
      </c>
    </row>
    <row r="904" spans="1:6" ht="15" customHeight="1" x14ac:dyDescent="0.3">
      <c r="A904" t="s">
        <v>7975</v>
      </c>
      <c r="E904" t="s">
        <v>7975</v>
      </c>
      <c r="F904">
        <v>1</v>
      </c>
    </row>
    <row r="905" spans="1:6" ht="15" customHeight="1" x14ac:dyDescent="0.3">
      <c r="A905" t="s">
        <v>7980</v>
      </c>
      <c r="E905" t="s">
        <v>7980</v>
      </c>
      <c r="F905">
        <v>1</v>
      </c>
    </row>
    <row r="906" spans="1:6" ht="15" customHeight="1" x14ac:dyDescent="0.3">
      <c r="A906" t="s">
        <v>7993</v>
      </c>
      <c r="E906" t="s">
        <v>7993</v>
      </c>
      <c r="F906">
        <v>1</v>
      </c>
    </row>
    <row r="907" spans="1:6" ht="15" customHeight="1" x14ac:dyDescent="0.3">
      <c r="A907" t="s">
        <v>7998</v>
      </c>
      <c r="E907" t="s">
        <v>7998</v>
      </c>
      <c r="F907">
        <v>1</v>
      </c>
    </row>
    <row r="908" spans="1:6" ht="15" customHeight="1" x14ac:dyDescent="0.3">
      <c r="A908" t="s">
        <v>8007</v>
      </c>
      <c r="E908" t="s">
        <v>8007</v>
      </c>
      <c r="F908">
        <v>1</v>
      </c>
    </row>
    <row r="909" spans="1:6" ht="15" customHeight="1" x14ac:dyDescent="0.3">
      <c r="A909" t="s">
        <v>8016</v>
      </c>
      <c r="E909" t="s">
        <v>8016</v>
      </c>
      <c r="F909">
        <v>1</v>
      </c>
    </row>
    <row r="910" spans="1:6" ht="15" customHeight="1" x14ac:dyDescent="0.3">
      <c r="A910" t="s">
        <v>8025</v>
      </c>
      <c r="E910" t="s">
        <v>8025</v>
      </c>
      <c r="F910">
        <v>1</v>
      </c>
    </row>
    <row r="911" spans="1:6" ht="15" customHeight="1" x14ac:dyDescent="0.3">
      <c r="A911" t="s">
        <v>8034</v>
      </c>
      <c r="E911" t="s">
        <v>8034</v>
      </c>
      <c r="F911">
        <v>1</v>
      </c>
    </row>
    <row r="912" spans="1:6" ht="15" customHeight="1" x14ac:dyDescent="0.3">
      <c r="A912" t="s">
        <v>8040</v>
      </c>
      <c r="E912" t="s">
        <v>8040</v>
      </c>
      <c r="F912">
        <v>1</v>
      </c>
    </row>
    <row r="913" spans="1:6" ht="15" customHeight="1" x14ac:dyDescent="0.3">
      <c r="A913" t="s">
        <v>8049</v>
      </c>
      <c r="E913" t="s">
        <v>8049</v>
      </c>
      <c r="F913">
        <v>1</v>
      </c>
    </row>
    <row r="914" spans="1:6" ht="15" customHeight="1" x14ac:dyDescent="0.3">
      <c r="A914" t="s">
        <v>8054</v>
      </c>
      <c r="E914" t="s">
        <v>8054</v>
      </c>
      <c r="F914">
        <v>1</v>
      </c>
    </row>
    <row r="915" spans="1:6" ht="15" customHeight="1" x14ac:dyDescent="0.3">
      <c r="A915" t="s">
        <v>8059</v>
      </c>
      <c r="E915" t="s">
        <v>8059</v>
      </c>
      <c r="F915">
        <v>1</v>
      </c>
    </row>
    <row r="916" spans="1:6" ht="15" customHeight="1" x14ac:dyDescent="0.3">
      <c r="A916" t="s">
        <v>8075</v>
      </c>
      <c r="E916" t="s">
        <v>8075</v>
      </c>
      <c r="F916">
        <v>1</v>
      </c>
    </row>
    <row r="917" spans="1:6" ht="15" customHeight="1" x14ac:dyDescent="0.3">
      <c r="A917" t="s">
        <v>8080</v>
      </c>
      <c r="E917" t="s">
        <v>8080</v>
      </c>
      <c r="F917">
        <v>1</v>
      </c>
    </row>
    <row r="918" spans="1:6" ht="15" customHeight="1" x14ac:dyDescent="0.3">
      <c r="A918" t="s">
        <v>8085</v>
      </c>
      <c r="E918" t="s">
        <v>8085</v>
      </c>
      <c r="F918">
        <v>1</v>
      </c>
    </row>
    <row r="919" spans="1:6" ht="15" customHeight="1" x14ac:dyDescent="0.3">
      <c r="A919" t="s">
        <v>8090</v>
      </c>
      <c r="E919" t="s">
        <v>8090</v>
      </c>
      <c r="F919">
        <v>1</v>
      </c>
    </row>
    <row r="920" spans="1:6" ht="15" customHeight="1" x14ac:dyDescent="0.3">
      <c r="A920" t="s">
        <v>8099</v>
      </c>
      <c r="E920" t="s">
        <v>8099</v>
      </c>
      <c r="F920">
        <v>1</v>
      </c>
    </row>
    <row r="921" spans="1:6" ht="15" customHeight="1" x14ac:dyDescent="0.3">
      <c r="A921" t="s">
        <v>8104</v>
      </c>
      <c r="E921" t="s">
        <v>8104</v>
      </c>
      <c r="F921">
        <v>1</v>
      </c>
    </row>
    <row r="922" spans="1:6" ht="15" customHeight="1" x14ac:dyDescent="0.3">
      <c r="A922" t="s">
        <v>8108</v>
      </c>
      <c r="E922" t="s">
        <v>8108</v>
      </c>
      <c r="F922">
        <v>1</v>
      </c>
    </row>
    <row r="923" spans="1:6" ht="15" customHeight="1" x14ac:dyDescent="0.3">
      <c r="A923" t="s">
        <v>8113</v>
      </c>
      <c r="E923" t="s">
        <v>8113</v>
      </c>
      <c r="F923">
        <v>1</v>
      </c>
    </row>
    <row r="924" spans="1:6" ht="15" customHeight="1" x14ac:dyDescent="0.3">
      <c r="A924" t="s">
        <v>8118</v>
      </c>
      <c r="E924" t="s">
        <v>8118</v>
      </c>
      <c r="F924">
        <v>1</v>
      </c>
    </row>
    <row r="925" spans="1:6" ht="15" customHeight="1" x14ac:dyDescent="0.3">
      <c r="A925" t="s">
        <v>8125</v>
      </c>
      <c r="E925" t="s">
        <v>8125</v>
      </c>
      <c r="F925">
        <v>1</v>
      </c>
    </row>
    <row r="926" spans="1:6" ht="15" customHeight="1" x14ac:dyDescent="0.3">
      <c r="A926" t="s">
        <v>8130</v>
      </c>
      <c r="E926" t="s">
        <v>8130</v>
      </c>
      <c r="F926">
        <v>1</v>
      </c>
    </row>
    <row r="927" spans="1:6" ht="15" customHeight="1" x14ac:dyDescent="0.3">
      <c r="A927" t="s">
        <v>8139</v>
      </c>
      <c r="E927" t="s">
        <v>8139</v>
      </c>
      <c r="F927">
        <v>1</v>
      </c>
    </row>
    <row r="928" spans="1:6" ht="15" customHeight="1" x14ac:dyDescent="0.3">
      <c r="A928" t="s">
        <v>8143</v>
      </c>
      <c r="E928" t="s">
        <v>8143</v>
      </c>
      <c r="F928">
        <v>1</v>
      </c>
    </row>
    <row r="929" spans="1:6" ht="15" customHeight="1" x14ac:dyDescent="0.3">
      <c r="A929" t="s">
        <v>8154</v>
      </c>
      <c r="E929" t="s">
        <v>8154</v>
      </c>
      <c r="F929">
        <v>1</v>
      </c>
    </row>
    <row r="930" spans="1:6" ht="15" customHeight="1" x14ac:dyDescent="0.3">
      <c r="A930" t="s">
        <v>8159</v>
      </c>
      <c r="E930" t="s">
        <v>8159</v>
      </c>
      <c r="F930">
        <v>1</v>
      </c>
    </row>
    <row r="931" spans="1:6" ht="15" customHeight="1" x14ac:dyDescent="0.3">
      <c r="A931" t="s">
        <v>8175</v>
      </c>
      <c r="E931" t="s">
        <v>8175</v>
      </c>
      <c r="F931">
        <v>1</v>
      </c>
    </row>
    <row r="932" spans="1:6" ht="15" customHeight="1" x14ac:dyDescent="0.3">
      <c r="A932" t="s">
        <v>8187</v>
      </c>
      <c r="E932" t="s">
        <v>8187</v>
      </c>
      <c r="F932">
        <v>1</v>
      </c>
    </row>
    <row r="933" spans="1:6" ht="15" customHeight="1" x14ac:dyDescent="0.3">
      <c r="A933" t="s">
        <v>8203</v>
      </c>
      <c r="E933" t="s">
        <v>8203</v>
      </c>
      <c r="F933">
        <v>1</v>
      </c>
    </row>
    <row r="934" spans="1:6" ht="15" customHeight="1" x14ac:dyDescent="0.3">
      <c r="A934" t="s">
        <v>8207</v>
      </c>
      <c r="E934" t="s">
        <v>8207</v>
      </c>
      <c r="F934">
        <v>1</v>
      </c>
    </row>
    <row r="935" spans="1:6" ht="15" customHeight="1" x14ac:dyDescent="0.3">
      <c r="A935" t="s">
        <v>8216</v>
      </c>
      <c r="E935" t="s">
        <v>8216</v>
      </c>
      <c r="F935">
        <v>1</v>
      </c>
    </row>
    <row r="936" spans="1:6" ht="15" customHeight="1" x14ac:dyDescent="0.3">
      <c r="A936" t="s">
        <v>8221</v>
      </c>
      <c r="E936" t="s">
        <v>8221</v>
      </c>
      <c r="F936">
        <v>1</v>
      </c>
    </row>
    <row r="937" spans="1:6" ht="15" customHeight="1" x14ac:dyDescent="0.3">
      <c r="A937" t="s">
        <v>8234</v>
      </c>
      <c r="E937" t="s">
        <v>8234</v>
      </c>
      <c r="F937">
        <v>1</v>
      </c>
    </row>
    <row r="938" spans="1:6" ht="15" customHeight="1" x14ac:dyDescent="0.3">
      <c r="A938" t="s">
        <v>8239</v>
      </c>
      <c r="E938" t="s">
        <v>8239</v>
      </c>
      <c r="F938">
        <v>1</v>
      </c>
    </row>
    <row r="939" spans="1:6" ht="15" customHeight="1" x14ac:dyDescent="0.3">
      <c r="A939" t="s">
        <v>8278</v>
      </c>
      <c r="E939" t="s">
        <v>8278</v>
      </c>
      <c r="F939">
        <v>1</v>
      </c>
    </row>
    <row r="940" spans="1:6" ht="15" customHeight="1" x14ac:dyDescent="0.3">
      <c r="A940" t="s">
        <v>8290</v>
      </c>
      <c r="E940" t="s">
        <v>8290</v>
      </c>
      <c r="F940">
        <v>1</v>
      </c>
    </row>
    <row r="941" spans="1:6" ht="15" customHeight="1" x14ac:dyDescent="0.3">
      <c r="A941" t="s">
        <v>8295</v>
      </c>
      <c r="E941" t="s">
        <v>8295</v>
      </c>
      <c r="F941">
        <v>1</v>
      </c>
    </row>
    <row r="942" spans="1:6" ht="15" customHeight="1" x14ac:dyDescent="0.3">
      <c r="A942" t="s">
        <v>8327</v>
      </c>
      <c r="E942" t="s">
        <v>8327</v>
      </c>
      <c r="F942">
        <v>1</v>
      </c>
    </row>
    <row r="943" spans="1:6" ht="15" customHeight="1" x14ac:dyDescent="0.3">
      <c r="A943" t="s">
        <v>8338</v>
      </c>
      <c r="E943" t="s">
        <v>8338</v>
      </c>
      <c r="F943">
        <v>1</v>
      </c>
    </row>
    <row r="944" spans="1:6" ht="15" customHeight="1" x14ac:dyDescent="0.3">
      <c r="A944" t="s">
        <v>8347</v>
      </c>
      <c r="E944" t="s">
        <v>8347</v>
      </c>
      <c r="F944">
        <v>1</v>
      </c>
    </row>
    <row r="945" spans="1:6" ht="15" customHeight="1" x14ac:dyDescent="0.3">
      <c r="A945" t="s">
        <v>8362</v>
      </c>
      <c r="E945" t="s">
        <v>8362</v>
      </c>
      <c r="F945">
        <v>1</v>
      </c>
    </row>
    <row r="946" spans="1:6" ht="15" customHeight="1" x14ac:dyDescent="0.3">
      <c r="A946" t="s">
        <v>8367</v>
      </c>
      <c r="E946" t="s">
        <v>8367</v>
      </c>
      <c r="F946">
        <v>1</v>
      </c>
    </row>
    <row r="947" spans="1:6" ht="15" customHeight="1" x14ac:dyDescent="0.3">
      <c r="A947" t="s">
        <v>8371</v>
      </c>
      <c r="E947" t="s">
        <v>8371</v>
      </c>
      <c r="F947">
        <v>1</v>
      </c>
    </row>
    <row r="948" spans="1:6" ht="15" customHeight="1" x14ac:dyDescent="0.3">
      <c r="A948" t="s">
        <v>8381</v>
      </c>
      <c r="E948" t="s">
        <v>8381</v>
      </c>
      <c r="F948">
        <v>1</v>
      </c>
    </row>
    <row r="949" spans="1:6" ht="15" customHeight="1" x14ac:dyDescent="0.3">
      <c r="A949" t="s">
        <v>8393</v>
      </c>
      <c r="E949" t="s">
        <v>8393</v>
      </c>
      <c r="F949">
        <v>1</v>
      </c>
    </row>
    <row r="950" spans="1:6" ht="15" customHeight="1" x14ac:dyDescent="0.3">
      <c r="A950" t="s">
        <v>8431</v>
      </c>
      <c r="E950" t="s">
        <v>8431</v>
      </c>
      <c r="F950">
        <v>1</v>
      </c>
    </row>
    <row r="951" spans="1:6" ht="15" customHeight="1" x14ac:dyDescent="0.3">
      <c r="A951" t="s">
        <v>8439</v>
      </c>
      <c r="E951" t="s">
        <v>8439</v>
      </c>
      <c r="F951">
        <v>1</v>
      </c>
    </row>
    <row r="952" spans="1:6" ht="15" customHeight="1" x14ac:dyDescent="0.3">
      <c r="A952" t="s">
        <v>8446</v>
      </c>
      <c r="E952" t="s">
        <v>8446</v>
      </c>
      <c r="F952">
        <v>1</v>
      </c>
    </row>
    <row r="953" spans="1:6" ht="15" customHeight="1" x14ac:dyDescent="0.3">
      <c r="A953" t="s">
        <v>8453</v>
      </c>
      <c r="E953" t="s">
        <v>8453</v>
      </c>
      <c r="F953">
        <v>1</v>
      </c>
    </row>
    <row r="954" spans="1:6" ht="15" customHeight="1" x14ac:dyDescent="0.3">
      <c r="A954" t="s">
        <v>8461</v>
      </c>
      <c r="E954" t="s">
        <v>8461</v>
      </c>
      <c r="F954">
        <v>1</v>
      </c>
    </row>
    <row r="955" spans="1:6" ht="15" customHeight="1" x14ac:dyDescent="0.3">
      <c r="A955" t="s">
        <v>8487</v>
      </c>
      <c r="E955" t="s">
        <v>8487</v>
      </c>
      <c r="F955">
        <v>1</v>
      </c>
    </row>
    <row r="956" spans="1:6" ht="15" customHeight="1" x14ac:dyDescent="0.3">
      <c r="A956" t="s">
        <v>8496</v>
      </c>
      <c r="E956" t="s">
        <v>8496</v>
      </c>
      <c r="F956">
        <v>1</v>
      </c>
    </row>
    <row r="957" spans="1:6" ht="15" customHeight="1" x14ac:dyDescent="0.3">
      <c r="A957" t="s">
        <v>8505</v>
      </c>
      <c r="E957" t="s">
        <v>8505</v>
      </c>
      <c r="F957">
        <v>1</v>
      </c>
    </row>
    <row r="958" spans="1:6" ht="15" customHeight="1" x14ac:dyDescent="0.3">
      <c r="A958" t="s">
        <v>8512</v>
      </c>
      <c r="E958" t="s">
        <v>8512</v>
      </c>
      <c r="F958">
        <v>1</v>
      </c>
    </row>
    <row r="959" spans="1:6" ht="15" customHeight="1" x14ac:dyDescent="0.3">
      <c r="A959" t="s">
        <v>8525</v>
      </c>
      <c r="E959" t="s">
        <v>8525</v>
      </c>
      <c r="F959">
        <v>1</v>
      </c>
    </row>
    <row r="960" spans="1:6" ht="15" customHeight="1" x14ac:dyDescent="0.3">
      <c r="A960" t="s">
        <v>8542</v>
      </c>
      <c r="E960" t="s">
        <v>8542</v>
      </c>
      <c r="F960">
        <v>1</v>
      </c>
    </row>
    <row r="961" spans="1:6" ht="15" customHeight="1" x14ac:dyDescent="0.3">
      <c r="A961" t="s">
        <v>8547</v>
      </c>
      <c r="E961" t="s">
        <v>8547</v>
      </c>
      <c r="F961">
        <v>1</v>
      </c>
    </row>
    <row r="962" spans="1:6" ht="15" customHeight="1" x14ac:dyDescent="0.3">
      <c r="A962" t="s">
        <v>8556</v>
      </c>
      <c r="E962" t="s">
        <v>8556</v>
      </c>
      <c r="F962">
        <v>1</v>
      </c>
    </row>
    <row r="963" spans="1:6" ht="15" customHeight="1" x14ac:dyDescent="0.3">
      <c r="A963" t="s">
        <v>8570</v>
      </c>
      <c r="E963" t="s">
        <v>8570</v>
      </c>
      <c r="F963">
        <v>1</v>
      </c>
    </row>
    <row r="964" spans="1:6" ht="15" customHeight="1" x14ac:dyDescent="0.3">
      <c r="A964" t="s">
        <v>8575</v>
      </c>
      <c r="E964" t="s">
        <v>8575</v>
      </c>
      <c r="F964">
        <v>1</v>
      </c>
    </row>
    <row r="965" spans="1:6" ht="15" customHeight="1" x14ac:dyDescent="0.3">
      <c r="A965" t="s">
        <v>8584</v>
      </c>
      <c r="E965" t="s">
        <v>8584</v>
      </c>
      <c r="F965">
        <v>1</v>
      </c>
    </row>
    <row r="966" spans="1:6" ht="15" customHeight="1" x14ac:dyDescent="0.3">
      <c r="A966" t="s">
        <v>8594</v>
      </c>
      <c r="E966" t="s">
        <v>8594</v>
      </c>
      <c r="F966">
        <v>1</v>
      </c>
    </row>
    <row r="967" spans="1:6" ht="15" customHeight="1" x14ac:dyDescent="0.3">
      <c r="A967" t="s">
        <v>8614</v>
      </c>
      <c r="E967" t="s">
        <v>8614</v>
      </c>
      <c r="F967">
        <v>1</v>
      </c>
    </row>
    <row r="968" spans="1:6" ht="15" customHeight="1" x14ac:dyDescent="0.3">
      <c r="A968" t="s">
        <v>8641</v>
      </c>
      <c r="E968" t="s">
        <v>8641</v>
      </c>
      <c r="F968">
        <v>1</v>
      </c>
    </row>
    <row r="969" spans="1:6" ht="15" customHeight="1" x14ac:dyDescent="0.3">
      <c r="A969" t="s">
        <v>8653</v>
      </c>
      <c r="E969" t="s">
        <v>8653</v>
      </c>
      <c r="F969">
        <v>1</v>
      </c>
    </row>
    <row r="970" spans="1:6" ht="15" customHeight="1" x14ac:dyDescent="0.3">
      <c r="A970" t="s">
        <v>8661</v>
      </c>
      <c r="E970" t="s">
        <v>8661</v>
      </c>
      <c r="F970">
        <v>1</v>
      </c>
    </row>
    <row r="971" spans="1:6" ht="15" customHeight="1" x14ac:dyDescent="0.3">
      <c r="A971" t="s">
        <v>8666</v>
      </c>
      <c r="E971" t="s">
        <v>8666</v>
      </c>
      <c r="F971">
        <v>1</v>
      </c>
    </row>
    <row r="972" spans="1:6" ht="15" customHeight="1" x14ac:dyDescent="0.3">
      <c r="A972" t="s">
        <v>8671</v>
      </c>
      <c r="E972" t="s">
        <v>8671</v>
      </c>
      <c r="F972">
        <v>1</v>
      </c>
    </row>
    <row r="973" spans="1:6" ht="15" customHeight="1" x14ac:dyDescent="0.3">
      <c r="A973" t="s">
        <v>8694</v>
      </c>
      <c r="E973" t="s">
        <v>8694</v>
      </c>
      <c r="F973">
        <v>1</v>
      </c>
    </row>
    <row r="974" spans="1:6" ht="15" customHeight="1" x14ac:dyDescent="0.3">
      <c r="A974" t="s">
        <v>8722</v>
      </c>
      <c r="E974" t="s">
        <v>8722</v>
      </c>
      <c r="F974">
        <v>1</v>
      </c>
    </row>
    <row r="975" spans="1:6" ht="15" customHeight="1" x14ac:dyDescent="0.3">
      <c r="A975" t="s">
        <v>8734</v>
      </c>
      <c r="E975" t="s">
        <v>8734</v>
      </c>
      <c r="F975">
        <v>1</v>
      </c>
    </row>
    <row r="976" spans="1:6" ht="15" customHeight="1" x14ac:dyDescent="0.3">
      <c r="A976" t="s">
        <v>8747</v>
      </c>
      <c r="E976" t="s">
        <v>8747</v>
      </c>
      <c r="F976">
        <v>1</v>
      </c>
    </row>
    <row r="977" spans="1:6" ht="15" customHeight="1" x14ac:dyDescent="0.3">
      <c r="A977" t="s">
        <v>8752</v>
      </c>
      <c r="E977" t="s">
        <v>8752</v>
      </c>
      <c r="F977">
        <v>1</v>
      </c>
    </row>
    <row r="978" spans="1:6" ht="15" customHeight="1" x14ac:dyDescent="0.3">
      <c r="A978" t="s">
        <v>8756</v>
      </c>
      <c r="E978" t="s">
        <v>8756</v>
      </c>
      <c r="F978">
        <v>1</v>
      </c>
    </row>
    <row r="979" spans="1:6" ht="15" customHeight="1" x14ac:dyDescent="0.3">
      <c r="A979" t="s">
        <v>8770</v>
      </c>
      <c r="E979" t="s">
        <v>8770</v>
      </c>
      <c r="F979">
        <v>1</v>
      </c>
    </row>
    <row r="980" spans="1:6" ht="15" customHeight="1" x14ac:dyDescent="0.3">
      <c r="A980" t="s">
        <v>8789</v>
      </c>
      <c r="E980" t="s">
        <v>8789</v>
      </c>
      <c r="F980">
        <v>1</v>
      </c>
    </row>
    <row r="981" spans="1:6" ht="15" customHeight="1" x14ac:dyDescent="0.3">
      <c r="A981" t="s">
        <v>8803</v>
      </c>
      <c r="E981" t="s">
        <v>8803</v>
      </c>
      <c r="F981">
        <v>1</v>
      </c>
    </row>
    <row r="982" spans="1:6" ht="15" customHeight="1" x14ac:dyDescent="0.3">
      <c r="A982" t="s">
        <v>8808</v>
      </c>
      <c r="E982" t="s">
        <v>8808</v>
      </c>
      <c r="F982">
        <v>1</v>
      </c>
    </row>
    <row r="983" spans="1:6" ht="15" customHeight="1" x14ac:dyDescent="0.3">
      <c r="A983" t="s">
        <v>8813</v>
      </c>
      <c r="E983" t="s">
        <v>8813</v>
      </c>
      <c r="F983">
        <v>1</v>
      </c>
    </row>
    <row r="984" spans="1:6" ht="15" customHeight="1" x14ac:dyDescent="0.3">
      <c r="A984" t="s">
        <v>8823</v>
      </c>
      <c r="E984" t="s">
        <v>8823</v>
      </c>
      <c r="F984">
        <v>1</v>
      </c>
    </row>
    <row r="985" spans="1:6" ht="15" customHeight="1" x14ac:dyDescent="0.3">
      <c r="A985" t="s">
        <v>8832</v>
      </c>
      <c r="E985" t="s">
        <v>8832</v>
      </c>
      <c r="F985">
        <v>1</v>
      </c>
    </row>
    <row r="986" spans="1:6" ht="15" customHeight="1" x14ac:dyDescent="0.3">
      <c r="A986" t="s">
        <v>8841</v>
      </c>
      <c r="E986" t="s">
        <v>8841</v>
      </c>
      <c r="F986">
        <v>1</v>
      </c>
    </row>
    <row r="987" spans="1:6" ht="15" customHeight="1" x14ac:dyDescent="0.3">
      <c r="A987" t="s">
        <v>8846</v>
      </c>
      <c r="E987" t="s">
        <v>8846</v>
      </c>
      <c r="F987">
        <v>1</v>
      </c>
    </row>
    <row r="988" spans="1:6" ht="15" customHeight="1" x14ac:dyDescent="0.3">
      <c r="A988" t="s">
        <v>8858</v>
      </c>
      <c r="E988" t="s">
        <v>8858</v>
      </c>
      <c r="F988">
        <v>1</v>
      </c>
    </row>
    <row r="989" spans="1:6" ht="15" customHeight="1" x14ac:dyDescent="0.3">
      <c r="A989" t="s">
        <v>8863</v>
      </c>
      <c r="E989" t="s">
        <v>8863</v>
      </c>
      <c r="F989">
        <v>1</v>
      </c>
    </row>
    <row r="990" spans="1:6" ht="15" customHeight="1" x14ac:dyDescent="0.3">
      <c r="A990" t="s">
        <v>8869</v>
      </c>
      <c r="E990" t="s">
        <v>8869</v>
      </c>
      <c r="F990">
        <v>1</v>
      </c>
    </row>
    <row r="991" spans="1:6" ht="15" customHeight="1" x14ac:dyDescent="0.3">
      <c r="A991" t="s">
        <v>8874</v>
      </c>
      <c r="E991" t="s">
        <v>8874</v>
      </c>
      <c r="F991">
        <v>1</v>
      </c>
    </row>
    <row r="992" spans="1:6" ht="15" customHeight="1" x14ac:dyDescent="0.3">
      <c r="A992" t="s">
        <v>8889</v>
      </c>
      <c r="E992" t="s">
        <v>8889</v>
      </c>
      <c r="F992">
        <v>1</v>
      </c>
    </row>
    <row r="993" spans="1:6" ht="15" customHeight="1" x14ac:dyDescent="0.3">
      <c r="A993" t="s">
        <v>8894</v>
      </c>
      <c r="E993" t="s">
        <v>8894</v>
      </c>
      <c r="F993">
        <v>1</v>
      </c>
    </row>
    <row r="994" spans="1:6" ht="15" customHeight="1" x14ac:dyDescent="0.3">
      <c r="A994" t="s">
        <v>8899</v>
      </c>
      <c r="E994" t="s">
        <v>8899</v>
      </c>
      <c r="F994">
        <v>1</v>
      </c>
    </row>
    <row r="995" spans="1:6" ht="15" customHeight="1" x14ac:dyDescent="0.3">
      <c r="A995" t="s">
        <v>8904</v>
      </c>
      <c r="E995" t="s">
        <v>8904</v>
      </c>
      <c r="F995">
        <v>1</v>
      </c>
    </row>
    <row r="996" spans="1:6" ht="15" customHeight="1" x14ac:dyDescent="0.3">
      <c r="A996" t="s">
        <v>8913</v>
      </c>
      <c r="E996" t="s">
        <v>8913</v>
      </c>
      <c r="F996">
        <v>1</v>
      </c>
    </row>
    <row r="997" spans="1:6" ht="15" customHeight="1" x14ac:dyDescent="0.3">
      <c r="A997" t="s">
        <v>8918</v>
      </c>
      <c r="E997" t="s">
        <v>8918</v>
      </c>
      <c r="F997">
        <v>1</v>
      </c>
    </row>
    <row r="998" spans="1:6" ht="15" customHeight="1" x14ac:dyDescent="0.3">
      <c r="A998" t="s">
        <v>8933</v>
      </c>
      <c r="E998" t="s">
        <v>8933</v>
      </c>
      <c r="F998">
        <v>1</v>
      </c>
    </row>
    <row r="999" spans="1:6" ht="15" customHeight="1" x14ac:dyDescent="0.3">
      <c r="A999" t="s">
        <v>8947</v>
      </c>
      <c r="E999" t="s">
        <v>8947</v>
      </c>
      <c r="F999">
        <v>1</v>
      </c>
    </row>
    <row r="1000" spans="1:6" ht="15" customHeight="1" x14ac:dyDescent="0.3">
      <c r="A1000" t="s">
        <v>8956</v>
      </c>
      <c r="E1000" t="s">
        <v>8956</v>
      </c>
      <c r="F1000">
        <v>1</v>
      </c>
    </row>
    <row r="1001" spans="1:6" ht="15" customHeight="1" x14ac:dyDescent="0.3">
      <c r="A1001" t="s">
        <v>8960</v>
      </c>
      <c r="E1001" t="s">
        <v>8960</v>
      </c>
      <c r="F1001">
        <v>1</v>
      </c>
    </row>
    <row r="1002" spans="1:6" ht="15" customHeight="1" x14ac:dyDescent="0.3">
      <c r="A1002" t="s">
        <v>8965</v>
      </c>
      <c r="E1002" t="s">
        <v>8965</v>
      </c>
      <c r="F1002">
        <v>1</v>
      </c>
    </row>
    <row r="1003" spans="1:6" ht="15" customHeight="1" x14ac:dyDescent="0.3">
      <c r="A1003" t="s">
        <v>8977</v>
      </c>
      <c r="E1003" t="s">
        <v>8977</v>
      </c>
      <c r="F1003">
        <v>1</v>
      </c>
    </row>
    <row r="1004" spans="1:6" ht="15" customHeight="1" x14ac:dyDescent="0.3">
      <c r="A1004" t="s">
        <v>8981</v>
      </c>
      <c r="E1004" t="s">
        <v>8981</v>
      </c>
      <c r="F1004">
        <v>1</v>
      </c>
    </row>
    <row r="1005" spans="1:6" ht="15" customHeight="1" x14ac:dyDescent="0.3">
      <c r="A1005" t="s">
        <v>8990</v>
      </c>
      <c r="E1005" t="s">
        <v>8990</v>
      </c>
      <c r="F1005">
        <v>1</v>
      </c>
    </row>
    <row r="1006" spans="1:6" ht="15" customHeight="1" x14ac:dyDescent="0.3">
      <c r="A1006" t="s">
        <v>8998</v>
      </c>
      <c r="E1006" t="s">
        <v>8998</v>
      </c>
      <c r="F1006">
        <v>1</v>
      </c>
    </row>
    <row r="1007" spans="1:6" ht="15" customHeight="1" x14ac:dyDescent="0.3">
      <c r="A1007" t="s">
        <v>9003</v>
      </c>
      <c r="E1007" t="s">
        <v>9003</v>
      </c>
      <c r="F1007">
        <v>1</v>
      </c>
    </row>
    <row r="1008" spans="1:6" ht="15" customHeight="1" x14ac:dyDescent="0.3">
      <c r="A1008" t="s">
        <v>9007</v>
      </c>
      <c r="E1008" t="s">
        <v>9007</v>
      </c>
      <c r="F1008">
        <v>1</v>
      </c>
    </row>
    <row r="1009" spans="1:6" ht="15" customHeight="1" x14ac:dyDescent="0.3">
      <c r="A1009" t="s">
        <v>9011</v>
      </c>
      <c r="E1009" t="s">
        <v>9011</v>
      </c>
      <c r="F1009">
        <v>1</v>
      </c>
    </row>
    <row r="1010" spans="1:6" ht="15" customHeight="1" x14ac:dyDescent="0.3">
      <c r="A1010" t="s">
        <v>9019</v>
      </c>
      <c r="E1010" t="s">
        <v>9019</v>
      </c>
      <c r="F1010">
        <v>1</v>
      </c>
    </row>
    <row r="1011" spans="1:6" ht="15" customHeight="1" x14ac:dyDescent="0.3">
      <c r="A1011" t="s">
        <v>9023</v>
      </c>
      <c r="E1011" t="s">
        <v>9023</v>
      </c>
      <c r="F1011">
        <v>1</v>
      </c>
    </row>
    <row r="1012" spans="1:6" ht="15" customHeight="1" x14ac:dyDescent="0.3">
      <c r="A1012" t="s">
        <v>9027</v>
      </c>
      <c r="E1012" t="s">
        <v>9027</v>
      </c>
      <c r="F1012">
        <v>1</v>
      </c>
    </row>
    <row r="1013" spans="1:6" ht="15" customHeight="1" x14ac:dyDescent="0.3">
      <c r="A1013" t="s">
        <v>9036</v>
      </c>
      <c r="E1013" t="s">
        <v>9036</v>
      </c>
      <c r="F1013">
        <v>1</v>
      </c>
    </row>
    <row r="1014" spans="1:6" ht="15" customHeight="1" x14ac:dyDescent="0.3">
      <c r="A1014" t="s">
        <v>9040</v>
      </c>
      <c r="E1014" t="s">
        <v>9040</v>
      </c>
      <c r="F1014">
        <v>1</v>
      </c>
    </row>
    <row r="1015" spans="1:6" ht="15" customHeight="1" x14ac:dyDescent="0.3">
      <c r="A1015" t="s">
        <v>9044</v>
      </c>
      <c r="E1015" t="s">
        <v>9044</v>
      </c>
      <c r="F1015">
        <v>1</v>
      </c>
    </row>
    <row r="1016" spans="1:6" ht="15" customHeight="1" x14ac:dyDescent="0.3">
      <c r="A1016" t="s">
        <v>9064</v>
      </c>
      <c r="E1016" t="s">
        <v>9064</v>
      </c>
      <c r="F1016">
        <v>1</v>
      </c>
    </row>
    <row r="1017" spans="1:6" ht="15" customHeight="1" x14ac:dyDescent="0.3">
      <c r="A1017" t="s">
        <v>9069</v>
      </c>
      <c r="E1017" t="s">
        <v>9069</v>
      </c>
      <c r="F1017">
        <v>1</v>
      </c>
    </row>
    <row r="1018" spans="1:6" ht="15" customHeight="1" x14ac:dyDescent="0.3">
      <c r="A1018" t="s">
        <v>9074</v>
      </c>
      <c r="E1018" t="s">
        <v>9074</v>
      </c>
      <c r="F1018">
        <v>1</v>
      </c>
    </row>
    <row r="1019" spans="1:6" ht="15" customHeight="1" x14ac:dyDescent="0.3">
      <c r="A1019" t="s">
        <v>9078</v>
      </c>
      <c r="E1019" t="s">
        <v>9078</v>
      </c>
      <c r="F1019">
        <v>1</v>
      </c>
    </row>
    <row r="1020" spans="1:6" ht="15" customHeight="1" x14ac:dyDescent="0.3">
      <c r="A1020" t="s">
        <v>9085</v>
      </c>
      <c r="E1020" t="s">
        <v>9085</v>
      </c>
      <c r="F1020">
        <v>1</v>
      </c>
    </row>
    <row r="1021" spans="1:6" ht="15" customHeight="1" x14ac:dyDescent="0.3">
      <c r="A1021" t="s">
        <v>9090</v>
      </c>
      <c r="E1021" t="s">
        <v>9090</v>
      </c>
      <c r="F1021">
        <v>1</v>
      </c>
    </row>
    <row r="1022" spans="1:6" ht="15" customHeight="1" x14ac:dyDescent="0.3">
      <c r="A1022" t="s">
        <v>9095</v>
      </c>
      <c r="E1022" t="s">
        <v>9095</v>
      </c>
      <c r="F1022">
        <v>1</v>
      </c>
    </row>
    <row r="1023" spans="1:6" ht="15" customHeight="1" x14ac:dyDescent="0.3">
      <c r="A1023" t="s">
        <v>9099</v>
      </c>
      <c r="E1023" t="s">
        <v>9099</v>
      </c>
      <c r="F1023">
        <v>1</v>
      </c>
    </row>
    <row r="1024" spans="1:6" ht="15" customHeight="1" x14ac:dyDescent="0.3">
      <c r="A1024" t="s">
        <v>9104</v>
      </c>
      <c r="E1024" t="s">
        <v>9104</v>
      </c>
      <c r="F1024">
        <v>1</v>
      </c>
    </row>
    <row r="1025" spans="1:6" ht="15" customHeight="1" x14ac:dyDescent="0.3">
      <c r="A1025" t="s">
        <v>9109</v>
      </c>
      <c r="E1025" t="s">
        <v>9109</v>
      </c>
      <c r="F1025">
        <v>1</v>
      </c>
    </row>
    <row r="1026" spans="1:6" ht="15" customHeight="1" x14ac:dyDescent="0.3">
      <c r="A1026" t="s">
        <v>9114</v>
      </c>
      <c r="E1026" t="s">
        <v>9114</v>
      </c>
      <c r="F1026">
        <v>1</v>
      </c>
    </row>
    <row r="1027" spans="1:6" ht="15" customHeight="1" x14ac:dyDescent="0.3">
      <c r="A1027" t="s">
        <v>9119</v>
      </c>
      <c r="E1027" t="s">
        <v>9119</v>
      </c>
      <c r="F1027">
        <v>1</v>
      </c>
    </row>
    <row r="1028" spans="1:6" ht="15" customHeight="1" x14ac:dyDescent="0.3">
      <c r="A1028" t="s">
        <v>9123</v>
      </c>
      <c r="E1028" t="s">
        <v>9123</v>
      </c>
      <c r="F1028">
        <v>1</v>
      </c>
    </row>
    <row r="1029" spans="1:6" ht="15" customHeight="1" x14ac:dyDescent="0.3">
      <c r="A1029" t="s">
        <v>9136</v>
      </c>
      <c r="E1029" t="s">
        <v>9136</v>
      </c>
      <c r="F1029">
        <v>1</v>
      </c>
    </row>
    <row r="1030" spans="1:6" ht="15" customHeight="1" x14ac:dyDescent="0.3">
      <c r="A1030" t="s">
        <v>9155</v>
      </c>
      <c r="E1030" t="s">
        <v>9155</v>
      </c>
      <c r="F1030">
        <v>1</v>
      </c>
    </row>
    <row r="1031" spans="1:6" ht="15" customHeight="1" x14ac:dyDescent="0.3">
      <c r="A1031" t="s">
        <v>9162</v>
      </c>
      <c r="E1031" t="s">
        <v>9162</v>
      </c>
      <c r="F1031">
        <v>1</v>
      </c>
    </row>
    <row r="1032" spans="1:6" ht="15" customHeight="1" x14ac:dyDescent="0.3">
      <c r="A1032" t="s">
        <v>9177</v>
      </c>
      <c r="E1032" t="s">
        <v>9177</v>
      </c>
      <c r="F1032">
        <v>1</v>
      </c>
    </row>
    <row r="1033" spans="1:6" ht="15" customHeight="1" x14ac:dyDescent="0.3">
      <c r="A1033" t="s">
        <v>9184</v>
      </c>
      <c r="E1033" t="s">
        <v>9184</v>
      </c>
      <c r="F1033">
        <v>1</v>
      </c>
    </row>
    <row r="1034" spans="1:6" ht="15" customHeight="1" x14ac:dyDescent="0.3">
      <c r="A1034" t="s">
        <v>9189</v>
      </c>
      <c r="E1034" t="s">
        <v>9189</v>
      </c>
      <c r="F1034">
        <v>1</v>
      </c>
    </row>
    <row r="1035" spans="1:6" ht="15" customHeight="1" x14ac:dyDescent="0.3">
      <c r="A1035" t="s">
        <v>9194</v>
      </c>
      <c r="E1035" t="s">
        <v>9194</v>
      </c>
      <c r="F1035">
        <v>1</v>
      </c>
    </row>
    <row r="1036" spans="1:6" ht="15" customHeight="1" x14ac:dyDescent="0.3">
      <c r="A1036" t="s">
        <v>9198</v>
      </c>
      <c r="E1036" t="s">
        <v>9198</v>
      </c>
      <c r="F1036">
        <v>1</v>
      </c>
    </row>
    <row r="1037" spans="1:6" ht="15" customHeight="1" x14ac:dyDescent="0.3">
      <c r="A1037" t="s">
        <v>9203</v>
      </c>
      <c r="E1037" t="s">
        <v>9203</v>
      </c>
      <c r="F1037">
        <v>1</v>
      </c>
    </row>
    <row r="1038" spans="1:6" ht="15" customHeight="1" x14ac:dyDescent="0.3">
      <c r="A1038" t="s">
        <v>9207</v>
      </c>
      <c r="E1038" t="s">
        <v>9207</v>
      </c>
      <c r="F1038">
        <v>1</v>
      </c>
    </row>
    <row r="1039" spans="1:6" ht="15" customHeight="1" x14ac:dyDescent="0.3">
      <c r="A1039" t="s">
        <v>9211</v>
      </c>
      <c r="E1039" t="s">
        <v>9211</v>
      </c>
      <c r="F1039">
        <v>1</v>
      </c>
    </row>
    <row r="1040" spans="1:6" ht="15" customHeight="1" x14ac:dyDescent="0.3">
      <c r="A1040" t="s">
        <v>9216</v>
      </c>
      <c r="E1040" t="s">
        <v>9216</v>
      </c>
      <c r="F1040">
        <v>1</v>
      </c>
    </row>
    <row r="1041" spans="1:6" ht="15" customHeight="1" x14ac:dyDescent="0.3">
      <c r="A1041" t="s">
        <v>9221</v>
      </c>
      <c r="E1041" t="s">
        <v>9221</v>
      </c>
      <c r="F1041">
        <v>1</v>
      </c>
    </row>
    <row r="1042" spans="1:6" ht="15" customHeight="1" x14ac:dyDescent="0.3">
      <c r="A1042" t="s">
        <v>9229</v>
      </c>
      <c r="E1042" t="s">
        <v>9229</v>
      </c>
      <c r="F1042">
        <v>1</v>
      </c>
    </row>
    <row r="1043" spans="1:6" ht="15" customHeight="1" x14ac:dyDescent="0.3">
      <c r="A1043" t="s">
        <v>9252</v>
      </c>
      <c r="E1043" t="s">
        <v>9252</v>
      </c>
      <c r="F1043">
        <v>1</v>
      </c>
    </row>
    <row r="1044" spans="1:6" ht="15" customHeight="1" x14ac:dyDescent="0.3">
      <c r="A1044" t="s">
        <v>9257</v>
      </c>
      <c r="E1044" t="s">
        <v>9257</v>
      </c>
      <c r="F1044">
        <v>1</v>
      </c>
    </row>
    <row r="1045" spans="1:6" ht="15" customHeight="1" x14ac:dyDescent="0.3">
      <c r="A1045" t="s">
        <v>9273</v>
      </c>
      <c r="E1045" t="s">
        <v>9273</v>
      </c>
      <c r="F1045">
        <v>1</v>
      </c>
    </row>
    <row r="1046" spans="1:6" ht="15" customHeight="1" x14ac:dyDescent="0.3">
      <c r="A1046" t="s">
        <v>9277</v>
      </c>
      <c r="E1046" t="s">
        <v>9277</v>
      </c>
      <c r="F1046">
        <v>1</v>
      </c>
    </row>
    <row r="1047" spans="1:6" ht="15" customHeight="1" x14ac:dyDescent="0.3">
      <c r="A1047" t="s">
        <v>9286</v>
      </c>
      <c r="E1047" t="s">
        <v>9286</v>
      </c>
      <c r="F1047">
        <v>1</v>
      </c>
    </row>
    <row r="1048" spans="1:6" ht="15" customHeight="1" x14ac:dyDescent="0.3">
      <c r="A1048" t="s">
        <v>9295</v>
      </c>
      <c r="E1048" t="s">
        <v>9295</v>
      </c>
      <c r="F1048">
        <v>1</v>
      </c>
    </row>
    <row r="1049" spans="1:6" ht="15" customHeight="1" x14ac:dyDescent="0.3">
      <c r="A1049" t="s">
        <v>9299</v>
      </c>
      <c r="E1049" t="s">
        <v>9299</v>
      </c>
      <c r="F1049">
        <v>1</v>
      </c>
    </row>
    <row r="1050" spans="1:6" ht="15" customHeight="1" x14ac:dyDescent="0.3">
      <c r="A1050" t="s">
        <v>9313</v>
      </c>
      <c r="E1050" t="s">
        <v>9313</v>
      </c>
      <c r="F1050">
        <v>1</v>
      </c>
    </row>
    <row r="1051" spans="1:6" ht="15" customHeight="1" x14ac:dyDescent="0.3">
      <c r="A1051" t="s">
        <v>9318</v>
      </c>
      <c r="E1051" t="s">
        <v>9318</v>
      </c>
      <c r="F1051">
        <v>1</v>
      </c>
    </row>
    <row r="1052" spans="1:6" ht="15" customHeight="1" x14ac:dyDescent="0.3">
      <c r="A1052" t="s">
        <v>9330</v>
      </c>
      <c r="E1052" t="s">
        <v>9330</v>
      </c>
      <c r="F1052">
        <v>1</v>
      </c>
    </row>
    <row r="1053" spans="1:6" ht="15" customHeight="1" x14ac:dyDescent="0.3">
      <c r="A1053" t="s">
        <v>9334</v>
      </c>
      <c r="E1053" t="s">
        <v>9334</v>
      </c>
      <c r="F1053">
        <v>1</v>
      </c>
    </row>
    <row r="1054" spans="1:6" ht="15" customHeight="1" x14ac:dyDescent="0.3">
      <c r="A1054" t="s">
        <v>9339</v>
      </c>
      <c r="E1054" t="s">
        <v>9339</v>
      </c>
      <c r="F1054">
        <v>1</v>
      </c>
    </row>
    <row r="1055" spans="1:6" ht="15" customHeight="1" x14ac:dyDescent="0.3">
      <c r="A1055" t="s">
        <v>9343</v>
      </c>
      <c r="E1055" t="s">
        <v>9343</v>
      </c>
      <c r="F1055">
        <v>1</v>
      </c>
    </row>
    <row r="1056" spans="1:6" ht="15" customHeight="1" x14ac:dyDescent="0.3">
      <c r="A1056" t="s">
        <v>9348</v>
      </c>
      <c r="E1056" t="s">
        <v>9348</v>
      </c>
      <c r="F1056">
        <v>1</v>
      </c>
    </row>
    <row r="1057" spans="1:6" ht="15" customHeight="1" x14ac:dyDescent="0.3">
      <c r="A1057" t="s">
        <v>9360</v>
      </c>
      <c r="E1057" t="s">
        <v>9360</v>
      </c>
      <c r="F1057">
        <v>1</v>
      </c>
    </row>
    <row r="1058" spans="1:6" ht="15" customHeight="1" x14ac:dyDescent="0.3">
      <c r="A1058" t="s">
        <v>9365</v>
      </c>
      <c r="E1058" t="s">
        <v>9365</v>
      </c>
      <c r="F1058">
        <v>1</v>
      </c>
    </row>
    <row r="1059" spans="1:6" ht="15" customHeight="1" x14ac:dyDescent="0.3">
      <c r="A1059" t="s">
        <v>9381</v>
      </c>
      <c r="E1059" t="s">
        <v>9381</v>
      </c>
      <c r="F1059">
        <v>1</v>
      </c>
    </row>
    <row r="1060" spans="1:6" ht="15" customHeight="1" x14ac:dyDescent="0.3">
      <c r="A1060" t="s">
        <v>9402</v>
      </c>
      <c r="E1060" t="s">
        <v>9402</v>
      </c>
      <c r="F1060">
        <v>1</v>
      </c>
    </row>
    <row r="1061" spans="1:6" ht="15" customHeight="1" x14ac:dyDescent="0.3">
      <c r="A1061" t="s">
        <v>9406</v>
      </c>
      <c r="E1061" t="s">
        <v>9406</v>
      </c>
      <c r="F1061">
        <v>1</v>
      </c>
    </row>
    <row r="1062" spans="1:6" ht="15" customHeight="1" x14ac:dyDescent="0.3">
      <c r="A1062" t="s">
        <v>9415</v>
      </c>
      <c r="E1062" t="s">
        <v>9415</v>
      </c>
      <c r="F1062">
        <v>1</v>
      </c>
    </row>
    <row r="1063" spans="1:6" ht="15" customHeight="1" x14ac:dyDescent="0.3">
      <c r="A1063" t="s">
        <v>9431</v>
      </c>
      <c r="E1063" t="s">
        <v>9431</v>
      </c>
      <c r="F1063">
        <v>1</v>
      </c>
    </row>
    <row r="1064" spans="1:6" ht="15" customHeight="1" x14ac:dyDescent="0.3">
      <c r="A1064" t="s">
        <v>9436</v>
      </c>
      <c r="E1064" t="s">
        <v>9436</v>
      </c>
      <c r="F1064">
        <v>1</v>
      </c>
    </row>
    <row r="1065" spans="1:6" ht="15" customHeight="1" x14ac:dyDescent="0.3">
      <c r="A1065" t="s">
        <v>9445</v>
      </c>
      <c r="E1065" t="s">
        <v>9445</v>
      </c>
      <c r="F1065">
        <v>1</v>
      </c>
    </row>
    <row r="1066" spans="1:6" ht="15" customHeight="1" x14ac:dyDescent="0.3">
      <c r="A1066" t="s">
        <v>9460</v>
      </c>
      <c r="E1066" t="s">
        <v>9460</v>
      </c>
      <c r="F1066">
        <v>1</v>
      </c>
    </row>
    <row r="1067" spans="1:6" ht="15" customHeight="1" x14ac:dyDescent="0.3">
      <c r="A1067" t="s">
        <v>9465</v>
      </c>
      <c r="E1067" t="s">
        <v>9465</v>
      </c>
      <c r="F1067">
        <v>1</v>
      </c>
    </row>
    <row r="1068" spans="1:6" ht="15" customHeight="1" x14ac:dyDescent="0.3">
      <c r="A1068" t="s">
        <v>9471</v>
      </c>
      <c r="E1068" t="s">
        <v>9471</v>
      </c>
      <c r="F1068">
        <v>1</v>
      </c>
    </row>
    <row r="1069" spans="1:6" ht="15" customHeight="1" x14ac:dyDescent="0.3">
      <c r="A1069" t="s">
        <v>9476</v>
      </c>
      <c r="E1069" t="s">
        <v>9476</v>
      </c>
      <c r="F1069">
        <v>1</v>
      </c>
    </row>
    <row r="1070" spans="1:6" ht="15" customHeight="1" x14ac:dyDescent="0.3">
      <c r="A1070" t="s">
        <v>9479</v>
      </c>
      <c r="E1070" t="s">
        <v>9479</v>
      </c>
      <c r="F1070">
        <v>1</v>
      </c>
    </row>
    <row r="1071" spans="1:6" ht="15" customHeight="1" x14ac:dyDescent="0.3">
      <c r="A1071" t="s">
        <v>9484</v>
      </c>
      <c r="E1071" t="s">
        <v>9484</v>
      </c>
      <c r="F1071">
        <v>1</v>
      </c>
    </row>
    <row r="1072" spans="1:6" ht="15" customHeight="1" x14ac:dyDescent="0.3">
      <c r="A1072" t="s">
        <v>9493</v>
      </c>
      <c r="E1072" t="s">
        <v>9493</v>
      </c>
      <c r="F1072">
        <v>1</v>
      </c>
    </row>
    <row r="1073" spans="1:6" ht="15" customHeight="1" x14ac:dyDescent="0.3">
      <c r="A1073" t="s">
        <v>9502</v>
      </c>
      <c r="E1073" t="s">
        <v>9502</v>
      </c>
      <c r="F1073">
        <v>1</v>
      </c>
    </row>
    <row r="1074" spans="1:6" ht="15" customHeight="1" x14ac:dyDescent="0.3">
      <c r="A1074" t="s">
        <v>9511</v>
      </c>
      <c r="E1074" t="s">
        <v>9511</v>
      </c>
      <c r="F1074">
        <v>1</v>
      </c>
    </row>
    <row r="1075" spans="1:6" ht="15" customHeight="1" x14ac:dyDescent="0.3">
      <c r="A1075" t="s">
        <v>9516</v>
      </c>
      <c r="E1075" t="s">
        <v>9516</v>
      </c>
      <c r="F1075">
        <v>1</v>
      </c>
    </row>
    <row r="1076" spans="1:6" ht="15" customHeight="1" x14ac:dyDescent="0.3">
      <c r="A1076" t="s">
        <v>9523</v>
      </c>
      <c r="E1076" t="s">
        <v>9523</v>
      </c>
      <c r="F1076">
        <v>1</v>
      </c>
    </row>
    <row r="1077" spans="1:6" ht="15" customHeight="1" x14ac:dyDescent="0.3">
      <c r="A1077" t="s">
        <v>9532</v>
      </c>
      <c r="E1077" t="s">
        <v>9532</v>
      </c>
      <c r="F1077">
        <v>1</v>
      </c>
    </row>
    <row r="1078" spans="1:6" ht="15" customHeight="1" x14ac:dyDescent="0.3">
      <c r="A1078" t="s">
        <v>9537</v>
      </c>
      <c r="E1078" t="s">
        <v>9537</v>
      </c>
      <c r="F1078">
        <v>1</v>
      </c>
    </row>
    <row r="1079" spans="1:6" ht="15" customHeight="1" x14ac:dyDescent="0.3">
      <c r="A1079" t="s">
        <v>9542</v>
      </c>
      <c r="E1079" t="s">
        <v>9542</v>
      </c>
      <c r="F1079">
        <v>1</v>
      </c>
    </row>
    <row r="1080" spans="1:6" ht="15" customHeight="1" x14ac:dyDescent="0.3">
      <c r="A1080" t="s">
        <v>9552</v>
      </c>
      <c r="E1080" t="s">
        <v>9552</v>
      </c>
      <c r="F1080">
        <v>1</v>
      </c>
    </row>
    <row r="1081" spans="1:6" ht="15" customHeight="1" x14ac:dyDescent="0.3">
      <c r="A1081" t="s">
        <v>9556</v>
      </c>
      <c r="E1081" t="s">
        <v>9556</v>
      </c>
      <c r="F1081">
        <v>1</v>
      </c>
    </row>
    <row r="1082" spans="1:6" ht="15" customHeight="1" x14ac:dyDescent="0.3">
      <c r="A1082" t="s">
        <v>9561</v>
      </c>
      <c r="E1082" t="s">
        <v>9561</v>
      </c>
      <c r="F1082">
        <v>1</v>
      </c>
    </row>
    <row r="1083" spans="1:6" ht="15" customHeight="1" x14ac:dyDescent="0.3">
      <c r="A1083" t="s">
        <v>9565</v>
      </c>
      <c r="E1083" t="s">
        <v>9565</v>
      </c>
      <c r="F1083">
        <v>1</v>
      </c>
    </row>
    <row r="1084" spans="1:6" ht="15" customHeight="1" x14ac:dyDescent="0.3">
      <c r="A1084" t="s">
        <v>9575</v>
      </c>
      <c r="E1084" t="s">
        <v>9575</v>
      </c>
      <c r="F1084">
        <v>1</v>
      </c>
    </row>
    <row r="1085" spans="1:6" ht="15" customHeight="1" x14ac:dyDescent="0.3">
      <c r="A1085" t="s">
        <v>9580</v>
      </c>
      <c r="E1085" t="s">
        <v>9580</v>
      </c>
      <c r="F1085">
        <v>1</v>
      </c>
    </row>
    <row r="1086" spans="1:6" ht="15" customHeight="1" x14ac:dyDescent="0.3">
      <c r="A1086" t="s">
        <v>9592</v>
      </c>
      <c r="E1086" t="s">
        <v>9592</v>
      </c>
      <c r="F1086">
        <v>1</v>
      </c>
    </row>
    <row r="1087" spans="1:6" ht="15" customHeight="1" x14ac:dyDescent="0.3">
      <c r="A1087" t="s">
        <v>9604</v>
      </c>
      <c r="E1087" t="s">
        <v>9604</v>
      </c>
      <c r="F1087">
        <v>1</v>
      </c>
    </row>
    <row r="1088" spans="1:6" ht="15" customHeight="1" x14ac:dyDescent="0.3">
      <c r="A1088" t="s">
        <v>9612</v>
      </c>
      <c r="E1088" t="s">
        <v>9612</v>
      </c>
      <c r="F1088">
        <v>1</v>
      </c>
    </row>
    <row r="1089" spans="1:6" ht="15" customHeight="1" x14ac:dyDescent="0.3">
      <c r="A1089" t="s">
        <v>9616</v>
      </c>
      <c r="E1089" t="s">
        <v>9616</v>
      </c>
      <c r="F1089">
        <v>1</v>
      </c>
    </row>
    <row r="1090" spans="1:6" ht="15" customHeight="1" x14ac:dyDescent="0.3">
      <c r="A1090" t="s">
        <v>9627</v>
      </c>
      <c r="E1090" t="s">
        <v>9627</v>
      </c>
      <c r="F1090">
        <v>1</v>
      </c>
    </row>
    <row r="1091" spans="1:6" ht="15" customHeight="1" x14ac:dyDescent="0.3">
      <c r="A1091" t="s">
        <v>9634</v>
      </c>
      <c r="E1091" t="s">
        <v>9634</v>
      </c>
      <c r="F1091">
        <v>1</v>
      </c>
    </row>
    <row r="1092" spans="1:6" ht="15" customHeight="1" x14ac:dyDescent="0.3">
      <c r="A1092" t="s">
        <v>9638</v>
      </c>
      <c r="E1092" t="s">
        <v>9638</v>
      </c>
      <c r="F1092">
        <v>1</v>
      </c>
    </row>
    <row r="1093" spans="1:6" ht="15" customHeight="1" x14ac:dyDescent="0.3">
      <c r="A1093" t="s">
        <v>9643</v>
      </c>
      <c r="E1093" t="s">
        <v>9643</v>
      </c>
      <c r="F1093">
        <v>1</v>
      </c>
    </row>
    <row r="1094" spans="1:6" ht="15" customHeight="1" x14ac:dyDescent="0.3">
      <c r="A1094" t="s">
        <v>9648</v>
      </c>
      <c r="E1094" t="s">
        <v>9648</v>
      </c>
      <c r="F1094">
        <v>1</v>
      </c>
    </row>
    <row r="1095" spans="1:6" ht="15" customHeight="1" x14ac:dyDescent="0.3">
      <c r="A1095" t="s">
        <v>9653</v>
      </c>
      <c r="E1095" t="s">
        <v>9653</v>
      </c>
      <c r="F1095">
        <v>1</v>
      </c>
    </row>
    <row r="1096" spans="1:6" ht="15" customHeight="1" x14ac:dyDescent="0.3">
      <c r="A1096" t="s">
        <v>9657</v>
      </c>
      <c r="E1096" t="s">
        <v>9657</v>
      </c>
      <c r="F1096">
        <v>1</v>
      </c>
    </row>
    <row r="1097" spans="1:6" ht="15" customHeight="1" x14ac:dyDescent="0.3">
      <c r="A1097" t="s">
        <v>9662</v>
      </c>
      <c r="E1097" t="s">
        <v>9662</v>
      </c>
      <c r="F1097">
        <v>1</v>
      </c>
    </row>
    <row r="1098" spans="1:6" ht="15" customHeight="1" x14ac:dyDescent="0.3">
      <c r="A1098" t="s">
        <v>9668</v>
      </c>
      <c r="E1098" t="s">
        <v>9668</v>
      </c>
      <c r="F1098">
        <v>1</v>
      </c>
    </row>
    <row r="1099" spans="1:6" ht="15" customHeight="1" x14ac:dyDescent="0.3">
      <c r="A1099" t="s">
        <v>9679</v>
      </c>
      <c r="E1099" t="s">
        <v>9679</v>
      </c>
      <c r="F1099">
        <v>1</v>
      </c>
    </row>
    <row r="1100" spans="1:6" ht="15" customHeight="1" x14ac:dyDescent="0.3">
      <c r="A1100" t="s">
        <v>9684</v>
      </c>
      <c r="E1100" t="s">
        <v>9684</v>
      </c>
      <c r="F1100">
        <v>1</v>
      </c>
    </row>
    <row r="1101" spans="1:6" ht="15" customHeight="1" x14ac:dyDescent="0.3">
      <c r="A1101" t="s">
        <v>9689</v>
      </c>
      <c r="E1101" t="s">
        <v>9689</v>
      </c>
      <c r="F1101">
        <v>1</v>
      </c>
    </row>
    <row r="1102" spans="1:6" ht="15" customHeight="1" x14ac:dyDescent="0.3">
      <c r="A1102" t="s">
        <v>9694</v>
      </c>
      <c r="E1102" t="s">
        <v>9694</v>
      </c>
      <c r="F1102">
        <v>1</v>
      </c>
    </row>
    <row r="1103" spans="1:6" ht="15" customHeight="1" x14ac:dyDescent="0.3">
      <c r="A1103" t="s">
        <v>9698</v>
      </c>
      <c r="E1103" t="s">
        <v>9698</v>
      </c>
      <c r="F1103">
        <v>1</v>
      </c>
    </row>
    <row r="1104" spans="1:6" ht="15" customHeight="1" x14ac:dyDescent="0.3">
      <c r="A1104" t="s">
        <v>9703</v>
      </c>
      <c r="E1104" t="s">
        <v>9703</v>
      </c>
      <c r="F1104">
        <v>1</v>
      </c>
    </row>
    <row r="1105" spans="1:6" ht="15" customHeight="1" x14ac:dyDescent="0.3">
      <c r="A1105" t="s">
        <v>9715</v>
      </c>
      <c r="E1105" t="s">
        <v>9715</v>
      </c>
      <c r="F1105">
        <v>1</v>
      </c>
    </row>
    <row r="1106" spans="1:6" ht="15" customHeight="1" x14ac:dyDescent="0.3">
      <c r="A1106" t="s">
        <v>9725</v>
      </c>
      <c r="E1106" t="s">
        <v>9725</v>
      </c>
      <c r="F1106">
        <v>1</v>
      </c>
    </row>
    <row r="1107" spans="1:6" ht="15" customHeight="1" x14ac:dyDescent="0.3">
      <c r="A1107" t="s">
        <v>9732</v>
      </c>
      <c r="E1107" t="s">
        <v>9732</v>
      </c>
      <c r="F1107">
        <v>1</v>
      </c>
    </row>
    <row r="1108" spans="1:6" ht="15" customHeight="1" x14ac:dyDescent="0.3">
      <c r="A1108" t="s">
        <v>9736</v>
      </c>
      <c r="E1108" t="s">
        <v>9736</v>
      </c>
      <c r="F1108">
        <v>1</v>
      </c>
    </row>
    <row r="1109" spans="1:6" ht="15" customHeight="1" x14ac:dyDescent="0.3">
      <c r="A1109" t="s">
        <v>9746</v>
      </c>
      <c r="E1109" t="s">
        <v>9746</v>
      </c>
      <c r="F1109">
        <v>1</v>
      </c>
    </row>
    <row r="1110" spans="1:6" ht="15" customHeight="1" x14ac:dyDescent="0.3">
      <c r="A1110" t="s">
        <v>9751</v>
      </c>
      <c r="E1110" t="s">
        <v>9751</v>
      </c>
      <c r="F1110">
        <v>1</v>
      </c>
    </row>
    <row r="1111" spans="1:6" ht="15" customHeight="1" x14ac:dyDescent="0.3">
      <c r="A1111" t="s">
        <v>9759</v>
      </c>
      <c r="E1111" t="s">
        <v>9759</v>
      </c>
      <c r="F1111">
        <v>1</v>
      </c>
    </row>
    <row r="1112" spans="1:6" ht="15" customHeight="1" x14ac:dyDescent="0.3">
      <c r="A1112" t="s">
        <v>9763</v>
      </c>
      <c r="E1112" t="s">
        <v>9763</v>
      </c>
      <c r="F1112">
        <v>1</v>
      </c>
    </row>
    <row r="1113" spans="1:6" ht="15" customHeight="1" x14ac:dyDescent="0.3">
      <c r="A1113" t="s">
        <v>9767</v>
      </c>
      <c r="E1113" t="s">
        <v>9767</v>
      </c>
      <c r="F1113">
        <v>1</v>
      </c>
    </row>
    <row r="1114" spans="1:6" ht="15" customHeight="1" x14ac:dyDescent="0.3">
      <c r="A1114" t="s">
        <v>9772</v>
      </c>
      <c r="E1114" t="s">
        <v>9772</v>
      </c>
      <c r="F1114">
        <v>1</v>
      </c>
    </row>
    <row r="1115" spans="1:6" ht="15" customHeight="1" x14ac:dyDescent="0.3">
      <c r="A1115" t="s">
        <v>9787</v>
      </c>
      <c r="E1115" t="s">
        <v>9787</v>
      </c>
      <c r="F1115">
        <v>1</v>
      </c>
    </row>
    <row r="1116" spans="1:6" ht="15" customHeight="1" x14ac:dyDescent="0.3">
      <c r="A1116" t="s">
        <v>9792</v>
      </c>
      <c r="E1116" t="s">
        <v>9792</v>
      </c>
      <c r="F1116">
        <v>1</v>
      </c>
    </row>
    <row r="1117" spans="1:6" ht="15" customHeight="1" x14ac:dyDescent="0.3">
      <c r="A1117" t="s">
        <v>9798</v>
      </c>
      <c r="E1117" t="s">
        <v>9798</v>
      </c>
      <c r="F1117">
        <v>1</v>
      </c>
    </row>
    <row r="1118" spans="1:6" ht="15" customHeight="1" x14ac:dyDescent="0.3">
      <c r="A1118" t="s">
        <v>9803</v>
      </c>
      <c r="E1118" t="s">
        <v>9803</v>
      </c>
      <c r="F1118">
        <v>1</v>
      </c>
    </row>
    <row r="1119" spans="1:6" ht="15" customHeight="1" x14ac:dyDescent="0.3">
      <c r="A1119" t="s">
        <v>9807</v>
      </c>
      <c r="E1119" t="s">
        <v>9807</v>
      </c>
      <c r="F1119">
        <v>1</v>
      </c>
    </row>
    <row r="1120" spans="1:6" ht="15" customHeight="1" x14ac:dyDescent="0.3">
      <c r="A1120" t="s">
        <v>9824</v>
      </c>
      <c r="E1120" t="s">
        <v>9824</v>
      </c>
      <c r="F1120">
        <v>1</v>
      </c>
    </row>
    <row r="1121" spans="1:6" ht="15" customHeight="1" x14ac:dyDescent="0.3">
      <c r="A1121" t="s">
        <v>9832</v>
      </c>
      <c r="E1121" t="s">
        <v>9832</v>
      </c>
      <c r="F1121">
        <v>1</v>
      </c>
    </row>
    <row r="1122" spans="1:6" ht="15" customHeight="1" x14ac:dyDescent="0.3">
      <c r="A1122" t="s">
        <v>9837</v>
      </c>
      <c r="E1122" t="s">
        <v>9837</v>
      </c>
      <c r="F1122">
        <v>1</v>
      </c>
    </row>
    <row r="1123" spans="1:6" ht="15" customHeight="1" x14ac:dyDescent="0.3">
      <c r="A1123" t="s">
        <v>9846</v>
      </c>
      <c r="E1123" t="s">
        <v>9846</v>
      </c>
      <c r="F1123">
        <v>1</v>
      </c>
    </row>
    <row r="1124" spans="1:6" ht="15" customHeight="1" x14ac:dyDescent="0.3">
      <c r="A1124" t="s">
        <v>9858</v>
      </c>
      <c r="E1124" t="s">
        <v>9858</v>
      </c>
      <c r="F1124">
        <v>1</v>
      </c>
    </row>
    <row r="1125" spans="1:6" ht="15" customHeight="1" x14ac:dyDescent="0.3">
      <c r="A1125" t="s">
        <v>9863</v>
      </c>
      <c r="E1125" t="s">
        <v>9863</v>
      </c>
      <c r="F1125">
        <v>1</v>
      </c>
    </row>
    <row r="1126" spans="1:6" ht="15" customHeight="1" x14ac:dyDescent="0.3">
      <c r="A1126" t="s">
        <v>9872</v>
      </c>
      <c r="E1126" t="s">
        <v>9872</v>
      </c>
      <c r="F1126">
        <v>1</v>
      </c>
    </row>
    <row r="1127" spans="1:6" ht="15" customHeight="1" x14ac:dyDescent="0.3">
      <c r="A1127" t="s">
        <v>9884</v>
      </c>
      <c r="E1127" t="s">
        <v>9884</v>
      </c>
      <c r="F1127">
        <v>1</v>
      </c>
    </row>
    <row r="1128" spans="1:6" ht="15" customHeight="1" x14ac:dyDescent="0.3">
      <c r="A1128" t="s">
        <v>9890</v>
      </c>
      <c r="E1128" t="s">
        <v>9890</v>
      </c>
      <c r="F1128">
        <v>1</v>
      </c>
    </row>
    <row r="1129" spans="1:6" ht="15" customHeight="1" x14ac:dyDescent="0.3">
      <c r="A1129" t="s">
        <v>9895</v>
      </c>
      <c r="E1129" t="s">
        <v>9895</v>
      </c>
      <c r="F1129">
        <v>1</v>
      </c>
    </row>
    <row r="1130" spans="1:6" ht="15" customHeight="1" x14ac:dyDescent="0.3">
      <c r="A1130" t="s">
        <v>9900</v>
      </c>
      <c r="E1130" t="s">
        <v>9900</v>
      </c>
      <c r="F1130">
        <v>1</v>
      </c>
    </row>
    <row r="1131" spans="1:6" ht="15" customHeight="1" x14ac:dyDescent="0.3">
      <c r="A1131" t="s">
        <v>9905</v>
      </c>
      <c r="E1131" t="s">
        <v>9905</v>
      </c>
      <c r="F1131">
        <v>1</v>
      </c>
    </row>
    <row r="1132" spans="1:6" ht="15" customHeight="1" x14ac:dyDescent="0.3">
      <c r="A1132" t="s">
        <v>9910</v>
      </c>
      <c r="E1132" t="s">
        <v>9910</v>
      </c>
      <c r="F1132">
        <v>1</v>
      </c>
    </row>
    <row r="1133" spans="1:6" ht="15" customHeight="1" x14ac:dyDescent="0.3">
      <c r="A1133" t="s">
        <v>9914</v>
      </c>
      <c r="E1133" t="s">
        <v>9914</v>
      </c>
      <c r="F1133">
        <v>1</v>
      </c>
    </row>
    <row r="1134" spans="1:6" ht="15" customHeight="1" x14ac:dyDescent="0.3">
      <c r="A1134" t="s">
        <v>9929</v>
      </c>
      <c r="E1134" t="s">
        <v>9929</v>
      </c>
      <c r="F1134">
        <v>1</v>
      </c>
    </row>
    <row r="1135" spans="1:6" ht="15" customHeight="1" x14ac:dyDescent="0.3">
      <c r="A1135" t="s">
        <v>9934</v>
      </c>
      <c r="E1135" t="s">
        <v>9934</v>
      </c>
      <c r="F1135">
        <v>1</v>
      </c>
    </row>
    <row r="1136" spans="1:6" ht="15" customHeight="1" x14ac:dyDescent="0.3">
      <c r="A1136" t="s">
        <v>9939</v>
      </c>
      <c r="E1136" t="s">
        <v>9939</v>
      </c>
      <c r="F1136">
        <v>1</v>
      </c>
    </row>
    <row r="1137" spans="1:6" ht="15" customHeight="1" x14ac:dyDescent="0.3">
      <c r="A1137" t="s">
        <v>9944</v>
      </c>
      <c r="E1137" t="s">
        <v>9944</v>
      </c>
      <c r="F1137">
        <v>1</v>
      </c>
    </row>
    <row r="1138" spans="1:6" ht="15" customHeight="1" x14ac:dyDescent="0.3">
      <c r="A1138" t="s">
        <v>9949</v>
      </c>
      <c r="E1138" t="s">
        <v>9949</v>
      </c>
      <c r="F1138">
        <v>1</v>
      </c>
    </row>
    <row r="1139" spans="1:6" ht="15" customHeight="1" x14ac:dyDescent="0.3">
      <c r="A1139" t="s">
        <v>9953</v>
      </c>
      <c r="E1139" t="s">
        <v>9953</v>
      </c>
      <c r="F1139">
        <v>1</v>
      </c>
    </row>
    <row r="1140" spans="1:6" ht="15" customHeight="1" x14ac:dyDescent="0.3">
      <c r="A1140" t="s">
        <v>9970</v>
      </c>
      <c r="E1140" t="s">
        <v>9970</v>
      </c>
      <c r="F1140">
        <v>1</v>
      </c>
    </row>
    <row r="1141" spans="1:6" ht="15" customHeight="1" x14ac:dyDescent="0.3">
      <c r="A1141" t="s">
        <v>9974</v>
      </c>
      <c r="E1141" t="s">
        <v>9974</v>
      </c>
      <c r="F1141">
        <v>1</v>
      </c>
    </row>
    <row r="1142" spans="1:6" ht="15" customHeight="1" x14ac:dyDescent="0.3">
      <c r="A1142" t="s">
        <v>9984</v>
      </c>
      <c r="E1142" t="s">
        <v>9984</v>
      </c>
      <c r="F1142">
        <v>1</v>
      </c>
    </row>
    <row r="1143" spans="1:6" ht="15" customHeight="1" x14ac:dyDescent="0.3">
      <c r="A1143" t="s">
        <v>9992</v>
      </c>
      <c r="E1143" t="s">
        <v>9992</v>
      </c>
      <c r="F1143">
        <v>1</v>
      </c>
    </row>
    <row r="1144" spans="1:6" ht="15" customHeight="1" x14ac:dyDescent="0.3">
      <c r="A1144" t="s">
        <v>10000</v>
      </c>
      <c r="E1144" t="s">
        <v>10000</v>
      </c>
      <c r="F1144">
        <v>1</v>
      </c>
    </row>
    <row r="1145" spans="1:6" ht="15" customHeight="1" x14ac:dyDescent="0.3">
      <c r="A1145" t="s">
        <v>10004</v>
      </c>
      <c r="E1145" t="s">
        <v>10004</v>
      </c>
      <c r="F1145">
        <v>1</v>
      </c>
    </row>
    <row r="1146" spans="1:6" ht="15" customHeight="1" x14ac:dyDescent="0.3">
      <c r="A1146" t="s">
        <v>10012</v>
      </c>
      <c r="E1146" t="s">
        <v>10012</v>
      </c>
      <c r="F1146">
        <v>1</v>
      </c>
    </row>
    <row r="1147" spans="1:6" ht="15" customHeight="1" x14ac:dyDescent="0.3">
      <c r="A1147" t="s">
        <v>10021</v>
      </c>
      <c r="E1147" t="s">
        <v>10021</v>
      </c>
      <c r="F1147">
        <v>1</v>
      </c>
    </row>
    <row r="1148" spans="1:6" ht="15" customHeight="1" x14ac:dyDescent="0.3">
      <c r="A1148" t="s">
        <v>10025</v>
      </c>
      <c r="E1148" t="s">
        <v>10025</v>
      </c>
      <c r="F1148">
        <v>1</v>
      </c>
    </row>
    <row r="1149" spans="1:6" ht="15" customHeight="1" x14ac:dyDescent="0.3">
      <c r="A1149" t="s">
        <v>10030</v>
      </c>
      <c r="E1149" t="s">
        <v>10030</v>
      </c>
      <c r="F1149">
        <v>1</v>
      </c>
    </row>
    <row r="1150" spans="1:6" ht="15" customHeight="1" x14ac:dyDescent="0.3">
      <c r="A1150" t="s">
        <v>10039</v>
      </c>
      <c r="E1150" t="s">
        <v>10039</v>
      </c>
      <c r="F1150">
        <v>1</v>
      </c>
    </row>
    <row r="1151" spans="1:6" ht="15" customHeight="1" x14ac:dyDescent="0.3">
      <c r="A1151" t="s">
        <v>10048</v>
      </c>
      <c r="E1151" t="s">
        <v>10048</v>
      </c>
      <c r="F1151">
        <v>1</v>
      </c>
    </row>
    <row r="1152" spans="1:6" ht="15" customHeight="1" x14ac:dyDescent="0.3">
      <c r="A1152" t="s">
        <v>10052</v>
      </c>
      <c r="E1152" t="s">
        <v>10052</v>
      </c>
      <c r="F1152">
        <v>1</v>
      </c>
    </row>
    <row r="1153" spans="1:6" ht="15" customHeight="1" x14ac:dyDescent="0.3">
      <c r="A1153" t="s">
        <v>10057</v>
      </c>
      <c r="E1153" t="s">
        <v>10057</v>
      </c>
      <c r="F1153">
        <v>1</v>
      </c>
    </row>
    <row r="1154" spans="1:6" ht="15" customHeight="1" x14ac:dyDescent="0.3">
      <c r="A1154" t="s">
        <v>10066</v>
      </c>
      <c r="E1154" t="s">
        <v>10066</v>
      </c>
      <c r="F1154">
        <v>1</v>
      </c>
    </row>
    <row r="1155" spans="1:6" ht="15" customHeight="1" x14ac:dyDescent="0.3">
      <c r="A1155" t="s">
        <v>10070</v>
      </c>
      <c r="E1155" t="s">
        <v>10070</v>
      </c>
      <c r="F1155">
        <v>1</v>
      </c>
    </row>
    <row r="1156" spans="1:6" ht="15" customHeight="1" x14ac:dyDescent="0.3">
      <c r="A1156" t="s">
        <v>10074</v>
      </c>
      <c r="E1156" t="s">
        <v>10074</v>
      </c>
      <c r="F1156">
        <v>1</v>
      </c>
    </row>
    <row r="1157" spans="1:6" ht="15" customHeight="1" x14ac:dyDescent="0.3">
      <c r="A1157" t="s">
        <v>10079</v>
      </c>
      <c r="E1157" t="s">
        <v>10079</v>
      </c>
      <c r="F1157">
        <v>1</v>
      </c>
    </row>
    <row r="1158" spans="1:6" ht="15" customHeight="1" x14ac:dyDescent="0.3">
      <c r="A1158" t="s">
        <v>10086</v>
      </c>
      <c r="E1158" t="s">
        <v>10086</v>
      </c>
      <c r="F1158">
        <v>1</v>
      </c>
    </row>
    <row r="1159" spans="1:6" ht="15" customHeight="1" x14ac:dyDescent="0.3">
      <c r="A1159" t="s">
        <v>10091</v>
      </c>
      <c r="E1159" t="s">
        <v>10091</v>
      </c>
      <c r="F1159">
        <v>1</v>
      </c>
    </row>
    <row r="1160" spans="1:6" ht="15" customHeight="1" x14ac:dyDescent="0.3">
      <c r="A1160" t="s">
        <v>10123</v>
      </c>
      <c r="E1160" t="s">
        <v>10123</v>
      </c>
      <c r="F1160">
        <v>1</v>
      </c>
    </row>
    <row r="1161" spans="1:6" ht="15" customHeight="1" x14ac:dyDescent="0.3">
      <c r="A1161" t="s">
        <v>10137</v>
      </c>
      <c r="E1161" t="s">
        <v>10137</v>
      </c>
      <c r="F1161">
        <v>1</v>
      </c>
    </row>
    <row r="1162" spans="1:6" ht="15" customHeight="1" x14ac:dyDescent="0.3">
      <c r="A1162" t="s">
        <v>10141</v>
      </c>
      <c r="E1162" t="s">
        <v>10141</v>
      </c>
      <c r="F1162">
        <v>1</v>
      </c>
    </row>
    <row r="1163" spans="1:6" ht="15" customHeight="1" x14ac:dyDescent="0.3">
      <c r="A1163" t="s">
        <v>10148</v>
      </c>
      <c r="E1163" t="s">
        <v>10148</v>
      </c>
      <c r="F1163">
        <v>1</v>
      </c>
    </row>
    <row r="1164" spans="1:6" ht="15" customHeight="1" x14ac:dyDescent="0.3">
      <c r="A1164" t="s">
        <v>10152</v>
      </c>
      <c r="E1164" t="s">
        <v>10152</v>
      </c>
      <c r="F1164">
        <v>1</v>
      </c>
    </row>
    <row r="1165" spans="1:6" ht="15" customHeight="1" x14ac:dyDescent="0.3">
      <c r="A1165" t="s">
        <v>10156</v>
      </c>
      <c r="E1165" t="s">
        <v>10156</v>
      </c>
      <c r="F1165">
        <v>1</v>
      </c>
    </row>
    <row r="1166" spans="1:6" ht="15" customHeight="1" x14ac:dyDescent="0.3">
      <c r="A1166" t="s">
        <v>10184</v>
      </c>
      <c r="E1166" t="s">
        <v>10184</v>
      </c>
      <c r="F1166">
        <v>1</v>
      </c>
    </row>
    <row r="1167" spans="1:6" ht="15" customHeight="1" x14ac:dyDescent="0.3">
      <c r="A1167" t="s">
        <v>10191</v>
      </c>
      <c r="E1167" t="s">
        <v>10191</v>
      </c>
      <c r="F1167">
        <v>1</v>
      </c>
    </row>
    <row r="1168" spans="1:6" ht="15" customHeight="1" x14ac:dyDescent="0.3">
      <c r="A1168" t="s">
        <v>10207</v>
      </c>
      <c r="E1168" t="s">
        <v>10207</v>
      </c>
      <c r="F1168">
        <v>1</v>
      </c>
    </row>
    <row r="1169" spans="1:6" ht="15" customHeight="1" x14ac:dyDescent="0.3">
      <c r="A1169" t="s">
        <v>10216</v>
      </c>
      <c r="E1169" t="s">
        <v>10216</v>
      </c>
      <c r="F1169">
        <v>1</v>
      </c>
    </row>
    <row r="1170" spans="1:6" ht="15" customHeight="1" x14ac:dyDescent="0.3">
      <c r="A1170" t="s">
        <v>10221</v>
      </c>
      <c r="E1170" t="s">
        <v>10221</v>
      </c>
      <c r="F1170">
        <v>1</v>
      </c>
    </row>
    <row r="1171" spans="1:6" ht="15" customHeight="1" x14ac:dyDescent="0.3">
      <c r="A1171" t="s">
        <v>10226</v>
      </c>
      <c r="E1171" t="s">
        <v>10226</v>
      </c>
      <c r="F1171">
        <v>1</v>
      </c>
    </row>
    <row r="1172" spans="1:6" ht="15" customHeight="1" x14ac:dyDescent="0.3">
      <c r="A1172" t="s">
        <v>10231</v>
      </c>
      <c r="E1172" t="s">
        <v>10231</v>
      </c>
      <c r="F1172">
        <v>1</v>
      </c>
    </row>
    <row r="1173" spans="1:6" ht="15" customHeight="1" x14ac:dyDescent="0.3">
      <c r="A1173" t="s">
        <v>10235</v>
      </c>
      <c r="E1173" t="s">
        <v>10235</v>
      </c>
      <c r="F1173">
        <v>1</v>
      </c>
    </row>
    <row r="1174" spans="1:6" ht="15" customHeight="1" x14ac:dyDescent="0.3">
      <c r="A1174" t="s">
        <v>10254</v>
      </c>
      <c r="E1174" t="s">
        <v>10254</v>
      </c>
      <c r="F1174">
        <v>1</v>
      </c>
    </row>
    <row r="1175" spans="1:6" ht="15" customHeight="1" x14ac:dyDescent="0.3">
      <c r="A1175" t="s">
        <v>10259</v>
      </c>
      <c r="E1175" t="s">
        <v>10259</v>
      </c>
      <c r="F1175">
        <v>1</v>
      </c>
    </row>
    <row r="1176" spans="1:6" ht="15" customHeight="1" x14ac:dyDescent="0.3">
      <c r="A1176" t="s">
        <v>10266</v>
      </c>
      <c r="E1176" t="s">
        <v>10266</v>
      </c>
      <c r="F1176">
        <v>1</v>
      </c>
    </row>
    <row r="1177" spans="1:6" ht="15" customHeight="1" x14ac:dyDescent="0.3">
      <c r="A1177" t="s">
        <v>10271</v>
      </c>
      <c r="E1177" t="s">
        <v>10271</v>
      </c>
      <c r="F1177">
        <v>1</v>
      </c>
    </row>
    <row r="1178" spans="1:6" ht="15" customHeight="1" x14ac:dyDescent="0.3">
      <c r="A1178" t="s">
        <v>10279</v>
      </c>
      <c r="E1178" t="s">
        <v>10279</v>
      </c>
      <c r="F1178">
        <v>1</v>
      </c>
    </row>
    <row r="1179" spans="1:6" ht="15" customHeight="1" x14ac:dyDescent="0.3">
      <c r="A1179" t="s">
        <v>10284</v>
      </c>
      <c r="E1179" t="s">
        <v>10284</v>
      </c>
      <c r="F1179">
        <v>1</v>
      </c>
    </row>
    <row r="1180" spans="1:6" ht="15" customHeight="1" x14ac:dyDescent="0.3">
      <c r="A1180" t="s">
        <v>10289</v>
      </c>
      <c r="E1180" t="s">
        <v>10289</v>
      </c>
      <c r="F1180">
        <v>1</v>
      </c>
    </row>
    <row r="1181" spans="1:6" ht="15" customHeight="1" x14ac:dyDescent="0.3">
      <c r="A1181" t="s">
        <v>10293</v>
      </c>
      <c r="E1181" t="s">
        <v>10293</v>
      </c>
      <c r="F1181">
        <v>1</v>
      </c>
    </row>
    <row r="1182" spans="1:6" ht="15" customHeight="1" x14ac:dyDescent="0.3">
      <c r="A1182" t="s">
        <v>10297</v>
      </c>
      <c r="E1182" t="s">
        <v>10297</v>
      </c>
      <c r="F1182">
        <v>1</v>
      </c>
    </row>
    <row r="1183" spans="1:6" ht="15" customHeight="1" x14ac:dyDescent="0.3">
      <c r="A1183" t="s">
        <v>10305</v>
      </c>
      <c r="E1183" t="s">
        <v>10305</v>
      </c>
      <c r="F1183">
        <v>1</v>
      </c>
    </row>
    <row r="1184" spans="1:6" ht="15" customHeight="1" x14ac:dyDescent="0.3">
      <c r="A1184" t="s">
        <v>10310</v>
      </c>
      <c r="E1184" t="s">
        <v>10310</v>
      </c>
      <c r="F1184">
        <v>1</v>
      </c>
    </row>
    <row r="1185" spans="1:6" ht="15" customHeight="1" x14ac:dyDescent="0.3">
      <c r="A1185" t="s">
        <v>10325</v>
      </c>
      <c r="E1185" t="s">
        <v>10325</v>
      </c>
      <c r="F1185">
        <v>1</v>
      </c>
    </row>
    <row r="1186" spans="1:6" ht="15" customHeight="1" x14ac:dyDescent="0.3">
      <c r="A1186" t="s">
        <v>10329</v>
      </c>
      <c r="E1186" t="s">
        <v>10329</v>
      </c>
      <c r="F1186">
        <v>1</v>
      </c>
    </row>
    <row r="1187" spans="1:6" ht="15" customHeight="1" x14ac:dyDescent="0.3">
      <c r="A1187" t="s">
        <v>10334</v>
      </c>
      <c r="E1187" t="s">
        <v>10334</v>
      </c>
      <c r="F1187">
        <v>1</v>
      </c>
    </row>
    <row r="1188" spans="1:6" ht="15" customHeight="1" x14ac:dyDescent="0.3">
      <c r="A1188" t="s">
        <v>10339</v>
      </c>
      <c r="E1188" t="s">
        <v>10339</v>
      </c>
      <c r="F1188">
        <v>1</v>
      </c>
    </row>
    <row r="1189" spans="1:6" ht="15" customHeight="1" x14ac:dyDescent="0.3">
      <c r="A1189" t="s">
        <v>10343</v>
      </c>
      <c r="E1189" t="s">
        <v>10343</v>
      </c>
      <c r="F1189">
        <v>1</v>
      </c>
    </row>
    <row r="1190" spans="1:6" ht="15" customHeight="1" x14ac:dyDescent="0.3">
      <c r="A1190" t="s">
        <v>10351</v>
      </c>
      <c r="E1190" t="s">
        <v>10351</v>
      </c>
      <c r="F1190">
        <v>1</v>
      </c>
    </row>
    <row r="1191" spans="1:6" ht="15" customHeight="1" x14ac:dyDescent="0.3">
      <c r="A1191" t="s">
        <v>10355</v>
      </c>
      <c r="E1191" t="s">
        <v>10355</v>
      </c>
      <c r="F1191">
        <v>1</v>
      </c>
    </row>
    <row r="1192" spans="1:6" ht="15" customHeight="1" x14ac:dyDescent="0.3">
      <c r="A1192" t="s">
        <v>10369</v>
      </c>
      <c r="E1192" t="s">
        <v>10369</v>
      </c>
      <c r="F1192">
        <v>1</v>
      </c>
    </row>
    <row r="1193" spans="1:6" ht="15" customHeight="1" x14ac:dyDescent="0.3">
      <c r="A1193" t="s">
        <v>10374</v>
      </c>
      <c r="E1193" t="s">
        <v>10374</v>
      </c>
      <c r="F1193">
        <v>1</v>
      </c>
    </row>
    <row r="1194" spans="1:6" ht="15" customHeight="1" x14ac:dyDescent="0.3">
      <c r="A1194" t="s">
        <v>10379</v>
      </c>
      <c r="E1194" t="s">
        <v>10379</v>
      </c>
      <c r="F1194">
        <v>1</v>
      </c>
    </row>
    <row r="1195" spans="1:6" ht="15" customHeight="1" x14ac:dyDescent="0.3">
      <c r="A1195" t="s">
        <v>10384</v>
      </c>
      <c r="E1195" t="s">
        <v>10384</v>
      </c>
      <c r="F1195">
        <v>1</v>
      </c>
    </row>
    <row r="1196" spans="1:6" ht="15" customHeight="1" x14ac:dyDescent="0.3">
      <c r="A1196" t="s">
        <v>10397</v>
      </c>
      <c r="E1196" t="s">
        <v>10397</v>
      </c>
      <c r="F1196">
        <v>1</v>
      </c>
    </row>
    <row r="1197" spans="1:6" ht="15" customHeight="1" x14ac:dyDescent="0.3">
      <c r="A1197" t="s">
        <v>10422</v>
      </c>
      <c r="E1197" t="s">
        <v>10422</v>
      </c>
      <c r="F1197">
        <v>1</v>
      </c>
    </row>
    <row r="1198" spans="1:6" ht="15" customHeight="1" x14ac:dyDescent="0.3">
      <c r="A1198" t="s">
        <v>10438</v>
      </c>
      <c r="E1198" t="s">
        <v>10438</v>
      </c>
      <c r="F1198">
        <v>1</v>
      </c>
    </row>
    <row r="1199" spans="1:6" ht="15" customHeight="1" x14ac:dyDescent="0.3">
      <c r="A1199" t="s">
        <v>10446</v>
      </c>
      <c r="E1199" t="s">
        <v>10446</v>
      </c>
      <c r="F1199">
        <v>1</v>
      </c>
    </row>
    <row r="1200" spans="1:6" ht="15" customHeight="1" x14ac:dyDescent="0.3">
      <c r="A1200" t="s">
        <v>10458</v>
      </c>
      <c r="E1200" t="s">
        <v>10458</v>
      </c>
      <c r="F1200">
        <v>1</v>
      </c>
    </row>
    <row r="1201" spans="1:6" ht="15" customHeight="1" x14ac:dyDescent="0.3">
      <c r="A1201" t="s">
        <v>10464</v>
      </c>
      <c r="E1201" t="s">
        <v>10464</v>
      </c>
      <c r="F1201">
        <v>1</v>
      </c>
    </row>
    <row r="1202" spans="1:6" ht="15" customHeight="1" x14ac:dyDescent="0.3">
      <c r="A1202" t="s">
        <v>10476</v>
      </c>
      <c r="E1202" t="s">
        <v>10476</v>
      </c>
      <c r="F1202">
        <v>1</v>
      </c>
    </row>
    <row r="1203" spans="1:6" ht="15" customHeight="1" x14ac:dyDescent="0.3">
      <c r="A1203" t="s">
        <v>10484</v>
      </c>
      <c r="E1203" t="s">
        <v>10484</v>
      </c>
      <c r="F1203">
        <v>1</v>
      </c>
    </row>
    <row r="1204" spans="1:6" ht="15" customHeight="1" x14ac:dyDescent="0.3">
      <c r="A1204" t="s">
        <v>10489</v>
      </c>
      <c r="E1204" t="s">
        <v>10489</v>
      </c>
      <c r="F1204">
        <v>1</v>
      </c>
    </row>
    <row r="1205" spans="1:6" ht="15" customHeight="1" x14ac:dyDescent="0.3">
      <c r="A1205" t="s">
        <v>10497</v>
      </c>
      <c r="E1205" t="s">
        <v>10497</v>
      </c>
      <c r="F1205">
        <v>1</v>
      </c>
    </row>
    <row r="1206" spans="1:6" ht="15" customHeight="1" x14ac:dyDescent="0.3">
      <c r="A1206" t="s">
        <v>10507</v>
      </c>
      <c r="E1206" t="s">
        <v>10507</v>
      </c>
      <c r="F1206">
        <v>1</v>
      </c>
    </row>
    <row r="1207" spans="1:6" ht="15" customHeight="1" x14ac:dyDescent="0.3">
      <c r="A1207" t="s">
        <v>10533</v>
      </c>
      <c r="E1207" t="s">
        <v>10533</v>
      </c>
      <c r="F1207">
        <v>1</v>
      </c>
    </row>
    <row r="1208" spans="1:6" ht="15" customHeight="1" x14ac:dyDescent="0.3">
      <c r="A1208" t="s">
        <v>10538</v>
      </c>
      <c r="E1208" t="s">
        <v>10538</v>
      </c>
      <c r="F1208">
        <v>1</v>
      </c>
    </row>
    <row r="1209" spans="1:6" ht="15" customHeight="1" x14ac:dyDescent="0.3">
      <c r="A1209" t="s">
        <v>10543</v>
      </c>
      <c r="E1209" t="s">
        <v>10543</v>
      </c>
      <c r="F1209">
        <v>1</v>
      </c>
    </row>
    <row r="1210" spans="1:6" ht="15" customHeight="1" x14ac:dyDescent="0.3">
      <c r="A1210" t="s">
        <v>10553</v>
      </c>
      <c r="E1210" t="s">
        <v>10553</v>
      </c>
      <c r="F1210">
        <v>1</v>
      </c>
    </row>
    <row r="1211" spans="1:6" ht="15" customHeight="1" x14ac:dyDescent="0.3">
      <c r="A1211" t="s">
        <v>10557</v>
      </c>
      <c r="E1211" t="s">
        <v>10557</v>
      </c>
      <c r="F1211">
        <v>1</v>
      </c>
    </row>
    <row r="1212" spans="1:6" ht="15" customHeight="1" x14ac:dyDescent="0.3">
      <c r="A1212" t="s">
        <v>10561</v>
      </c>
      <c r="E1212" t="s">
        <v>10561</v>
      </c>
      <c r="F1212">
        <v>1</v>
      </c>
    </row>
    <row r="1213" spans="1:6" ht="15" customHeight="1" x14ac:dyDescent="0.3">
      <c r="A1213" t="s">
        <v>10569</v>
      </c>
      <c r="E1213" t="s">
        <v>10569</v>
      </c>
      <c r="F1213">
        <v>1</v>
      </c>
    </row>
    <row r="1214" spans="1:6" ht="15" customHeight="1" x14ac:dyDescent="0.3">
      <c r="A1214" t="s">
        <v>10586</v>
      </c>
      <c r="E1214" t="s">
        <v>10586</v>
      </c>
      <c r="F1214">
        <v>1</v>
      </c>
    </row>
    <row r="1215" spans="1:6" ht="15" customHeight="1" x14ac:dyDescent="0.3">
      <c r="A1215" t="s">
        <v>10596</v>
      </c>
      <c r="E1215" t="s">
        <v>10596</v>
      </c>
      <c r="F1215">
        <v>1</v>
      </c>
    </row>
    <row r="1216" spans="1:6" ht="15" customHeight="1" x14ac:dyDescent="0.3">
      <c r="A1216" t="s">
        <v>10607</v>
      </c>
      <c r="E1216" t="s">
        <v>10607</v>
      </c>
      <c r="F1216">
        <v>1</v>
      </c>
    </row>
    <row r="1217" spans="1:6" ht="15" customHeight="1" x14ac:dyDescent="0.3">
      <c r="A1217" t="s">
        <v>10620</v>
      </c>
      <c r="E1217" t="s">
        <v>10620</v>
      </c>
      <c r="F1217">
        <v>1</v>
      </c>
    </row>
    <row r="1218" spans="1:6" ht="15" customHeight="1" x14ac:dyDescent="0.3">
      <c r="A1218" t="s">
        <v>10646</v>
      </c>
      <c r="E1218" t="s">
        <v>10646</v>
      </c>
      <c r="F1218">
        <v>1</v>
      </c>
    </row>
    <row r="1219" spans="1:6" ht="15" customHeight="1" x14ac:dyDescent="0.3">
      <c r="A1219" t="s">
        <v>10650</v>
      </c>
      <c r="E1219" t="s">
        <v>10650</v>
      </c>
      <c r="F1219">
        <v>1</v>
      </c>
    </row>
    <row r="1220" spans="1:6" ht="15" customHeight="1" x14ac:dyDescent="0.3">
      <c r="A1220" t="s">
        <v>10653</v>
      </c>
      <c r="E1220" t="s">
        <v>10653</v>
      </c>
      <c r="F1220">
        <v>1</v>
      </c>
    </row>
    <row r="1221" spans="1:6" ht="15" customHeight="1" x14ac:dyDescent="0.3">
      <c r="A1221" t="s">
        <v>10661</v>
      </c>
      <c r="E1221" t="s">
        <v>10661</v>
      </c>
      <c r="F1221">
        <v>1</v>
      </c>
    </row>
    <row r="1222" spans="1:6" ht="15" customHeight="1" x14ac:dyDescent="0.3">
      <c r="A1222" t="s">
        <v>10681</v>
      </c>
      <c r="E1222" t="s">
        <v>10681</v>
      </c>
      <c r="F1222">
        <v>1</v>
      </c>
    </row>
    <row r="1223" spans="1:6" ht="15" customHeight="1" x14ac:dyDescent="0.3">
      <c r="A1223" t="s">
        <v>10689</v>
      </c>
      <c r="E1223" t="s">
        <v>10689</v>
      </c>
      <c r="F1223">
        <v>1</v>
      </c>
    </row>
    <row r="1224" spans="1:6" ht="15" customHeight="1" x14ac:dyDescent="0.3">
      <c r="A1224" t="s">
        <v>10694</v>
      </c>
      <c r="E1224" t="s">
        <v>10694</v>
      </c>
      <c r="F1224">
        <v>1</v>
      </c>
    </row>
    <row r="1225" spans="1:6" ht="15" customHeight="1" x14ac:dyDescent="0.3">
      <c r="A1225" t="s">
        <v>10698</v>
      </c>
      <c r="E1225" t="s">
        <v>10698</v>
      </c>
      <c r="F1225">
        <v>1</v>
      </c>
    </row>
    <row r="1226" spans="1:6" ht="15" customHeight="1" x14ac:dyDescent="0.3">
      <c r="A1226" t="s">
        <v>10703</v>
      </c>
      <c r="E1226" t="s">
        <v>10703</v>
      </c>
      <c r="F1226">
        <v>1</v>
      </c>
    </row>
    <row r="1227" spans="1:6" ht="15" customHeight="1" x14ac:dyDescent="0.3">
      <c r="A1227" t="s">
        <v>10716</v>
      </c>
      <c r="E1227" t="s">
        <v>10716</v>
      </c>
      <c r="F1227">
        <v>1</v>
      </c>
    </row>
    <row r="1228" spans="1:6" ht="15" customHeight="1" x14ac:dyDescent="0.3">
      <c r="A1228" t="s">
        <v>10720</v>
      </c>
      <c r="E1228" t="s">
        <v>10720</v>
      </c>
      <c r="F1228">
        <v>1</v>
      </c>
    </row>
    <row r="1229" spans="1:6" ht="15" customHeight="1" x14ac:dyDescent="0.3">
      <c r="A1229" t="s">
        <v>10737</v>
      </c>
      <c r="E1229" t="s">
        <v>10737</v>
      </c>
      <c r="F1229">
        <v>1</v>
      </c>
    </row>
    <row r="1230" spans="1:6" ht="15" customHeight="1" x14ac:dyDescent="0.3">
      <c r="A1230" t="s">
        <v>10744</v>
      </c>
      <c r="E1230" t="s">
        <v>10744</v>
      </c>
      <c r="F1230">
        <v>1</v>
      </c>
    </row>
    <row r="1231" spans="1:6" ht="15" customHeight="1" x14ac:dyDescent="0.3">
      <c r="A1231" t="s">
        <v>10753</v>
      </c>
      <c r="E1231" t="s">
        <v>10753</v>
      </c>
      <c r="F1231">
        <v>1</v>
      </c>
    </row>
    <row r="1232" spans="1:6" ht="15" customHeight="1" x14ac:dyDescent="0.3">
      <c r="A1232" t="s">
        <v>10762</v>
      </c>
      <c r="E1232" t="s">
        <v>10762</v>
      </c>
      <c r="F1232">
        <v>1</v>
      </c>
    </row>
    <row r="1233" spans="1:6" ht="15" customHeight="1" x14ac:dyDescent="0.3">
      <c r="A1233" t="s">
        <v>10767</v>
      </c>
      <c r="E1233" t="s">
        <v>10767</v>
      </c>
      <c r="F1233">
        <v>1</v>
      </c>
    </row>
    <row r="1234" spans="1:6" ht="15" customHeight="1" x14ac:dyDescent="0.3">
      <c r="A1234" t="s">
        <v>10774</v>
      </c>
      <c r="E1234" t="s">
        <v>10774</v>
      </c>
      <c r="F1234">
        <v>1</v>
      </c>
    </row>
    <row r="1235" spans="1:6" ht="15" customHeight="1" x14ac:dyDescent="0.3">
      <c r="A1235" t="s">
        <v>10786</v>
      </c>
      <c r="E1235" t="s">
        <v>10786</v>
      </c>
      <c r="F1235">
        <v>1</v>
      </c>
    </row>
    <row r="1236" spans="1:6" ht="15" customHeight="1" x14ac:dyDescent="0.3">
      <c r="A1236" t="s">
        <v>10790</v>
      </c>
      <c r="E1236" t="s">
        <v>10790</v>
      </c>
      <c r="F1236">
        <v>1</v>
      </c>
    </row>
    <row r="1237" spans="1:6" ht="15" customHeight="1" x14ac:dyDescent="0.3">
      <c r="A1237" t="s">
        <v>10813</v>
      </c>
      <c r="E1237" t="s">
        <v>10813</v>
      </c>
      <c r="F1237">
        <v>1</v>
      </c>
    </row>
    <row r="1238" spans="1:6" ht="15" customHeight="1" x14ac:dyDescent="0.3">
      <c r="A1238" t="s">
        <v>10821</v>
      </c>
      <c r="E1238" t="s">
        <v>10821</v>
      </c>
      <c r="F1238">
        <v>1</v>
      </c>
    </row>
    <row r="1239" spans="1:6" ht="15" customHeight="1" x14ac:dyDescent="0.3">
      <c r="A1239" t="s">
        <v>10830</v>
      </c>
      <c r="E1239" t="s">
        <v>10830</v>
      </c>
      <c r="F1239">
        <v>1</v>
      </c>
    </row>
    <row r="1240" spans="1:6" ht="15" customHeight="1" x14ac:dyDescent="0.3">
      <c r="A1240" t="s">
        <v>10835</v>
      </c>
      <c r="E1240" t="s">
        <v>10835</v>
      </c>
      <c r="F1240">
        <v>1</v>
      </c>
    </row>
    <row r="1241" spans="1:6" ht="15" customHeight="1" x14ac:dyDescent="0.3">
      <c r="A1241" t="s">
        <v>10842</v>
      </c>
      <c r="E1241" t="s">
        <v>10842</v>
      </c>
      <c r="F1241">
        <v>1</v>
      </c>
    </row>
    <row r="1242" spans="1:6" ht="15" customHeight="1" x14ac:dyDescent="0.3">
      <c r="A1242" t="s">
        <v>10850</v>
      </c>
      <c r="E1242" t="s">
        <v>10850</v>
      </c>
      <c r="F1242">
        <v>1</v>
      </c>
    </row>
    <row r="1243" spans="1:6" ht="15" customHeight="1" x14ac:dyDescent="0.3">
      <c r="A1243" t="s">
        <v>10860</v>
      </c>
      <c r="E1243" t="s">
        <v>10860</v>
      </c>
      <c r="F1243">
        <v>1</v>
      </c>
    </row>
    <row r="1244" spans="1:6" ht="15" customHeight="1" x14ac:dyDescent="0.3">
      <c r="A1244" t="s">
        <v>10867</v>
      </c>
      <c r="E1244" t="s">
        <v>10867</v>
      </c>
      <c r="F1244">
        <v>1</v>
      </c>
    </row>
    <row r="1245" spans="1:6" ht="15" customHeight="1" x14ac:dyDescent="0.3">
      <c r="A1245" t="s">
        <v>10872</v>
      </c>
      <c r="E1245" t="s">
        <v>10872</v>
      </c>
      <c r="F1245">
        <v>1</v>
      </c>
    </row>
    <row r="1246" spans="1:6" ht="15" customHeight="1" x14ac:dyDescent="0.3">
      <c r="A1246" t="s">
        <v>10883</v>
      </c>
      <c r="E1246" t="s">
        <v>10883</v>
      </c>
      <c r="F1246">
        <v>1</v>
      </c>
    </row>
    <row r="1247" spans="1:6" ht="15" customHeight="1" x14ac:dyDescent="0.3">
      <c r="A1247" t="s">
        <v>10899</v>
      </c>
      <c r="E1247" t="s">
        <v>10899</v>
      </c>
      <c r="F1247">
        <v>1</v>
      </c>
    </row>
    <row r="1248" spans="1:6" ht="15" customHeight="1" x14ac:dyDescent="0.3">
      <c r="A1248" t="s">
        <v>10903</v>
      </c>
      <c r="E1248" t="s">
        <v>10903</v>
      </c>
      <c r="F1248">
        <v>1</v>
      </c>
    </row>
    <row r="1249" spans="1:6" ht="15" customHeight="1" x14ac:dyDescent="0.3">
      <c r="A1249" t="s">
        <v>10910</v>
      </c>
      <c r="E1249" t="s">
        <v>10910</v>
      </c>
      <c r="F1249">
        <v>1</v>
      </c>
    </row>
    <row r="1250" spans="1:6" ht="15" customHeight="1" x14ac:dyDescent="0.3">
      <c r="A1250" t="s">
        <v>10923</v>
      </c>
      <c r="E1250" t="s">
        <v>10923</v>
      </c>
      <c r="F1250">
        <v>1</v>
      </c>
    </row>
    <row r="1251" spans="1:6" ht="15" customHeight="1" x14ac:dyDescent="0.3">
      <c r="A1251" t="s">
        <v>10928</v>
      </c>
      <c r="E1251" t="s">
        <v>10928</v>
      </c>
      <c r="F1251">
        <v>1</v>
      </c>
    </row>
    <row r="1252" spans="1:6" ht="15" customHeight="1" x14ac:dyDescent="0.3">
      <c r="A1252" t="s">
        <v>10946</v>
      </c>
      <c r="E1252" t="s">
        <v>10946</v>
      </c>
      <c r="F1252">
        <v>1</v>
      </c>
    </row>
    <row r="1253" spans="1:6" ht="15" customHeight="1" x14ac:dyDescent="0.3">
      <c r="A1253" t="s">
        <v>10958</v>
      </c>
      <c r="E1253" t="s">
        <v>10958</v>
      </c>
      <c r="F1253">
        <v>1</v>
      </c>
    </row>
    <row r="1254" spans="1:6" ht="15" customHeight="1" x14ac:dyDescent="0.3">
      <c r="A1254" t="s">
        <v>10964</v>
      </c>
      <c r="E1254" t="s">
        <v>10964</v>
      </c>
      <c r="F1254">
        <v>1</v>
      </c>
    </row>
    <row r="1255" spans="1:6" ht="15" customHeight="1" x14ac:dyDescent="0.3">
      <c r="A1255" t="s">
        <v>10969</v>
      </c>
      <c r="E1255" t="s">
        <v>10969</v>
      </c>
      <c r="F1255">
        <v>1</v>
      </c>
    </row>
    <row r="1256" spans="1:6" ht="15" customHeight="1" x14ac:dyDescent="0.3">
      <c r="A1256" t="s">
        <v>10974</v>
      </c>
      <c r="E1256" t="s">
        <v>10974</v>
      </c>
      <c r="F1256">
        <v>1</v>
      </c>
    </row>
    <row r="1257" spans="1:6" ht="15" customHeight="1" x14ac:dyDescent="0.3">
      <c r="A1257" t="s">
        <v>10978</v>
      </c>
      <c r="E1257" t="s">
        <v>10978</v>
      </c>
      <c r="F1257">
        <v>1</v>
      </c>
    </row>
    <row r="1258" spans="1:6" ht="15" customHeight="1" x14ac:dyDescent="0.3">
      <c r="A1258" t="s">
        <v>10986</v>
      </c>
      <c r="E1258" t="s">
        <v>10986</v>
      </c>
      <c r="F1258">
        <v>1</v>
      </c>
    </row>
    <row r="1259" spans="1:6" ht="15" customHeight="1" x14ac:dyDescent="0.3">
      <c r="A1259" t="s">
        <v>10991</v>
      </c>
      <c r="E1259" t="s">
        <v>10991</v>
      </c>
      <c r="F1259">
        <v>1</v>
      </c>
    </row>
    <row r="1260" spans="1:6" ht="15" customHeight="1" x14ac:dyDescent="0.3">
      <c r="A1260" t="s">
        <v>11003</v>
      </c>
      <c r="E1260" t="s">
        <v>11003</v>
      </c>
      <c r="F1260">
        <v>1</v>
      </c>
    </row>
    <row r="1261" spans="1:6" ht="15" customHeight="1" x14ac:dyDescent="0.3">
      <c r="A1261" t="s">
        <v>11008</v>
      </c>
      <c r="E1261" t="s">
        <v>11008</v>
      </c>
      <c r="F1261">
        <v>1</v>
      </c>
    </row>
    <row r="1262" spans="1:6" ht="15" customHeight="1" x14ac:dyDescent="0.3">
      <c r="A1262" t="s">
        <v>11016</v>
      </c>
      <c r="E1262" t="s">
        <v>11016</v>
      </c>
      <c r="F1262">
        <v>1</v>
      </c>
    </row>
    <row r="1263" spans="1:6" ht="15" customHeight="1" x14ac:dyDescent="0.3">
      <c r="A1263" t="s">
        <v>11023</v>
      </c>
      <c r="E1263" t="s">
        <v>11023</v>
      </c>
      <c r="F1263">
        <v>1</v>
      </c>
    </row>
    <row r="1264" spans="1:6" ht="15" customHeight="1" x14ac:dyDescent="0.3">
      <c r="A1264" t="s">
        <v>11045</v>
      </c>
      <c r="E1264" t="s">
        <v>11045</v>
      </c>
      <c r="F1264">
        <v>1</v>
      </c>
    </row>
    <row r="1265" spans="1:6" ht="15" customHeight="1" x14ac:dyDescent="0.3">
      <c r="A1265" t="s">
        <v>11052</v>
      </c>
      <c r="E1265" t="s">
        <v>11052</v>
      </c>
      <c r="F1265">
        <v>1</v>
      </c>
    </row>
    <row r="1266" spans="1:6" ht="15" customHeight="1" x14ac:dyDescent="0.3">
      <c r="A1266" t="s">
        <v>11057</v>
      </c>
      <c r="E1266" t="s">
        <v>11057</v>
      </c>
      <c r="F1266">
        <v>1</v>
      </c>
    </row>
    <row r="1267" spans="1:6" ht="15" customHeight="1" x14ac:dyDescent="0.3">
      <c r="A1267" t="s">
        <v>11065</v>
      </c>
      <c r="E1267" t="s">
        <v>11065</v>
      </c>
      <c r="F1267">
        <v>1</v>
      </c>
    </row>
    <row r="1268" spans="1:6" ht="15" customHeight="1" x14ac:dyDescent="0.3">
      <c r="A1268" t="s">
        <v>11074</v>
      </c>
      <c r="E1268" t="s">
        <v>11074</v>
      </c>
      <c r="F1268">
        <v>1</v>
      </c>
    </row>
    <row r="1269" spans="1:6" ht="15" customHeight="1" x14ac:dyDescent="0.3">
      <c r="A1269" t="s">
        <v>11079</v>
      </c>
      <c r="E1269" t="s">
        <v>11079</v>
      </c>
      <c r="F1269">
        <v>1</v>
      </c>
    </row>
    <row r="1270" spans="1:6" ht="15" customHeight="1" x14ac:dyDescent="0.3">
      <c r="A1270" t="s">
        <v>11084</v>
      </c>
      <c r="E1270" t="s">
        <v>11084</v>
      </c>
      <c r="F1270">
        <v>1</v>
      </c>
    </row>
    <row r="1271" spans="1:6" ht="15" customHeight="1" x14ac:dyDescent="0.3">
      <c r="A1271" t="s">
        <v>11090</v>
      </c>
      <c r="E1271" t="s">
        <v>11090</v>
      </c>
      <c r="F1271">
        <v>1</v>
      </c>
    </row>
    <row r="1272" spans="1:6" ht="15" customHeight="1" x14ac:dyDescent="0.3">
      <c r="A1272" t="s">
        <v>11095</v>
      </c>
      <c r="E1272" t="s">
        <v>11095</v>
      </c>
      <c r="F1272">
        <v>1</v>
      </c>
    </row>
    <row r="1273" spans="1:6" ht="15" customHeight="1" x14ac:dyDescent="0.3">
      <c r="A1273" t="s">
        <v>11105</v>
      </c>
      <c r="E1273" t="s">
        <v>11105</v>
      </c>
      <c r="F1273">
        <v>1</v>
      </c>
    </row>
    <row r="1274" spans="1:6" ht="15" customHeight="1" x14ac:dyDescent="0.3">
      <c r="A1274" t="s">
        <v>11115</v>
      </c>
      <c r="E1274" t="s">
        <v>11115</v>
      </c>
      <c r="F1274">
        <v>1</v>
      </c>
    </row>
    <row r="1275" spans="1:6" ht="15" customHeight="1" x14ac:dyDescent="0.3">
      <c r="A1275" t="s">
        <v>11130</v>
      </c>
      <c r="E1275" t="s">
        <v>11130</v>
      </c>
      <c r="F1275">
        <v>1</v>
      </c>
    </row>
    <row r="1276" spans="1:6" ht="15" customHeight="1" x14ac:dyDescent="0.3">
      <c r="A1276" t="s">
        <v>11136</v>
      </c>
      <c r="E1276" t="s">
        <v>11136</v>
      </c>
      <c r="F1276">
        <v>1</v>
      </c>
    </row>
    <row r="1277" spans="1:6" ht="15" customHeight="1" x14ac:dyDescent="0.3">
      <c r="A1277" t="s">
        <v>11141</v>
      </c>
      <c r="E1277" t="s">
        <v>11141</v>
      </c>
      <c r="F1277">
        <v>1</v>
      </c>
    </row>
    <row r="1278" spans="1:6" ht="15" customHeight="1" x14ac:dyDescent="0.3">
      <c r="A1278" t="s">
        <v>11156</v>
      </c>
      <c r="E1278" t="s">
        <v>11156</v>
      </c>
      <c r="F1278">
        <v>1</v>
      </c>
    </row>
    <row r="1279" spans="1:6" ht="15" customHeight="1" x14ac:dyDescent="0.3">
      <c r="A1279" t="s">
        <v>11165</v>
      </c>
      <c r="E1279" t="s">
        <v>11165</v>
      </c>
      <c r="F1279">
        <v>1</v>
      </c>
    </row>
    <row r="1280" spans="1:6" ht="15" customHeight="1" x14ac:dyDescent="0.3">
      <c r="A1280" t="s">
        <v>11171</v>
      </c>
      <c r="E1280" t="s">
        <v>11171</v>
      </c>
      <c r="F1280">
        <v>1</v>
      </c>
    </row>
    <row r="1281" spans="1:6" ht="15" customHeight="1" x14ac:dyDescent="0.3">
      <c r="A1281" t="s">
        <v>11178</v>
      </c>
      <c r="E1281" t="s">
        <v>11178</v>
      </c>
      <c r="F1281">
        <v>1</v>
      </c>
    </row>
    <row r="1282" spans="1:6" ht="15" customHeight="1" x14ac:dyDescent="0.3">
      <c r="A1282" t="s">
        <v>11190</v>
      </c>
      <c r="E1282" t="s">
        <v>11190</v>
      </c>
      <c r="F1282">
        <v>1</v>
      </c>
    </row>
    <row r="1283" spans="1:6" ht="15" customHeight="1" x14ac:dyDescent="0.3">
      <c r="A1283" t="s">
        <v>11195</v>
      </c>
      <c r="E1283" t="s">
        <v>11195</v>
      </c>
      <c r="F1283">
        <v>1</v>
      </c>
    </row>
    <row r="1284" spans="1:6" ht="15" customHeight="1" x14ac:dyDescent="0.3">
      <c r="A1284" t="s">
        <v>11199</v>
      </c>
      <c r="E1284" t="s">
        <v>11199</v>
      </c>
      <c r="F1284">
        <v>1</v>
      </c>
    </row>
    <row r="1285" spans="1:6" ht="15" customHeight="1" x14ac:dyDescent="0.3">
      <c r="A1285" t="s">
        <v>11229</v>
      </c>
      <c r="E1285" t="s">
        <v>11229</v>
      </c>
      <c r="F1285">
        <v>1</v>
      </c>
    </row>
    <row r="1286" spans="1:6" ht="15" customHeight="1" x14ac:dyDescent="0.3">
      <c r="A1286" t="s">
        <v>11236</v>
      </c>
      <c r="E1286" t="s">
        <v>11236</v>
      </c>
      <c r="F1286">
        <v>1</v>
      </c>
    </row>
    <row r="1287" spans="1:6" ht="15" customHeight="1" x14ac:dyDescent="0.3">
      <c r="A1287" t="s">
        <v>11245</v>
      </c>
      <c r="E1287" t="s">
        <v>11245</v>
      </c>
      <c r="F1287">
        <v>1</v>
      </c>
    </row>
    <row r="1288" spans="1:6" ht="15" customHeight="1" x14ac:dyDescent="0.3">
      <c r="A1288" t="s">
        <v>11250</v>
      </c>
      <c r="E1288" t="s">
        <v>11250</v>
      </c>
      <c r="F1288">
        <v>1</v>
      </c>
    </row>
    <row r="1289" spans="1:6" ht="15" customHeight="1" x14ac:dyDescent="0.3">
      <c r="A1289" t="s">
        <v>11258</v>
      </c>
      <c r="E1289" t="s">
        <v>11258</v>
      </c>
      <c r="F1289">
        <v>1</v>
      </c>
    </row>
    <row r="1290" spans="1:6" ht="15" customHeight="1" x14ac:dyDescent="0.3">
      <c r="A1290" t="s">
        <v>11274</v>
      </c>
      <c r="E1290" t="s">
        <v>11274</v>
      </c>
      <c r="F1290">
        <v>1</v>
      </c>
    </row>
    <row r="1291" spans="1:6" ht="15" customHeight="1" x14ac:dyDescent="0.3">
      <c r="A1291" t="s">
        <v>11286</v>
      </c>
      <c r="E1291" t="s">
        <v>11286</v>
      </c>
      <c r="F1291">
        <v>1</v>
      </c>
    </row>
    <row r="1292" spans="1:6" ht="15" customHeight="1" x14ac:dyDescent="0.3">
      <c r="A1292" t="s">
        <v>11294</v>
      </c>
      <c r="E1292" t="s">
        <v>11294</v>
      </c>
      <c r="F1292">
        <v>1</v>
      </c>
    </row>
    <row r="1293" spans="1:6" ht="15" customHeight="1" x14ac:dyDescent="0.3">
      <c r="A1293" t="s">
        <v>11299</v>
      </c>
      <c r="E1293" t="s">
        <v>11299</v>
      </c>
      <c r="F1293">
        <v>1</v>
      </c>
    </row>
    <row r="1294" spans="1:6" ht="15" customHeight="1" x14ac:dyDescent="0.3">
      <c r="A1294" t="s">
        <v>11303</v>
      </c>
      <c r="E1294" t="s">
        <v>11303</v>
      </c>
      <c r="F1294">
        <v>1</v>
      </c>
    </row>
    <row r="1295" spans="1:6" ht="15" customHeight="1" x14ac:dyDescent="0.3">
      <c r="A1295" t="s">
        <v>11308</v>
      </c>
      <c r="E1295" t="s">
        <v>11308</v>
      </c>
      <c r="F1295">
        <v>1</v>
      </c>
    </row>
    <row r="1296" spans="1:6" ht="15" customHeight="1" x14ac:dyDescent="0.3">
      <c r="A1296" t="s">
        <v>11313</v>
      </c>
      <c r="E1296" t="s">
        <v>11313</v>
      </c>
      <c r="F1296">
        <v>1</v>
      </c>
    </row>
    <row r="1297" spans="1:6" ht="15" customHeight="1" x14ac:dyDescent="0.3">
      <c r="A1297" t="s">
        <v>11326</v>
      </c>
      <c r="E1297" t="s">
        <v>11326</v>
      </c>
      <c r="F1297">
        <v>1</v>
      </c>
    </row>
    <row r="1298" spans="1:6" ht="15" customHeight="1" x14ac:dyDescent="0.3">
      <c r="A1298" t="s">
        <v>11335</v>
      </c>
      <c r="E1298" t="s">
        <v>11335</v>
      </c>
      <c r="F1298">
        <v>1</v>
      </c>
    </row>
    <row r="1299" spans="1:6" ht="15" customHeight="1" x14ac:dyDescent="0.3">
      <c r="A1299" t="s">
        <v>11350</v>
      </c>
      <c r="E1299" t="s">
        <v>11350</v>
      </c>
      <c r="F1299">
        <v>1</v>
      </c>
    </row>
    <row r="1300" spans="1:6" ht="15" customHeight="1" x14ac:dyDescent="0.3">
      <c r="A1300" t="s">
        <v>11384</v>
      </c>
      <c r="E1300" t="s">
        <v>11384</v>
      </c>
      <c r="F1300">
        <v>1</v>
      </c>
    </row>
    <row r="1301" spans="1:6" ht="15" customHeight="1" x14ac:dyDescent="0.3">
      <c r="A1301" t="s">
        <v>11389</v>
      </c>
      <c r="E1301" t="s">
        <v>11389</v>
      </c>
      <c r="F1301">
        <v>1</v>
      </c>
    </row>
    <row r="1302" spans="1:6" ht="15" customHeight="1" x14ac:dyDescent="0.3">
      <c r="A1302" t="s">
        <v>11393</v>
      </c>
      <c r="E1302" t="s">
        <v>11393</v>
      </c>
      <c r="F1302">
        <v>1</v>
      </c>
    </row>
    <row r="1303" spans="1:6" ht="15" customHeight="1" x14ac:dyDescent="0.3">
      <c r="A1303" t="s">
        <v>11397</v>
      </c>
      <c r="E1303" t="s">
        <v>11397</v>
      </c>
      <c r="F1303">
        <v>1</v>
      </c>
    </row>
    <row r="1304" spans="1:6" ht="15" customHeight="1" x14ac:dyDescent="0.3">
      <c r="A1304" t="s">
        <v>11406</v>
      </c>
      <c r="E1304" t="s">
        <v>11406</v>
      </c>
      <c r="F1304">
        <v>1</v>
      </c>
    </row>
    <row r="1305" spans="1:6" ht="15" customHeight="1" x14ac:dyDescent="0.3">
      <c r="A1305" t="s">
        <v>11409</v>
      </c>
      <c r="E1305" t="s">
        <v>11409</v>
      </c>
      <c r="F1305">
        <v>1</v>
      </c>
    </row>
  </sheetData>
  <pageMargins left="0.75" right="0.75" top="1" bottom="1" header="0.511811023622047" footer="0.511811023622047"/>
  <pageSetup paperSize="9" orientation="portrait" horizontalDpi="300" verticalDpi="300"/>
</worksheet>
</file>

<file path=docProps/app.xml><?xml version="1.0" encoding="utf-8"?>
<Properties xmlns="http://schemas.openxmlformats.org/officeDocument/2006/extended-properties" xmlns:vt="http://schemas.openxmlformats.org/officeDocument/2006/docPropsVTypes">
  <Template/>
  <TotalTime>0</TotalTime>
  <Application>Microsoft Excel</Application>
  <DocSecurity>0</DocSecurity>
  <ScaleCrop>false</ScaleCrop>
  <HeadingPairs>
    <vt:vector size="2" baseType="variant">
      <vt:variant>
        <vt:lpstr>Worksheets</vt:lpstr>
      </vt:variant>
      <vt:variant>
        <vt:i4>11</vt:i4>
      </vt:variant>
    </vt:vector>
  </HeadingPairs>
  <TitlesOfParts>
    <vt:vector size="11" baseType="lpstr">
      <vt:lpstr>ReadMe_Methodology</vt:lpstr>
      <vt:lpstr>Executive_Dashboard</vt:lpstr>
      <vt:lpstr>Company_Explorer</vt:lpstr>
      <vt:lpstr>Platform_Breakdown</vt:lpstr>
      <vt:lpstr>Top_Companies</vt:lpstr>
      <vt:lpstr>Role_Analysis</vt:lpstr>
      <vt:lpstr>City_Analysis</vt:lpstr>
      <vt:lpstr>Experience_Contract</vt:lpstr>
      <vt:lpstr>Salary_Analysis</vt:lpstr>
      <vt:lpstr>Combined_Data</vt:lpstr>
      <vt:lpstr>_Lists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openpyxl</dc:creator>
  <dc:description/>
  <cp:lastModifiedBy>Dhruv Jain</cp:lastModifiedBy>
  <cp:revision>4</cp:revision>
  <dcterms:created xsi:type="dcterms:W3CDTF">2026-07-07T08:38:57Z</dcterms:created>
  <dcterms:modified xsi:type="dcterms:W3CDTF">2026-07-07T09:52:24Z</dcterms:modified>
  <dc:language>en-US</dc:language>
</cp:coreProperties>
</file>